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consulting-my.sharepoint.com/personal/cwalck_chacompanies_com/Documents/Desktop/Syracuse DES Appendices/"/>
    </mc:Choice>
  </mc:AlternateContent>
  <xr:revisionPtr revIDLastSave="143" documentId="8_{811A92C3-B9E9-489F-8B7D-FDB210199F22}" xr6:coauthVersionLast="47" xr6:coauthVersionMax="47" xr10:uidLastSave="{C29C2FBB-030E-46C4-BB84-88AC1A3A36AB}"/>
  <bookViews>
    <workbookView xWindow="-120" yWindow="-120" windowWidth="29040" windowHeight="15840" xr2:uid="{00000000-000D-0000-FFFF-FFFF00000000}"/>
  </bookViews>
  <sheets>
    <sheet name="Bldg Info, Cost Est" sheetId="2" r:id="rId1"/>
    <sheet name="Baseline Electrification" sheetId="3" r:id="rId2"/>
    <sheet name="Equipment Costs" sheetId="1" r:id="rId3"/>
    <sheet name="Energy Reduction" sheetId="4" r:id="rId4"/>
  </sheets>
  <externalReferences>
    <externalReference r:id="rId5"/>
    <externalReference r:id="rId6"/>
  </externalReferences>
  <definedNames>
    <definedName name="_xlnm._FilterDatabase" localSheetId="1" hidden="1">'Baseline Electrification'!$A$7:$T$64</definedName>
    <definedName name="_xlnm._FilterDatabase" localSheetId="0" hidden="1">'Bldg Info, Cost Est'!$A$5:$M$60</definedName>
    <definedName name="_xlnm.Print_Area" localSheetId="1">'Baseline Electrification'!$A$1:$AH$67</definedName>
    <definedName name="_xlnm.Print_Area" localSheetId="0">'Bldg Info, Cost Est'!$A$1:$AE$67</definedName>
    <definedName name="_xlnm.Print_Area" localSheetId="2">'Equipment Costs'!$A$1:$F$27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9" i="2" l="1"/>
  <c r="AD58" i="2"/>
  <c r="AC9" i="2"/>
  <c r="C58" i="2" l="1"/>
  <c r="AC64" i="2" l="1"/>
  <c r="AC63" i="2"/>
  <c r="C59" i="2"/>
  <c r="M60" i="2"/>
  <c r="S8" i="2" l="1"/>
  <c r="C16" i="1"/>
  <c r="AC35" i="3"/>
  <c r="D47" i="4"/>
  <c r="C44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8" i="4"/>
  <c r="AC27" i="2"/>
  <c r="AD27" i="2" s="1"/>
  <c r="AC11" i="2"/>
  <c r="AD11" i="2" s="1"/>
  <c r="AC16" i="2"/>
  <c r="AD16" i="2" s="1"/>
  <c r="AC19" i="2"/>
  <c r="AD19" i="2" s="1"/>
  <c r="AC31" i="2"/>
  <c r="AD31" i="2" s="1"/>
  <c r="AC35" i="2"/>
  <c r="AD35" i="2" s="1"/>
  <c r="AC36" i="2"/>
  <c r="AD36" i="2" s="1"/>
  <c r="AC37" i="2"/>
  <c r="AD37" i="2" s="1"/>
  <c r="AC38" i="2"/>
  <c r="AD38" i="2" s="1"/>
  <c r="AC39" i="2"/>
  <c r="AD39" i="2" s="1"/>
  <c r="AC40" i="2"/>
  <c r="AD40" i="2" s="1"/>
  <c r="AC41" i="2"/>
  <c r="AD41" i="2" s="1"/>
  <c r="AC46" i="2"/>
  <c r="AD46" i="2" s="1"/>
  <c r="AC47" i="2"/>
  <c r="AD47" i="2" s="1"/>
  <c r="AC48" i="2"/>
  <c r="AD48" i="2" s="1"/>
  <c r="AC49" i="2"/>
  <c r="AD49" i="2" s="1"/>
  <c r="AC50" i="2"/>
  <c r="AD50" i="2" s="1"/>
  <c r="AC51" i="2"/>
  <c r="AD51" i="2" s="1"/>
  <c r="AC52" i="2"/>
  <c r="AD52" i="2" s="1"/>
  <c r="AC53" i="2"/>
  <c r="AD53" i="2" s="1"/>
  <c r="AC54" i="2"/>
  <c r="AD54" i="2" s="1"/>
  <c r="AC55" i="2"/>
  <c r="AD55" i="2" s="1"/>
  <c r="AC56" i="2"/>
  <c r="AD56" i="2" s="1"/>
  <c r="AC57" i="2"/>
  <c r="AD57" i="2" s="1"/>
  <c r="AC44" i="2"/>
  <c r="AD44" i="2" s="1"/>
  <c r="B56" i="3"/>
  <c r="B42" i="3"/>
  <c r="B36" i="3"/>
  <c r="B37" i="3"/>
  <c r="B38" i="3"/>
  <c r="B39" i="3"/>
  <c r="B40" i="3"/>
  <c r="B41" i="3"/>
  <c r="B27" i="3"/>
  <c r="B28" i="3"/>
  <c r="B29" i="3"/>
  <c r="B30" i="3"/>
  <c r="B31" i="3"/>
  <c r="B32" i="3"/>
  <c r="B33" i="3"/>
  <c r="B34" i="3"/>
  <c r="B35" i="3"/>
  <c r="B26" i="3"/>
  <c r="B21" i="3"/>
  <c r="B22" i="3"/>
  <c r="B23" i="3"/>
  <c r="B24" i="3"/>
  <c r="B25" i="3"/>
  <c r="B10" i="3"/>
  <c r="B11" i="3"/>
  <c r="B12" i="3"/>
  <c r="B13" i="3"/>
  <c r="B14" i="3"/>
  <c r="B15" i="3"/>
  <c r="B16" i="3"/>
  <c r="B17" i="3"/>
  <c r="B18" i="3"/>
  <c r="B19" i="3"/>
  <c r="B20" i="3"/>
  <c r="B8" i="3"/>
  <c r="B9" i="3"/>
  <c r="B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Y42" i="3"/>
  <c r="Y41" i="3"/>
  <c r="Y40" i="3"/>
  <c r="Y39" i="3"/>
  <c r="X38" i="3"/>
  <c r="Y37" i="3"/>
  <c r="Y33" i="3"/>
  <c r="Y32" i="3"/>
  <c r="Y30" i="3"/>
  <c r="Y29" i="3"/>
  <c r="Y28" i="3"/>
  <c r="Y27" i="3"/>
  <c r="Y26" i="3"/>
  <c r="AC26" i="3" s="1"/>
  <c r="Y25" i="3"/>
  <c r="Y24" i="3"/>
  <c r="Y23" i="3"/>
  <c r="Y22" i="3"/>
  <c r="Y21" i="3"/>
  <c r="Y20" i="3"/>
  <c r="Y19" i="3"/>
  <c r="Y18" i="3"/>
  <c r="Y17" i="3"/>
  <c r="Y15" i="3"/>
  <c r="Y14" i="3"/>
  <c r="Y13" i="3"/>
  <c r="Y12" i="3"/>
  <c r="Y11" i="3"/>
  <c r="Y10" i="3"/>
  <c r="Y9" i="3"/>
  <c r="Y8" i="3"/>
  <c r="Y7" i="3"/>
  <c r="R55" i="3"/>
  <c r="R54" i="3"/>
  <c r="R53" i="3"/>
  <c r="R52" i="3"/>
  <c r="R51" i="3"/>
  <c r="R50" i="3"/>
  <c r="R49" i="3"/>
  <c r="R48" i="3"/>
  <c r="R47" i="3"/>
  <c r="R46" i="3"/>
  <c r="R45" i="3"/>
  <c r="R44" i="3"/>
  <c r="J9" i="3"/>
  <c r="J10" i="3"/>
  <c r="J12" i="3"/>
  <c r="J20" i="3"/>
  <c r="J21" i="3"/>
  <c r="J25" i="3"/>
  <c r="R25" i="3" s="1"/>
  <c r="J28" i="3"/>
  <c r="H9" i="3"/>
  <c r="H10" i="3"/>
  <c r="H12" i="3"/>
  <c r="H13" i="3"/>
  <c r="H14" i="3"/>
  <c r="H15" i="3"/>
  <c r="H17" i="3"/>
  <c r="H18" i="3"/>
  <c r="R18" i="3" s="1"/>
  <c r="H22" i="3"/>
  <c r="R22" i="3" s="1"/>
  <c r="H23" i="3"/>
  <c r="R23" i="3" s="1"/>
  <c r="H24" i="3"/>
  <c r="H27" i="3"/>
  <c r="H30" i="3"/>
  <c r="R30" i="3" s="1"/>
  <c r="H31" i="3"/>
  <c r="R31" i="3" s="1"/>
  <c r="H32" i="3"/>
  <c r="H40" i="3"/>
  <c r="R40" i="3" s="1"/>
  <c r="H41" i="3"/>
  <c r="R41" i="3" s="1"/>
  <c r="H42" i="3"/>
  <c r="R42" i="3" s="1"/>
  <c r="H7" i="3"/>
  <c r="R7" i="3" s="1"/>
  <c r="R12" i="3" l="1"/>
  <c r="O44" i="2"/>
  <c r="S44" i="2"/>
  <c r="R44" i="2"/>
  <c r="Q44" i="2"/>
  <c r="Q57" i="2"/>
  <c r="Q27" i="2"/>
  <c r="Q11" i="2"/>
  <c r="Q16" i="2"/>
  <c r="Q19" i="2"/>
  <c r="Q31" i="2"/>
  <c r="Q35" i="2"/>
  <c r="Q36" i="2"/>
  <c r="Q37" i="2"/>
  <c r="Q38" i="2"/>
  <c r="Q39" i="2"/>
  <c r="Q40" i="2"/>
  <c r="Q41" i="2"/>
  <c r="Q46" i="2"/>
  <c r="Q47" i="2"/>
  <c r="Q48" i="2"/>
  <c r="Q49" i="2"/>
  <c r="Q50" i="2"/>
  <c r="Q51" i="2"/>
  <c r="Q52" i="2"/>
  <c r="Q53" i="2"/>
  <c r="Q54" i="2"/>
  <c r="Q55" i="2"/>
  <c r="Q56" i="2"/>
  <c r="R8" i="2"/>
  <c r="P8" i="2"/>
  <c r="R27" i="2"/>
  <c r="R11" i="2"/>
  <c r="R13" i="2"/>
  <c r="R14" i="2"/>
  <c r="R15" i="2"/>
  <c r="R16" i="2"/>
  <c r="R17" i="2"/>
  <c r="R19" i="2"/>
  <c r="R22" i="2"/>
  <c r="R23" i="2"/>
  <c r="R24" i="2"/>
  <c r="R29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25" i="2"/>
  <c r="R46" i="2"/>
  <c r="R47" i="2"/>
  <c r="R48" i="2"/>
  <c r="R49" i="2"/>
  <c r="R50" i="2"/>
  <c r="R51" i="2"/>
  <c r="R52" i="2"/>
  <c r="R53" i="2"/>
  <c r="R54" i="2"/>
  <c r="R55" i="2"/>
  <c r="R56" i="2"/>
  <c r="R57" i="2"/>
  <c r="P9" i="2"/>
  <c r="P27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25" i="2"/>
  <c r="P46" i="2"/>
  <c r="P47" i="2"/>
  <c r="P48" i="2"/>
  <c r="P49" i="2"/>
  <c r="P50" i="2"/>
  <c r="P51" i="2"/>
  <c r="P52" i="2"/>
  <c r="P53" i="2"/>
  <c r="P54" i="2"/>
  <c r="P55" i="2"/>
  <c r="P56" i="2"/>
  <c r="P57" i="2"/>
  <c r="P44" i="2"/>
  <c r="O57" i="2"/>
  <c r="O27" i="2"/>
  <c r="D7" i="3"/>
  <c r="C8" i="3" l="1"/>
  <c r="C52" i="3"/>
  <c r="C48" i="3"/>
  <c r="C44" i="3"/>
  <c r="C39" i="3"/>
  <c r="C35" i="3"/>
  <c r="C31" i="3"/>
  <c r="C27" i="3"/>
  <c r="C23" i="3"/>
  <c r="C19" i="3"/>
  <c r="C15" i="3"/>
  <c r="C11" i="3"/>
  <c r="C7" i="3"/>
  <c r="C55" i="3"/>
  <c r="C51" i="3"/>
  <c r="C47" i="3"/>
  <c r="C42" i="3"/>
  <c r="C38" i="3"/>
  <c r="C34" i="3"/>
  <c r="C30" i="3"/>
  <c r="C26" i="3"/>
  <c r="C22" i="3"/>
  <c r="C18" i="3"/>
  <c r="C14" i="3"/>
  <c r="C10" i="3"/>
  <c r="C54" i="3"/>
  <c r="C50" i="3"/>
  <c r="C46" i="3"/>
  <c r="C41" i="3"/>
  <c r="C37" i="3"/>
  <c r="C33" i="3"/>
  <c r="C29" i="3"/>
  <c r="C25" i="3"/>
  <c r="C21" i="3"/>
  <c r="C17" i="3"/>
  <c r="C13" i="3"/>
  <c r="C9" i="3"/>
  <c r="C56" i="3"/>
  <c r="C53" i="3"/>
  <c r="C49" i="3"/>
  <c r="C45" i="3"/>
  <c r="C40" i="3"/>
  <c r="C36" i="3"/>
  <c r="C32" i="3"/>
  <c r="C28" i="3"/>
  <c r="C24" i="3"/>
  <c r="C20" i="3"/>
  <c r="C16" i="3"/>
  <c r="C12" i="3"/>
  <c r="D54" i="3"/>
  <c r="D50" i="3"/>
  <c r="D46" i="3"/>
  <c r="D41" i="3"/>
  <c r="D37" i="3"/>
  <c r="D33" i="3"/>
  <c r="D29" i="3"/>
  <c r="D25" i="3"/>
  <c r="D21" i="3"/>
  <c r="D17" i="3"/>
  <c r="D13" i="3"/>
  <c r="D9" i="3"/>
  <c r="D55" i="3"/>
  <c r="D51" i="3"/>
  <c r="D47" i="3"/>
  <c r="D42" i="3"/>
  <c r="D38" i="3"/>
  <c r="D34" i="3"/>
  <c r="D30" i="3"/>
  <c r="D26" i="3"/>
  <c r="D22" i="3"/>
  <c r="D18" i="3"/>
  <c r="D14" i="3"/>
  <c r="D10" i="3"/>
  <c r="D53" i="3"/>
  <c r="D49" i="3"/>
  <c r="D45" i="3"/>
  <c r="D40" i="3"/>
  <c r="D36" i="3"/>
  <c r="D32" i="3"/>
  <c r="D28" i="3"/>
  <c r="D24" i="3"/>
  <c r="D20" i="3"/>
  <c r="D16" i="3"/>
  <c r="D12" i="3"/>
  <c r="D8" i="3"/>
  <c r="D56" i="3"/>
  <c r="D52" i="3"/>
  <c r="D48" i="3"/>
  <c r="D44" i="3"/>
  <c r="D39" i="3"/>
  <c r="D35" i="3"/>
  <c r="D31" i="3"/>
  <c r="D27" i="3"/>
  <c r="D23" i="3"/>
  <c r="D19" i="3"/>
  <c r="D15" i="3"/>
  <c r="D11" i="3"/>
  <c r="Z8" i="2"/>
  <c r="A1" i="1"/>
  <c r="C57" i="3" l="1"/>
  <c r="C43" i="3"/>
  <c r="R18" i="2"/>
  <c r="S27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25" i="2"/>
  <c r="S46" i="2"/>
  <c r="S47" i="2"/>
  <c r="S48" i="2"/>
  <c r="S49" i="2"/>
  <c r="S50" i="2"/>
  <c r="S51" i="2"/>
  <c r="S52" i="2"/>
  <c r="S53" i="2"/>
  <c r="S54" i="2"/>
  <c r="S55" i="2"/>
  <c r="S56" i="2"/>
  <c r="S57" i="2"/>
  <c r="O11" i="2"/>
  <c r="O16" i="2"/>
  <c r="O19" i="2"/>
  <c r="O31" i="2"/>
  <c r="O35" i="2"/>
  <c r="O36" i="2"/>
  <c r="O37" i="2"/>
  <c r="O38" i="2"/>
  <c r="O39" i="2"/>
  <c r="O40" i="2"/>
  <c r="O41" i="2"/>
  <c r="O46" i="2"/>
  <c r="O47" i="2"/>
  <c r="O48" i="2"/>
  <c r="O49" i="2"/>
  <c r="O50" i="2"/>
  <c r="O51" i="2"/>
  <c r="O52" i="2"/>
  <c r="O53" i="2"/>
  <c r="O54" i="2"/>
  <c r="O55" i="2"/>
  <c r="O56" i="2"/>
  <c r="C58" i="3" l="1"/>
  <c r="S58" i="2"/>
  <c r="Z27" i="2"/>
  <c r="Z9" i="2"/>
  <c r="Z17" i="2" l="1"/>
  <c r="Z28" i="2"/>
  <c r="Z30" i="2"/>
  <c r="Z34" i="2"/>
  <c r="Z38" i="2"/>
  <c r="Z42" i="2"/>
  <c r="Z55" i="2"/>
  <c r="Z11" i="2"/>
  <c r="Z19" i="2"/>
  <c r="Z23" i="2"/>
  <c r="Z32" i="2"/>
  <c r="Z40" i="2"/>
  <c r="Z25" i="2"/>
  <c r="Z12" i="2"/>
  <c r="Z20" i="2"/>
  <c r="Z29" i="2"/>
  <c r="Z37" i="2"/>
  <c r="Z46" i="2"/>
  <c r="Z10" i="2"/>
  <c r="Z18" i="2"/>
  <c r="Z22" i="2"/>
  <c r="Z31" i="2"/>
  <c r="Z35" i="2"/>
  <c r="Z39" i="2"/>
  <c r="Z43" i="2"/>
  <c r="Z48" i="2"/>
  <c r="Z52" i="2"/>
  <c r="Z56" i="2"/>
  <c r="Z15" i="2"/>
  <c r="Z36" i="2"/>
  <c r="Z49" i="2"/>
  <c r="Z57" i="2"/>
  <c r="Z24" i="2"/>
  <c r="Z33" i="2"/>
  <c r="Z41" i="2"/>
  <c r="Z50" i="2"/>
  <c r="Z44" i="2"/>
  <c r="P58" i="2" l="1"/>
  <c r="Z21" i="2"/>
  <c r="Z47" i="2"/>
  <c r="Z51" i="2"/>
  <c r="Z54" i="2"/>
  <c r="Z14" i="2"/>
  <c r="Z53" i="2"/>
  <c r="Z16" i="2"/>
  <c r="Z13" i="2"/>
  <c r="Z58" i="2" l="1"/>
  <c r="A7" i="3" l="1"/>
  <c r="A33" i="3" l="1"/>
  <c r="A51" i="3"/>
  <c r="A35" i="3"/>
  <c r="A9" i="3"/>
  <c r="A30" i="3"/>
  <c r="A56" i="3"/>
  <c r="A12" i="3"/>
  <c r="A27" i="3"/>
  <c r="A38" i="3"/>
  <c r="A25" i="3"/>
  <c r="A8" i="3"/>
  <c r="A20" i="3"/>
  <c r="A32" i="3"/>
  <c r="A44" i="3"/>
  <c r="A34" i="3"/>
  <c r="A22" i="3"/>
  <c r="A24" i="3"/>
  <c r="A46" i="3"/>
  <c r="A54" i="3"/>
  <c r="A14" i="3"/>
  <c r="A40" i="3"/>
  <c r="A37" i="3"/>
  <c r="A53" i="3"/>
  <c r="A15" i="3"/>
  <c r="A42" i="3"/>
  <c r="A21" i="3"/>
  <c r="A26" i="3"/>
  <c r="A36" i="3"/>
  <c r="A19" i="3"/>
  <c r="A17" i="3"/>
  <c r="A47" i="3"/>
  <c r="A10" i="3"/>
  <c r="A31" i="3"/>
  <c r="A39" i="3"/>
  <c r="A50" i="3"/>
  <c r="A55" i="3"/>
  <c r="A11" i="3"/>
  <c r="A48" i="3"/>
  <c r="A29" i="3"/>
  <c r="A52" i="3"/>
  <c r="A41" i="3"/>
  <c r="A18" i="3"/>
  <c r="A28" i="3"/>
  <c r="A13" i="3"/>
  <c r="A16" i="3"/>
  <c r="A23" i="3"/>
  <c r="A45" i="3"/>
  <c r="A49" i="3"/>
  <c r="AA26" i="3" l="1"/>
  <c r="AB26" i="3" s="1"/>
  <c r="AA35" i="3" l="1"/>
  <c r="AB35" i="3" s="1"/>
  <c r="Z60" i="2" l="1"/>
  <c r="Z61" i="2"/>
  <c r="Z62" i="2"/>
  <c r="S62" i="2"/>
  <c r="P60" i="2"/>
  <c r="S60" i="2"/>
  <c r="P61" i="2"/>
  <c r="S61" i="2"/>
  <c r="P62" i="2"/>
  <c r="Q62" i="2"/>
  <c r="R62" i="2"/>
  <c r="O62" i="2"/>
  <c r="AC65" i="2"/>
  <c r="Z67" i="2" l="1"/>
  <c r="U8" i="2"/>
  <c r="L26" i="3"/>
  <c r="M26" i="3" s="1"/>
  <c r="E58" i="2"/>
  <c r="L58" i="2"/>
  <c r="N32" i="3" l="1"/>
  <c r="P32" i="3" s="1"/>
  <c r="N54" i="3"/>
  <c r="N30" i="3"/>
  <c r="O30" i="3" s="1"/>
  <c r="N16" i="3"/>
  <c r="O16" i="3" s="1"/>
  <c r="N34" i="3"/>
  <c r="O34" i="3" s="1"/>
  <c r="N29" i="3"/>
  <c r="P29" i="3" s="1"/>
  <c r="N38" i="3"/>
  <c r="O38" i="3" s="1"/>
  <c r="N13" i="3"/>
  <c r="O13" i="3" s="1"/>
  <c r="N15" i="3"/>
  <c r="P15" i="3" s="1"/>
  <c r="N12" i="3"/>
  <c r="O12" i="3" s="1"/>
  <c r="N50" i="3"/>
  <c r="N49" i="3"/>
  <c r="N46" i="3"/>
  <c r="N31" i="3"/>
  <c r="O31" i="3" s="1"/>
  <c r="N47" i="3"/>
  <c r="N28" i="3"/>
  <c r="O28" i="3" s="1"/>
  <c r="N24" i="3"/>
  <c r="O24" i="3" s="1"/>
  <c r="N20" i="3"/>
  <c r="O20" i="3" s="1"/>
  <c r="N40" i="3"/>
  <c r="O40" i="3" s="1"/>
  <c r="N27" i="3"/>
  <c r="O27" i="3" s="1"/>
  <c r="N56" i="3"/>
  <c r="N39" i="3"/>
  <c r="O39" i="3" s="1"/>
  <c r="N51" i="3"/>
  <c r="N48" i="3"/>
  <c r="N9" i="3"/>
  <c r="O9" i="3" s="1"/>
  <c r="N52" i="3"/>
  <c r="N44" i="3"/>
  <c r="N55" i="3"/>
  <c r="N14" i="3"/>
  <c r="P14" i="3" s="1"/>
  <c r="N8" i="3"/>
  <c r="O8" i="3" s="1"/>
  <c r="N53" i="3"/>
  <c r="N26" i="3"/>
  <c r="O26" i="3" s="1"/>
  <c r="N36" i="3"/>
  <c r="O36" i="3" s="1"/>
  <c r="N11" i="3"/>
  <c r="O11" i="3" s="1"/>
  <c r="N22" i="3"/>
  <c r="P22" i="3" s="1"/>
  <c r="N35" i="3"/>
  <c r="O35" i="3" s="1"/>
  <c r="N17" i="3"/>
  <c r="O17" i="3" s="1"/>
  <c r="N42" i="3"/>
  <c r="O42" i="3" s="1"/>
  <c r="N18" i="3"/>
  <c r="O18" i="3" s="1"/>
  <c r="N21" i="3"/>
  <c r="P21" i="3" s="1"/>
  <c r="N23" i="3"/>
  <c r="P23" i="3" s="1"/>
  <c r="N33" i="3"/>
  <c r="O33" i="3" s="1"/>
  <c r="N45" i="3"/>
  <c r="N10" i="3"/>
  <c r="O10" i="3" s="1"/>
  <c r="N19" i="3"/>
  <c r="O19" i="3" s="1"/>
  <c r="N41" i="3"/>
  <c r="O41" i="3" s="1"/>
  <c r="N37" i="3"/>
  <c r="O37" i="3" s="1"/>
  <c r="N25" i="3"/>
  <c r="O25" i="3" s="1"/>
  <c r="U55" i="2"/>
  <c r="V55" i="2" s="1"/>
  <c r="W55" i="2" s="1"/>
  <c r="L53" i="3"/>
  <c r="Y53" i="3" s="1"/>
  <c r="AA53" i="3" s="1"/>
  <c r="AB53" i="3" s="1"/>
  <c r="L50" i="3"/>
  <c r="Y50" i="3" s="1"/>
  <c r="AA50" i="3" s="1"/>
  <c r="AB50" i="3" s="1"/>
  <c r="U52" i="2"/>
  <c r="V52" i="2" s="1"/>
  <c r="W52" i="2" s="1"/>
  <c r="U29" i="2"/>
  <c r="V29" i="2" s="1"/>
  <c r="W29" i="2" s="1"/>
  <c r="L27" i="3"/>
  <c r="L7" i="3"/>
  <c r="Z7" i="3" s="1"/>
  <c r="AC7" i="3" s="1"/>
  <c r="L15" i="3"/>
  <c r="U15" i="2"/>
  <c r="V15" i="2" s="1"/>
  <c r="W15" i="2" s="1"/>
  <c r="L19" i="3"/>
  <c r="U19" i="2"/>
  <c r="V19" i="2" s="1"/>
  <c r="W19" i="2" s="1"/>
  <c r="L10" i="3"/>
  <c r="U10" i="2"/>
  <c r="V10" i="2" s="1"/>
  <c r="W10" i="2" s="1"/>
  <c r="L40" i="3"/>
  <c r="U42" i="2"/>
  <c r="V42" i="2" s="1"/>
  <c r="W42" i="2" s="1"/>
  <c r="U51" i="2"/>
  <c r="V51" i="2" s="1"/>
  <c r="W51" i="2" s="1"/>
  <c r="L49" i="3"/>
  <c r="Y49" i="3" s="1"/>
  <c r="AA49" i="3" s="1"/>
  <c r="AB49" i="3" s="1"/>
  <c r="L32" i="3"/>
  <c r="U34" i="2"/>
  <c r="V34" i="2" s="1"/>
  <c r="W34" i="2" s="1"/>
  <c r="U21" i="2"/>
  <c r="V21" i="2" s="1"/>
  <c r="W21" i="2" s="1"/>
  <c r="L21" i="3"/>
  <c r="L20" i="3"/>
  <c r="U20" i="2"/>
  <c r="V20" i="2" s="1"/>
  <c r="W20" i="2" s="1"/>
  <c r="M61" i="2"/>
  <c r="N7" i="3"/>
  <c r="E55" i="3"/>
  <c r="U55" i="3" s="1"/>
  <c r="E45" i="3"/>
  <c r="U45" i="3" s="1"/>
  <c r="E48" i="3"/>
  <c r="U48" i="3" s="1"/>
  <c r="E33" i="3"/>
  <c r="U33" i="3" s="1"/>
  <c r="E36" i="3"/>
  <c r="U36" i="3" s="1"/>
  <c r="E38" i="3"/>
  <c r="U38" i="3" s="1"/>
  <c r="E39" i="3"/>
  <c r="U39" i="3" s="1"/>
  <c r="E19" i="3"/>
  <c r="U19" i="3" s="1"/>
  <c r="E51" i="3"/>
  <c r="U51" i="3" s="1"/>
  <c r="E52" i="3"/>
  <c r="U52" i="3" s="1"/>
  <c r="E37" i="3"/>
  <c r="U37" i="3" s="1"/>
  <c r="E44" i="3"/>
  <c r="E11" i="3"/>
  <c r="U11" i="3" s="1"/>
  <c r="E26" i="3"/>
  <c r="U26" i="3" s="1"/>
  <c r="E46" i="3"/>
  <c r="U46" i="3" s="1"/>
  <c r="E35" i="3"/>
  <c r="U35" i="3" s="1"/>
  <c r="E50" i="3"/>
  <c r="U50" i="3" s="1"/>
  <c r="E47" i="3"/>
  <c r="U47" i="3" s="1"/>
  <c r="E53" i="3"/>
  <c r="U53" i="3" s="1"/>
  <c r="E8" i="3"/>
  <c r="U8" i="3" s="1"/>
  <c r="E16" i="3"/>
  <c r="U16" i="3" s="1"/>
  <c r="E49" i="3"/>
  <c r="U49" i="3" s="1"/>
  <c r="E29" i="3"/>
  <c r="U29" i="3" s="1"/>
  <c r="E54" i="3"/>
  <c r="U54" i="3" s="1"/>
  <c r="E34" i="3"/>
  <c r="U34" i="3" s="1"/>
  <c r="E56" i="3"/>
  <c r="U56" i="3" s="1"/>
  <c r="L28" i="3"/>
  <c r="U30" i="2"/>
  <c r="V30" i="2" s="1"/>
  <c r="W30" i="2" s="1"/>
  <c r="U40" i="2"/>
  <c r="V40" i="2" s="1"/>
  <c r="W40" i="2" s="1"/>
  <c r="L38" i="3"/>
  <c r="L42" i="3"/>
  <c r="U25" i="2"/>
  <c r="V25" i="2" s="1"/>
  <c r="W25" i="2" s="1"/>
  <c r="U41" i="2"/>
  <c r="V41" i="2" s="1"/>
  <c r="W41" i="2" s="1"/>
  <c r="L39" i="3"/>
  <c r="U56" i="2"/>
  <c r="V56" i="2" s="1"/>
  <c r="W56" i="2" s="1"/>
  <c r="L54" i="3"/>
  <c r="Y54" i="3" s="1"/>
  <c r="AA54" i="3" s="1"/>
  <c r="AB54" i="3" s="1"/>
  <c r="L23" i="3"/>
  <c r="U23" i="2"/>
  <c r="V23" i="2" s="1"/>
  <c r="W23" i="2" s="1"/>
  <c r="L45" i="3"/>
  <c r="Y45" i="3" s="1"/>
  <c r="AA45" i="3" s="1"/>
  <c r="AB45" i="3" s="1"/>
  <c r="U47" i="2"/>
  <c r="V47" i="2" s="1"/>
  <c r="W47" i="2" s="1"/>
  <c r="U50" i="2"/>
  <c r="V50" i="2" s="1"/>
  <c r="W50" i="2" s="1"/>
  <c r="L48" i="3"/>
  <c r="Y48" i="3" s="1"/>
  <c r="AA48" i="3" s="1"/>
  <c r="AB48" i="3" s="1"/>
  <c r="L37" i="3"/>
  <c r="U39" i="2"/>
  <c r="V39" i="2" s="1"/>
  <c r="W39" i="2" s="1"/>
  <c r="L8" i="3"/>
  <c r="U27" i="2"/>
  <c r="L22" i="3"/>
  <c r="U22" i="2"/>
  <c r="V22" i="2" s="1"/>
  <c r="W22" i="2" s="1"/>
  <c r="L29" i="3"/>
  <c r="U31" i="2"/>
  <c r="V31" i="2" s="1"/>
  <c r="W31" i="2" s="1"/>
  <c r="U36" i="2"/>
  <c r="V36" i="2" s="1"/>
  <c r="W36" i="2" s="1"/>
  <c r="L34" i="3"/>
  <c r="L16" i="3"/>
  <c r="Y16" i="3" s="1"/>
  <c r="U16" i="2"/>
  <c r="V16" i="2" s="1"/>
  <c r="W16" i="2" s="1"/>
  <c r="L55" i="3"/>
  <c r="Y55" i="3" s="1"/>
  <c r="AA55" i="3" s="1"/>
  <c r="AB55" i="3" s="1"/>
  <c r="U57" i="2"/>
  <c r="V57" i="2" s="1"/>
  <c r="W57" i="2" s="1"/>
  <c r="U48" i="2"/>
  <c r="V48" i="2" s="1"/>
  <c r="W48" i="2" s="1"/>
  <c r="L46" i="3"/>
  <c r="Y46" i="3" s="1"/>
  <c r="AA46" i="3" s="1"/>
  <c r="AB46" i="3" s="1"/>
  <c r="U37" i="2"/>
  <c r="V37" i="2" s="1"/>
  <c r="W37" i="2" s="1"/>
  <c r="L35" i="3"/>
  <c r="M35" i="3" s="1"/>
  <c r="L56" i="3"/>
  <c r="Y56" i="3" s="1"/>
  <c r="AA56" i="3" s="1"/>
  <c r="AB56" i="3" s="1"/>
  <c r="U44" i="2"/>
  <c r="V44" i="2" s="1"/>
  <c r="W44" i="2" s="1"/>
  <c r="L31" i="3"/>
  <c r="U33" i="2"/>
  <c r="V33" i="2" s="1"/>
  <c r="W33" i="2" s="1"/>
  <c r="U53" i="2"/>
  <c r="V53" i="2" s="1"/>
  <c r="W53" i="2" s="1"/>
  <c r="L51" i="3"/>
  <c r="Y51" i="3" s="1"/>
  <c r="AA51" i="3" s="1"/>
  <c r="AB51" i="3" s="1"/>
  <c r="L52" i="3"/>
  <c r="Y52" i="3" s="1"/>
  <c r="AA52" i="3" s="1"/>
  <c r="AB52" i="3" s="1"/>
  <c r="U54" i="2"/>
  <c r="V54" i="2" s="1"/>
  <c r="W54" i="2" s="1"/>
  <c r="L13" i="3"/>
  <c r="U13" i="2"/>
  <c r="V13" i="2" s="1"/>
  <c r="W13" i="2" s="1"/>
  <c r="U17" i="2"/>
  <c r="V17" i="2" s="1"/>
  <c r="W17" i="2" s="1"/>
  <c r="L17" i="3"/>
  <c r="L24" i="3"/>
  <c r="U24" i="2"/>
  <c r="V24" i="2" s="1"/>
  <c r="W24" i="2" s="1"/>
  <c r="U46" i="2"/>
  <c r="L44" i="3"/>
  <c r="L33" i="3"/>
  <c r="U35" i="2"/>
  <c r="V35" i="2" s="1"/>
  <c r="W35" i="2" s="1"/>
  <c r="U18" i="2"/>
  <c r="V18" i="2" s="1"/>
  <c r="W18" i="2" s="1"/>
  <c r="L18" i="3"/>
  <c r="U9" i="2"/>
  <c r="L9" i="3"/>
  <c r="U14" i="2"/>
  <c r="V14" i="2" s="1"/>
  <c r="W14" i="2" s="1"/>
  <c r="L14" i="3"/>
  <c r="U43" i="2"/>
  <c r="V43" i="2" s="1"/>
  <c r="W43" i="2" s="1"/>
  <c r="L41" i="3"/>
  <c r="L36" i="3"/>
  <c r="U38" i="2"/>
  <c r="V38" i="2" s="1"/>
  <c r="W38" i="2" s="1"/>
  <c r="L12" i="3"/>
  <c r="U12" i="2"/>
  <c r="V12" i="2" s="1"/>
  <c r="W12" i="2" s="1"/>
  <c r="L11" i="3"/>
  <c r="U11" i="2"/>
  <c r="V11" i="2" s="1"/>
  <c r="W11" i="2" s="1"/>
  <c r="L30" i="3"/>
  <c r="U32" i="2"/>
  <c r="V32" i="2" s="1"/>
  <c r="W32" i="2" s="1"/>
  <c r="U49" i="2"/>
  <c r="V49" i="2" s="1"/>
  <c r="W49" i="2" s="1"/>
  <c r="L47" i="3"/>
  <c r="Y47" i="3" s="1"/>
  <c r="AA47" i="3" s="1"/>
  <c r="AB47" i="3" s="1"/>
  <c r="L25" i="3"/>
  <c r="U28" i="2"/>
  <c r="V28" i="2" s="1"/>
  <c r="W28" i="2" s="1"/>
  <c r="P9" i="3" l="1"/>
  <c r="P18" i="3"/>
  <c r="P40" i="3"/>
  <c r="U60" i="2"/>
  <c r="V46" i="2"/>
  <c r="U62" i="2"/>
  <c r="V27" i="2"/>
  <c r="U61" i="2"/>
  <c r="U58" i="2"/>
  <c r="I8" i="2"/>
  <c r="Q8" i="2"/>
  <c r="P28" i="3"/>
  <c r="O29" i="3"/>
  <c r="P8" i="3"/>
  <c r="P42" i="3"/>
  <c r="P17" i="3"/>
  <c r="P13" i="3"/>
  <c r="P30" i="3"/>
  <c r="O15" i="3"/>
  <c r="P10" i="3"/>
  <c r="P27" i="3"/>
  <c r="O23" i="3"/>
  <c r="O32" i="3"/>
  <c r="N57" i="3"/>
  <c r="O14" i="3"/>
  <c r="P41" i="3"/>
  <c r="O22" i="3"/>
  <c r="P11" i="3"/>
  <c r="P39" i="3"/>
  <c r="O21" i="3"/>
  <c r="Z14" i="3"/>
  <c r="M14" i="3"/>
  <c r="Z18" i="3"/>
  <c r="M18" i="3"/>
  <c r="G53" i="3"/>
  <c r="G50" i="3"/>
  <c r="G54" i="3"/>
  <c r="G45" i="3"/>
  <c r="G55" i="3"/>
  <c r="G44" i="3"/>
  <c r="G52" i="3"/>
  <c r="G48" i="3"/>
  <c r="G46" i="3"/>
  <c r="G49" i="3"/>
  <c r="G47" i="3"/>
  <c r="G51" i="3"/>
  <c r="X24" i="3"/>
  <c r="M24" i="3"/>
  <c r="Z13" i="3"/>
  <c r="M13" i="3"/>
  <c r="M16" i="3"/>
  <c r="Z22" i="3"/>
  <c r="M22" i="3"/>
  <c r="X37" i="3"/>
  <c r="M37" i="3"/>
  <c r="Z42" i="3"/>
  <c r="M42" i="3"/>
  <c r="Z28" i="3"/>
  <c r="M28" i="3"/>
  <c r="Q9" i="2"/>
  <c r="K9" i="2"/>
  <c r="E9" i="3"/>
  <c r="U9" i="3" s="1"/>
  <c r="I9" i="2"/>
  <c r="AD9" i="2"/>
  <c r="I28" i="2"/>
  <c r="Q28" i="2"/>
  <c r="K28" i="2"/>
  <c r="K25" i="3" s="1"/>
  <c r="E25" i="3"/>
  <c r="U25" i="3" s="1"/>
  <c r="AC28" i="2"/>
  <c r="AD28" i="2" s="1"/>
  <c r="E42" i="3"/>
  <c r="U42" i="3" s="1"/>
  <c r="AC25" i="2"/>
  <c r="AD25" i="2" s="1"/>
  <c r="K25" i="2"/>
  <c r="Q25" i="2"/>
  <c r="I25" i="2"/>
  <c r="E13" i="3"/>
  <c r="U13" i="3" s="1"/>
  <c r="I13" i="2"/>
  <c r="AC13" i="2"/>
  <c r="AD13" i="2" s="1"/>
  <c r="K13" i="2"/>
  <c r="Q13" i="2"/>
  <c r="O7" i="3"/>
  <c r="P7" i="3"/>
  <c r="N43" i="3"/>
  <c r="M21" i="3"/>
  <c r="Z21" i="3"/>
  <c r="Z27" i="3"/>
  <c r="M27" i="3"/>
  <c r="Z11" i="3"/>
  <c r="M11" i="3"/>
  <c r="Y36" i="3"/>
  <c r="M36" i="3"/>
  <c r="Y44" i="3"/>
  <c r="L57" i="3"/>
  <c r="Z17" i="3"/>
  <c r="M17" i="3"/>
  <c r="Y34" i="3"/>
  <c r="M34" i="3"/>
  <c r="Z39" i="3"/>
  <c r="M39" i="3"/>
  <c r="M38" i="3"/>
  <c r="Y38" i="3"/>
  <c r="AC42" i="2"/>
  <c r="AD42" i="2" s="1"/>
  <c r="K42" i="2"/>
  <c r="K40" i="3" s="1"/>
  <c r="E40" i="3"/>
  <c r="U40" i="3" s="1"/>
  <c r="I42" i="2"/>
  <c r="I41" i="3" s="1"/>
  <c r="Q42" i="2"/>
  <c r="E24" i="3"/>
  <c r="U24" i="3" s="1"/>
  <c r="AC24" i="2"/>
  <c r="AD24" i="2" s="1"/>
  <c r="K24" i="2"/>
  <c r="Q24" i="2"/>
  <c r="I24" i="2"/>
  <c r="U44" i="3"/>
  <c r="E57" i="3"/>
  <c r="K23" i="2"/>
  <c r="AC23" i="2"/>
  <c r="AD23" i="2" s="1"/>
  <c r="E23" i="3"/>
  <c r="U23" i="3" s="1"/>
  <c r="I23" i="2"/>
  <c r="Q23" i="2"/>
  <c r="Q21" i="2"/>
  <c r="E21" i="3"/>
  <c r="U21" i="3" s="1"/>
  <c r="AC21" i="2"/>
  <c r="AD21" i="2" s="1"/>
  <c r="I21" i="2"/>
  <c r="K21" i="2"/>
  <c r="Z10" i="3"/>
  <c r="M10" i="3"/>
  <c r="Z15" i="3"/>
  <c r="M15" i="3"/>
  <c r="M41" i="3"/>
  <c r="Z41" i="3"/>
  <c r="Z9" i="3"/>
  <c r="M9" i="3"/>
  <c r="Y31" i="3"/>
  <c r="M31" i="3"/>
  <c r="Z29" i="3"/>
  <c r="M29" i="3"/>
  <c r="Z8" i="3"/>
  <c r="M8" i="3"/>
  <c r="Z23" i="3"/>
  <c r="M23" i="3"/>
  <c r="K18" i="2"/>
  <c r="K18" i="3" s="1"/>
  <c r="I18" i="2"/>
  <c r="AC18" i="2"/>
  <c r="AD18" i="2" s="1"/>
  <c r="E18" i="3"/>
  <c r="U18" i="3" s="1"/>
  <c r="Q18" i="2"/>
  <c r="E7" i="3"/>
  <c r="U7" i="3" s="1"/>
  <c r="AC8" i="2"/>
  <c r="AD8" i="2" s="1"/>
  <c r="K8" i="2"/>
  <c r="K7" i="3" s="1"/>
  <c r="AC10" i="2"/>
  <c r="AD10" i="2" s="1"/>
  <c r="Q10" i="2"/>
  <c r="E10" i="3"/>
  <c r="U10" i="3" s="1"/>
  <c r="I10" i="2"/>
  <c r="K10" i="2"/>
  <c r="K10" i="3" s="1"/>
  <c r="E27" i="3"/>
  <c r="U27" i="3" s="1"/>
  <c r="Q29" i="2"/>
  <c r="I29" i="2"/>
  <c r="K29" i="2"/>
  <c r="K27" i="3" s="1"/>
  <c r="AC29" i="2"/>
  <c r="AD29" i="2" s="1"/>
  <c r="AC17" i="2"/>
  <c r="AD17" i="2" s="1"/>
  <c r="E17" i="3"/>
  <c r="U17" i="3" s="1"/>
  <c r="K17" i="2"/>
  <c r="I17" i="2"/>
  <c r="Q17" i="2"/>
  <c r="K20" i="2"/>
  <c r="I20" i="2"/>
  <c r="Q20" i="2"/>
  <c r="AC20" i="2"/>
  <c r="AD20" i="2" s="1"/>
  <c r="E20" i="3"/>
  <c r="U20" i="3" s="1"/>
  <c r="Q22" i="2"/>
  <c r="K22" i="2"/>
  <c r="AC22" i="2"/>
  <c r="AD22" i="2" s="1"/>
  <c r="I22" i="2"/>
  <c r="E22" i="3"/>
  <c r="U22" i="3" s="1"/>
  <c r="M7" i="3"/>
  <c r="L43" i="3"/>
  <c r="X25" i="3"/>
  <c r="M25" i="3"/>
  <c r="Z30" i="3"/>
  <c r="M30" i="3"/>
  <c r="X12" i="3"/>
  <c r="M12" i="3"/>
  <c r="V9" i="2"/>
  <c r="W9" i="2" s="1"/>
  <c r="X33" i="3"/>
  <c r="M33" i="3"/>
  <c r="R9" i="2"/>
  <c r="F26" i="3"/>
  <c r="F7" i="3"/>
  <c r="F14" i="3"/>
  <c r="F22" i="3"/>
  <c r="F23" i="3"/>
  <c r="F31" i="3"/>
  <c r="F32" i="3"/>
  <c r="F47" i="3"/>
  <c r="F56" i="3"/>
  <c r="F35" i="3"/>
  <c r="F16" i="3"/>
  <c r="F8" i="3"/>
  <c r="F29" i="3"/>
  <c r="F18" i="3"/>
  <c r="F37" i="3"/>
  <c r="F27" i="3"/>
  <c r="F51" i="3"/>
  <c r="F33" i="3"/>
  <c r="F46" i="3"/>
  <c r="F15" i="3"/>
  <c r="F44" i="3"/>
  <c r="F30" i="3"/>
  <c r="F38" i="3"/>
  <c r="F41" i="3"/>
  <c r="F48" i="3"/>
  <c r="F53" i="3"/>
  <c r="F55" i="3"/>
  <c r="F42" i="3"/>
  <c r="F39" i="3"/>
  <c r="F36" i="3"/>
  <c r="F49" i="3"/>
  <c r="F52" i="3"/>
  <c r="F54" i="3"/>
  <c r="F24" i="3"/>
  <c r="F19" i="3"/>
  <c r="F34" i="3"/>
  <c r="F17" i="3"/>
  <c r="F13" i="3"/>
  <c r="F40" i="3"/>
  <c r="F11" i="3"/>
  <c r="F45" i="3"/>
  <c r="F50" i="3"/>
  <c r="I33" i="2"/>
  <c r="AC33" i="2"/>
  <c r="AD33" i="2" s="1"/>
  <c r="Q33" i="2"/>
  <c r="E31" i="3"/>
  <c r="U31" i="3" s="1"/>
  <c r="K33" i="2"/>
  <c r="Q12" i="2"/>
  <c r="AC12" i="2"/>
  <c r="AD12" i="2" s="1"/>
  <c r="E12" i="3"/>
  <c r="U12" i="3" s="1"/>
  <c r="I12" i="2"/>
  <c r="K12" i="2"/>
  <c r="Q43" i="2"/>
  <c r="K43" i="2"/>
  <c r="E41" i="3"/>
  <c r="U41" i="3" s="1"/>
  <c r="AC43" i="2"/>
  <c r="AD43" i="2" s="1"/>
  <c r="I32" i="2"/>
  <c r="AC32" i="2"/>
  <c r="AD32" i="2" s="1"/>
  <c r="K32" i="2"/>
  <c r="K30" i="3" s="1"/>
  <c r="E30" i="3"/>
  <c r="U30" i="3" s="1"/>
  <c r="Q32" i="2"/>
  <c r="E32" i="3"/>
  <c r="U32" i="3" s="1"/>
  <c r="Q34" i="2"/>
  <c r="K34" i="2"/>
  <c r="I34" i="2"/>
  <c r="AC34" i="2"/>
  <c r="AD34" i="2" s="1"/>
  <c r="I14" i="2"/>
  <c r="AC14" i="2"/>
  <c r="AD14" i="2" s="1"/>
  <c r="E14" i="3"/>
  <c r="U14" i="3" s="1"/>
  <c r="Q14" i="2"/>
  <c r="K14" i="2"/>
  <c r="I15" i="2"/>
  <c r="E15" i="3"/>
  <c r="U15" i="3" s="1"/>
  <c r="K15" i="2"/>
  <c r="K15" i="3" s="1"/>
  <c r="AC15" i="2"/>
  <c r="AD15" i="2" s="1"/>
  <c r="Q15" i="2"/>
  <c r="E28" i="3"/>
  <c r="U28" i="3" s="1"/>
  <c r="K30" i="2"/>
  <c r="AC30" i="2"/>
  <c r="AD30" i="2" s="1"/>
  <c r="I30" i="2"/>
  <c r="Q30" i="2"/>
  <c r="X20" i="3"/>
  <c r="M20" i="3"/>
  <c r="Z32" i="3"/>
  <c r="M32" i="3"/>
  <c r="Z40" i="3"/>
  <c r="M40" i="3"/>
  <c r="X19" i="3"/>
  <c r="M19" i="3"/>
  <c r="V8" i="2"/>
  <c r="K32" i="3" l="1"/>
  <c r="N58" i="3"/>
  <c r="K23" i="3"/>
  <c r="O30" i="2"/>
  <c r="K20" i="3"/>
  <c r="K24" i="3"/>
  <c r="K17" i="3"/>
  <c r="K14" i="3"/>
  <c r="K12" i="3"/>
  <c r="K22" i="3"/>
  <c r="K28" i="3"/>
  <c r="K9" i="3"/>
  <c r="K21" i="3"/>
  <c r="K13" i="3"/>
  <c r="K42" i="3"/>
  <c r="K31" i="3"/>
  <c r="V60" i="2"/>
  <c r="Q61" i="2"/>
  <c r="Q60" i="2"/>
  <c r="W27" i="2"/>
  <c r="W61" i="2" s="1"/>
  <c r="V61" i="2"/>
  <c r="W46" i="2"/>
  <c r="W62" i="2" s="1"/>
  <c r="V62" i="2"/>
  <c r="X43" i="3"/>
  <c r="L58" i="3"/>
  <c r="L59" i="3" s="1"/>
  <c r="O21" i="2"/>
  <c r="V58" i="2"/>
  <c r="W8" i="2"/>
  <c r="R30" i="2"/>
  <c r="F28" i="3"/>
  <c r="I22" i="3"/>
  <c r="O22" i="2"/>
  <c r="I27" i="3"/>
  <c r="O29" i="2"/>
  <c r="I18" i="3"/>
  <c r="O18" i="2"/>
  <c r="AA38" i="3"/>
  <c r="AB38" i="3" s="1"/>
  <c r="AC38" i="3"/>
  <c r="AA21" i="3"/>
  <c r="AB21" i="3" s="1"/>
  <c r="AC21" i="3"/>
  <c r="AC13" i="3"/>
  <c r="AA13" i="3"/>
  <c r="AB13" i="3" s="1"/>
  <c r="B19" i="4"/>
  <c r="D19" i="4" s="1"/>
  <c r="G18" i="3"/>
  <c r="G17" i="3"/>
  <c r="B18" i="4"/>
  <c r="D18" i="4" s="1"/>
  <c r="B22" i="4"/>
  <c r="D22" i="4" s="1"/>
  <c r="G21" i="3"/>
  <c r="B11" i="4"/>
  <c r="D11" i="4" s="1"/>
  <c r="G10" i="3"/>
  <c r="AA40" i="3"/>
  <c r="AB40" i="3" s="1"/>
  <c r="AC40" i="3"/>
  <c r="AA20" i="3"/>
  <c r="AB20" i="3" s="1"/>
  <c r="AC20" i="3"/>
  <c r="O43" i="2"/>
  <c r="K41" i="3"/>
  <c r="F57" i="3"/>
  <c r="R12" i="2"/>
  <c r="F12" i="3"/>
  <c r="R10" i="2"/>
  <c r="F10" i="3"/>
  <c r="F9" i="3"/>
  <c r="AA30" i="3"/>
  <c r="AB30" i="3" s="1"/>
  <c r="AC30" i="3"/>
  <c r="AA7" i="3"/>
  <c r="Z43" i="3"/>
  <c r="I7" i="3"/>
  <c r="O8" i="2"/>
  <c r="AA8" i="3"/>
  <c r="AB8" i="3" s="1"/>
  <c r="AC8" i="3"/>
  <c r="AA31" i="3"/>
  <c r="AB31" i="3" s="1"/>
  <c r="AC31" i="3"/>
  <c r="AA10" i="3"/>
  <c r="AB10" i="3" s="1"/>
  <c r="AC10" i="3"/>
  <c r="AA34" i="3"/>
  <c r="AB34" i="3" s="1"/>
  <c r="AC34" i="3"/>
  <c r="AA44" i="3"/>
  <c r="AB44" i="3" s="1"/>
  <c r="Y57" i="3"/>
  <c r="AG13" i="3" s="1"/>
  <c r="AA11" i="3"/>
  <c r="AB11" i="3" s="1"/>
  <c r="AC11" i="3"/>
  <c r="I9" i="3"/>
  <c r="O9" i="2"/>
  <c r="G24" i="3"/>
  <c r="B25" i="4"/>
  <c r="D25" i="4" s="1"/>
  <c r="G15" i="3"/>
  <c r="B16" i="4"/>
  <c r="D16" i="4" s="1"/>
  <c r="B12" i="4"/>
  <c r="D12" i="4" s="1"/>
  <c r="G11" i="3"/>
  <c r="B32" i="4"/>
  <c r="D32" i="4" s="1"/>
  <c r="G31" i="3"/>
  <c r="G12" i="3"/>
  <c r="B13" i="4"/>
  <c r="D13" i="4" s="1"/>
  <c r="G13" i="3"/>
  <c r="B14" i="4"/>
  <c r="D14" i="4" s="1"/>
  <c r="AA18" i="3"/>
  <c r="AB18" i="3" s="1"/>
  <c r="AC18" i="3"/>
  <c r="I12" i="3"/>
  <c r="O12" i="2"/>
  <c r="I31" i="3"/>
  <c r="O33" i="2"/>
  <c r="F21" i="3"/>
  <c r="R21" i="2"/>
  <c r="Q58" i="2"/>
  <c r="O23" i="2"/>
  <c r="I23" i="3"/>
  <c r="I32" i="3"/>
  <c r="O34" i="2"/>
  <c r="I30" i="3"/>
  <c r="O32" i="2"/>
  <c r="F20" i="3"/>
  <c r="R20" i="2"/>
  <c r="I17" i="3"/>
  <c r="O17" i="2"/>
  <c r="I24" i="3"/>
  <c r="O24" i="2"/>
  <c r="O25" i="2"/>
  <c r="I42" i="3"/>
  <c r="AC28" i="3"/>
  <c r="AA28" i="3"/>
  <c r="AB28" i="3" s="1"/>
  <c r="AA37" i="3"/>
  <c r="AB37" i="3" s="1"/>
  <c r="AC37" i="3"/>
  <c r="AC16" i="3"/>
  <c r="AA16" i="3"/>
  <c r="AB16" i="3" s="1"/>
  <c r="Y43" i="3"/>
  <c r="AG12" i="3" s="1"/>
  <c r="AC24" i="3"/>
  <c r="AA24" i="3"/>
  <c r="AB24" i="3" s="1"/>
  <c r="G7" i="3"/>
  <c r="B8" i="4"/>
  <c r="D8" i="4" s="1"/>
  <c r="G58" i="2"/>
  <c r="B28" i="4"/>
  <c r="D28" i="4" s="1"/>
  <c r="G27" i="3"/>
  <c r="G34" i="3"/>
  <c r="B35" i="4"/>
  <c r="D35" i="4" s="1"/>
  <c r="G23" i="3"/>
  <c r="B24" i="4"/>
  <c r="D24" i="4" s="1"/>
  <c r="G30" i="3"/>
  <c r="B31" i="4"/>
  <c r="D31" i="4" s="1"/>
  <c r="G22" i="3"/>
  <c r="B23" i="4"/>
  <c r="D23" i="4" s="1"/>
  <c r="B21" i="4"/>
  <c r="D21" i="4" s="1"/>
  <c r="G20" i="3"/>
  <c r="B27" i="4"/>
  <c r="D27" i="4" s="1"/>
  <c r="G26" i="3"/>
  <c r="G42" i="3"/>
  <c r="B43" i="4"/>
  <c r="D43" i="4" s="1"/>
  <c r="G28" i="3"/>
  <c r="B29" i="4"/>
  <c r="D29" i="4" s="1"/>
  <c r="B30" i="4"/>
  <c r="D30" i="4" s="1"/>
  <c r="G29" i="3"/>
  <c r="G56" i="3"/>
  <c r="G57" i="3" s="1"/>
  <c r="B44" i="4"/>
  <c r="D44" i="4" s="1"/>
  <c r="O14" i="2"/>
  <c r="I14" i="3"/>
  <c r="O10" i="2"/>
  <c r="I10" i="3"/>
  <c r="U43" i="3"/>
  <c r="E43" i="3"/>
  <c r="E58" i="3" s="1"/>
  <c r="E59" i="3" s="1"/>
  <c r="AA41" i="3"/>
  <c r="AB41" i="3" s="1"/>
  <c r="AC41" i="3"/>
  <c r="I40" i="3"/>
  <c r="O42" i="2"/>
  <c r="I13" i="3"/>
  <c r="O13" i="2"/>
  <c r="AC42" i="3"/>
  <c r="AA42" i="3"/>
  <c r="AB42" i="3" s="1"/>
  <c r="AA22" i="3"/>
  <c r="AB22" i="3" s="1"/>
  <c r="AC22" i="3"/>
  <c r="B20" i="4"/>
  <c r="D20" i="4" s="1"/>
  <c r="G19" i="3"/>
  <c r="G41" i="3"/>
  <c r="B42" i="4"/>
  <c r="D42" i="4" s="1"/>
  <c r="G40" i="3"/>
  <c r="B41" i="4"/>
  <c r="D41" i="4" s="1"/>
  <c r="B33" i="4"/>
  <c r="D33" i="4" s="1"/>
  <c r="G32" i="3"/>
  <c r="AA19" i="3"/>
  <c r="AB19" i="3" s="1"/>
  <c r="AC19" i="3"/>
  <c r="AC32" i="3"/>
  <c r="AA32" i="3"/>
  <c r="AB32" i="3" s="1"/>
  <c r="O15" i="2"/>
  <c r="I15" i="3"/>
  <c r="F25" i="3"/>
  <c r="R28" i="2"/>
  <c r="R61" i="2" s="1"/>
  <c r="AA33" i="3"/>
  <c r="AB33" i="3" s="1"/>
  <c r="AC33" i="3"/>
  <c r="AA12" i="3"/>
  <c r="AB12" i="3" s="1"/>
  <c r="AC12" i="3"/>
  <c r="AA25" i="3"/>
  <c r="AB25" i="3" s="1"/>
  <c r="AC25" i="3"/>
  <c r="O20" i="2"/>
  <c r="AA23" i="3"/>
  <c r="AB23" i="3" s="1"/>
  <c r="AC23" i="3"/>
  <c r="AA29" i="3"/>
  <c r="AB29" i="3" s="1"/>
  <c r="AC29" i="3"/>
  <c r="AA9" i="3"/>
  <c r="AB9" i="3" s="1"/>
  <c r="AC9" i="3"/>
  <c r="AA15" i="3"/>
  <c r="AB15" i="3" s="1"/>
  <c r="AC15" i="3"/>
  <c r="AC39" i="3"/>
  <c r="AA39" i="3"/>
  <c r="AB39" i="3" s="1"/>
  <c r="AC17" i="3"/>
  <c r="AA17" i="3"/>
  <c r="AB17" i="3" s="1"/>
  <c r="AC36" i="3"/>
  <c r="AA36" i="3"/>
  <c r="AB36" i="3" s="1"/>
  <c r="AA27" i="3"/>
  <c r="AB27" i="3" s="1"/>
  <c r="AC27" i="3"/>
  <c r="O28" i="2"/>
  <c r="B10" i="4"/>
  <c r="D10" i="4" s="1"/>
  <c r="G9" i="3"/>
  <c r="G8" i="3"/>
  <c r="B9" i="4"/>
  <c r="D9" i="4" s="1"/>
  <c r="G14" i="3"/>
  <c r="B15" i="4"/>
  <c r="D15" i="4" s="1"/>
  <c r="B38" i="4"/>
  <c r="D38" i="4" s="1"/>
  <c r="G37" i="3"/>
  <c r="G35" i="3"/>
  <c r="B36" i="4"/>
  <c r="D36" i="4" s="1"/>
  <c r="B37" i="4"/>
  <c r="D37" i="4" s="1"/>
  <c r="G36" i="3"/>
  <c r="G33" i="3"/>
  <c r="B34" i="4"/>
  <c r="D34" i="4" s="1"/>
  <c r="B26" i="4"/>
  <c r="D26" i="4" s="1"/>
  <c r="G25" i="3"/>
  <c r="B39" i="4"/>
  <c r="D39" i="4" s="1"/>
  <c r="G38" i="3"/>
  <c r="B17" i="4"/>
  <c r="D17" i="4" s="1"/>
  <c r="G16" i="3"/>
  <c r="G39" i="3"/>
  <c r="B40" i="4"/>
  <c r="D40" i="4" s="1"/>
  <c r="AC14" i="3"/>
  <c r="AA14" i="3"/>
  <c r="AB14" i="3" s="1"/>
  <c r="AF12" i="3" l="1"/>
  <c r="AD43" i="3"/>
  <c r="O61" i="2"/>
  <c r="O58" i="2"/>
  <c r="O60" i="2"/>
  <c r="R60" i="2"/>
  <c r="Z65" i="2" s="1"/>
  <c r="W58" i="2"/>
  <c r="W60" i="2"/>
  <c r="Z66" i="2"/>
  <c r="F43" i="3"/>
  <c r="Y58" i="3"/>
  <c r="B45" i="4"/>
  <c r="D45" i="4"/>
  <c r="D48" i="4" s="1"/>
  <c r="AB7" i="3"/>
  <c r="AB43" i="3" s="1"/>
  <c r="AB57" i="3" s="1"/>
  <c r="AA43" i="3"/>
  <c r="AA57" i="3" s="1"/>
  <c r="R58" i="2"/>
  <c r="Z64" i="2" s="1"/>
  <c r="G43" i="3"/>
  <c r="G58" i="3" s="1"/>
</calcChain>
</file>

<file path=xl/sharedStrings.xml><?xml version="1.0" encoding="utf-8"?>
<sst xmlns="http://schemas.openxmlformats.org/spreadsheetml/2006/main" count="584" uniqueCount="264">
  <si>
    <t>Syracuse District Energy</t>
  </si>
  <si>
    <t>Tower Efficiency</t>
  </si>
  <si>
    <t>kW/ton</t>
  </si>
  <si>
    <t>TOWERS</t>
  </si>
  <si>
    <t>BOILERS</t>
  </si>
  <si>
    <t>Cooling Hours</t>
  </si>
  <si>
    <t>Address</t>
  </si>
  <si>
    <t>Square Feet</t>
  </si>
  <si>
    <t>Space Type</t>
  </si>
  <si>
    <t>Peak Cooling</t>
  </si>
  <si>
    <t>Annual ton-hrs</t>
  </si>
  <si>
    <t>Annual Cooling</t>
  </si>
  <si>
    <t>FLC Towers</t>
  </si>
  <si>
    <t>Open Towers</t>
  </si>
  <si>
    <t>Peak Heating</t>
  </si>
  <si>
    <t>Annual Heating</t>
  </si>
  <si>
    <t>Recondition Cost</t>
  </si>
  <si>
    <t>Tower Testing</t>
  </si>
  <si>
    <t>Chemical Cost</t>
  </si>
  <si>
    <t>Water Cost</t>
  </si>
  <si>
    <t>Tower Service</t>
  </si>
  <si>
    <t>Boiler Cost</t>
  </si>
  <si>
    <t># Boilers</t>
  </si>
  <si>
    <t>Boiler Maint Cost</t>
  </si>
  <si>
    <t>(tons)</t>
  </si>
  <si>
    <t>(kWh)</t>
  </si>
  <si>
    <t>#</t>
  </si>
  <si>
    <t>Est. Tons</t>
  </si>
  <si>
    <t>(MMBtu/hr)</t>
  </si>
  <si>
    <t>(MMBtu)</t>
  </si>
  <si>
    <t>Equip</t>
  </si>
  <si>
    <t>Install</t>
  </si>
  <si>
    <t>Total</t>
  </si>
  <si>
    <t>Tower Demand</t>
  </si>
  <si>
    <t>Tower Energy</t>
  </si>
  <si>
    <t>Phase A</t>
  </si>
  <si>
    <t>Barclay Damon</t>
  </si>
  <si>
    <t>125 E Jefferson St</t>
  </si>
  <si>
    <t>Large Office</t>
  </si>
  <si>
    <t>2x1500 MBH</t>
  </si>
  <si>
    <t>A</t>
  </si>
  <si>
    <t>State Tower</t>
  </si>
  <si>
    <t>109 S Warren St</t>
  </si>
  <si>
    <t>2 x 4500 MBH</t>
  </si>
  <si>
    <t>Courtyard Marriott</t>
  </si>
  <si>
    <t>300 W Fayette St</t>
  </si>
  <si>
    <t>Hotel</t>
  </si>
  <si>
    <t>2x1000 MBH</t>
  </si>
  <si>
    <t>US Social Security Admin</t>
  </si>
  <si>
    <t>110 Fayette St</t>
  </si>
  <si>
    <t>M&amp;T Bank</t>
  </si>
  <si>
    <t>101 S Salina St</t>
  </si>
  <si>
    <t>State Office Building</t>
  </si>
  <si>
    <t>333 E Washington St</t>
  </si>
  <si>
    <t>SU-Warehouse</t>
  </si>
  <si>
    <t>350 W Fayette St</t>
  </si>
  <si>
    <t>Medium Office</t>
  </si>
  <si>
    <t>300 S State St</t>
  </si>
  <si>
    <t>Key Bank Building</t>
  </si>
  <si>
    <t>201 S Warren St</t>
  </si>
  <si>
    <t>100 East Washington St</t>
  </si>
  <si>
    <t>100 E Washington St</t>
  </si>
  <si>
    <t>Midrise Apartment</t>
  </si>
  <si>
    <t>Ramboll</t>
  </si>
  <si>
    <t>333 W Washington St</t>
  </si>
  <si>
    <t>City Hall</t>
  </si>
  <si>
    <t>233 E Washington St</t>
  </si>
  <si>
    <t>1 Lincoln Center</t>
  </si>
  <si>
    <t>110 W Fayette St</t>
  </si>
  <si>
    <t>SUNY Oswego MetroCenter</t>
  </si>
  <si>
    <t>2 S Clinton St</t>
  </si>
  <si>
    <t>217 Montgomery St</t>
  </si>
  <si>
    <t>2x500 MBH</t>
  </si>
  <si>
    <t>City Hall Commons</t>
  </si>
  <si>
    <t>201 E Washington St</t>
  </si>
  <si>
    <t>Salinas Place</t>
  </si>
  <si>
    <t>205 S Salina St</t>
  </si>
  <si>
    <t>SU-Peck Hall</t>
  </si>
  <si>
    <t>601 E Genesee St</t>
  </si>
  <si>
    <t>Phase B</t>
  </si>
  <si>
    <t>Atrium</t>
  </si>
  <si>
    <t>2 Clinton Sq</t>
  </si>
  <si>
    <t>B</t>
  </si>
  <si>
    <t>AXA Towers</t>
  </si>
  <si>
    <t>100 Madison St</t>
  </si>
  <si>
    <t>3x2000 MBH</t>
  </si>
  <si>
    <t>Hotel Syracuse</t>
  </si>
  <si>
    <t>100 E Onondaga St</t>
  </si>
  <si>
    <t>4x5000 MBH</t>
  </si>
  <si>
    <t>Tech Garden</t>
  </si>
  <si>
    <t>235 Harrison St</t>
  </si>
  <si>
    <t>Bank of America</t>
  </si>
  <si>
    <t>1 S Clinton St</t>
  </si>
  <si>
    <t>Clinton Exchange</t>
  </si>
  <si>
    <t>101 N Clinton St</t>
  </si>
  <si>
    <t>National Grid</t>
  </si>
  <si>
    <t>300 W Erie Blvd</t>
  </si>
  <si>
    <t>3x1500 MBH</t>
  </si>
  <si>
    <t>Post Standard</t>
  </si>
  <si>
    <t>101 N Salina St</t>
  </si>
  <si>
    <t>Galleries of Syracuse</t>
  </si>
  <si>
    <t>441 S Salina St</t>
  </si>
  <si>
    <t>100 Clinton Sq</t>
  </si>
  <si>
    <t>City of Syr Criminal Court House</t>
  </si>
  <si>
    <t>505 S State St</t>
  </si>
  <si>
    <t>550 Harrison Building</t>
  </si>
  <si>
    <t>550 Harrison St</t>
  </si>
  <si>
    <t>Retail</t>
  </si>
  <si>
    <t>Jefferson Clinton Hotel</t>
  </si>
  <si>
    <t>416 S Clinton St</t>
  </si>
  <si>
    <t>Sky Armory</t>
  </si>
  <si>
    <t>351 S Clinton St</t>
  </si>
  <si>
    <t>Clinton Plaza</t>
  </si>
  <si>
    <t>550 S Clinton St</t>
  </si>
  <si>
    <t>3x2500 MBH</t>
  </si>
  <si>
    <t>MOST</t>
  </si>
  <si>
    <t>500 S Franklin St</t>
  </si>
  <si>
    <t>600 Montgomery St</t>
  </si>
  <si>
    <t>Medical Office Bldg</t>
  </si>
  <si>
    <t>475 Irving Ave</t>
  </si>
  <si>
    <t>Phase C</t>
  </si>
  <si>
    <t>Parcel 1</t>
  </si>
  <si>
    <t>Inner Harbor</t>
  </si>
  <si>
    <t>2x5000 MBH</t>
  </si>
  <si>
    <t>C</t>
  </si>
  <si>
    <t>Parcel 2</t>
  </si>
  <si>
    <t>Parcel 3</t>
  </si>
  <si>
    <t>Parcel 4</t>
  </si>
  <si>
    <t>2x3000 MBH</t>
  </si>
  <si>
    <t>Parcel 5</t>
  </si>
  <si>
    <t>Parcel 6</t>
  </si>
  <si>
    <t>Parcel 7</t>
  </si>
  <si>
    <t>3x3000 MBH</t>
  </si>
  <si>
    <t>Parcel 8</t>
  </si>
  <si>
    <t>Parcel 9</t>
  </si>
  <si>
    <t>Parcel 10</t>
  </si>
  <si>
    <t>Parcel 11</t>
  </si>
  <si>
    <t>3x4000 MBH</t>
  </si>
  <si>
    <t>Parcel 12</t>
  </si>
  <si>
    <t>Classroom</t>
  </si>
  <si>
    <t>Total Peak Load</t>
  </si>
  <si>
    <t>MBH</t>
  </si>
  <si>
    <t>*Parcel Buildings are not constructed yet</t>
  </si>
  <si>
    <t>Total Annual O&amp;M</t>
  </si>
  <si>
    <t>Onondaga County DH&amp;C Plant</t>
  </si>
  <si>
    <t>Electrified System</t>
  </si>
  <si>
    <t>Heating</t>
  </si>
  <si>
    <t>Approx Height</t>
  </si>
  <si>
    <t>Electrified Heating System</t>
  </si>
  <si>
    <t xml:space="preserve">Peak Heating </t>
  </si>
  <si>
    <t>Load</t>
  </si>
  <si>
    <t xml:space="preserve">Natrual Gas </t>
  </si>
  <si>
    <t>Electric</t>
  </si>
  <si>
    <t>Existing System</t>
  </si>
  <si>
    <t>WWTP HX Energy Reduction %</t>
  </si>
  <si>
    <t>Boiler</t>
  </si>
  <si>
    <t>New Heat Pump</t>
  </si>
  <si>
    <t>NG Boiler HP to Elec Boiler</t>
  </si>
  <si>
    <t>Replacement Cost</t>
  </si>
  <si>
    <t>(MBH)</t>
  </si>
  <si>
    <t>kWh</t>
  </si>
  <si>
    <t>Cooling</t>
  </si>
  <si>
    <t>Confidence (1-3)</t>
  </si>
  <si>
    <t>(stories)</t>
  </si>
  <si>
    <t>(kW)</t>
  </si>
  <si>
    <t>Equipment</t>
  </si>
  <si>
    <t>A @ 460/3</t>
  </si>
  <si>
    <t>New Heat Pump COP</t>
  </si>
  <si>
    <t>Heat Pump</t>
  </si>
  <si>
    <t>Electric boiler</t>
  </si>
  <si>
    <t>Existing  Heat Pump COP</t>
  </si>
  <si>
    <t>Heat Pump - Boiler</t>
  </si>
  <si>
    <t>Heat Pump - Cooling Tower</t>
  </si>
  <si>
    <t>Conversion</t>
  </si>
  <si>
    <t>kWh per MMBtu</t>
  </si>
  <si>
    <t>Heat Pump?</t>
  </si>
  <si>
    <t>Heat Pump &amp; Water Cooled Chiller</t>
  </si>
  <si>
    <t>Electric Boiler</t>
  </si>
  <si>
    <t xml:space="preserve">Downtown </t>
  </si>
  <si>
    <t>NG Boiler</t>
  </si>
  <si>
    <t>Water Cooled Chiller</t>
  </si>
  <si>
    <t>Heat pump</t>
  </si>
  <si>
    <t>PTAC</t>
  </si>
  <si>
    <t>(2) 1700 MBH NG steam boilers</t>
  </si>
  <si>
    <t>(7) AHUs, (3) 7-265 T chillers</t>
  </si>
  <si>
    <t>Chiller</t>
  </si>
  <si>
    <t xml:space="preserve">Heat Pump  </t>
  </si>
  <si>
    <t>NG Condensing Boilers (9 300 MBH / 7 300 MBH)</t>
  </si>
  <si>
    <t>Modified heat pump; 7-T AC</t>
  </si>
  <si>
    <t>Boilers</t>
  </si>
  <si>
    <t>Natural Gas Steam Boilers</t>
  </si>
  <si>
    <t>Only hotel tower, new ballrooms are DX/NG RTUs</t>
  </si>
  <si>
    <t>NG/RTU</t>
  </si>
  <si>
    <t>Under Renovation</t>
  </si>
  <si>
    <t>RTU - NG?</t>
  </si>
  <si>
    <t>RTU?</t>
  </si>
  <si>
    <t>District Steam</t>
  </si>
  <si>
    <t>District Chilled Water</t>
  </si>
  <si>
    <t xml:space="preserve">Boiler? </t>
  </si>
  <si>
    <t>Air Cooled Chiller</t>
  </si>
  <si>
    <t>None</t>
  </si>
  <si>
    <t>RTU</t>
  </si>
  <si>
    <t xml:space="preserve">Heat Pump - Boiler? </t>
  </si>
  <si>
    <t>2001 FLC</t>
  </si>
  <si>
    <t>Downtown</t>
  </si>
  <si>
    <t>Total (kW)</t>
  </si>
  <si>
    <t>NOTES</t>
  </si>
  <si>
    <t>Taller than 6-stories - elec boiler</t>
  </si>
  <si>
    <t>Exist heat pump - elec boiler</t>
  </si>
  <si>
    <t>Rooftop equipment - heat pump</t>
  </si>
  <si>
    <t>Small apartment - heat pump</t>
  </si>
  <si>
    <t>Heat pump COP 2.5</t>
  </si>
  <si>
    <t>tall (&gt;6s) building = boiler</t>
  </si>
  <si>
    <t>293.07 kWh per MMBtu</t>
  </si>
  <si>
    <t>Equipment Type</t>
  </si>
  <si>
    <t>Unit Cost</t>
  </si>
  <si>
    <t>Unit</t>
  </si>
  <si>
    <t>Notes</t>
  </si>
  <si>
    <t>Reference</t>
  </si>
  <si>
    <t>Crossflow Open Cooling Tower</t>
  </si>
  <si>
    <t>$/ton</t>
  </si>
  <si>
    <t>Recent bid price</t>
  </si>
  <si>
    <t xml:space="preserve">Does not include rigging. </t>
  </si>
  <si>
    <t>Closed Circuit Cooling Tower</t>
  </si>
  <si>
    <t>Condensing Boiler</t>
  </si>
  <si>
    <t>$/MBH</t>
  </si>
  <si>
    <t>Vendor equipment pricing, Lochinvar. Does not include install</t>
  </si>
  <si>
    <t>WSHP RTU</t>
  </si>
  <si>
    <t xml:space="preserve">Based on 3T and 5T unit pricing </t>
  </si>
  <si>
    <t>Email from Trane</t>
  </si>
  <si>
    <t>Cooling Tower Reconditioning</t>
  </si>
  <si>
    <t>of total Replacement Cost</t>
  </si>
  <si>
    <t>https://faservice.net/cooling-tower-repair-or-replacement-whats-best/</t>
  </si>
  <si>
    <t>Maintenance</t>
  </si>
  <si>
    <t>Legionella Testing</t>
  </si>
  <si>
    <t>$/tower</t>
  </si>
  <si>
    <t>&lt;&lt; annual ($173/quarter)</t>
  </si>
  <si>
    <t>Tower Cleaning/Service</t>
  </si>
  <si>
    <t>Annual Boiler Service Calls</t>
  </si>
  <si>
    <t>$/boiler</t>
  </si>
  <si>
    <t>&lt;&lt; estimate per Jim Funiciello</t>
  </si>
  <si>
    <t xml:space="preserve">Water </t>
  </si>
  <si>
    <t>Water Use</t>
  </si>
  <si>
    <t>gpm per 100 ton</t>
  </si>
  <si>
    <t>gal/ton-hr</t>
  </si>
  <si>
    <t xml:space="preserve">per 1,000 gal </t>
  </si>
  <si>
    <t xml:space="preserve">&lt;&lt; estimate: 2020 OCWA Rate Schedule 8 </t>
  </si>
  <si>
    <t>per ton per year</t>
  </si>
  <si>
    <t xml:space="preserve">Building </t>
  </si>
  <si>
    <t>Cooling Energy</t>
  </si>
  <si>
    <r>
      <t>Energy Reduction</t>
    </r>
    <r>
      <rPr>
        <sz val="11"/>
        <color theme="1"/>
        <rFont val="Calibri"/>
        <family val="2"/>
      </rPr>
      <t>¹</t>
    </r>
  </si>
  <si>
    <t>Energy Reduction</t>
  </si>
  <si>
    <t>(%)</t>
  </si>
  <si>
    <t>1: per Appendix G</t>
  </si>
  <si>
    <t>Electric Rate</t>
  </si>
  <si>
    <t>Electric Cost Savings</t>
  </si>
  <si>
    <t>Electrification Option per Baseline Building</t>
  </si>
  <si>
    <t>Total Demands</t>
  </si>
  <si>
    <t>Phase</t>
  </si>
  <si>
    <t>Building Information &amp; Operation and Maintenance Costs</t>
  </si>
  <si>
    <t>Buildings Per Phase</t>
  </si>
  <si>
    <t>Equipment Costs</t>
  </si>
  <si>
    <t>District System Cooling Energy Savings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</si>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</sst>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&quot;$&quot;#,##0.000"/>
    <numFmt numFmtId="167" formatCode="&quot;$&quot;#,##0.00"/>
    <numFmt numFmtId="168" formatCode="0.0000"/>
    <numFmt numFmtId="169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70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0" borderId="0" xfId="0" applyFont="1"/>
    <xf numFmtId="6" fontId="0" fillId="0" borderId="0" xfId="0" applyNumberFormat="1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2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18" xfId="0" applyBorder="1"/>
    <xf numFmtId="6" fontId="0" fillId="0" borderId="6" xfId="0" applyNumberFormat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6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34" xfId="0" applyBorder="1" applyAlignment="1">
      <alignment horizontal="center" vertical="center"/>
    </xf>
    <xf numFmtId="3" fontId="0" fillId="0" borderId="27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28" xfId="0" applyNumberFormat="1" applyBorder="1" applyAlignment="1">
      <alignment horizontal="center"/>
    </xf>
    <xf numFmtId="6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0" xfId="0" applyNumberFormat="1" applyAlignment="1">
      <alignment horizontal="center"/>
    </xf>
    <xf numFmtId="6" fontId="0" fillId="0" borderId="10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1" applyAlignment="1">
      <alignment horizontal="left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14" xfId="0" applyBorder="1"/>
    <xf numFmtId="3" fontId="0" fillId="0" borderId="12" xfId="0" applyNumberForma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39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6" fontId="0" fillId="0" borderId="13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6" fontId="0" fillId="0" borderId="17" xfId="0" applyNumberFormat="1" applyBorder="1" applyAlignment="1">
      <alignment horizontal="center"/>
    </xf>
    <xf numFmtId="6" fontId="0" fillId="0" borderId="41" xfId="0" applyNumberFormat="1" applyBorder="1" applyAlignment="1">
      <alignment horizontal="center"/>
    </xf>
    <xf numFmtId="6" fontId="0" fillId="0" borderId="45" xfId="0" applyNumberFormat="1" applyBorder="1" applyAlignment="1">
      <alignment horizontal="center"/>
    </xf>
    <xf numFmtId="6" fontId="0" fillId="0" borderId="25" xfId="0" applyNumberForma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4" xfId="0" applyBorder="1"/>
    <xf numFmtId="1" fontId="0" fillId="0" borderId="1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51" xfId="0" applyBorder="1" applyAlignment="1">
      <alignment horizontal="center" vertical="center"/>
    </xf>
    <xf numFmtId="2" fontId="0" fillId="0" borderId="38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36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3" fontId="0" fillId="0" borderId="19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" fillId="2" borderId="29" xfId="0" applyFont="1" applyFill="1" applyBorder="1" applyAlignment="1">
      <alignment horizontal="right"/>
    </xf>
    <xf numFmtId="3" fontId="0" fillId="0" borderId="48" xfId="0" applyNumberFormat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2" borderId="58" xfId="0" applyFill="1" applyBorder="1" applyAlignment="1">
      <alignment horizontal="center"/>
    </xf>
    <xf numFmtId="44" fontId="0" fillId="2" borderId="24" xfId="3" applyFont="1" applyFill="1" applyBorder="1" applyAlignment="1">
      <alignment horizontal="center"/>
    </xf>
    <xf numFmtId="3" fontId="0" fillId="2" borderId="25" xfId="0" applyNumberFormat="1" applyFill="1" applyBorder="1" applyAlignment="1">
      <alignment horizontal="center"/>
    </xf>
    <xf numFmtId="0" fontId="1" fillId="2" borderId="30" xfId="0" applyFont="1" applyFill="1" applyBorder="1" applyAlignment="1">
      <alignment horizontal="right"/>
    </xf>
    <xf numFmtId="3" fontId="0" fillId="2" borderId="49" xfId="0" applyNumberFormat="1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3" fontId="0" fillId="2" borderId="40" xfId="0" applyNumberFormat="1" applyFill="1" applyBorder="1" applyAlignment="1">
      <alignment horizontal="center"/>
    </xf>
    <xf numFmtId="3" fontId="0" fillId="2" borderId="50" xfId="0" applyNumberFormat="1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3" fontId="0" fillId="2" borderId="48" xfId="3" applyNumberFormat="1" applyFont="1" applyFill="1" applyBorder="1" applyAlignment="1">
      <alignment horizontal="center"/>
    </xf>
    <xf numFmtId="3" fontId="0" fillId="2" borderId="58" xfId="0" applyNumberFormat="1" applyFill="1" applyBorder="1" applyAlignment="1">
      <alignment horizontal="center"/>
    </xf>
    <xf numFmtId="3" fontId="0" fillId="2" borderId="25" xfId="3" applyNumberFormat="1" applyFont="1" applyFill="1" applyBorder="1" applyAlignment="1">
      <alignment horizontal="center"/>
    </xf>
    <xf numFmtId="4" fontId="0" fillId="2" borderId="48" xfId="0" applyNumberFormat="1" applyFill="1" applyBorder="1" applyAlignment="1">
      <alignment horizontal="center"/>
    </xf>
    <xf numFmtId="4" fontId="0" fillId="2" borderId="24" xfId="0" applyNumberFormat="1" applyFill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29" xfId="0" applyBorder="1"/>
    <xf numFmtId="0" fontId="0" fillId="2" borderId="29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1" xfId="0" applyBorder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7" fontId="0" fillId="0" borderId="2" xfId="2" applyNumberFormat="1" applyFont="1" applyBorder="1" applyAlignment="1">
      <alignment horizontal="center"/>
    </xf>
    <xf numFmtId="37" fontId="0" fillId="0" borderId="39" xfId="2" applyNumberFormat="1" applyFont="1" applyBorder="1" applyAlignment="1">
      <alignment horizontal="center"/>
    </xf>
    <xf numFmtId="3" fontId="0" fillId="0" borderId="3" xfId="2" applyNumberFormat="1" applyFont="1" applyBorder="1" applyAlignment="1">
      <alignment horizontal="center" vertical="center"/>
    </xf>
    <xf numFmtId="37" fontId="0" fillId="0" borderId="0" xfId="0" applyNumberFormat="1"/>
    <xf numFmtId="165" fontId="0" fillId="0" borderId="46" xfId="0" applyNumberFormat="1" applyBorder="1" applyAlignment="1">
      <alignment horizontal="center"/>
    </xf>
    <xf numFmtId="0" fontId="0" fillId="0" borderId="63" xfId="0" applyBorder="1" applyAlignment="1">
      <alignment horizontal="center"/>
    </xf>
    <xf numFmtId="37" fontId="0" fillId="0" borderId="14" xfId="2" applyNumberFormat="1" applyFont="1" applyBorder="1" applyAlignment="1">
      <alignment horizontal="center"/>
    </xf>
    <xf numFmtId="37" fontId="0" fillId="0" borderId="10" xfId="2" applyNumberFormat="1" applyFont="1" applyBorder="1" applyAlignment="1">
      <alignment horizontal="center"/>
    </xf>
    <xf numFmtId="3" fontId="0" fillId="0" borderId="15" xfId="2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37" fontId="0" fillId="0" borderId="36" xfId="2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0" borderId="0" xfId="0" applyFont="1"/>
    <xf numFmtId="0" fontId="0" fillId="0" borderId="64" xfId="0" applyBorder="1" applyAlignment="1">
      <alignment horizontal="center"/>
    </xf>
    <xf numFmtId="37" fontId="0" fillId="2" borderId="24" xfId="2" applyNumberFormat="1" applyFont="1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1" fillId="0" borderId="22" xfId="0" applyFont="1" applyBorder="1" applyAlignment="1">
      <alignment horizontal="center"/>
    </xf>
    <xf numFmtId="37" fontId="0" fillId="0" borderId="4" xfId="2" applyNumberFormat="1" applyFont="1" applyBorder="1" applyAlignment="1">
      <alignment horizontal="center"/>
    </xf>
    <xf numFmtId="37" fontId="0" fillId="0" borderId="13" xfId="2" applyNumberFormat="1" applyFont="1" applyBorder="1" applyAlignment="1">
      <alignment horizontal="center"/>
    </xf>
    <xf numFmtId="3" fontId="0" fillId="0" borderId="5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63" xfId="0" applyFill="1" applyBorder="1"/>
    <xf numFmtId="9" fontId="0" fillId="0" borderId="10" xfId="0" applyNumberFormat="1" applyBorder="1" applyAlignment="1">
      <alignment horizontal="center"/>
    </xf>
    <xf numFmtId="0" fontId="0" fillId="0" borderId="65" xfId="0" applyBorder="1" applyAlignment="1">
      <alignment horizontal="center" vertical="center"/>
    </xf>
    <xf numFmtId="9" fontId="0" fillId="0" borderId="2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20" xfId="0" applyNumberForma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167" fontId="0" fillId="0" borderId="0" xfId="0" applyNumberFormat="1"/>
    <xf numFmtId="166" fontId="0" fillId="0" borderId="51" xfId="0" applyNumberFormat="1" applyBorder="1" applyAlignment="1">
      <alignment horizontal="center"/>
    </xf>
    <xf numFmtId="164" fontId="1" fillId="0" borderId="52" xfId="0" applyNumberFormat="1" applyFont="1" applyBorder="1" applyAlignment="1">
      <alignment horizontal="center"/>
    </xf>
    <xf numFmtId="0" fontId="2" fillId="0" borderId="66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3" fontId="0" fillId="4" borderId="14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3" fontId="0" fillId="4" borderId="43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4" borderId="15" xfId="0" applyNumberFormat="1" applyFill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6" fontId="0" fillId="4" borderId="14" xfId="0" applyNumberFormat="1" applyFill="1" applyBorder="1" applyAlignment="1">
      <alignment horizontal="center"/>
    </xf>
    <xf numFmtId="6" fontId="0" fillId="4" borderId="10" xfId="0" applyNumberFormat="1" applyFill="1" applyBorder="1" applyAlignment="1">
      <alignment horizontal="center"/>
    </xf>
    <xf numFmtId="6" fontId="0" fillId="4" borderId="15" xfId="0" applyNumberFormat="1" applyFill="1" applyBorder="1" applyAlignment="1">
      <alignment horizontal="center"/>
    </xf>
    <xf numFmtId="0" fontId="0" fillId="4" borderId="0" xfId="0" applyFill="1"/>
    <xf numFmtId="164" fontId="0" fillId="4" borderId="14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6" fontId="0" fillId="4" borderId="6" xfId="0" applyNumberFormat="1" applyFill="1" applyBorder="1" applyAlignment="1">
      <alignment horizontal="center"/>
    </xf>
    <xf numFmtId="168" fontId="0" fillId="0" borderId="0" xfId="0" applyNumberFormat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4" fontId="0" fillId="2" borderId="53" xfId="0" applyNumberFormat="1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37" fontId="0" fillId="0" borderId="42" xfId="2" applyNumberFormat="1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46" xfId="0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48" xfId="0" applyFill="1" applyBorder="1" applyAlignment="1">
      <alignment horizontal="center"/>
    </xf>
    <xf numFmtId="164" fontId="1" fillId="2" borderId="24" xfId="2" applyNumberFormat="1" applyFont="1" applyFill="1" applyBorder="1" applyAlignment="1">
      <alignment horizontal="center"/>
    </xf>
    <xf numFmtId="0" fontId="0" fillId="0" borderId="50" xfId="0" applyBorder="1" applyAlignment="1">
      <alignment horizontal="center" vertical="center"/>
    </xf>
    <xf numFmtId="164" fontId="0" fillId="0" borderId="15" xfId="2" applyNumberFormat="1" applyFont="1" applyBorder="1" applyAlignment="1">
      <alignment horizontal="center" vertical="center"/>
    </xf>
    <xf numFmtId="164" fontId="0" fillId="0" borderId="46" xfId="2" applyNumberFormat="1" applyFont="1" applyBorder="1" applyAlignment="1">
      <alignment horizontal="center" vertical="center"/>
    </xf>
    <xf numFmtId="164" fontId="0" fillId="0" borderId="28" xfId="2" applyNumberFormat="1" applyFont="1" applyBorder="1" applyAlignment="1">
      <alignment horizontal="center" vertical="center"/>
    </xf>
    <xf numFmtId="164" fontId="1" fillId="2" borderId="25" xfId="2" applyNumberFormat="1" applyFont="1" applyFill="1" applyBorder="1" applyAlignment="1">
      <alignment horizontal="center"/>
    </xf>
    <xf numFmtId="164" fontId="0" fillId="0" borderId="38" xfId="3" applyNumberFormat="1" applyFont="1" applyBorder="1" applyAlignment="1">
      <alignment horizontal="center" vertical="center"/>
    </xf>
    <xf numFmtId="164" fontId="0" fillId="0" borderId="36" xfId="3" applyNumberFormat="1" applyFont="1" applyBorder="1" applyAlignment="1">
      <alignment horizontal="center" vertical="center"/>
    </xf>
    <xf numFmtId="164" fontId="0" fillId="0" borderId="47" xfId="3" applyNumberFormat="1" applyFont="1" applyBorder="1" applyAlignment="1">
      <alignment horizontal="center" vertical="center"/>
    </xf>
    <xf numFmtId="164" fontId="0" fillId="0" borderId="35" xfId="3" applyNumberFormat="1" applyFont="1" applyBorder="1" applyAlignment="1">
      <alignment horizontal="center" vertical="center"/>
    </xf>
    <xf numFmtId="37" fontId="1" fillId="2" borderId="16" xfId="2" applyNumberFormat="1" applyFont="1" applyFill="1" applyBorder="1" applyAlignment="1">
      <alignment horizontal="center"/>
    </xf>
    <xf numFmtId="37" fontId="1" fillId="2" borderId="70" xfId="2" applyNumberFormat="1" applyFont="1" applyFill="1" applyBorder="1" applyAlignment="1">
      <alignment horizontal="center"/>
    </xf>
    <xf numFmtId="37" fontId="1" fillId="2" borderId="0" xfId="2" applyNumberFormat="1" applyFont="1" applyFill="1" applyBorder="1" applyAlignment="1">
      <alignment horizontal="center"/>
    </xf>
    <xf numFmtId="0" fontId="0" fillId="0" borderId="3" xfId="0" applyBorder="1"/>
    <xf numFmtId="0" fontId="0" fillId="0" borderId="15" xfId="0" applyBorder="1"/>
    <xf numFmtId="164" fontId="1" fillId="2" borderId="48" xfId="2" applyNumberFormat="1" applyFont="1" applyFill="1" applyBorder="1" applyAlignment="1">
      <alignment horizontal="center"/>
    </xf>
    <xf numFmtId="37" fontId="0" fillId="0" borderId="19" xfId="2" applyNumberFormat="1" applyFont="1" applyBorder="1" applyAlignment="1">
      <alignment horizontal="center"/>
    </xf>
    <xf numFmtId="37" fontId="0" fillId="0" borderId="20" xfId="2" applyNumberFormat="1" applyFont="1" applyBorder="1" applyAlignment="1">
      <alignment horizontal="center"/>
    </xf>
    <xf numFmtId="0" fontId="0" fillId="0" borderId="46" xfId="0" applyBorder="1"/>
    <xf numFmtId="0" fontId="1" fillId="0" borderId="17" xfId="0" applyFont="1" applyBorder="1" applyAlignment="1">
      <alignment horizontal="center"/>
    </xf>
    <xf numFmtId="37" fontId="1" fillId="0" borderId="45" xfId="2" applyNumberFormat="1" applyFont="1" applyFill="1" applyBorder="1" applyAlignment="1">
      <alignment horizontal="center"/>
    </xf>
    <xf numFmtId="37" fontId="1" fillId="2" borderId="26" xfId="2" applyNumberFormat="1" applyFont="1" applyFill="1" applyBorder="1" applyAlignment="1">
      <alignment horizontal="center"/>
    </xf>
    <xf numFmtId="9" fontId="0" fillId="0" borderId="62" xfId="0" applyNumberFormat="1" applyBorder="1" applyAlignment="1">
      <alignment horizontal="center"/>
    </xf>
    <xf numFmtId="9" fontId="0" fillId="0" borderId="63" xfId="0" applyNumberFormat="1" applyBorder="1" applyAlignment="1">
      <alignment horizontal="center"/>
    </xf>
    <xf numFmtId="9" fontId="0" fillId="0" borderId="65" xfId="0" applyNumberForma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5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6" xfId="0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37" fontId="0" fillId="2" borderId="22" xfId="2" applyNumberFormat="1" applyFont="1" applyFill="1" applyBorder="1" applyAlignment="1">
      <alignment horizontal="center"/>
    </xf>
    <xf numFmtId="6" fontId="0" fillId="2" borderId="22" xfId="0" applyNumberFormat="1" applyFill="1" applyBorder="1" applyAlignment="1">
      <alignment horizontal="center"/>
    </xf>
    <xf numFmtId="164" fontId="0" fillId="0" borderId="11" xfId="2" applyNumberFormat="1" applyFon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164" fontId="0" fillId="0" borderId="21" xfId="2" applyNumberFormat="1" applyFont="1" applyBorder="1" applyAlignment="1">
      <alignment horizontal="center" vertical="center"/>
    </xf>
    <xf numFmtId="0" fontId="0" fillId="2" borderId="67" xfId="0" applyFill="1" applyBorder="1" applyAlignment="1">
      <alignment horizontal="center"/>
    </xf>
    <xf numFmtId="3" fontId="0" fillId="0" borderId="51" xfId="2" applyNumberFormat="1" applyFont="1" applyBorder="1" applyAlignment="1">
      <alignment horizontal="center" vertical="center"/>
    </xf>
    <xf numFmtId="3" fontId="0" fillId="0" borderId="6" xfId="2" applyNumberFormat="1" applyFont="1" applyBorder="1" applyAlignment="1">
      <alignment horizontal="center" vertical="center"/>
    </xf>
    <xf numFmtId="3" fontId="0" fillId="0" borderId="52" xfId="2" applyNumberFormat="1" applyFont="1" applyBorder="1" applyAlignment="1">
      <alignment horizontal="center" vertical="center"/>
    </xf>
    <xf numFmtId="164" fontId="0" fillId="0" borderId="0" xfId="0" applyNumberFormat="1"/>
    <xf numFmtId="0" fontId="0" fillId="5" borderId="6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 wrapText="1"/>
    </xf>
    <xf numFmtId="0" fontId="0" fillId="5" borderId="73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/>
    </xf>
    <xf numFmtId="0" fontId="0" fillId="5" borderId="73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6" fontId="0" fillId="0" borderId="55" xfId="0" applyNumberFormat="1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6" fontId="0" fillId="0" borderId="19" xfId="0" applyNumberFormat="1" applyBorder="1" applyAlignment="1">
      <alignment horizontal="center"/>
    </xf>
    <xf numFmtId="6" fontId="0" fillId="0" borderId="20" xfId="0" applyNumberFormat="1" applyBorder="1" applyAlignment="1">
      <alignment horizontal="center"/>
    </xf>
    <xf numFmtId="6" fontId="0" fillId="0" borderId="46" xfId="0" applyNumberFormat="1" applyBorder="1" applyAlignment="1">
      <alignment horizontal="center"/>
    </xf>
    <xf numFmtId="6" fontId="0" fillId="0" borderId="27" xfId="0" applyNumberFormat="1" applyBorder="1" applyAlignment="1">
      <alignment horizontal="center"/>
    </xf>
    <xf numFmtId="6" fontId="0" fillId="0" borderId="23" xfId="0" applyNumberFormat="1" applyBorder="1" applyAlignment="1">
      <alignment horizontal="center"/>
    </xf>
    <xf numFmtId="6" fontId="0" fillId="0" borderId="28" xfId="0" applyNumberFormat="1" applyBorder="1" applyAlignment="1">
      <alignment horizontal="center"/>
    </xf>
    <xf numFmtId="6" fontId="0" fillId="0" borderId="24" xfId="0" applyNumberFormat="1" applyBorder="1" applyAlignment="1">
      <alignment horizontal="center"/>
    </xf>
    <xf numFmtId="6" fontId="0" fillId="0" borderId="2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70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164" fontId="0" fillId="0" borderId="58" xfId="0" applyNumberForma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" fontId="0" fillId="0" borderId="43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37" fontId="0" fillId="0" borderId="36" xfId="2" applyNumberFormat="1" applyFon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9" fontId="0" fillId="0" borderId="63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37" fontId="0" fillId="0" borderId="14" xfId="2" applyNumberFormat="1" applyFont="1" applyFill="1" applyBorder="1" applyAlignment="1">
      <alignment horizontal="center"/>
    </xf>
    <xf numFmtId="37" fontId="0" fillId="0" borderId="10" xfId="2" applyNumberFormat="1" applyFont="1" applyFill="1" applyBorder="1" applyAlignment="1">
      <alignment horizontal="center"/>
    </xf>
    <xf numFmtId="3" fontId="0" fillId="0" borderId="15" xfId="2" applyNumberFormat="1" applyFont="1" applyFill="1" applyBorder="1" applyAlignment="1">
      <alignment horizontal="center" vertical="center"/>
    </xf>
    <xf numFmtId="164" fontId="0" fillId="0" borderId="36" xfId="3" applyNumberFormat="1" applyFont="1" applyFill="1" applyBorder="1" applyAlignment="1">
      <alignment horizontal="center" vertical="center"/>
    </xf>
    <xf numFmtId="164" fontId="0" fillId="0" borderId="8" xfId="2" applyNumberFormat="1" applyFont="1" applyFill="1" applyBorder="1" applyAlignment="1">
      <alignment horizontal="center" vertical="center"/>
    </xf>
    <xf numFmtId="3" fontId="0" fillId="0" borderId="6" xfId="2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37" fontId="1" fillId="2" borderId="22" xfId="2" applyNumberFormat="1" applyFont="1" applyFill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37" fontId="0" fillId="0" borderId="15" xfId="0" applyNumberFormat="1" applyBorder="1" applyAlignment="1">
      <alignment horizontal="center"/>
    </xf>
    <xf numFmtId="37" fontId="0" fillId="0" borderId="5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39" xfId="0" applyNumberFormat="1" applyBorder="1"/>
    <xf numFmtId="164" fontId="0" fillId="0" borderId="13" xfId="0" applyNumberFormat="1" applyBorder="1"/>
    <xf numFmtId="164" fontId="0" fillId="0" borderId="2" xfId="0" applyNumberFormat="1" applyBorder="1"/>
    <xf numFmtId="164" fontId="0" fillId="0" borderId="14" xfId="0" applyNumberFormat="1" applyBorder="1"/>
    <xf numFmtId="164" fontId="0" fillId="0" borderId="4" xfId="0" applyNumberFormat="1" applyBorder="1"/>
    <xf numFmtId="164" fontId="0" fillId="0" borderId="11" xfId="0" applyNumberFormat="1" applyBorder="1"/>
    <xf numFmtId="164" fontId="0" fillId="0" borderId="8" xfId="0" applyNumberFormat="1" applyBorder="1"/>
    <xf numFmtId="164" fontId="0" fillId="0" borderId="12" xfId="0" applyNumberFormat="1" applyBorder="1"/>
    <xf numFmtId="164" fontId="0" fillId="0" borderId="5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4" fillId="0" borderId="6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5" borderId="6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72" xfId="0" applyFont="1" applyFill="1" applyBorder="1" applyAlignment="1">
      <alignment horizontal="center" vertical="center" wrapText="1"/>
    </xf>
    <xf numFmtId="0" fontId="4" fillId="5" borderId="7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4" fillId="0" borderId="4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2" xfId="0" applyFont="1" applyBorder="1"/>
    <xf numFmtId="1" fontId="4" fillId="0" borderId="1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3" fontId="8" fillId="5" borderId="16" xfId="0" applyNumberFormat="1" applyFont="1" applyFill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39" xfId="0" applyBorder="1"/>
    <xf numFmtId="165" fontId="0" fillId="0" borderId="13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5" fontId="0" fillId="0" borderId="71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0" fillId="0" borderId="6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6" fontId="0" fillId="0" borderId="0" xfId="0" applyNumberFormat="1" applyFill="1" applyAlignment="1">
      <alignment horizont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Peak Load by Location</a:t>
            </a:r>
          </a:p>
        </c:rich>
      </c:tx>
      <c:layout>
        <c:manualLayout>
          <c:xMode val="edge"/>
          <c:yMode val="edge"/>
          <c:x val="0.38258023829400906"/>
          <c:y val="2.0759135994952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38415887253166"/>
          <c:y val="0.19352963339420318"/>
          <c:w val="0.82979651576206948"/>
          <c:h val="0.726676279799371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'Baseline Electrification'!$AF$11</c:f>
              <c:strCache>
                <c:ptCount val="1"/>
                <c:pt idx="0">
                  <c:v>Electric Boiler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'Baseline Electrification'!$AE$12:$AE$13</c:f>
              <c:strCache>
                <c:ptCount val="2"/>
                <c:pt idx="0">
                  <c:v>Downtown </c:v>
                </c:pt>
                <c:pt idx="1">
                  <c:v>Inner Harbor</c:v>
                </c:pt>
              </c:strCache>
            </c:strRef>
          </c:cat>
          <c:val>
            <c:numRef>
              <c:f>'Baseline Electrification'!$AF$12:$AF$13</c:f>
              <c:numCache>
                <c:formatCode>General</c:formatCode>
                <c:ptCount val="2"/>
                <c:pt idx="0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3-4DE6-BE22-C49634406781}"/>
            </c:ext>
          </c:extLst>
        </c:ser>
        <c:ser>
          <c:idx val="1"/>
          <c:order val="1"/>
          <c:tx>
            <c:strRef>
              <c:f>'Baseline Electrification'!$AG$11</c:f>
              <c:strCache>
                <c:ptCount val="1"/>
                <c:pt idx="0">
                  <c:v>Heat Pump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'Baseline Electrification'!$AE$12:$AE$13</c:f>
              <c:strCache>
                <c:ptCount val="2"/>
                <c:pt idx="0">
                  <c:v>Downtown </c:v>
                </c:pt>
                <c:pt idx="1">
                  <c:v>Inner Harbor</c:v>
                </c:pt>
              </c:strCache>
            </c:strRef>
          </c:cat>
          <c:val>
            <c:numRef>
              <c:f>'Baseline Electrification'!$AG$12:$AG$13</c:f>
              <c:numCache>
                <c:formatCode>#,##0_);\(#,##0\)</c:formatCode>
                <c:ptCount val="2"/>
                <c:pt idx="0">
                  <c:v>960.66083331940536</c:v>
                </c:pt>
                <c:pt idx="1">
                  <c:v>4585.3004321410235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A3-4DE6-BE22-C4963440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872504"/>
        <c:axId val="870873488"/>
      </c:barChart>
      <c:catAx>
        <c:axId val="87087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73488"/>
        <c:crosses val="autoZero"/>
        <c:auto val="1"/>
        <c:lblAlgn val="ctr"/>
        <c:lblOffset val="100"/>
        <c:noMultiLvlLbl val="0"/>
      </c:catAx>
      <c:valAx>
        <c:axId val="87087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Electric Load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7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559721</xdr:colOff>
      <xdr:row>45</xdr:row>
      <xdr:rowOff>16288</xdr:rowOff>
    </xdr:from>
    <xdr:to>
      <xdr:col>33</xdr:col>
      <xdr:colOff>560295</xdr:colOff>
      <xdr:row>63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12796-5B0D-4E37-B4F7-0C11964CD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consulting.sharepoint.com/sites/x67523-SyracuseDESNYSERDA/Shared%20Documents/General/06_Project_Data/Calcs/App%20A%20Load%20Profiles%20Re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consulting.sharepoint.com/sites/x67523-SyracuseDESNYSERDA/Shared%20Documents/General/06_Project_Data/Calcs/Utility/Syracuse%20Heat%20Pump%20Ut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line"/>
      <sheetName val="Design Days"/>
      <sheetName val="Load Profiles"/>
      <sheetName val="Heating Profiles"/>
      <sheetName val="Cooling Profiles"/>
      <sheetName val="Hourly Load Profile (Chart)"/>
      <sheetName val="Phased Loads"/>
      <sheetName val="E - Midrise Apartment"/>
      <sheetName val="E - Retail"/>
      <sheetName val="E - Medium Office"/>
      <sheetName val="E - Classroom"/>
      <sheetName val="N - Midrise Apartment"/>
      <sheetName val="N - Retail"/>
      <sheetName val="Large Office"/>
      <sheetName val="Large Hotel"/>
      <sheetName val="Retail-Stripmall"/>
      <sheetName val="1MS"/>
      <sheetName val="Building Types"/>
    </sheetNames>
    <sheetDataSet>
      <sheetData sheetId="0"/>
      <sheetData sheetId="1"/>
      <sheetData sheetId="2"/>
      <sheetData sheetId="3">
        <row r="18">
          <cell r="BB18">
            <v>153.1267599458545</v>
          </cell>
        </row>
      </sheetData>
      <sheetData sheetId="4">
        <row r="18">
          <cell r="BB18">
            <v>12092.285495836893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mparison to Load Profile"/>
      <sheetName val="Summary with Estimates"/>
      <sheetName val="Salina Elec"/>
      <sheetName val="Salina Gas"/>
      <sheetName val="224 Harrison Elec"/>
      <sheetName val="224 Harrison Gas "/>
      <sheetName val="White Memorial Elec"/>
      <sheetName val="White Memorial Gas"/>
      <sheetName val="1 Clinton Sq Elec"/>
      <sheetName val="Atrium Elec"/>
      <sheetName val="1 Clinton Sq Gas"/>
      <sheetName val="Atrium Gas"/>
      <sheetName val="One Lincoln Center Electric"/>
      <sheetName val="One Lincoln Center Gas"/>
      <sheetName val="One Park Place Electric"/>
      <sheetName val="One Park Place Gas"/>
    </sheetNames>
    <sheetDataSet>
      <sheetData sheetId="0">
        <row r="16">
          <cell r="E16">
            <v>8.5185542546820994E-2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aservice.net/cooling-tower-repair-or-replacement-whats-bes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723-7447-4B36-9946-923510A39187}">
  <dimension ref="A1:AE71"/>
  <sheetViews>
    <sheetView tabSelected="1" view="pageBreakPreview" zoomScaleNormal="85" zoomScaleSheetLayoutView="100" workbookViewId="0">
      <selection activeCell="B62" sqref="B62"/>
    </sheetView>
  </sheetViews>
  <sheetFormatPr defaultRowHeight="15" x14ac:dyDescent="0.25"/>
  <cols>
    <col min="1" max="1" width="29.5703125" bestFit="1" customWidth="1"/>
    <col min="2" max="2" width="26.5703125" customWidth="1"/>
    <col min="3" max="3" width="11.5703125" bestFit="1" customWidth="1"/>
    <col min="4" max="4" width="23.42578125" customWidth="1"/>
    <col min="5" max="5" width="12.42578125" bestFit="1" customWidth="1"/>
    <col min="6" max="6" width="10.7109375" customWidth="1"/>
    <col min="7" max="7" width="14.5703125" bestFit="1" customWidth="1"/>
    <col min="8" max="8" width="10.42578125" customWidth="1"/>
    <col min="9" max="9" width="8.85546875" customWidth="1"/>
    <col min="10" max="10" width="10.42578125" customWidth="1"/>
    <col min="11" max="11" width="14.140625" bestFit="1" customWidth="1"/>
    <col min="12" max="12" width="13.42578125" customWidth="1"/>
    <col min="13" max="13" width="15" customWidth="1"/>
    <col min="14" max="14" width="15.5703125" customWidth="1"/>
    <col min="15" max="15" width="11.42578125" customWidth="1"/>
    <col min="16" max="16" width="12.42578125" customWidth="1"/>
    <col min="17" max="18" width="10.5703125" customWidth="1"/>
    <col min="19" max="19" width="11.5703125" customWidth="1"/>
    <col min="20" max="20" width="11.28515625" bestFit="1" customWidth="1"/>
    <col min="21" max="21" width="11" customWidth="1"/>
    <col min="22" max="22" width="11.28515625" customWidth="1"/>
    <col min="23" max="23" width="12.140625" customWidth="1"/>
    <col min="24" max="24" width="12.42578125" bestFit="1" customWidth="1"/>
    <col min="26" max="26" width="11.42578125" customWidth="1"/>
    <col min="28" max="28" width="13" customWidth="1"/>
    <col min="29" max="29" width="15.7109375" customWidth="1"/>
    <col min="30" max="30" width="12.5703125" bestFit="1" customWidth="1"/>
  </cols>
  <sheetData>
    <row r="1" spans="1:31" x14ac:dyDescent="0.25">
      <c r="A1" s="14" t="s">
        <v>0</v>
      </c>
      <c r="B1" s="14"/>
    </row>
    <row r="2" spans="1:31" ht="15.75" thickBot="1" x14ac:dyDescent="0.3">
      <c r="A2" s="14"/>
      <c r="B2" s="14"/>
    </row>
    <row r="3" spans="1:31" ht="15.75" thickBot="1" x14ac:dyDescent="0.3">
      <c r="A3" s="14" t="s">
        <v>259</v>
      </c>
      <c r="B3" s="14"/>
      <c r="AC3" s="301" t="s">
        <v>1</v>
      </c>
      <c r="AD3" s="18">
        <v>0.05</v>
      </c>
      <c r="AE3" t="s">
        <v>2</v>
      </c>
    </row>
    <row r="4" spans="1:31" ht="15.75" thickBot="1" x14ac:dyDescent="0.3">
      <c r="O4" s="422" t="s">
        <v>3</v>
      </c>
      <c r="P4" s="422"/>
      <c r="Q4" s="422"/>
      <c r="R4" s="422"/>
      <c r="S4" s="426"/>
      <c r="U4" s="422" t="s">
        <v>4</v>
      </c>
      <c r="V4" s="422"/>
      <c r="W4" s="422"/>
      <c r="X4" s="422"/>
      <c r="Y4" s="422"/>
      <c r="Z4" s="426"/>
      <c r="AC4" s="192" t="s">
        <v>5</v>
      </c>
      <c r="AD4" s="11">
        <v>3360</v>
      </c>
    </row>
    <row r="5" spans="1:31" ht="14.65" customHeight="1" thickBot="1" x14ac:dyDescent="0.3">
      <c r="A5" s="431"/>
      <c r="B5" s="445" t="s">
        <v>6</v>
      </c>
      <c r="C5" s="433" t="s">
        <v>7</v>
      </c>
      <c r="D5" s="435" t="s">
        <v>8</v>
      </c>
      <c r="E5" s="298" t="s">
        <v>9</v>
      </c>
      <c r="F5" s="443" t="s">
        <v>10</v>
      </c>
      <c r="G5" s="58" t="s">
        <v>11</v>
      </c>
      <c r="H5" s="424" t="s">
        <v>12</v>
      </c>
      <c r="I5" s="424"/>
      <c r="J5" s="442" t="s">
        <v>13</v>
      </c>
      <c r="K5" s="442"/>
      <c r="L5" s="296" t="s">
        <v>14</v>
      </c>
      <c r="M5" s="18" t="s">
        <v>15</v>
      </c>
      <c r="N5" s="5"/>
      <c r="O5" s="424" t="s">
        <v>16</v>
      </c>
      <c r="P5" s="438" t="s">
        <v>17</v>
      </c>
      <c r="Q5" s="428" t="s">
        <v>18</v>
      </c>
      <c r="R5" s="428" t="s">
        <v>19</v>
      </c>
      <c r="S5" s="440" t="s">
        <v>20</v>
      </c>
      <c r="U5" s="439" t="s">
        <v>21</v>
      </c>
      <c r="V5" s="439"/>
      <c r="W5" s="439"/>
      <c r="X5" s="427" t="s">
        <v>22</v>
      </c>
      <c r="Y5" s="427"/>
      <c r="Z5" s="429" t="s">
        <v>23</v>
      </c>
      <c r="AB5" s="183"/>
    </row>
    <row r="6" spans="1:31" ht="15.75" thickBot="1" x14ac:dyDescent="0.3">
      <c r="A6" s="432"/>
      <c r="B6" s="446"/>
      <c r="C6" s="434"/>
      <c r="D6" s="436"/>
      <c r="E6" s="192" t="s">
        <v>24</v>
      </c>
      <c r="F6" s="444"/>
      <c r="G6" s="235" t="s">
        <v>25</v>
      </c>
      <c r="H6" s="233" t="s">
        <v>26</v>
      </c>
      <c r="I6" s="234" t="s">
        <v>27</v>
      </c>
      <c r="J6" s="306" t="s">
        <v>26</v>
      </c>
      <c r="K6" s="234" t="s">
        <v>27</v>
      </c>
      <c r="L6" s="57" t="s">
        <v>28</v>
      </c>
      <c r="M6" s="17" t="s">
        <v>29</v>
      </c>
      <c r="N6" s="5"/>
      <c r="O6" s="437"/>
      <c r="P6" s="428"/>
      <c r="Q6" s="428"/>
      <c r="R6" s="428"/>
      <c r="S6" s="441"/>
      <c r="U6" s="28" t="s">
        <v>30</v>
      </c>
      <c r="V6" s="29" t="s">
        <v>31</v>
      </c>
      <c r="W6" s="17" t="s">
        <v>32</v>
      </c>
      <c r="X6" s="427"/>
      <c r="Y6" s="427"/>
      <c r="Z6" s="429"/>
      <c r="AB6" s="424" t="s">
        <v>258</v>
      </c>
      <c r="AC6" s="412" t="s">
        <v>33</v>
      </c>
      <c r="AD6" s="253" t="s">
        <v>34</v>
      </c>
    </row>
    <row r="7" spans="1:31" ht="15.75" thickBot="1" x14ac:dyDescent="0.3">
      <c r="A7" s="285" t="s">
        <v>35</v>
      </c>
      <c r="B7" s="285"/>
      <c r="C7" s="303"/>
      <c r="D7" s="304"/>
      <c r="E7" s="286"/>
      <c r="F7" s="305"/>
      <c r="G7" s="287"/>
      <c r="H7" s="288"/>
      <c r="I7" s="289"/>
      <c r="J7" s="290"/>
      <c r="K7" s="291"/>
      <c r="L7" s="292"/>
      <c r="M7" s="293"/>
      <c r="N7" s="5"/>
      <c r="O7" s="307"/>
      <c r="P7" s="308"/>
      <c r="Q7" s="308"/>
      <c r="R7" s="308"/>
      <c r="S7" s="309"/>
      <c r="U7" s="312"/>
      <c r="V7" s="297"/>
      <c r="W7" s="313"/>
      <c r="X7" s="295"/>
      <c r="Y7" s="181"/>
      <c r="Z7" s="314"/>
      <c r="AB7" s="425"/>
      <c r="AC7" s="29" t="s">
        <v>164</v>
      </c>
      <c r="AD7" s="17" t="s">
        <v>25</v>
      </c>
    </row>
    <row r="8" spans="1:31" x14ac:dyDescent="0.25">
      <c r="A8" s="91" t="s">
        <v>36</v>
      </c>
      <c r="B8" s="299" t="s">
        <v>37</v>
      </c>
      <c r="C8" s="6">
        <v>330000</v>
      </c>
      <c r="D8" s="58" t="s">
        <v>38</v>
      </c>
      <c r="E8" s="6">
        <v>309.74201782356636</v>
      </c>
      <c r="F8" s="76">
        <v>352221.59945426352</v>
      </c>
      <c r="G8" s="60">
        <v>1238762.9523596608</v>
      </c>
      <c r="H8" s="301">
        <v>1</v>
      </c>
      <c r="I8" s="85">
        <f>E8*(H8/(H8+J8))</f>
        <v>309.74201782356636</v>
      </c>
      <c r="J8" s="301"/>
      <c r="K8" s="66">
        <f>E8*(J8/(H8+J8))</f>
        <v>0</v>
      </c>
      <c r="L8" s="374">
        <v>3582.0955031715998</v>
      </c>
      <c r="M8" s="93">
        <v>1460.7472524645293</v>
      </c>
      <c r="N8" s="219"/>
      <c r="O8" s="68">
        <f>(H8*(I8*'Equipment Costs'!$C$10*'Equipment Costs'!$C$7))+(J8*(K8*'Equipment Costs'!$C$10*'Equipment Costs'!$C$6))</f>
        <v>92922.605347069897</v>
      </c>
      <c r="P8" s="69">
        <f>IF(H8+J8&gt;0,(H8+J8)*'Equipment Costs'!$C$16,0)</f>
        <v>692</v>
      </c>
      <c r="Q8" s="69">
        <f>IF(H8+J8=0,0,E8*'Equipment Costs'!$C$25)</f>
        <v>309.74201782356636</v>
      </c>
      <c r="R8" s="69">
        <f>(IF(J8&gt;0,F8*'Equipment Costs'!$C$23)/1000)*'Equipment Costs'!$C$24</f>
        <v>0</v>
      </c>
      <c r="S8" s="70">
        <f>(H8+J8)*'Equipment Costs'!$C$17</f>
        <v>1000</v>
      </c>
      <c r="U8" s="26">
        <f>(L8*1000)*'Equipment Costs'!$C$8</f>
        <v>89552387.579290003</v>
      </c>
      <c r="V8" s="27">
        <f t="shared" ref="V8:V25" si="0">U8*0.3</f>
        <v>26865716.273786999</v>
      </c>
      <c r="W8" s="30">
        <f t="shared" ref="W8:W25" si="1">U8+V8</f>
        <v>116418103.85307699</v>
      </c>
      <c r="X8" s="26" t="s">
        <v>39</v>
      </c>
      <c r="Y8" s="310">
        <v>2</v>
      </c>
      <c r="Z8" s="311">
        <f>Y8*'Equipment Costs'!$C$18</f>
        <v>2000</v>
      </c>
      <c r="AB8" s="26" t="s">
        <v>40</v>
      </c>
      <c r="AC8" s="414">
        <f t="shared" ref="AC8:AC25" si="2">IF(OR(H8&gt;0,J8&gt;0),$AD$3*E8,0)</f>
        <v>15.487100891178319</v>
      </c>
      <c r="AD8" s="42">
        <f t="shared" ref="AD8:AD25" si="3">AC8*$AD$4</f>
        <v>52036.658994359153</v>
      </c>
    </row>
    <row r="9" spans="1:31" x14ac:dyDescent="0.25">
      <c r="A9" s="39" t="s">
        <v>41</v>
      </c>
      <c r="B9" s="177" t="s">
        <v>42</v>
      </c>
      <c r="C9" s="40">
        <v>1200000</v>
      </c>
      <c r="D9" s="41" t="s">
        <v>38</v>
      </c>
      <c r="E9" s="7">
        <v>1126.3346102675141</v>
      </c>
      <c r="F9" s="77">
        <v>1280805.8161973276</v>
      </c>
      <c r="G9" s="61">
        <v>4504592.5540351495</v>
      </c>
      <c r="H9" s="49">
        <v>3</v>
      </c>
      <c r="I9" s="86">
        <f>E9*(H9/(H9+J9))</f>
        <v>844.75095770063558</v>
      </c>
      <c r="J9" s="49">
        <v>1</v>
      </c>
      <c r="K9" s="65">
        <f>E9*(J9/(H9+J9))</f>
        <v>281.58365256687853</v>
      </c>
      <c r="L9" s="44">
        <v>13.02580182971491</v>
      </c>
      <c r="M9" s="42">
        <v>5311.8081907800733</v>
      </c>
      <c r="N9" s="219"/>
      <c r="O9" s="71">
        <f>(H9*(I9*'Equipment Costs'!$C$10*'Equipment Costs'!$C$7))+(J9*(K9*'Equipment Costs'!$C$10*'Equipment Costs'!$C$6))</f>
        <v>802513.40981560375</v>
      </c>
      <c r="P9" s="51">
        <f>IF(H9+J9&gt;0,(H9+J9)*'Equipment Costs'!$C$16,0)</f>
        <v>2768</v>
      </c>
      <c r="Q9" s="51">
        <f>IF(H9+J9=0,0,E9*'Equipment Costs'!$C$25)</f>
        <v>1126.3346102675141</v>
      </c>
      <c r="R9" s="51">
        <f>(IF(J9&gt;0,F9*'Equipment Costs'!$C$23)/1000)*'Equipment Costs'!$C$24</f>
        <v>194682.48406199377</v>
      </c>
      <c r="S9" s="72">
        <f>(H9+J9)*'Equipment Costs'!$C$17</f>
        <v>4000</v>
      </c>
      <c r="U9" s="26">
        <f>(L9*1000)*'Equipment Costs'!$C$8</f>
        <v>325645.04574287275</v>
      </c>
      <c r="V9" s="27">
        <f t="shared" si="0"/>
        <v>97693.513722861826</v>
      </c>
      <c r="W9" s="30">
        <f t="shared" si="1"/>
        <v>423338.55946573458</v>
      </c>
      <c r="X9" s="24" t="s">
        <v>43</v>
      </c>
      <c r="Y9" s="19">
        <v>2</v>
      </c>
      <c r="Z9" s="34">
        <f>Y9*'Equipment Costs'!$C$18</f>
        <v>2000</v>
      </c>
      <c r="AB9" s="24" t="s">
        <v>40</v>
      </c>
      <c r="AC9" s="411">
        <f>IF(OR(H9&gt;0,J9&gt;0),$AD$3*E9,0)</f>
        <v>56.31673051337571</v>
      </c>
      <c r="AD9" s="10">
        <f t="shared" si="3"/>
        <v>189224.21452494239</v>
      </c>
    </row>
    <row r="10" spans="1:31" x14ac:dyDescent="0.25">
      <c r="A10" s="39" t="s">
        <v>44</v>
      </c>
      <c r="B10" s="177" t="s">
        <v>45</v>
      </c>
      <c r="C10" s="40">
        <v>40000</v>
      </c>
      <c r="D10" s="41" t="s">
        <v>46</v>
      </c>
      <c r="E10" s="7">
        <v>70.543561676757918</v>
      </c>
      <c r="F10" s="77">
        <v>52730.834030878257</v>
      </c>
      <c r="G10" s="61">
        <v>185454.28146850501</v>
      </c>
      <c r="H10" s="49">
        <v>1</v>
      </c>
      <c r="I10" s="86">
        <f>E10*(H10/(H10+J10))</f>
        <v>35.271780838378959</v>
      </c>
      <c r="J10" s="49">
        <v>1</v>
      </c>
      <c r="K10" s="65">
        <f>E10*(J10/(H10+J10))</f>
        <v>35.271780838378959</v>
      </c>
      <c r="L10" s="44">
        <v>0.98565213472835578</v>
      </c>
      <c r="M10" s="42">
        <v>1420.0590428715707</v>
      </c>
      <c r="N10" s="219"/>
      <c r="O10" s="71">
        <f>(H10*(I10*'Equipment Costs'!$C$10*'Equipment Costs'!$C$7))+(J10*(K10*'Equipment Costs'!$C$10*'Equipment Costs'!$C$6))</f>
        <v>15872.301377270531</v>
      </c>
      <c r="P10" s="51">
        <f>IF(H10+J10&gt;0,(H10+J10)*'Equipment Costs'!$C$16,0)</f>
        <v>1384</v>
      </c>
      <c r="Q10" s="51">
        <f>IF(H10+J10=0,0,E10*'Equipment Costs'!$C$25)</f>
        <v>70.543561676757918</v>
      </c>
      <c r="R10" s="51">
        <f>(IF(J10&gt;0,F10*'Equipment Costs'!$C$23)/1000)*'Equipment Costs'!$C$24</f>
        <v>8015.0867726934957</v>
      </c>
      <c r="S10" s="72">
        <f>(H10+J10)*'Equipment Costs'!$C$17</f>
        <v>2000</v>
      </c>
      <c r="U10" s="26">
        <f>(L10*1000)*'Equipment Costs'!$C$8</f>
        <v>24641.303368208894</v>
      </c>
      <c r="V10" s="27">
        <f t="shared" si="0"/>
        <v>7392.3910104626675</v>
      </c>
      <c r="W10" s="30">
        <f t="shared" si="1"/>
        <v>32033.69437867156</v>
      </c>
      <c r="X10" s="24" t="s">
        <v>47</v>
      </c>
      <c r="Y10" s="19">
        <v>2</v>
      </c>
      <c r="Z10" s="43">
        <f>Y10*'Equipment Costs'!$C$18</f>
        <v>2000</v>
      </c>
      <c r="AB10" s="24" t="s">
        <v>40</v>
      </c>
      <c r="AC10" s="411">
        <f t="shared" si="2"/>
        <v>3.5271780838378959</v>
      </c>
      <c r="AD10" s="10">
        <f t="shared" si="3"/>
        <v>11851.31836169533</v>
      </c>
    </row>
    <row r="11" spans="1:31" x14ac:dyDescent="0.25">
      <c r="A11" s="1" t="s">
        <v>48</v>
      </c>
      <c r="B11" s="178" t="s">
        <v>49</v>
      </c>
      <c r="C11" s="7">
        <v>287000</v>
      </c>
      <c r="D11" s="3" t="s">
        <v>38</v>
      </c>
      <c r="E11" s="7">
        <v>269.38169428898044</v>
      </c>
      <c r="F11" s="77">
        <v>306326.05770719383</v>
      </c>
      <c r="G11" s="61">
        <v>1077348.3858400721</v>
      </c>
      <c r="H11" s="49"/>
      <c r="I11" s="86"/>
      <c r="J11" s="49"/>
      <c r="K11" s="65"/>
      <c r="L11" s="45">
        <v>3.1153376042734822</v>
      </c>
      <c r="M11" s="10">
        <v>1270.4074589615693</v>
      </c>
      <c r="N11" s="219"/>
      <c r="O11" s="71">
        <f>(H11*(I11*'Equipment Costs'!$C$10*'Equipment Costs'!$C$7))+(J11*(K11*'Equipment Costs'!$C$10*'Equipment Costs'!$C$6))</f>
        <v>0</v>
      </c>
      <c r="P11" s="51">
        <f>IF(H11+J11&gt;0,(H11+J11)*'Equipment Costs'!$C$16,0)</f>
        <v>0</v>
      </c>
      <c r="Q11" s="51">
        <f>IF(H11+J11=0,0,E11*'Equipment Costs'!$C$25)</f>
        <v>0</v>
      </c>
      <c r="R11" s="51">
        <f>(IF(J11&gt;0,F11*'Equipment Costs'!$C$23)/1000)*'Equipment Costs'!$C$24</f>
        <v>0</v>
      </c>
      <c r="S11" s="72">
        <f>(H11+J11)*'Equipment Costs'!$C$17</f>
        <v>0</v>
      </c>
      <c r="U11" s="24">
        <f>(L11*1000)*'Equipment Costs'!$C$8</f>
        <v>77883.44010683705</v>
      </c>
      <c r="V11" s="27">
        <f t="shared" si="0"/>
        <v>23365.032032051113</v>
      </c>
      <c r="W11" s="31">
        <f t="shared" si="1"/>
        <v>101248.47213888816</v>
      </c>
      <c r="X11" s="24" t="s">
        <v>47</v>
      </c>
      <c r="Y11" s="19">
        <v>2</v>
      </c>
      <c r="Z11" s="34">
        <f>Y11*'Equipment Costs'!$C$18</f>
        <v>2000</v>
      </c>
      <c r="AB11" s="24" t="s">
        <v>40</v>
      </c>
      <c r="AC11" s="411">
        <f t="shared" si="2"/>
        <v>0</v>
      </c>
      <c r="AD11" s="10">
        <f t="shared" si="3"/>
        <v>0</v>
      </c>
    </row>
    <row r="12" spans="1:31" x14ac:dyDescent="0.25">
      <c r="A12" s="1" t="s">
        <v>50</v>
      </c>
      <c r="B12" s="178" t="s">
        <v>51</v>
      </c>
      <c r="C12" s="7">
        <v>365000</v>
      </c>
      <c r="D12" s="3" t="s">
        <v>38</v>
      </c>
      <c r="E12" s="7">
        <v>342.59344395636884</v>
      </c>
      <c r="F12" s="77">
        <v>389578.43576001952</v>
      </c>
      <c r="G12" s="61">
        <v>1370146.9018523549</v>
      </c>
      <c r="H12" s="49">
        <v>1</v>
      </c>
      <c r="I12" s="86">
        <f>E12*(H12/(H12+J12))</f>
        <v>171.29672197818442</v>
      </c>
      <c r="J12" s="49">
        <v>1</v>
      </c>
      <c r="K12" s="65">
        <f>E12*(J12/(H12+J12))</f>
        <v>171.29672197818442</v>
      </c>
      <c r="L12" s="45">
        <v>3.9620147232049514</v>
      </c>
      <c r="M12" s="10">
        <v>1615.6749913622746</v>
      </c>
      <c r="N12" s="219"/>
      <c r="O12" s="71">
        <f>(H12*(I12*'Equipment Costs'!$C$10*'Equipment Costs'!$C$7))+(J12*(K12*'Equipment Costs'!$C$10*'Equipment Costs'!$C$6))</f>
        <v>77083.524890182976</v>
      </c>
      <c r="P12" s="51">
        <f>IF(H12+J12&gt;0,(H12+J12)*'Equipment Costs'!$C$16,0)</f>
        <v>1384</v>
      </c>
      <c r="Q12" s="51">
        <f>IF(H12+J12=0,0,E12*'Equipment Costs'!$C$25)</f>
        <v>342.59344395636884</v>
      </c>
      <c r="R12" s="51">
        <f>(IF(J12&gt;0,F12*'Equipment Costs'!$C$23)/1000)*'Equipment Costs'!$C$24</f>
        <v>59215.922235522965</v>
      </c>
      <c r="S12" s="72">
        <f>(H12+J12)*'Equipment Costs'!$C$17</f>
        <v>2000</v>
      </c>
      <c r="U12" s="24">
        <f>(L12*1000)*'Equipment Costs'!$C$8</f>
        <v>99050.368080123779</v>
      </c>
      <c r="V12" s="27">
        <f t="shared" si="0"/>
        <v>29715.110424037131</v>
      </c>
      <c r="W12" s="31">
        <f t="shared" si="1"/>
        <v>128765.47850416091</v>
      </c>
      <c r="X12" s="24" t="s">
        <v>39</v>
      </c>
      <c r="Y12" s="19">
        <v>2</v>
      </c>
      <c r="Z12" s="34">
        <f>Y12*'Equipment Costs'!$C$18</f>
        <v>2000</v>
      </c>
      <c r="AB12" s="24" t="s">
        <v>40</v>
      </c>
      <c r="AC12" s="411">
        <f t="shared" si="2"/>
        <v>17.129672197818444</v>
      </c>
      <c r="AD12" s="10">
        <f t="shared" si="3"/>
        <v>57555.698584669968</v>
      </c>
    </row>
    <row r="13" spans="1:31" x14ac:dyDescent="0.25">
      <c r="A13" s="1" t="s">
        <v>52</v>
      </c>
      <c r="B13" s="178" t="s">
        <v>53</v>
      </c>
      <c r="C13" s="7">
        <v>360000</v>
      </c>
      <c r="D13" s="3" t="s">
        <v>38</v>
      </c>
      <c r="E13" s="7">
        <v>337.90038308025419</v>
      </c>
      <c r="F13" s="77">
        <v>384241.74485919601</v>
      </c>
      <c r="G13" s="61">
        <v>1351377.7662105369</v>
      </c>
      <c r="H13" s="49">
        <v>2</v>
      </c>
      <c r="I13" s="86">
        <f>E13*(H13/(H13+J13))</f>
        <v>337.90038308025419</v>
      </c>
      <c r="J13" s="49"/>
      <c r="K13" s="65">
        <f>E13*(J13/(H13+J13))</f>
        <v>0</v>
      </c>
      <c r="L13" s="45">
        <v>3.9077405489144721</v>
      </c>
      <c r="M13" s="10">
        <v>1593.5424572340228</v>
      </c>
      <c r="N13" s="219"/>
      <c r="O13" s="71">
        <f>(H13*(I13*'Equipment Costs'!$C$10*'Equipment Costs'!$C$7))+(J13*(K13*'Equipment Costs'!$C$10*'Equipment Costs'!$C$6))</f>
        <v>202740.22984815249</v>
      </c>
      <c r="P13" s="51">
        <f>IF(H13+J13&gt;0,(H13+J13)*'Equipment Costs'!$C$16,0)</f>
        <v>1384</v>
      </c>
      <c r="Q13" s="51">
        <f>IF(H13+J13=0,0,E13*'Equipment Costs'!$C$25)</f>
        <v>337.90038308025419</v>
      </c>
      <c r="R13" s="51">
        <f>(IF(J13&gt;0,F13*'Equipment Costs'!$C$23)/1000)*'Equipment Costs'!$C$24</f>
        <v>0</v>
      </c>
      <c r="S13" s="72">
        <f>(H13+J13)*'Equipment Costs'!$C$17</f>
        <v>2000</v>
      </c>
      <c r="U13" s="24">
        <f>(L13*1000)*'Equipment Costs'!$C$8</f>
        <v>97693.513722861797</v>
      </c>
      <c r="V13" s="27">
        <f t="shared" si="0"/>
        <v>29308.054116858537</v>
      </c>
      <c r="W13" s="31">
        <f t="shared" si="1"/>
        <v>127001.56783972033</v>
      </c>
      <c r="X13" s="24" t="s">
        <v>39</v>
      </c>
      <c r="Y13" s="19">
        <v>2</v>
      </c>
      <c r="Z13" s="34">
        <f>Y13*'Equipment Costs'!$C$18</f>
        <v>2000</v>
      </c>
      <c r="AB13" s="24" t="s">
        <v>40</v>
      </c>
      <c r="AC13" s="411">
        <f t="shared" si="2"/>
        <v>16.895019154012711</v>
      </c>
      <c r="AD13" s="10">
        <f t="shared" si="3"/>
        <v>56767.264357482709</v>
      </c>
    </row>
    <row r="14" spans="1:31" x14ac:dyDescent="0.25">
      <c r="A14" s="1" t="s">
        <v>54</v>
      </c>
      <c r="B14" s="178" t="s">
        <v>55</v>
      </c>
      <c r="C14" s="7">
        <v>72000</v>
      </c>
      <c r="D14" s="3" t="s">
        <v>56</v>
      </c>
      <c r="E14" s="7">
        <v>148.43999434106257</v>
      </c>
      <c r="F14" s="77">
        <v>134233.00890875552</v>
      </c>
      <c r="G14" s="61">
        <v>472097.33496631484</v>
      </c>
      <c r="H14" s="49">
        <v>1</v>
      </c>
      <c r="I14" s="86">
        <f>E14*(H14/(H14+J14))</f>
        <v>148.43999434106257</v>
      </c>
      <c r="J14" s="49"/>
      <c r="K14" s="65">
        <f>E14*(J14/(H14+J14))</f>
        <v>0</v>
      </c>
      <c r="L14" s="45">
        <v>1.4208084085637034</v>
      </c>
      <c r="M14" s="10">
        <v>1054.1905752366083</v>
      </c>
      <c r="N14" s="219"/>
      <c r="O14" s="71">
        <f>(H14*(I14*'Equipment Costs'!$C$10*'Equipment Costs'!$C$7))+(J14*(K14*'Equipment Costs'!$C$10*'Equipment Costs'!$C$6))</f>
        <v>44531.998302318767</v>
      </c>
      <c r="P14" s="51">
        <f>IF(H14+J14&gt;0,(H14+J14)*'Equipment Costs'!$C$16,0)</f>
        <v>692</v>
      </c>
      <c r="Q14" s="51">
        <f>IF(H14+J14=0,0,E14*'Equipment Costs'!$C$25)</f>
        <v>148.43999434106257</v>
      </c>
      <c r="R14" s="51">
        <f>(IF(J14&gt;0,F14*'Equipment Costs'!$C$23)/1000)*'Equipment Costs'!$C$24</f>
        <v>0</v>
      </c>
      <c r="S14" s="72">
        <f>(H14+J14)*'Equipment Costs'!$C$17</f>
        <v>1000</v>
      </c>
      <c r="U14" s="24">
        <f>(L14*1000)*'Equipment Costs'!$C$8</f>
        <v>35520.210214092585</v>
      </c>
      <c r="V14" s="27">
        <f t="shared" si="0"/>
        <v>10656.063064227776</v>
      </c>
      <c r="W14" s="31">
        <f t="shared" si="1"/>
        <v>46176.273278320361</v>
      </c>
      <c r="X14" s="24" t="s">
        <v>47</v>
      </c>
      <c r="Y14" s="19">
        <v>2</v>
      </c>
      <c r="Z14" s="34">
        <f>Y14*'Equipment Costs'!$C$18</f>
        <v>2000</v>
      </c>
      <c r="AB14" s="24" t="s">
        <v>40</v>
      </c>
      <c r="AC14" s="411">
        <f t="shared" si="2"/>
        <v>7.4219997170531293</v>
      </c>
      <c r="AD14" s="10">
        <f t="shared" si="3"/>
        <v>24937.919049298514</v>
      </c>
    </row>
    <row r="15" spans="1:31" x14ac:dyDescent="0.25">
      <c r="A15" s="199" t="s">
        <v>57</v>
      </c>
      <c r="B15" s="200" t="s">
        <v>57</v>
      </c>
      <c r="C15" s="201">
        <v>252910</v>
      </c>
      <c r="D15" s="202" t="s">
        <v>38</v>
      </c>
      <c r="E15" s="201">
        <v>237.38440523563079</v>
      </c>
      <c r="F15" s="203">
        <v>269940.49914538721</v>
      </c>
      <c r="G15" s="204">
        <v>949380.4190341871</v>
      </c>
      <c r="H15" s="205">
        <v>1</v>
      </c>
      <c r="I15" s="206">
        <f>E15*(H15/(H15+J15))</f>
        <v>237.38440523563079</v>
      </c>
      <c r="J15" s="205"/>
      <c r="K15" s="207">
        <f>E15*(J15/(H15+J15))</f>
        <v>0</v>
      </c>
      <c r="L15" s="208">
        <v>2.7452962839609976</v>
      </c>
      <c r="M15" s="209">
        <v>1119.5078412751584</v>
      </c>
      <c r="N15" s="219"/>
      <c r="O15" s="210">
        <f>(H15*(I15*'Equipment Costs'!$C$10*'Equipment Costs'!$C$7))+(J15*(K15*'Equipment Costs'!$C$10*'Equipment Costs'!$C$6))</f>
        <v>71215.321570689237</v>
      </c>
      <c r="P15" s="211">
        <f>IF(H15+J15&gt;0,(H15+J15)*'Equipment Costs'!$C$16,0)</f>
        <v>692</v>
      </c>
      <c r="Q15" s="211">
        <f>IF(H15+J15=0,0,E15*'Equipment Costs'!$C$25)</f>
        <v>237.38440523563079</v>
      </c>
      <c r="R15" s="211">
        <f>(IF(J15&gt;0,F15*'Equipment Costs'!$C$23)/1000)*'Equipment Costs'!$C$24</f>
        <v>0</v>
      </c>
      <c r="S15" s="212">
        <f>(H15+J15)*'Equipment Costs'!$C$17</f>
        <v>1000</v>
      </c>
      <c r="T15" s="213"/>
      <c r="U15" s="214">
        <f>(L15*1000)*'Equipment Costs'!$C$8</f>
        <v>68632.407099024946</v>
      </c>
      <c r="V15" s="215">
        <f t="shared" si="0"/>
        <v>20589.722129707483</v>
      </c>
      <c r="W15" s="216">
        <f t="shared" si="1"/>
        <v>89222.129228732432</v>
      </c>
      <c r="X15" s="214" t="s">
        <v>47</v>
      </c>
      <c r="Y15" s="217">
        <v>2</v>
      </c>
      <c r="Z15" s="218">
        <f>Y15*'Equipment Costs'!$C$18</f>
        <v>2000</v>
      </c>
      <c r="AB15" s="24" t="s">
        <v>40</v>
      </c>
      <c r="AC15" s="411">
        <f t="shared" si="2"/>
        <v>11.869220261781541</v>
      </c>
      <c r="AD15" s="10">
        <f t="shared" si="3"/>
        <v>39880.580079585976</v>
      </c>
    </row>
    <row r="16" spans="1:31" x14ac:dyDescent="0.25">
      <c r="A16" s="1" t="s">
        <v>58</v>
      </c>
      <c r="B16" s="178" t="s">
        <v>59</v>
      </c>
      <c r="C16" s="7">
        <v>132000</v>
      </c>
      <c r="D16" s="3" t="s">
        <v>38</v>
      </c>
      <c r="E16" s="7">
        <v>123.89680712942653</v>
      </c>
      <c r="F16" s="77">
        <v>140888.6397817058</v>
      </c>
      <c r="G16" s="61">
        <v>495505.18094386562</v>
      </c>
      <c r="H16" s="49"/>
      <c r="I16" s="86"/>
      <c r="J16" s="49"/>
      <c r="K16" s="65"/>
      <c r="L16" s="45">
        <v>1.4328382012686398</v>
      </c>
      <c r="M16" s="10">
        <v>584.29890098580984</v>
      </c>
      <c r="N16" s="219"/>
      <c r="O16" s="71">
        <f>(H16*(I16*'Equipment Costs'!$C$10*'Equipment Costs'!$C$7))+(J16*(K16*'Equipment Costs'!$C$10*'Equipment Costs'!$C$6))</f>
        <v>0</v>
      </c>
      <c r="P16" s="51">
        <f>IF(H16+J16&gt;0,(H16+J16)*'Equipment Costs'!$C$16,0)</f>
        <v>0</v>
      </c>
      <c r="Q16" s="51">
        <f>IF(H16+J16=0,0,E16*'Equipment Costs'!$C$25)</f>
        <v>0</v>
      </c>
      <c r="R16" s="51">
        <f>(IF(J16&gt;0,F16*'Equipment Costs'!$C$23)/1000)*'Equipment Costs'!$C$24</f>
        <v>0</v>
      </c>
      <c r="S16" s="72">
        <f>(H16+J16)*'Equipment Costs'!$C$17</f>
        <v>0</v>
      </c>
      <c r="U16" s="24">
        <f>(L16*1000)*'Equipment Costs'!$C$8</f>
        <v>35820.955031715996</v>
      </c>
      <c r="V16" s="27">
        <f t="shared" si="0"/>
        <v>10746.286509514799</v>
      </c>
      <c r="W16" s="31">
        <f t="shared" si="1"/>
        <v>46567.241541230796</v>
      </c>
      <c r="X16" s="24" t="s">
        <v>47</v>
      </c>
      <c r="Y16" s="19">
        <v>2</v>
      </c>
      <c r="Z16" s="34">
        <f>Y16*'Equipment Costs'!$C$18</f>
        <v>2000</v>
      </c>
      <c r="AB16" s="24" t="s">
        <v>40</v>
      </c>
      <c r="AC16" s="411">
        <f t="shared" si="2"/>
        <v>0</v>
      </c>
      <c r="AD16" s="10">
        <f t="shared" si="3"/>
        <v>0</v>
      </c>
    </row>
    <row r="17" spans="1:30" x14ac:dyDescent="0.25">
      <c r="A17" s="1" t="s">
        <v>60</v>
      </c>
      <c r="B17" s="375" t="s">
        <v>61</v>
      </c>
      <c r="C17" s="376">
        <v>50000</v>
      </c>
      <c r="D17" s="82" t="s">
        <v>62</v>
      </c>
      <c r="E17" s="376">
        <v>82.682316973797143</v>
      </c>
      <c r="F17" s="377">
        <v>31084.322489106202</v>
      </c>
      <c r="G17" s="378">
        <v>109323.52575301127</v>
      </c>
      <c r="H17" s="64">
        <v>1</v>
      </c>
      <c r="I17" s="379">
        <f>E17*(H17/(H17+J17))</f>
        <v>82.682316973797143</v>
      </c>
      <c r="J17" s="64"/>
      <c r="K17" s="380">
        <f>E17*(J17/(H17+J17))</f>
        <v>0</v>
      </c>
      <c r="L17" s="45">
        <v>0.92980896790037304</v>
      </c>
      <c r="M17" s="10">
        <v>1189.2120766056512</v>
      </c>
      <c r="N17" s="219"/>
      <c r="O17" s="71">
        <f>(H17*(I17*'Equipment Costs'!$C$10*'Equipment Costs'!$C$7))+(J17*(K17*'Equipment Costs'!$C$10*'Equipment Costs'!$C$6))</f>
        <v>24804.69509213914</v>
      </c>
      <c r="P17" s="51">
        <f>IF(H17+J17&gt;0,(H17+J17)*'Equipment Costs'!$C$16,0)</f>
        <v>692</v>
      </c>
      <c r="Q17" s="51">
        <f>IF(H17+J17=0,0,E17*'Equipment Costs'!$C$25)</f>
        <v>82.682316973797143</v>
      </c>
      <c r="R17" s="51">
        <f>(IF(J17&gt;0,F17*'Equipment Costs'!$C$23)/1000)*'Equipment Costs'!$C$24</f>
        <v>0</v>
      </c>
      <c r="S17" s="72">
        <f>(H17+J17)*'Equipment Costs'!$C$17</f>
        <v>1000</v>
      </c>
      <c r="U17" s="24">
        <f>(L17*1000)*'Equipment Costs'!$C$8</f>
        <v>23245.224197509327</v>
      </c>
      <c r="V17" s="27">
        <f t="shared" si="0"/>
        <v>6973.5672592527981</v>
      </c>
      <c r="W17" s="31">
        <f t="shared" si="1"/>
        <v>30218.791456762126</v>
      </c>
      <c r="X17" s="24" t="s">
        <v>47</v>
      </c>
      <c r="Y17" s="19">
        <v>2</v>
      </c>
      <c r="Z17" s="34">
        <f>Y17*'Equipment Costs'!$C$18</f>
        <v>2000</v>
      </c>
      <c r="AB17" s="24" t="s">
        <v>40</v>
      </c>
      <c r="AC17" s="411">
        <f t="shared" si="2"/>
        <v>4.1341158486898575</v>
      </c>
      <c r="AD17" s="10">
        <f t="shared" si="3"/>
        <v>13890.62925159792</v>
      </c>
    </row>
    <row r="18" spans="1:30" x14ac:dyDescent="0.25">
      <c r="A18" s="1" t="s">
        <v>63</v>
      </c>
      <c r="B18" s="375" t="s">
        <v>64</v>
      </c>
      <c r="C18" s="376">
        <v>137000</v>
      </c>
      <c r="D18" s="82" t="s">
        <v>38</v>
      </c>
      <c r="E18" s="376">
        <v>128.58986800554118</v>
      </c>
      <c r="F18" s="377">
        <v>146225.33068252832</v>
      </c>
      <c r="G18" s="378">
        <v>514274.31658567989</v>
      </c>
      <c r="H18" s="64">
        <v>2</v>
      </c>
      <c r="I18" s="379">
        <f>E18*(H18/(H18+J18))</f>
        <v>128.58986800554118</v>
      </c>
      <c r="J18" s="64"/>
      <c r="K18" s="380">
        <f>E18*(J18/(H18+J18))</f>
        <v>0</v>
      </c>
      <c r="L18" s="45">
        <v>1.4871123755591185</v>
      </c>
      <c r="M18" s="10">
        <v>606.43143511405663</v>
      </c>
      <c r="N18" s="219"/>
      <c r="O18" s="71">
        <f>(H18*(I18*'Equipment Costs'!$C$10*'Equipment Costs'!$C$7))+(J18*(K18*'Equipment Costs'!$C$10*'Equipment Costs'!$C$6))</f>
        <v>77153.920803324712</v>
      </c>
      <c r="P18" s="51">
        <f>IF(H18+J18&gt;0,(H18+J18)*'Equipment Costs'!$C$16,0)</f>
        <v>1384</v>
      </c>
      <c r="Q18" s="51">
        <f>IF(H18+J18=0,0,E18*'Equipment Costs'!$C$25)</f>
        <v>128.58986800554118</v>
      </c>
      <c r="R18" s="51">
        <f>(IF(J18&gt;0,F18*'Equipment Costs'!$C$23)/1000)*'Equipment Costs'!$C$24</f>
        <v>0</v>
      </c>
      <c r="S18" s="72">
        <f>(H18+J18)*'Equipment Costs'!$C$17</f>
        <v>2000</v>
      </c>
      <c r="U18" s="24">
        <f>(L18*1000)*'Equipment Costs'!$C$8</f>
        <v>37177.809388977963</v>
      </c>
      <c r="V18" s="27">
        <f t="shared" si="0"/>
        <v>11153.342816693388</v>
      </c>
      <c r="W18" s="31">
        <f t="shared" si="1"/>
        <v>48331.152205671351</v>
      </c>
      <c r="X18" s="24" t="s">
        <v>47</v>
      </c>
      <c r="Y18" s="19">
        <v>2</v>
      </c>
      <c r="Z18" s="34">
        <f>Y18*'Equipment Costs'!$C$18</f>
        <v>2000</v>
      </c>
      <c r="AB18" s="24" t="s">
        <v>40</v>
      </c>
      <c r="AC18" s="411">
        <f t="shared" si="2"/>
        <v>6.4294934002770594</v>
      </c>
      <c r="AD18" s="10">
        <f t="shared" si="3"/>
        <v>21603.097824930919</v>
      </c>
    </row>
    <row r="19" spans="1:30" x14ac:dyDescent="0.25">
      <c r="A19" s="1" t="s">
        <v>65</v>
      </c>
      <c r="B19" s="375" t="s">
        <v>66</v>
      </c>
      <c r="C19" s="376">
        <v>84555</v>
      </c>
      <c r="D19" s="82" t="s">
        <v>56</v>
      </c>
      <c r="E19" s="376">
        <v>174.32421835428534</v>
      </c>
      <c r="F19" s="377">
        <v>157639.88983721955</v>
      </c>
      <c r="G19" s="378">
        <v>554419.30775106524</v>
      </c>
      <c r="H19" s="64"/>
      <c r="I19" s="379"/>
      <c r="J19" s="64"/>
      <c r="K19" s="380"/>
      <c r="L19" s="45">
        <v>1.6685618748069992</v>
      </c>
      <c r="M19" s="10">
        <v>1238.0150567934909</v>
      </c>
      <c r="N19" s="219"/>
      <c r="O19" s="71">
        <f>(H19*(I19*'Equipment Costs'!$C$10*'Equipment Costs'!$C$7))+(J19*(K19*'Equipment Costs'!$C$10*'Equipment Costs'!$C$6))</f>
        <v>0</v>
      </c>
      <c r="P19" s="51">
        <f>IF(H19+J19&gt;0,(H19+J19)*'Equipment Costs'!$C$16,0)</f>
        <v>0</v>
      </c>
      <c r="Q19" s="51">
        <f>IF(H19+J19=0,0,E19*'Equipment Costs'!$C$25)</f>
        <v>0</v>
      </c>
      <c r="R19" s="51">
        <f>(IF(J19&gt;0,F19*'Equipment Costs'!$C$23)/1000)*'Equipment Costs'!$C$24</f>
        <v>0</v>
      </c>
      <c r="S19" s="72">
        <f>(H19+J19)*'Equipment Costs'!$C$17</f>
        <v>0</v>
      </c>
      <c r="U19" s="24">
        <f>(L19*1000)*'Equipment Costs'!$C$8</f>
        <v>41714.046870174978</v>
      </c>
      <c r="V19" s="27">
        <f t="shared" si="0"/>
        <v>12514.214061052493</v>
      </c>
      <c r="W19" s="31">
        <f t="shared" si="1"/>
        <v>54228.260931227473</v>
      </c>
      <c r="X19" s="24" t="s">
        <v>47</v>
      </c>
      <c r="Y19" s="19">
        <v>2</v>
      </c>
      <c r="Z19" s="34">
        <f>Y19*'Equipment Costs'!$C$18</f>
        <v>2000</v>
      </c>
      <c r="AB19" s="24" t="s">
        <v>40</v>
      </c>
      <c r="AC19" s="411">
        <f t="shared" si="2"/>
        <v>0</v>
      </c>
      <c r="AD19" s="10">
        <f t="shared" si="3"/>
        <v>0</v>
      </c>
    </row>
    <row r="20" spans="1:30" x14ac:dyDescent="0.25">
      <c r="A20" s="1" t="s">
        <v>67</v>
      </c>
      <c r="B20" s="375" t="s">
        <v>68</v>
      </c>
      <c r="C20" s="376">
        <v>367500</v>
      </c>
      <c r="D20" s="82" t="s">
        <v>38</v>
      </c>
      <c r="E20" s="376">
        <v>344.9399743944262</v>
      </c>
      <c r="F20" s="377">
        <v>392246.78121042921</v>
      </c>
      <c r="G20" s="378">
        <v>1379531.4696732562</v>
      </c>
      <c r="H20" s="64"/>
      <c r="I20" s="379">
        <f t="shared" ref="I20:I25" si="4">E20*(H20/(H20+J20))</f>
        <v>0</v>
      </c>
      <c r="J20" s="64">
        <v>2</v>
      </c>
      <c r="K20" s="380">
        <f t="shared" ref="K20:K25" si="5">E20*(J20/(H20+J20))</f>
        <v>344.9399743944262</v>
      </c>
      <c r="L20" s="45">
        <v>3.9891518103501911</v>
      </c>
      <c r="M20" s="10">
        <v>1626.7412584263961</v>
      </c>
      <c r="N20" s="219"/>
      <c r="O20" s="71">
        <f>(H20*(I20*'Equipment Costs'!$C$10*'Equipment Costs'!$C$7))+(J20*(K20*'Equipment Costs'!$C$10*'Equipment Costs'!$C$6))</f>
        <v>103481.99231832786</v>
      </c>
      <c r="P20" s="51">
        <f>IF(H20+J20&gt;0,(H20+J20)*'Equipment Costs'!$C$16,0)</f>
        <v>1384</v>
      </c>
      <c r="Q20" s="51">
        <f>IF(H20+J20=0,0,E20*'Equipment Costs'!$C$25)</f>
        <v>344.9399743944262</v>
      </c>
      <c r="R20" s="51">
        <f>(IF(J20&gt;0,F20*'Equipment Costs'!$C$23)/1000)*'Equipment Costs'!$C$24</f>
        <v>59621.510743985244</v>
      </c>
      <c r="S20" s="72">
        <f>(H20+J20)*'Equipment Costs'!$C$17</f>
        <v>2000</v>
      </c>
      <c r="U20" s="24">
        <f>(L20*1000)*'Equipment Costs'!$C$8</f>
        <v>99728.795258754777</v>
      </c>
      <c r="V20" s="27">
        <f t="shared" si="0"/>
        <v>29918.638577626432</v>
      </c>
      <c r="W20" s="31">
        <f t="shared" si="1"/>
        <v>129647.43383638121</v>
      </c>
      <c r="X20" s="24" t="s">
        <v>39</v>
      </c>
      <c r="Y20" s="19">
        <v>2</v>
      </c>
      <c r="Z20" s="34">
        <f>Y20*'Equipment Costs'!$C$18</f>
        <v>2000</v>
      </c>
      <c r="AB20" s="24" t="s">
        <v>40</v>
      </c>
      <c r="AC20" s="411">
        <f t="shared" si="2"/>
        <v>17.246998719721311</v>
      </c>
      <c r="AD20" s="10">
        <f t="shared" si="3"/>
        <v>57949.915698263605</v>
      </c>
    </row>
    <row r="21" spans="1:30" x14ac:dyDescent="0.25">
      <c r="A21" s="1" t="s">
        <v>69</v>
      </c>
      <c r="B21" s="375" t="s">
        <v>70</v>
      </c>
      <c r="C21" s="376">
        <v>185530</v>
      </c>
      <c r="D21" s="82" t="s">
        <v>38</v>
      </c>
      <c r="E21" s="376">
        <v>174.14071686910987</v>
      </c>
      <c r="F21" s="377">
        <v>198023.25256590851</v>
      </c>
      <c r="G21" s="378">
        <v>696447.54712511785</v>
      </c>
      <c r="H21" s="64"/>
      <c r="I21" s="379">
        <f t="shared" si="4"/>
        <v>0</v>
      </c>
      <c r="J21" s="64">
        <v>2</v>
      </c>
      <c r="K21" s="380">
        <f t="shared" si="5"/>
        <v>174.14071686910987</v>
      </c>
      <c r="L21" s="45">
        <v>2.0138975112225057</v>
      </c>
      <c r="M21" s="10">
        <v>821.24981136285749</v>
      </c>
      <c r="N21" s="219"/>
      <c r="O21" s="71">
        <f>(H21*(I21*'Equipment Costs'!$C$10*'Equipment Costs'!$C$7))+(J21*(K21*'Equipment Costs'!$C$10*'Equipment Costs'!$C$6))</f>
        <v>52242.21506073296</v>
      </c>
      <c r="P21" s="51">
        <f>IF(H21+J21&gt;0,(H21+J21)*'Equipment Costs'!$C$16,0)</f>
        <v>1384</v>
      </c>
      <c r="Q21" s="51">
        <f>IF(H21+J21=0,0,E21*'Equipment Costs'!$C$25)</f>
        <v>174.14071686910987</v>
      </c>
      <c r="R21" s="51">
        <f>(IF(J21&gt;0,F21*'Equipment Costs'!$C$23)/1000)*'Equipment Costs'!$C$24</f>
        <v>30099.534390018096</v>
      </c>
      <c r="S21" s="72">
        <f>(H21+J21)*'Equipment Costs'!$C$17</f>
        <v>2000</v>
      </c>
      <c r="U21" s="24">
        <f>(L21*1000)*'Equipment Costs'!$C$8</f>
        <v>50347.437780562643</v>
      </c>
      <c r="V21" s="27">
        <f t="shared" si="0"/>
        <v>15104.231334168791</v>
      </c>
      <c r="W21" s="31">
        <f t="shared" si="1"/>
        <v>65451.669114731434</v>
      </c>
      <c r="X21" s="24" t="s">
        <v>47</v>
      </c>
      <c r="Y21" s="19">
        <v>2</v>
      </c>
      <c r="Z21" s="34">
        <f>Y21*'Equipment Costs'!$C$18</f>
        <v>2000</v>
      </c>
      <c r="AB21" s="24" t="s">
        <v>40</v>
      </c>
      <c r="AC21" s="411">
        <f t="shared" si="2"/>
        <v>8.7070358434554933</v>
      </c>
      <c r="AD21" s="10">
        <f t="shared" si="3"/>
        <v>29255.640434010456</v>
      </c>
    </row>
    <row r="22" spans="1:30" x14ac:dyDescent="0.25">
      <c r="A22" s="1" t="s">
        <v>71</v>
      </c>
      <c r="B22" s="375" t="s">
        <v>71</v>
      </c>
      <c r="C22" s="376">
        <v>50000</v>
      </c>
      <c r="D22" s="82" t="s">
        <v>56</v>
      </c>
      <c r="E22" s="376">
        <v>103.08332940351566</v>
      </c>
      <c r="F22" s="377">
        <v>93217.367297746518</v>
      </c>
      <c r="G22" s="378">
        <v>327845.37150438403</v>
      </c>
      <c r="H22" s="64">
        <v>1</v>
      </c>
      <c r="I22" s="379">
        <f t="shared" si="4"/>
        <v>103.08332940351566</v>
      </c>
      <c r="J22" s="64"/>
      <c r="K22" s="380">
        <f t="shared" si="5"/>
        <v>0</v>
      </c>
      <c r="L22" s="45">
        <v>0.98667250594701617</v>
      </c>
      <c r="M22" s="10">
        <v>732.07678835875299</v>
      </c>
      <c r="N22" s="219"/>
      <c r="O22" s="71">
        <f>(H22*(I22*'Equipment Costs'!$C$10*'Equipment Costs'!$C$7))+(J22*(K22*'Equipment Costs'!$C$10*'Equipment Costs'!$C$6))</f>
        <v>30924.998821054698</v>
      </c>
      <c r="P22" s="51">
        <f>IF(H22+J22&gt;0,(H22+J22)*'Equipment Costs'!$C$16,0)</f>
        <v>692</v>
      </c>
      <c r="Q22" s="51">
        <f>IF(H22+J22=0,0,E22*'Equipment Costs'!$C$25)</f>
        <v>103.08332940351566</v>
      </c>
      <c r="R22" s="51">
        <f>(IF(J22&gt;0,F22*'Equipment Costs'!$C$23)/1000)*'Equipment Costs'!$C$24</f>
        <v>0</v>
      </c>
      <c r="S22" s="72">
        <f>(H22+J22)*'Equipment Costs'!$C$17</f>
        <v>1000</v>
      </c>
      <c r="U22" s="24">
        <f>(L22*1000)*'Equipment Costs'!$C$8</f>
        <v>24666.812648675404</v>
      </c>
      <c r="V22" s="27">
        <f t="shared" si="0"/>
        <v>7400.0437946026213</v>
      </c>
      <c r="W22" s="31">
        <f t="shared" si="1"/>
        <v>32066.856443278026</v>
      </c>
      <c r="X22" s="24" t="s">
        <v>72</v>
      </c>
      <c r="Y22" s="19">
        <v>2</v>
      </c>
      <c r="Z22" s="34">
        <f>Y22*'Equipment Costs'!$C$18</f>
        <v>2000</v>
      </c>
      <c r="AB22" s="24" t="s">
        <v>40</v>
      </c>
      <c r="AC22" s="411">
        <f t="shared" si="2"/>
        <v>5.1541664701757837</v>
      </c>
      <c r="AD22" s="10">
        <f t="shared" si="3"/>
        <v>17317.999339790633</v>
      </c>
    </row>
    <row r="23" spans="1:30" x14ac:dyDescent="0.25">
      <c r="A23" s="1" t="s">
        <v>73</v>
      </c>
      <c r="B23" s="375" t="s">
        <v>74</v>
      </c>
      <c r="C23" s="376">
        <v>52957</v>
      </c>
      <c r="D23" s="82" t="s">
        <v>56</v>
      </c>
      <c r="E23" s="376">
        <v>109.1796775044396</v>
      </c>
      <c r="F23" s="377">
        <v>98730.242399735507</v>
      </c>
      <c r="G23" s="378">
        <v>347234.14677515422</v>
      </c>
      <c r="H23" s="64">
        <v>1</v>
      </c>
      <c r="I23" s="379">
        <f t="shared" si="4"/>
        <v>109.1796775044396</v>
      </c>
      <c r="J23" s="64"/>
      <c r="K23" s="380">
        <f t="shared" si="5"/>
        <v>0</v>
      </c>
      <c r="L23" s="45">
        <v>1.0450243179487226</v>
      </c>
      <c r="M23" s="10">
        <v>775.37180962229138</v>
      </c>
      <c r="N23" s="219"/>
      <c r="O23" s="71">
        <f>(H23*(I23*'Equipment Costs'!$C$10*'Equipment Costs'!$C$7))+(J23*(K23*'Equipment Costs'!$C$10*'Equipment Costs'!$C$6))</f>
        <v>32753.903251331878</v>
      </c>
      <c r="P23" s="51">
        <f>IF(H23+J23&gt;0,(H23+J23)*'Equipment Costs'!$C$16,0)</f>
        <v>692</v>
      </c>
      <c r="Q23" s="51">
        <f>IF(H23+J23=0,0,E23*'Equipment Costs'!$C$25)</f>
        <v>109.1796775044396</v>
      </c>
      <c r="R23" s="51">
        <f>(IF(J23&gt;0,F23*'Equipment Costs'!$C$23)/1000)*'Equipment Costs'!$C$24</f>
        <v>0</v>
      </c>
      <c r="S23" s="72">
        <f>(H23+J23)*'Equipment Costs'!$C$17</f>
        <v>1000</v>
      </c>
      <c r="U23" s="24">
        <f>(L23*1000)*'Equipment Costs'!$C$8</f>
        <v>26125.607948718069</v>
      </c>
      <c r="V23" s="27">
        <f t="shared" si="0"/>
        <v>7837.6823846154202</v>
      </c>
      <c r="W23" s="31">
        <f t="shared" si="1"/>
        <v>33963.290333333491</v>
      </c>
      <c r="X23" s="24" t="s">
        <v>72</v>
      </c>
      <c r="Y23" s="19">
        <v>2</v>
      </c>
      <c r="Z23" s="34">
        <f>Y23*'Equipment Costs'!$C$18</f>
        <v>2000</v>
      </c>
      <c r="AB23" s="24" t="s">
        <v>40</v>
      </c>
      <c r="AC23" s="411">
        <f t="shared" si="2"/>
        <v>5.4589838752219801</v>
      </c>
      <c r="AD23" s="10">
        <f t="shared" si="3"/>
        <v>18342.185820745854</v>
      </c>
    </row>
    <row r="24" spans="1:30" x14ac:dyDescent="0.25">
      <c r="A24" s="1" t="s">
        <v>75</v>
      </c>
      <c r="B24" s="375" t="s">
        <v>76</v>
      </c>
      <c r="C24" s="376">
        <v>50000</v>
      </c>
      <c r="D24" s="82" t="s">
        <v>62</v>
      </c>
      <c r="E24" s="376">
        <v>74.878416893260535</v>
      </c>
      <c r="F24" s="377">
        <v>46126.904624172261</v>
      </c>
      <c r="G24" s="378">
        <v>162228.26948712402</v>
      </c>
      <c r="H24" s="64">
        <v>1</v>
      </c>
      <c r="I24" s="379">
        <f t="shared" si="4"/>
        <v>74.878416893260535</v>
      </c>
      <c r="J24" s="64"/>
      <c r="K24" s="380">
        <f t="shared" si="5"/>
        <v>0</v>
      </c>
      <c r="L24" s="45">
        <v>0.65077985020422913</v>
      </c>
      <c r="M24" s="10">
        <v>903.42808484364286</v>
      </c>
      <c r="N24" s="219"/>
      <c r="O24" s="71">
        <f>(H24*(I24*'Equipment Costs'!$C$10*'Equipment Costs'!$C$7))+(J24*(K24*'Equipment Costs'!$C$10*'Equipment Costs'!$C$6))</f>
        <v>22463.52506797816</v>
      </c>
      <c r="P24" s="51">
        <f>IF(H24+J24&gt;0,(H24+J24)*'Equipment Costs'!$C$16,0)</f>
        <v>692</v>
      </c>
      <c r="Q24" s="51">
        <f>IF(H24+J24=0,0,E24*'Equipment Costs'!$C$25)</f>
        <v>74.878416893260535</v>
      </c>
      <c r="R24" s="51">
        <f>(IF(J24&gt;0,F24*'Equipment Costs'!$C$23)/1000)*'Equipment Costs'!$C$24</f>
        <v>0</v>
      </c>
      <c r="S24" s="72">
        <f>(H24+J24)*'Equipment Costs'!$C$17</f>
        <v>1000</v>
      </c>
      <c r="U24" s="24">
        <f>(L24*1000)*'Equipment Costs'!$C$8</f>
        <v>16269.496255105727</v>
      </c>
      <c r="V24" s="27">
        <f t="shared" si="0"/>
        <v>4880.8488765317179</v>
      </c>
      <c r="W24" s="31">
        <f t="shared" si="1"/>
        <v>21150.345131637445</v>
      </c>
      <c r="X24" s="24" t="s">
        <v>72</v>
      </c>
      <c r="Y24" s="19">
        <v>2</v>
      </c>
      <c r="Z24" s="34">
        <f>Y24*'Equipment Costs'!$C$18</f>
        <v>2000</v>
      </c>
      <c r="AB24" s="24" t="s">
        <v>40</v>
      </c>
      <c r="AC24" s="411">
        <f t="shared" si="2"/>
        <v>3.7439208446630268</v>
      </c>
      <c r="AD24" s="10">
        <f t="shared" si="3"/>
        <v>12579.574038067771</v>
      </c>
    </row>
    <row r="25" spans="1:30" ht="15.75" thickBot="1" x14ac:dyDescent="0.3">
      <c r="A25" s="94" t="s">
        <v>77</v>
      </c>
      <c r="B25" s="381" t="s">
        <v>78</v>
      </c>
      <c r="C25" s="382">
        <v>25920</v>
      </c>
      <c r="D25" s="350" t="s">
        <v>56</v>
      </c>
      <c r="E25" s="382">
        <v>53.438397962782524</v>
      </c>
      <c r="F25" s="383">
        <v>48323.883207151957</v>
      </c>
      <c r="G25" s="384">
        <v>169955.04058787326</v>
      </c>
      <c r="H25" s="385">
        <v>1</v>
      </c>
      <c r="I25" s="386">
        <f t="shared" si="4"/>
        <v>53.438397962782524</v>
      </c>
      <c r="J25" s="385"/>
      <c r="K25" s="387">
        <f t="shared" si="5"/>
        <v>0</v>
      </c>
      <c r="L25" s="46">
        <v>0.51149102708293326</v>
      </c>
      <c r="M25" s="11">
        <v>379.50860708517894</v>
      </c>
      <c r="N25" s="219"/>
      <c r="O25" s="315">
        <f>(H25*(I25*'Equipment Costs'!$C$10*'Equipment Costs'!$C$7))+(J25*(K25*'Equipment Costs'!$C$10*'Equipment Costs'!$C$6))</f>
        <v>16031.519388834757</v>
      </c>
      <c r="P25" s="316">
        <f>IF(H25+J25&gt;0,(H25+J25)*'Equipment Costs'!$C$16,0)</f>
        <v>692</v>
      </c>
      <c r="Q25" s="316">
        <f>IF(H25+J25=0,0,E25*'Equipment Costs'!$C$25)</f>
        <v>53.438397962782524</v>
      </c>
      <c r="R25" s="316">
        <f>(IF(J25&gt;0,F25*'Equipment Costs'!$C$23)/1000)*'Equipment Costs'!$C$24</f>
        <v>0</v>
      </c>
      <c r="S25" s="317">
        <f>(H25+J25)*'Equipment Costs'!$C$17</f>
        <v>1000</v>
      </c>
      <c r="U25" s="323">
        <f>(L25*1000)*'Equipment Costs'!$C$8</f>
        <v>12787.275677073332</v>
      </c>
      <c r="V25" s="324">
        <f t="shared" si="0"/>
        <v>3836.1827031219996</v>
      </c>
      <c r="W25" s="37">
        <f t="shared" si="1"/>
        <v>16623.45838019533</v>
      </c>
      <c r="X25" s="323" t="s">
        <v>72</v>
      </c>
      <c r="Y25" s="237">
        <v>2</v>
      </c>
      <c r="Z25" s="35">
        <f>Y25*'Equipment Costs'!$C$18</f>
        <v>2000</v>
      </c>
      <c r="AB25" s="25" t="s">
        <v>40</v>
      </c>
      <c r="AC25" s="413">
        <f t="shared" si="2"/>
        <v>2.6719198981391266</v>
      </c>
      <c r="AD25" s="11">
        <f t="shared" si="3"/>
        <v>8977.6508577474651</v>
      </c>
    </row>
    <row r="26" spans="1:30" ht="15.75" thickBot="1" x14ac:dyDescent="0.3">
      <c r="A26" s="285" t="s">
        <v>79</v>
      </c>
      <c r="B26" s="388"/>
      <c r="C26" s="389"/>
      <c r="D26" s="390"/>
      <c r="E26" s="391"/>
      <c r="F26" s="392"/>
      <c r="G26" s="393"/>
      <c r="H26" s="394"/>
      <c r="I26" s="395"/>
      <c r="J26" s="396"/>
      <c r="K26" s="397"/>
      <c r="L26" s="292"/>
      <c r="M26" s="293"/>
      <c r="N26" s="219"/>
      <c r="O26" s="321"/>
      <c r="P26" s="322"/>
      <c r="Q26" s="322"/>
      <c r="R26" s="322"/>
      <c r="S26" s="81"/>
      <c r="U26" s="22"/>
      <c r="V26" s="23"/>
      <c r="W26" s="326"/>
      <c r="X26" s="22"/>
      <c r="Y26" s="165"/>
      <c r="Z26" s="36"/>
      <c r="AB26" s="416"/>
      <c r="AC26" s="417"/>
      <c r="AD26" s="418"/>
    </row>
    <row r="27" spans="1:30" x14ac:dyDescent="0.25">
      <c r="A27" s="91" t="s">
        <v>80</v>
      </c>
      <c r="B27" s="398" t="s">
        <v>81</v>
      </c>
      <c r="C27" s="399">
        <v>170000</v>
      </c>
      <c r="D27" s="400" t="s">
        <v>38</v>
      </c>
      <c r="E27" s="399">
        <v>159.56406978789781</v>
      </c>
      <c r="F27" s="401">
        <v>181447.49062795399</v>
      </c>
      <c r="G27" s="402">
        <v>638150.61182164354</v>
      </c>
      <c r="H27" s="403"/>
      <c r="I27" s="404"/>
      <c r="J27" s="403"/>
      <c r="K27" s="405"/>
      <c r="L27" s="92">
        <v>1.8453219258762785</v>
      </c>
      <c r="M27" s="93">
        <v>752.50616036051213</v>
      </c>
      <c r="N27" s="219"/>
      <c r="O27" s="318">
        <f>(H27*(I27*'Equipment Costs'!$C$10*'Equipment Costs'!$C$7))+(J27*(K27*'Equipment Costs'!$C$10*'Equipment Costs'!$C$6))</f>
        <v>0</v>
      </c>
      <c r="P27" s="319">
        <f>IF(H27+J27&gt;0,(H27+J27)*'Equipment Costs'!$C$16,0)</f>
        <v>0</v>
      </c>
      <c r="Q27" s="319">
        <f>IF(H27+J27=0,0,E27*'Equipment Costs'!$C$25)</f>
        <v>0</v>
      </c>
      <c r="R27" s="319">
        <f>(IF(J27&gt;0,F27*'Equipment Costs'!$C$23)/1000)*'Equipment Costs'!$C$24</f>
        <v>0</v>
      </c>
      <c r="S27" s="320">
        <f>(H27+J27)*'Equipment Costs'!$C$17</f>
        <v>0</v>
      </c>
      <c r="U27" s="26">
        <f>(L27*1000)*'Equipment Costs'!$C$8</f>
        <v>46133.048146906964</v>
      </c>
      <c r="V27" s="27">
        <f t="shared" ref="V27:V44" si="6">U27*0.3</f>
        <v>13839.914444072088</v>
      </c>
      <c r="W27" s="30">
        <f t="shared" ref="W27:W44" si="7">U27+V27</f>
        <v>59972.962590979048</v>
      </c>
      <c r="X27" s="26" t="s">
        <v>39</v>
      </c>
      <c r="Y27" s="325">
        <v>2</v>
      </c>
      <c r="Z27" s="43">
        <f>Y27*'Equipment Costs'!$C$18</f>
        <v>2000</v>
      </c>
      <c r="AB27" s="359" t="s">
        <v>82</v>
      </c>
      <c r="AC27" s="415">
        <f t="shared" ref="AC27:AC44" si="8">IF(OR(H27&gt;0,J27&gt;0),$AD$3*E27,0)</f>
        <v>0</v>
      </c>
      <c r="AD27" s="93">
        <f t="shared" ref="AD27:AD44" si="9">AC27*$AD$4</f>
        <v>0</v>
      </c>
    </row>
    <row r="28" spans="1:30" x14ac:dyDescent="0.25">
      <c r="A28" s="1" t="s">
        <v>83</v>
      </c>
      <c r="B28" s="375" t="s">
        <v>84</v>
      </c>
      <c r="C28" s="376">
        <v>653177</v>
      </c>
      <c r="D28" s="82" t="s">
        <v>38</v>
      </c>
      <c r="E28" s="376">
        <v>613.07988477558661</v>
      </c>
      <c r="F28" s="377">
        <v>697160.75050526706</v>
      </c>
      <c r="G28" s="378">
        <v>2451913.5422225101</v>
      </c>
      <c r="H28" s="64"/>
      <c r="I28" s="379">
        <f>E28*(H28/(H28+J28))</f>
        <v>0</v>
      </c>
      <c r="J28" s="64">
        <v>3</v>
      </c>
      <c r="K28" s="380">
        <f>E28*(J28/(H28+J28))</f>
        <v>613.07988477558661</v>
      </c>
      <c r="L28" s="45">
        <v>7.0901284681064114</v>
      </c>
      <c r="M28" s="10">
        <v>2891.2924488576332</v>
      </c>
      <c r="N28" s="219"/>
      <c r="O28" s="71">
        <f>(H28*(I28*'Equipment Costs'!$C$10*'Equipment Costs'!$C$7))+(J28*(K28*'Equipment Costs'!$C$10*'Equipment Costs'!$C$6))</f>
        <v>275885.94814901392</v>
      </c>
      <c r="P28" s="51">
        <f>IF(H28+J28&gt;0,(H28+J28)*'Equipment Costs'!$C$16,0)</f>
        <v>2076</v>
      </c>
      <c r="Q28" s="51">
        <f>IF(H28+J28=0,0,E28*'Equipment Costs'!$C$25)</f>
        <v>613.07988477558661</v>
      </c>
      <c r="R28" s="51">
        <f>(IF(J28&gt;0,F28*'Equipment Costs'!$C$23)/1000)*'Equipment Costs'!$C$24</f>
        <v>105968.43407680059</v>
      </c>
      <c r="S28" s="72">
        <f>(H28+J28)*'Equipment Costs'!$C$17</f>
        <v>3000</v>
      </c>
      <c r="U28" s="24">
        <f>(L28*1000)*'Equipment Costs'!$C$8</f>
        <v>177253.21170266028</v>
      </c>
      <c r="V28" s="294">
        <f t="shared" si="6"/>
        <v>53175.963510798079</v>
      </c>
      <c r="W28" s="31">
        <f t="shared" si="7"/>
        <v>230429.17521345837</v>
      </c>
      <c r="X28" s="24" t="s">
        <v>85</v>
      </c>
      <c r="Y28" s="19">
        <v>3</v>
      </c>
      <c r="Z28" s="34">
        <f>Y28*'Equipment Costs'!$C$18</f>
        <v>3000</v>
      </c>
      <c r="AB28" s="24" t="s">
        <v>82</v>
      </c>
      <c r="AC28" s="411">
        <f t="shared" si="8"/>
        <v>30.653994238779333</v>
      </c>
      <c r="AD28" s="10">
        <f t="shared" si="9"/>
        <v>102997.42064229856</v>
      </c>
    </row>
    <row r="29" spans="1:30" x14ac:dyDescent="0.25">
      <c r="A29" s="1" t="s">
        <v>86</v>
      </c>
      <c r="B29" s="375" t="s">
        <v>87</v>
      </c>
      <c r="C29" s="376">
        <v>720000</v>
      </c>
      <c r="D29" s="82" t="s">
        <v>46</v>
      </c>
      <c r="E29" s="376">
        <v>1269.7841101816423</v>
      </c>
      <c r="F29" s="377">
        <v>949155.01255580795</v>
      </c>
      <c r="G29" s="378">
        <v>3338177.0664330884</v>
      </c>
      <c r="H29" s="64">
        <v>1</v>
      </c>
      <c r="I29" s="379">
        <f>E29*(H29/(H29+J29))</f>
        <v>1269.7841101816423</v>
      </c>
      <c r="J29" s="64"/>
      <c r="K29" s="380">
        <f>E29*(J29/(H29+J29))</f>
        <v>0</v>
      </c>
      <c r="L29" s="45">
        <v>17.741738425110402</v>
      </c>
      <c r="M29" s="10">
        <v>25561.062771688245</v>
      </c>
      <c r="N29" s="219"/>
      <c r="O29" s="71">
        <f>(H29*(I29*'Equipment Costs'!$C$10*'Equipment Costs'!$C$7))+(J29*(K29*'Equipment Costs'!$C$10*'Equipment Costs'!$C$6))</f>
        <v>380935.23305449268</v>
      </c>
      <c r="P29" s="51">
        <f>IF(H29+J29&gt;0,(H29+J29)*'Equipment Costs'!$C$16,0)</f>
        <v>692</v>
      </c>
      <c r="Q29" s="51">
        <f>IF(H29+J29=0,0,E29*'Equipment Costs'!$C$25)</f>
        <v>1269.7841101816423</v>
      </c>
      <c r="R29" s="51">
        <f>(IF(J29&gt;0,F29*'Equipment Costs'!$C$23)/1000)*'Equipment Costs'!$C$24</f>
        <v>0</v>
      </c>
      <c r="S29" s="72">
        <f>(H29+J29)*'Equipment Costs'!$C$17</f>
        <v>1000</v>
      </c>
      <c r="U29" s="24">
        <f>(L29*1000)*'Equipment Costs'!$C$8</f>
        <v>443543.46062776004</v>
      </c>
      <c r="V29" s="27">
        <f t="shared" si="6"/>
        <v>133063.03818832801</v>
      </c>
      <c r="W29" s="31">
        <f t="shared" si="7"/>
        <v>576606.49881608807</v>
      </c>
      <c r="X29" s="24" t="s">
        <v>88</v>
      </c>
      <c r="Y29" s="19">
        <v>4</v>
      </c>
      <c r="Z29" s="34">
        <f>Y29*'Equipment Costs'!$C$18</f>
        <v>4000</v>
      </c>
      <c r="AB29" s="24" t="s">
        <v>82</v>
      </c>
      <c r="AC29" s="411">
        <f t="shared" si="8"/>
        <v>63.489205509082119</v>
      </c>
      <c r="AD29" s="10">
        <f t="shared" si="9"/>
        <v>213323.73051051592</v>
      </c>
    </row>
    <row r="30" spans="1:30" x14ac:dyDescent="0.25">
      <c r="A30" s="1" t="s">
        <v>89</v>
      </c>
      <c r="B30" s="375" t="s">
        <v>90</v>
      </c>
      <c r="C30" s="376">
        <v>35550</v>
      </c>
      <c r="D30" s="82" t="s">
        <v>56</v>
      </c>
      <c r="E30" s="376">
        <v>73.292247205899642</v>
      </c>
      <c r="F30" s="377">
        <v>66277.54814869765</v>
      </c>
      <c r="G30" s="378">
        <v>233098.05913961661</v>
      </c>
      <c r="H30" s="64"/>
      <c r="I30" s="379">
        <f>E30*(H30/(H30+J30))</f>
        <v>0</v>
      </c>
      <c r="J30" s="64">
        <v>1</v>
      </c>
      <c r="K30" s="380">
        <f>E30*(J30/(H30+J30))</f>
        <v>73.292247205899642</v>
      </c>
      <c r="L30" s="45">
        <v>0.70152415172832849</v>
      </c>
      <c r="M30" s="10">
        <v>520.5065965230765</v>
      </c>
      <c r="N30" s="219"/>
      <c r="O30" s="71">
        <f>(H30*(I30*'Equipment Costs'!$C$10*'Equipment Costs'!$C$7))+(J30*(K30*'Equipment Costs'!$C$10*'Equipment Costs'!$C$6))</f>
        <v>10993.837080884947</v>
      </c>
      <c r="P30" s="51">
        <f>IF(H30+J30&gt;0,(H30+J30)*'Equipment Costs'!$C$16,0)</f>
        <v>692</v>
      </c>
      <c r="Q30" s="51">
        <f>IF(H30+J30=0,0,E30*'Equipment Costs'!$C$25)</f>
        <v>73.292247205899642</v>
      </c>
      <c r="R30" s="51">
        <f>(IF(J30&gt;0,F30*'Equipment Costs'!$C$23)/1000)*'Equipment Costs'!$C$24</f>
        <v>10074.187318602044</v>
      </c>
      <c r="S30" s="72">
        <f>(H30+J30)*'Equipment Costs'!$C$17</f>
        <v>1000</v>
      </c>
      <c r="U30" s="24">
        <f>(L30*1000)*'Equipment Costs'!$C$8</f>
        <v>17538.103793208214</v>
      </c>
      <c r="V30" s="27">
        <f t="shared" si="6"/>
        <v>5261.4311379624642</v>
      </c>
      <c r="W30" s="31">
        <f t="shared" si="7"/>
        <v>22799.534931170678</v>
      </c>
      <c r="X30" s="24" t="s">
        <v>72</v>
      </c>
      <c r="Y30" s="19">
        <v>2</v>
      </c>
      <c r="Z30" s="34">
        <f>Y30*'Equipment Costs'!$C$18</f>
        <v>2000</v>
      </c>
      <c r="AB30" s="24" t="s">
        <v>82</v>
      </c>
      <c r="AC30" s="411">
        <f t="shared" si="8"/>
        <v>3.6646123602949823</v>
      </c>
      <c r="AD30" s="10">
        <f t="shared" si="9"/>
        <v>12313.09753059114</v>
      </c>
    </row>
    <row r="31" spans="1:30" x14ac:dyDescent="0.25">
      <c r="A31" s="1" t="s">
        <v>91</v>
      </c>
      <c r="B31" s="375" t="s">
        <v>92</v>
      </c>
      <c r="C31" s="376">
        <v>45000</v>
      </c>
      <c r="D31" s="82" t="s">
        <v>62</v>
      </c>
      <c r="E31" s="376">
        <v>107.33840173923672</v>
      </c>
      <c r="F31" s="377">
        <v>40417.68067175171</v>
      </c>
      <c r="G31" s="378">
        <v>142148.93553957224</v>
      </c>
      <c r="H31" s="64"/>
      <c r="I31" s="379"/>
      <c r="J31" s="64"/>
      <c r="K31" s="380"/>
      <c r="L31" s="45">
        <v>1.4263098675571673</v>
      </c>
      <c r="M31" s="10">
        <v>1336.9322198138561</v>
      </c>
      <c r="N31" s="219"/>
      <c r="O31" s="71">
        <f>(H31*(I31*'Equipment Costs'!$C$10*'Equipment Costs'!$C$7))+(J31*(K31*'Equipment Costs'!$C$10*'Equipment Costs'!$C$6))</f>
        <v>0</v>
      </c>
      <c r="P31" s="51">
        <f>IF(H31+J31&gt;0,(H31+J31)*'Equipment Costs'!$C$16,0)</f>
        <v>0</v>
      </c>
      <c r="Q31" s="51">
        <f>IF(H31+J31=0,0,E31*'Equipment Costs'!$C$25)</f>
        <v>0</v>
      </c>
      <c r="R31" s="51">
        <f>(IF(J31&gt;0,F31*'Equipment Costs'!$C$23)/1000)*'Equipment Costs'!$C$24</f>
        <v>0</v>
      </c>
      <c r="S31" s="72">
        <f>(H31+J31)*'Equipment Costs'!$C$17</f>
        <v>0</v>
      </c>
      <c r="U31" s="24">
        <f>(L31*1000)*'Equipment Costs'!$C$8</f>
        <v>35657.746688929183</v>
      </c>
      <c r="V31" s="27">
        <f t="shared" si="6"/>
        <v>10697.324006678755</v>
      </c>
      <c r="W31" s="31">
        <f t="shared" si="7"/>
        <v>46355.070695607938</v>
      </c>
      <c r="X31" s="24" t="s">
        <v>72</v>
      </c>
      <c r="Y31" s="19">
        <v>2</v>
      </c>
      <c r="Z31" s="34">
        <f>Y31*'Equipment Costs'!$C$18</f>
        <v>2000</v>
      </c>
      <c r="AB31" s="24" t="s">
        <v>82</v>
      </c>
      <c r="AC31" s="411">
        <f t="shared" si="8"/>
        <v>0</v>
      </c>
      <c r="AD31" s="10">
        <f t="shared" si="9"/>
        <v>0</v>
      </c>
    </row>
    <row r="32" spans="1:30" x14ac:dyDescent="0.25">
      <c r="A32" s="1" t="s">
        <v>93</v>
      </c>
      <c r="B32" s="375" t="s">
        <v>94</v>
      </c>
      <c r="C32" s="376">
        <v>180000</v>
      </c>
      <c r="D32" s="82" t="s">
        <v>38</v>
      </c>
      <c r="E32" s="376">
        <v>168.95019154012709</v>
      </c>
      <c r="F32" s="377">
        <v>192120.87242959801</v>
      </c>
      <c r="G32" s="378">
        <v>675688.88310526847</v>
      </c>
      <c r="H32" s="64">
        <v>3</v>
      </c>
      <c r="I32" s="379">
        <f>E32*(H32/(H32+J32))</f>
        <v>168.95019154012709</v>
      </c>
      <c r="J32" s="64"/>
      <c r="K32" s="380">
        <f>E32*(J32/(H32+J32))</f>
        <v>0</v>
      </c>
      <c r="L32" s="45">
        <v>1.953870274457236</v>
      </c>
      <c r="M32" s="10">
        <v>796.77122861701139</v>
      </c>
      <c r="N32" s="219"/>
      <c r="O32" s="71">
        <f>(H32*(I32*'Equipment Costs'!$C$10*'Equipment Costs'!$C$7))+(J32*(K32*'Equipment Costs'!$C$10*'Equipment Costs'!$C$6))</f>
        <v>152055.17238611437</v>
      </c>
      <c r="P32" s="51">
        <f>IF(H32+J32&gt;0,(H32+J32)*'Equipment Costs'!$C$16,0)</f>
        <v>2076</v>
      </c>
      <c r="Q32" s="51">
        <f>IF(H32+J32=0,0,E32*'Equipment Costs'!$C$25)</f>
        <v>168.95019154012709</v>
      </c>
      <c r="R32" s="51">
        <f>(IF(J32&gt;0,F32*'Equipment Costs'!$C$23)/1000)*'Equipment Costs'!$C$24</f>
        <v>0</v>
      </c>
      <c r="S32" s="72">
        <f>(H32+J32)*'Equipment Costs'!$C$17</f>
        <v>3000</v>
      </c>
      <c r="U32" s="24">
        <f>(L32*1000)*'Equipment Costs'!$C$8</f>
        <v>48846.756861430898</v>
      </c>
      <c r="V32" s="27">
        <f t="shared" si="6"/>
        <v>14654.027058429268</v>
      </c>
      <c r="W32" s="31">
        <f t="shared" si="7"/>
        <v>63500.783919860165</v>
      </c>
      <c r="X32" s="24" t="s">
        <v>47</v>
      </c>
      <c r="Y32" s="19">
        <v>2</v>
      </c>
      <c r="Z32" s="34">
        <f>Y32*'Equipment Costs'!$C$18</f>
        <v>2000</v>
      </c>
      <c r="AB32" s="24" t="s">
        <v>82</v>
      </c>
      <c r="AC32" s="411">
        <f t="shared" si="8"/>
        <v>8.4475095770063557</v>
      </c>
      <c r="AD32" s="10">
        <f t="shared" si="9"/>
        <v>28383.632178741354</v>
      </c>
    </row>
    <row r="33" spans="1:30" x14ac:dyDescent="0.25">
      <c r="A33" s="1" t="s">
        <v>95</v>
      </c>
      <c r="B33" s="375" t="s">
        <v>96</v>
      </c>
      <c r="C33" s="376">
        <v>511200</v>
      </c>
      <c r="D33" s="82" t="s">
        <v>38</v>
      </c>
      <c r="E33" s="376">
        <v>479.81854397396097</v>
      </c>
      <c r="F33" s="377">
        <v>545623.27770005947</v>
      </c>
      <c r="G33" s="378">
        <v>1918956.4280189665</v>
      </c>
      <c r="H33" s="64">
        <v>4</v>
      </c>
      <c r="I33" s="379">
        <f>E33*(H33/(H33+J33))</f>
        <v>479.81854397396097</v>
      </c>
      <c r="J33" s="64"/>
      <c r="K33" s="380">
        <f>E33*(J33/(H33+J33))</f>
        <v>0</v>
      </c>
      <c r="L33" s="45">
        <v>5.5489915794585514</v>
      </c>
      <c r="M33" s="10">
        <v>2262.8302892723168</v>
      </c>
      <c r="N33" s="219"/>
      <c r="O33" s="71">
        <f>(H33*(I33*'Equipment Costs'!$C$10*'Equipment Costs'!$C$7))+(J33*(K33*'Equipment Costs'!$C$10*'Equipment Costs'!$C$6))</f>
        <v>575782.2527687531</v>
      </c>
      <c r="P33" s="51">
        <f>IF(H33+J33&gt;0,(H33+J33)*'Equipment Costs'!$C$16,0)</f>
        <v>2768</v>
      </c>
      <c r="Q33" s="51">
        <f>IF(H33+J33=0,0,E33*'Equipment Costs'!$C$25)</f>
        <v>479.81854397396097</v>
      </c>
      <c r="R33" s="51">
        <f>(IF(J33&gt;0,F33*'Equipment Costs'!$C$23)/1000)*'Equipment Costs'!$C$24</f>
        <v>0</v>
      </c>
      <c r="S33" s="72">
        <f>(H33+J33)*'Equipment Costs'!$C$17</f>
        <v>4000</v>
      </c>
      <c r="U33" s="24">
        <f>(L33*1000)*'Equipment Costs'!$C$8</f>
        <v>138724.78948646379</v>
      </c>
      <c r="V33" s="27">
        <f t="shared" si="6"/>
        <v>41617.436845939133</v>
      </c>
      <c r="W33" s="31">
        <f t="shared" si="7"/>
        <v>180342.22633240293</v>
      </c>
      <c r="X33" s="24" t="s">
        <v>97</v>
      </c>
      <c r="Y33" s="19">
        <v>3</v>
      </c>
      <c r="Z33" s="34">
        <f>Y33*'Equipment Costs'!$C$18</f>
        <v>3000</v>
      </c>
      <c r="AB33" s="24" t="s">
        <v>82</v>
      </c>
      <c r="AC33" s="411">
        <f t="shared" si="8"/>
        <v>23.990927198698049</v>
      </c>
      <c r="AD33" s="10">
        <f t="shared" si="9"/>
        <v>80609.515387625448</v>
      </c>
    </row>
    <row r="34" spans="1:30" x14ac:dyDescent="0.25">
      <c r="A34" s="1" t="s">
        <v>98</v>
      </c>
      <c r="B34" s="375" t="s">
        <v>99</v>
      </c>
      <c r="C34" s="376">
        <v>179000</v>
      </c>
      <c r="D34" s="82" t="s">
        <v>38</v>
      </c>
      <c r="E34" s="376">
        <v>168.01157936490418</v>
      </c>
      <c r="F34" s="377">
        <v>191053.53424943364</v>
      </c>
      <c r="G34" s="378">
        <v>671935.05597690609</v>
      </c>
      <c r="H34" s="64">
        <v>2</v>
      </c>
      <c r="I34" s="379">
        <f>E34*(H34/(H34+J34))</f>
        <v>168.01157936490418</v>
      </c>
      <c r="J34" s="64"/>
      <c r="K34" s="380">
        <f>E34*(J34/(H34+J34))</f>
        <v>0</v>
      </c>
      <c r="L34" s="45">
        <v>1.9430154395991404</v>
      </c>
      <c r="M34" s="10">
        <v>792.34472179136185</v>
      </c>
      <c r="N34" s="219"/>
      <c r="O34" s="71">
        <f>(H34*(I34*'Equipment Costs'!$C$10*'Equipment Costs'!$C$7))+(J34*(K34*'Equipment Costs'!$C$10*'Equipment Costs'!$C$6))</f>
        <v>100806.9476189425</v>
      </c>
      <c r="P34" s="51">
        <f>IF(H34+J34&gt;0,(H34+J34)*'Equipment Costs'!$C$16,0)</f>
        <v>1384</v>
      </c>
      <c r="Q34" s="51">
        <f>IF(H34+J34=0,0,E34*'Equipment Costs'!$C$25)</f>
        <v>168.01157936490418</v>
      </c>
      <c r="R34" s="51">
        <f>(IF(J34&gt;0,F34*'Equipment Costs'!$C$23)/1000)*'Equipment Costs'!$C$24</f>
        <v>0</v>
      </c>
      <c r="S34" s="72">
        <f>(H34+J34)*'Equipment Costs'!$C$17</f>
        <v>2000</v>
      </c>
      <c r="U34" s="24">
        <f>(L34*1000)*'Equipment Costs'!$C$8</f>
        <v>48575.385989978509</v>
      </c>
      <c r="V34" s="27">
        <f t="shared" si="6"/>
        <v>14572.615796993552</v>
      </c>
      <c r="W34" s="31">
        <f t="shared" si="7"/>
        <v>63148.001786972061</v>
      </c>
      <c r="X34" s="24" t="s">
        <v>39</v>
      </c>
      <c r="Y34" s="19">
        <v>2</v>
      </c>
      <c r="Z34" s="34">
        <f>Y34*'Equipment Costs'!$C$18</f>
        <v>2000</v>
      </c>
      <c r="AB34" s="24" t="s">
        <v>82</v>
      </c>
      <c r="AC34" s="411">
        <f t="shared" si="8"/>
        <v>8.4005789682452097</v>
      </c>
      <c r="AD34" s="10">
        <f t="shared" si="9"/>
        <v>28225.945333303905</v>
      </c>
    </row>
    <row r="35" spans="1:30" x14ac:dyDescent="0.25">
      <c r="A35" s="1" t="s">
        <v>100</v>
      </c>
      <c r="B35" s="375" t="s">
        <v>101</v>
      </c>
      <c r="C35" s="376">
        <v>219000</v>
      </c>
      <c r="D35" s="82" t="s">
        <v>38</v>
      </c>
      <c r="E35" s="376">
        <v>205.5560663738213</v>
      </c>
      <c r="F35" s="377">
        <v>233747.06145601158</v>
      </c>
      <c r="G35" s="378">
        <v>822088.14111141232</v>
      </c>
      <c r="H35" s="64"/>
      <c r="I35" s="379"/>
      <c r="J35" s="64"/>
      <c r="K35" s="380"/>
      <c r="L35" s="45">
        <v>2.3772088339229702</v>
      </c>
      <c r="M35" s="10">
        <v>969.4049948173664</v>
      </c>
      <c r="N35" s="219"/>
      <c r="O35" s="71">
        <f>(H35*(I35*'Equipment Costs'!$C$10*'Equipment Costs'!$C$7))+(J35*(K35*'Equipment Costs'!$C$10*'Equipment Costs'!$C$6))</f>
        <v>0</v>
      </c>
      <c r="P35" s="51">
        <f>IF(H35+J35&gt;0,(H35+J35)*'Equipment Costs'!$C$16,0)</f>
        <v>0</v>
      </c>
      <c r="Q35" s="51">
        <f>IF(H35+J35=0,0,E35*'Equipment Costs'!$C$25)</f>
        <v>0</v>
      </c>
      <c r="R35" s="51">
        <f>(IF(J35&gt;0,F35*'Equipment Costs'!$C$23)/1000)*'Equipment Costs'!$C$24</f>
        <v>0</v>
      </c>
      <c r="S35" s="72">
        <f>(H35+J35)*'Equipment Costs'!$C$17</f>
        <v>0</v>
      </c>
      <c r="U35" s="24">
        <f>(L35*1000)*'Equipment Costs'!$C$8</f>
        <v>59430.220848074256</v>
      </c>
      <c r="V35" s="27">
        <f t="shared" si="6"/>
        <v>17829.066254422276</v>
      </c>
      <c r="W35" s="31">
        <f t="shared" si="7"/>
        <v>77259.287102496528</v>
      </c>
      <c r="X35" s="24" t="s">
        <v>39</v>
      </c>
      <c r="Y35" s="19">
        <v>2</v>
      </c>
      <c r="Z35" s="34">
        <f>Y35*'Equipment Costs'!$C$18</f>
        <v>2000</v>
      </c>
      <c r="AB35" s="24" t="s">
        <v>82</v>
      </c>
      <c r="AC35" s="411">
        <f t="shared" si="8"/>
        <v>0</v>
      </c>
      <c r="AD35" s="10">
        <f t="shared" si="9"/>
        <v>0</v>
      </c>
    </row>
    <row r="36" spans="1:30" x14ac:dyDescent="0.25">
      <c r="A36" s="1" t="s">
        <v>102</v>
      </c>
      <c r="B36" s="375" t="s">
        <v>102</v>
      </c>
      <c r="C36" s="376">
        <v>120000</v>
      </c>
      <c r="D36" s="82" t="s">
        <v>38</v>
      </c>
      <c r="E36" s="376">
        <v>112.63346102675139</v>
      </c>
      <c r="F36" s="377">
        <v>128080.58161973268</v>
      </c>
      <c r="G36" s="378">
        <v>450459.25540351472</v>
      </c>
      <c r="H36" s="64"/>
      <c r="I36" s="379"/>
      <c r="J36" s="64"/>
      <c r="K36" s="380"/>
      <c r="L36" s="45">
        <v>1.3025801829714907</v>
      </c>
      <c r="M36" s="10">
        <v>531.18081907800786</v>
      </c>
      <c r="N36" s="219"/>
      <c r="O36" s="71">
        <f>(H36*(I36*'Equipment Costs'!$C$10*'Equipment Costs'!$C$7))+(J36*(K36*'Equipment Costs'!$C$10*'Equipment Costs'!$C$6))</f>
        <v>0</v>
      </c>
      <c r="P36" s="51">
        <f>IF(H36+J36&gt;0,(H36+J36)*'Equipment Costs'!$C$16,0)</f>
        <v>0</v>
      </c>
      <c r="Q36" s="51">
        <f>IF(H36+J36=0,0,E36*'Equipment Costs'!$C$25)</f>
        <v>0</v>
      </c>
      <c r="R36" s="51">
        <f>(IF(J36&gt;0,F36*'Equipment Costs'!$C$23)/1000)*'Equipment Costs'!$C$24</f>
        <v>0</v>
      </c>
      <c r="S36" s="72">
        <f>(H36+J36)*'Equipment Costs'!$C$17</f>
        <v>0</v>
      </c>
      <c r="U36" s="24">
        <f>(L36*1000)*'Equipment Costs'!$C$8</f>
        <v>32564.504574287268</v>
      </c>
      <c r="V36" s="27">
        <f t="shared" si="6"/>
        <v>9769.3513722861808</v>
      </c>
      <c r="W36" s="31">
        <f t="shared" si="7"/>
        <v>42333.855946573451</v>
      </c>
      <c r="X36" s="24" t="s">
        <v>72</v>
      </c>
      <c r="Y36" s="19">
        <v>2</v>
      </c>
      <c r="Z36" s="34">
        <f>Y36*'Equipment Costs'!$C$18</f>
        <v>2000</v>
      </c>
      <c r="AB36" s="24" t="s">
        <v>82</v>
      </c>
      <c r="AC36" s="411">
        <f t="shared" si="8"/>
        <v>0</v>
      </c>
      <c r="AD36" s="10">
        <f t="shared" si="9"/>
        <v>0</v>
      </c>
    </row>
    <row r="37" spans="1:30" x14ac:dyDescent="0.25">
      <c r="A37" s="1" t="s">
        <v>103</v>
      </c>
      <c r="B37" s="375" t="s">
        <v>104</v>
      </c>
      <c r="C37" s="376">
        <v>95977</v>
      </c>
      <c r="D37" s="82" t="s">
        <v>56</v>
      </c>
      <c r="E37" s="376">
        <v>197.87257412322447</v>
      </c>
      <c r="F37" s="377">
        <v>178934.46522271683</v>
      </c>
      <c r="G37" s="378">
        <v>629312.30441752705</v>
      </c>
      <c r="H37" s="64"/>
      <c r="I37" s="379"/>
      <c r="J37" s="64"/>
      <c r="K37" s="380"/>
      <c r="L37" s="45">
        <v>1.8939573420655356</v>
      </c>
      <c r="M37" s="10">
        <v>1405.2506783261676</v>
      </c>
      <c r="N37" s="219"/>
      <c r="O37" s="71">
        <f>(H37*(I37*'Equipment Costs'!$C$10*'Equipment Costs'!$C$7))+(J37*(K37*'Equipment Costs'!$C$10*'Equipment Costs'!$C$6))</f>
        <v>0</v>
      </c>
      <c r="P37" s="51">
        <f>IF(H37+J37&gt;0,(H37+J37)*'Equipment Costs'!$C$16,0)</f>
        <v>0</v>
      </c>
      <c r="Q37" s="51">
        <f>IF(H37+J37=0,0,E37*'Equipment Costs'!$C$25)</f>
        <v>0</v>
      </c>
      <c r="R37" s="51">
        <f>(IF(J37&gt;0,F37*'Equipment Costs'!$C$23)/1000)*'Equipment Costs'!$C$24</f>
        <v>0</v>
      </c>
      <c r="S37" s="72">
        <f>(H37+J37)*'Equipment Costs'!$C$17</f>
        <v>0</v>
      </c>
      <c r="U37" s="24">
        <f>(L37*1000)*'Equipment Costs'!$C$8</f>
        <v>47348.933551638387</v>
      </c>
      <c r="V37" s="27">
        <f t="shared" si="6"/>
        <v>14204.680065491515</v>
      </c>
      <c r="W37" s="31">
        <f t="shared" si="7"/>
        <v>61553.6136171299</v>
      </c>
      <c r="X37" s="24" t="s">
        <v>47</v>
      </c>
      <c r="Y37" s="19">
        <v>2</v>
      </c>
      <c r="Z37" s="34">
        <f>Y37*'Equipment Costs'!$C$18</f>
        <v>2000</v>
      </c>
      <c r="AB37" s="24" t="s">
        <v>82</v>
      </c>
      <c r="AC37" s="411">
        <f t="shared" si="8"/>
        <v>0</v>
      </c>
      <c r="AD37" s="10">
        <f t="shared" si="9"/>
        <v>0</v>
      </c>
    </row>
    <row r="38" spans="1:30" x14ac:dyDescent="0.25">
      <c r="A38" s="1" t="s">
        <v>105</v>
      </c>
      <c r="B38" s="375" t="s">
        <v>106</v>
      </c>
      <c r="C38" s="376">
        <v>252000</v>
      </c>
      <c r="D38" s="82" t="s">
        <v>107</v>
      </c>
      <c r="E38" s="376">
        <v>0</v>
      </c>
      <c r="F38" s="377">
        <v>0</v>
      </c>
      <c r="G38" s="378">
        <v>0</v>
      </c>
      <c r="H38" s="64"/>
      <c r="I38" s="379"/>
      <c r="J38" s="64"/>
      <c r="K38" s="380"/>
      <c r="L38" s="45">
        <v>13.489165358490565</v>
      </c>
      <c r="M38" s="10">
        <v>9975.4730390661898</v>
      </c>
      <c r="N38" s="219"/>
      <c r="O38" s="71">
        <f>(H38*(I38*'Equipment Costs'!$C$10*'Equipment Costs'!$C$7))+(J38*(K38*'Equipment Costs'!$C$10*'Equipment Costs'!$C$6))</f>
        <v>0</v>
      </c>
      <c r="P38" s="51">
        <f>IF(H38+J38&gt;0,(H38+J38)*'Equipment Costs'!$C$16,0)</f>
        <v>0</v>
      </c>
      <c r="Q38" s="51">
        <f>IF(H38+J38=0,0,E38*'Equipment Costs'!$C$25)</f>
        <v>0</v>
      </c>
      <c r="R38" s="51">
        <f>(IF(J38&gt;0,F38*'Equipment Costs'!$C$23)/1000)*'Equipment Costs'!$C$24</f>
        <v>0</v>
      </c>
      <c r="S38" s="72">
        <f>(H38+J38)*'Equipment Costs'!$C$17</f>
        <v>0</v>
      </c>
      <c r="U38" s="24">
        <f>(L38*1000)*'Equipment Costs'!$C$8</f>
        <v>337229.13396226411</v>
      </c>
      <c r="V38" s="27">
        <f t="shared" si="6"/>
        <v>101168.74018867924</v>
      </c>
      <c r="W38" s="31">
        <f t="shared" si="7"/>
        <v>438397.87415094336</v>
      </c>
      <c r="X38" s="24" t="s">
        <v>88</v>
      </c>
      <c r="Y38" s="19">
        <v>4</v>
      </c>
      <c r="Z38" s="34">
        <f>Y38*'Equipment Costs'!$C$18</f>
        <v>4000</v>
      </c>
      <c r="AB38" s="24" t="s">
        <v>82</v>
      </c>
      <c r="AC38" s="411">
        <f t="shared" si="8"/>
        <v>0</v>
      </c>
      <c r="AD38" s="10">
        <f t="shared" si="9"/>
        <v>0</v>
      </c>
    </row>
    <row r="39" spans="1:30" x14ac:dyDescent="0.25">
      <c r="A39" s="1" t="s">
        <v>108</v>
      </c>
      <c r="B39" s="375" t="s">
        <v>109</v>
      </c>
      <c r="C39" s="376">
        <v>42204</v>
      </c>
      <c r="D39" s="82" t="s">
        <v>46</v>
      </c>
      <c r="E39" s="376">
        <v>74.430511925147272</v>
      </c>
      <c r="F39" s="377">
        <v>55636.302985979528</v>
      </c>
      <c r="G39" s="378">
        <v>195672.81237741918</v>
      </c>
      <c r="H39" s="64"/>
      <c r="I39" s="379"/>
      <c r="J39" s="64"/>
      <c r="K39" s="380"/>
      <c r="L39" s="45">
        <v>1.039961567351888</v>
      </c>
      <c r="M39" s="10">
        <v>1498.3042961337962</v>
      </c>
      <c r="N39" s="219"/>
      <c r="O39" s="71">
        <f>(H39*(I39*'Equipment Costs'!$C$10*'Equipment Costs'!$C$7))+(J39*(K39*'Equipment Costs'!$C$10*'Equipment Costs'!$C$6))</f>
        <v>0</v>
      </c>
      <c r="P39" s="51">
        <f>IF(H39+J39&gt;0,(H39+J39)*'Equipment Costs'!$C$16,0)</f>
        <v>0</v>
      </c>
      <c r="Q39" s="51">
        <f>IF(H39+J39=0,0,E39*'Equipment Costs'!$C$25)</f>
        <v>0</v>
      </c>
      <c r="R39" s="51">
        <f>(IF(J39&gt;0,F39*'Equipment Costs'!$C$23)/1000)*'Equipment Costs'!$C$24</f>
        <v>0</v>
      </c>
      <c r="S39" s="72">
        <f>(H39+J39)*'Equipment Costs'!$C$17</f>
        <v>0</v>
      </c>
      <c r="U39" s="24">
        <f>(L39*1000)*'Equipment Costs'!$C$8</f>
        <v>25999.039183797202</v>
      </c>
      <c r="V39" s="27">
        <f t="shared" si="6"/>
        <v>7799.7117551391602</v>
      </c>
      <c r="W39" s="31">
        <f t="shared" si="7"/>
        <v>33798.750938936362</v>
      </c>
      <c r="X39" s="24" t="s">
        <v>47</v>
      </c>
      <c r="Y39" s="19">
        <v>2</v>
      </c>
      <c r="Z39" s="34">
        <f>Y39*'Equipment Costs'!$C$18</f>
        <v>2000</v>
      </c>
      <c r="AB39" s="24" t="s">
        <v>82</v>
      </c>
      <c r="AC39" s="411">
        <f t="shared" si="8"/>
        <v>0</v>
      </c>
      <c r="AD39" s="10">
        <f t="shared" si="9"/>
        <v>0</v>
      </c>
    </row>
    <row r="40" spans="1:30" x14ac:dyDescent="0.25">
      <c r="A40" s="1" t="s">
        <v>110</v>
      </c>
      <c r="B40" s="375" t="s">
        <v>111</v>
      </c>
      <c r="C40" s="376">
        <v>40700</v>
      </c>
      <c r="D40" s="82" t="s">
        <v>56</v>
      </c>
      <c r="E40" s="376">
        <v>83.909830134461757</v>
      </c>
      <c r="F40" s="377">
        <v>75878.93698036579</v>
      </c>
      <c r="G40" s="378">
        <v>266866.13240456907</v>
      </c>
      <c r="H40" s="64"/>
      <c r="I40" s="379"/>
      <c r="J40" s="64"/>
      <c r="K40" s="380"/>
      <c r="L40" s="45">
        <v>0.80315141984087113</v>
      </c>
      <c r="M40" s="10">
        <v>595.91050572402867</v>
      </c>
      <c r="N40" s="219"/>
      <c r="O40" s="71">
        <f>(H40*(I40*'Equipment Costs'!$C$10*'Equipment Costs'!$C$7))+(J40*(K40*'Equipment Costs'!$C$10*'Equipment Costs'!$C$6))</f>
        <v>0</v>
      </c>
      <c r="P40" s="51">
        <f>IF(H40+J40&gt;0,(H40+J40)*'Equipment Costs'!$C$16,0)</f>
        <v>0</v>
      </c>
      <c r="Q40" s="51">
        <f>IF(H40+J40=0,0,E40*'Equipment Costs'!$C$25)</f>
        <v>0</v>
      </c>
      <c r="R40" s="51">
        <f>(IF(J40&gt;0,F40*'Equipment Costs'!$C$23)/1000)*'Equipment Costs'!$C$24</f>
        <v>0</v>
      </c>
      <c r="S40" s="72">
        <f>(H40+J40)*'Equipment Costs'!$C$17</f>
        <v>0</v>
      </c>
      <c r="U40" s="24">
        <f>(L40*1000)*'Equipment Costs'!$C$8</f>
        <v>20078.785496021777</v>
      </c>
      <c r="V40" s="27">
        <f t="shared" si="6"/>
        <v>6023.635648806533</v>
      </c>
      <c r="W40" s="31">
        <f t="shared" si="7"/>
        <v>26102.421144828309</v>
      </c>
      <c r="X40" s="24" t="s">
        <v>72</v>
      </c>
      <c r="Y40" s="19">
        <v>2</v>
      </c>
      <c r="Z40" s="34">
        <f>Y40*'Equipment Costs'!$C$18</f>
        <v>2000</v>
      </c>
      <c r="AB40" s="24" t="s">
        <v>82</v>
      </c>
      <c r="AC40" s="411">
        <f t="shared" si="8"/>
        <v>0</v>
      </c>
      <c r="AD40" s="10">
        <f t="shared" si="9"/>
        <v>0</v>
      </c>
    </row>
    <row r="41" spans="1:30" x14ac:dyDescent="0.25">
      <c r="A41" s="1" t="s">
        <v>112</v>
      </c>
      <c r="B41" s="375" t="s">
        <v>113</v>
      </c>
      <c r="C41" s="376">
        <v>254690</v>
      </c>
      <c r="D41" s="82" t="s">
        <v>62</v>
      </c>
      <c r="E41" s="376">
        <v>307.40376733875297</v>
      </c>
      <c r="F41" s="377">
        <v>111392.14256148321</v>
      </c>
      <c r="G41" s="378">
        <v>391766.03480005823</v>
      </c>
      <c r="H41" s="64"/>
      <c r="I41" s="379"/>
      <c r="J41" s="64"/>
      <c r="K41" s="380"/>
      <c r="L41" s="45">
        <v>2.6242338946588406</v>
      </c>
      <c r="M41" s="10">
        <v>5051.5212809580171</v>
      </c>
      <c r="N41" s="219"/>
      <c r="O41" s="71">
        <f>(H41*(I41*'Equipment Costs'!$C$10*'Equipment Costs'!$C$7))+(J41*(K41*'Equipment Costs'!$C$10*'Equipment Costs'!$C$6))</f>
        <v>0</v>
      </c>
      <c r="P41" s="51">
        <f>IF(H41+J41&gt;0,(H41+J41)*'Equipment Costs'!$C$16,0)</f>
        <v>0</v>
      </c>
      <c r="Q41" s="51">
        <f>IF(H41+J41=0,0,E41*'Equipment Costs'!$C$25)</f>
        <v>0</v>
      </c>
      <c r="R41" s="51">
        <f>(IF(J41&gt;0,F41*'Equipment Costs'!$C$23)/1000)*'Equipment Costs'!$C$24</f>
        <v>0</v>
      </c>
      <c r="S41" s="72">
        <f>(H41+J41)*'Equipment Costs'!$C$17</f>
        <v>0</v>
      </c>
      <c r="U41" s="24">
        <f>(L41*1000)*'Equipment Costs'!$C$8</f>
        <v>65605.847366471018</v>
      </c>
      <c r="V41" s="27">
        <f t="shared" si="6"/>
        <v>19681.754209941304</v>
      </c>
      <c r="W41" s="31">
        <f t="shared" si="7"/>
        <v>85287.601576412329</v>
      </c>
      <c r="X41" s="24" t="s">
        <v>114</v>
      </c>
      <c r="Y41" s="19">
        <v>3</v>
      </c>
      <c r="Z41" s="34">
        <f>Y41*'Equipment Costs'!$C$18</f>
        <v>3000</v>
      </c>
      <c r="AB41" s="24" t="s">
        <v>82</v>
      </c>
      <c r="AC41" s="411">
        <f t="shared" si="8"/>
        <v>0</v>
      </c>
      <c r="AD41" s="10">
        <f t="shared" si="9"/>
        <v>0</v>
      </c>
    </row>
    <row r="42" spans="1:30" x14ac:dyDescent="0.25">
      <c r="A42" s="1" t="s">
        <v>115</v>
      </c>
      <c r="B42" s="375" t="s">
        <v>116</v>
      </c>
      <c r="C42" s="376">
        <v>40000</v>
      </c>
      <c r="D42" s="82" t="s">
        <v>56</v>
      </c>
      <c r="E42" s="376">
        <v>82.466663522812539</v>
      </c>
      <c r="F42" s="377">
        <v>74573.893838197197</v>
      </c>
      <c r="G42" s="378">
        <v>262276.2972035071</v>
      </c>
      <c r="H42" s="64">
        <v>1</v>
      </c>
      <c r="I42" s="379">
        <f>E42*(H42/(H42+J42))</f>
        <v>82.466663522812539</v>
      </c>
      <c r="J42" s="64"/>
      <c r="K42" s="380">
        <f>E42*(J42/(H42+J42))</f>
        <v>0</v>
      </c>
      <c r="L42" s="45">
        <v>0.78933800475761307</v>
      </c>
      <c r="M42" s="10">
        <v>585.66143068700376</v>
      </c>
      <c r="N42" s="219"/>
      <c r="O42" s="71">
        <f>(H42*(I42*'Equipment Costs'!$C$10*'Equipment Costs'!$C$7))+(J42*(K42*'Equipment Costs'!$C$10*'Equipment Costs'!$C$6))</f>
        <v>24739.999056843761</v>
      </c>
      <c r="P42" s="51">
        <f>IF(H42+J42&gt;0,(H42+J42)*'Equipment Costs'!$C$16,0)</f>
        <v>692</v>
      </c>
      <c r="Q42" s="51">
        <f>IF(H42+J42=0,0,E42*'Equipment Costs'!$C$25)</f>
        <v>82.466663522812539</v>
      </c>
      <c r="R42" s="51">
        <f>(IF(J42&gt;0,F42*'Equipment Costs'!$C$23)/1000)*'Equipment Costs'!$C$24</f>
        <v>0</v>
      </c>
      <c r="S42" s="72">
        <f>(H42+J42)*'Equipment Costs'!$C$17</f>
        <v>1000</v>
      </c>
      <c r="U42" s="24">
        <f>(L42*1000)*'Equipment Costs'!$C$8</f>
        <v>19733.450118940327</v>
      </c>
      <c r="V42" s="27">
        <f t="shared" si="6"/>
        <v>5920.0350356820982</v>
      </c>
      <c r="W42" s="31">
        <f t="shared" si="7"/>
        <v>25653.485154622424</v>
      </c>
      <c r="X42" s="24" t="s">
        <v>72</v>
      </c>
      <c r="Y42" s="19">
        <v>2</v>
      </c>
      <c r="Z42" s="34">
        <f>Y42*'Equipment Costs'!$C$18</f>
        <v>2000</v>
      </c>
      <c r="AB42" s="24" t="s">
        <v>82</v>
      </c>
      <c r="AC42" s="411">
        <f t="shared" si="8"/>
        <v>4.1233331761406271</v>
      </c>
      <c r="AD42" s="10">
        <f t="shared" si="9"/>
        <v>13854.399471832507</v>
      </c>
    </row>
    <row r="43" spans="1:30" x14ac:dyDescent="0.25">
      <c r="A43" s="1" t="s">
        <v>117</v>
      </c>
      <c r="B43" s="375" t="s">
        <v>117</v>
      </c>
      <c r="C43" s="376">
        <v>36684</v>
      </c>
      <c r="D43" s="82" t="s">
        <v>56</v>
      </c>
      <c r="E43" s="376">
        <v>75.630177116771378</v>
      </c>
      <c r="F43" s="377">
        <v>68391.718039010666</v>
      </c>
      <c r="G43" s="378">
        <v>240533.59216533648</v>
      </c>
      <c r="H43" s="64">
        <v>1</v>
      </c>
      <c r="I43" s="379">
        <v>50</v>
      </c>
      <c r="J43" s="64"/>
      <c r="K43" s="380">
        <f>E43*(J43/(H43+J43))</f>
        <v>0</v>
      </c>
      <c r="L43" s="45">
        <v>0.72390188416320689</v>
      </c>
      <c r="M43" s="10">
        <v>537.11009808305255</v>
      </c>
      <c r="N43" s="219"/>
      <c r="O43" s="71">
        <f>(H43*(I43*'Equipment Costs'!$C$10*'Equipment Costs'!$C$7))+(J43*(K43*'Equipment Costs'!$C$10*'Equipment Costs'!$C$6))</f>
        <v>15000</v>
      </c>
      <c r="P43" s="51">
        <f>IF(H43+J43&gt;0,(H43+J43)*'Equipment Costs'!$C$16,0)</f>
        <v>692</v>
      </c>
      <c r="Q43" s="51">
        <f>IF(H43+J43=0,0,E43*'Equipment Costs'!$C$25)</f>
        <v>75.630177116771378</v>
      </c>
      <c r="R43" s="51">
        <f>(IF(J43&gt;0,F43*'Equipment Costs'!$C$23)/1000)*'Equipment Costs'!$C$24</f>
        <v>0</v>
      </c>
      <c r="S43" s="72">
        <f>(H43+J43)*'Equipment Costs'!$C$17</f>
        <v>1000</v>
      </c>
      <c r="U43" s="24">
        <f>(L43*1000)*'Equipment Costs'!$C$8</f>
        <v>18097.547104080171</v>
      </c>
      <c r="V43" s="27">
        <f t="shared" si="6"/>
        <v>5429.2641312240512</v>
      </c>
      <c r="W43" s="31">
        <f t="shared" si="7"/>
        <v>23526.811235304223</v>
      </c>
      <c r="X43" s="24" t="s">
        <v>72</v>
      </c>
      <c r="Y43" s="19">
        <v>2</v>
      </c>
      <c r="Z43" s="34">
        <f>Y43*'Equipment Costs'!$C$18</f>
        <v>2000</v>
      </c>
      <c r="AB43" s="24" t="s">
        <v>82</v>
      </c>
      <c r="AC43" s="411">
        <f t="shared" si="8"/>
        <v>3.781508855838569</v>
      </c>
      <c r="AD43" s="10">
        <f t="shared" si="9"/>
        <v>12705.869755617592</v>
      </c>
    </row>
    <row r="44" spans="1:30" ht="15.75" thickBot="1" x14ac:dyDescent="0.3">
      <c r="A44" s="94" t="s">
        <v>118</v>
      </c>
      <c r="B44" s="381" t="s">
        <v>119</v>
      </c>
      <c r="C44" s="382">
        <v>25056</v>
      </c>
      <c r="D44" s="350" t="s">
        <v>107</v>
      </c>
      <c r="E44" s="382">
        <v>0</v>
      </c>
      <c r="F44" s="383">
        <v>0</v>
      </c>
      <c r="G44" s="384">
        <v>0</v>
      </c>
      <c r="H44" s="406"/>
      <c r="I44" s="386"/>
      <c r="J44" s="406"/>
      <c r="K44" s="387"/>
      <c r="L44" s="46">
        <v>1.3412084413584906</v>
      </c>
      <c r="M44" s="11">
        <v>991.8470335985777</v>
      </c>
      <c r="N44" s="219"/>
      <c r="O44" s="315">
        <f>(H44*(I44*'Equipment Costs'!$C$10*'Equipment Costs'!$C$7))+(J44*(K44*'Equipment Costs'!$C$10*'Equipment Costs'!$C$6))</f>
        <v>0</v>
      </c>
      <c r="P44" s="316">
        <f>IF(H44+J44&gt;0,(H44+J44)*'Equipment Costs'!$C$16,0)</f>
        <v>0</v>
      </c>
      <c r="Q44" s="316">
        <f>IF(H44+J44=0,0,E44*'Equipment Costs'!$C$25)</f>
        <v>0</v>
      </c>
      <c r="R44" s="316">
        <f>(IF(J44&gt;0,F44*'Equipment Costs'!$C$23)/1000)*'Equipment Costs'!$C$24</f>
        <v>0</v>
      </c>
      <c r="S44" s="317">
        <f>(H44+J44)*'Equipment Costs'!$C$17</f>
        <v>0</v>
      </c>
      <c r="U44" s="323">
        <f>(L44*1000)*'Equipment Costs'!$C$8</f>
        <v>33530.21103396226</v>
      </c>
      <c r="V44" s="324">
        <f t="shared" si="6"/>
        <v>10059.063310188678</v>
      </c>
      <c r="W44" s="37">
        <f t="shared" si="7"/>
        <v>43589.274344150937</v>
      </c>
      <c r="X44" s="323" t="s">
        <v>39</v>
      </c>
      <c r="Y44" s="237">
        <v>2</v>
      </c>
      <c r="Z44" s="35">
        <f>Y44*'Equipment Costs'!$C$18</f>
        <v>2000</v>
      </c>
      <c r="AB44" s="25" t="s">
        <v>82</v>
      </c>
      <c r="AC44" s="413">
        <f t="shared" si="8"/>
        <v>0</v>
      </c>
      <c r="AD44" s="11">
        <f t="shared" si="9"/>
        <v>0</v>
      </c>
    </row>
    <row r="45" spans="1:30" ht="15.75" thickBot="1" x14ac:dyDescent="0.3">
      <c r="A45" s="285" t="s">
        <v>120</v>
      </c>
      <c r="B45" s="388"/>
      <c r="C45" s="407"/>
      <c r="D45" s="390"/>
      <c r="E45" s="391"/>
      <c r="F45" s="392"/>
      <c r="G45" s="393"/>
      <c r="H45" s="394"/>
      <c r="I45" s="395"/>
      <c r="J45" s="396"/>
      <c r="K45" s="397"/>
      <c r="L45" s="292"/>
      <c r="M45" s="293"/>
      <c r="N45" s="219"/>
      <c r="O45" s="321"/>
      <c r="P45" s="322"/>
      <c r="Q45" s="322"/>
      <c r="R45" s="322"/>
      <c r="S45" s="81"/>
      <c r="U45" s="22"/>
      <c r="V45" s="23"/>
      <c r="W45" s="326"/>
      <c r="X45" s="22"/>
      <c r="Y45" s="165"/>
      <c r="Z45" s="36"/>
      <c r="AB45" s="419"/>
      <c r="AC45" s="420"/>
      <c r="AD45" s="421"/>
    </row>
    <row r="46" spans="1:30" x14ac:dyDescent="0.25">
      <c r="A46" s="300" t="s">
        <v>121</v>
      </c>
      <c r="B46" s="398" t="s">
        <v>122</v>
      </c>
      <c r="C46" s="408">
        <v>180000</v>
      </c>
      <c r="D46" s="409" t="s">
        <v>56</v>
      </c>
      <c r="E46" s="399">
        <v>453.67849427214128</v>
      </c>
      <c r="F46" s="401">
        <v>305260.34559149685</v>
      </c>
      <c r="G46" s="402">
        <v>1073600.2775785353</v>
      </c>
      <c r="H46" s="410"/>
      <c r="I46" s="404"/>
      <c r="J46" s="410"/>
      <c r="K46" s="405"/>
      <c r="L46" s="92">
        <v>5.1498605999404772</v>
      </c>
      <c r="M46" s="93">
        <v>4132.0969204101166</v>
      </c>
      <c r="N46" s="219"/>
      <c r="O46" s="318">
        <f>(H46*(I46*'Equipment Costs'!$C$10*'Equipment Costs'!$C$7))+(J46*(K46*'Equipment Costs'!$C$10*'Equipment Costs'!$C$6))</f>
        <v>0</v>
      </c>
      <c r="P46" s="319">
        <f>IF(H46+J46&gt;0,(H46+J46)*'Equipment Costs'!$C$16,0)</f>
        <v>0</v>
      </c>
      <c r="Q46" s="319">
        <f>IF(H46+J46=0,0,E46*'Equipment Costs'!$C$25)</f>
        <v>0</v>
      </c>
      <c r="R46" s="319">
        <f>(IF(J46&gt;0,F46*'Equipment Costs'!$C$23)/1000)*'Equipment Costs'!$C$24</f>
        <v>0</v>
      </c>
      <c r="S46" s="320">
        <f>(H46+J46)*'Equipment Costs'!$C$17</f>
        <v>0</v>
      </c>
      <c r="U46" s="26">
        <f>(L46*1000)*'Equipment Costs'!$C$8</f>
        <v>128746.51499851194</v>
      </c>
      <c r="V46" s="27">
        <f t="shared" ref="V46:V57" si="10">U46*0.3</f>
        <v>38623.954499553576</v>
      </c>
      <c r="W46" s="30">
        <f t="shared" ref="W46:W57" si="11">U46+V46</f>
        <v>167370.4694980655</v>
      </c>
      <c r="X46" s="26" t="s">
        <v>123</v>
      </c>
      <c r="Y46" s="310">
        <v>2</v>
      </c>
      <c r="Z46" s="43">
        <f>Y46*'Equipment Costs'!$C$18</f>
        <v>2000</v>
      </c>
      <c r="AB46" s="359" t="s">
        <v>124</v>
      </c>
      <c r="AC46" s="415">
        <f t="shared" ref="AC46:AC57" si="12">IF(OR(H46&gt;0,J46&gt;0),$AD$3*E46,0)</f>
        <v>0</v>
      </c>
      <c r="AD46" s="93">
        <f t="shared" ref="AD46:AD57" si="13">AC46*$AD$4</f>
        <v>0</v>
      </c>
    </row>
    <row r="47" spans="1:30" x14ac:dyDescent="0.25">
      <c r="A47" s="1" t="s">
        <v>125</v>
      </c>
      <c r="B47" s="375" t="s">
        <v>122</v>
      </c>
      <c r="C47" s="376">
        <v>120000</v>
      </c>
      <c r="D47" s="82" t="s">
        <v>107</v>
      </c>
      <c r="E47" s="376">
        <v>268.2645567750576</v>
      </c>
      <c r="F47" s="377">
        <v>146427.54836575568</v>
      </c>
      <c r="G47" s="378">
        <v>514985.51594052406</v>
      </c>
      <c r="H47" s="64"/>
      <c r="I47" s="379"/>
      <c r="J47" s="64"/>
      <c r="K47" s="380"/>
      <c r="L47" s="45">
        <v>3.1436724095077451</v>
      </c>
      <c r="M47" s="10">
        <v>2962.4298214671994</v>
      </c>
      <c r="N47" s="219"/>
      <c r="O47" s="71">
        <f>(H47*(I47*'Equipment Costs'!$C$10*'Equipment Costs'!$C$7))+(J47*(K47*'Equipment Costs'!$C$10*'Equipment Costs'!$C$6))</f>
        <v>0</v>
      </c>
      <c r="P47" s="51">
        <f>IF(H47+J47&gt;0,(H47+J47)*'Equipment Costs'!$C$16,0)</f>
        <v>0</v>
      </c>
      <c r="Q47" s="51">
        <f>IF(H47+J47=0,0,E47*'Equipment Costs'!$C$25)</f>
        <v>0</v>
      </c>
      <c r="R47" s="51">
        <f>(IF(J47&gt;0,F47*'Equipment Costs'!$C$23)/1000)*'Equipment Costs'!$C$24</f>
        <v>0</v>
      </c>
      <c r="S47" s="72">
        <f>(H47+J47)*'Equipment Costs'!$C$17</f>
        <v>0</v>
      </c>
      <c r="U47" s="24">
        <f>(L47*1000)*'Equipment Costs'!$C$8</f>
        <v>78591.810237693629</v>
      </c>
      <c r="V47" s="27">
        <f t="shared" si="10"/>
        <v>23577.54307130809</v>
      </c>
      <c r="W47" s="31">
        <f t="shared" si="11"/>
        <v>102169.35330900172</v>
      </c>
      <c r="X47" s="24" t="s">
        <v>97</v>
      </c>
      <c r="Y47" s="19">
        <v>3</v>
      </c>
      <c r="Z47" s="34">
        <f>Y47*'Equipment Costs'!$C$18</f>
        <v>3000</v>
      </c>
      <c r="AB47" s="24" t="s">
        <v>124</v>
      </c>
      <c r="AC47" s="411">
        <f t="shared" si="12"/>
        <v>0</v>
      </c>
      <c r="AD47" s="10">
        <f t="shared" si="13"/>
        <v>0</v>
      </c>
    </row>
    <row r="48" spans="1:30" x14ac:dyDescent="0.25">
      <c r="A48" s="1" t="s">
        <v>126</v>
      </c>
      <c r="B48" s="375" t="s">
        <v>122</v>
      </c>
      <c r="C48" s="376">
        <v>45000</v>
      </c>
      <c r="D48" s="82" t="s">
        <v>62</v>
      </c>
      <c r="E48" s="376">
        <v>89.047114815448239</v>
      </c>
      <c r="F48" s="377">
        <v>33505.574876442748</v>
      </c>
      <c r="G48" s="378">
        <v>117839.06756075997</v>
      </c>
      <c r="H48" s="64"/>
      <c r="I48" s="379"/>
      <c r="J48" s="64"/>
      <c r="K48" s="380"/>
      <c r="L48" s="45">
        <v>1.0988199806422609</v>
      </c>
      <c r="M48" s="10">
        <v>1188.7981359978742</v>
      </c>
      <c r="N48" s="219"/>
      <c r="O48" s="71">
        <f>(H48*(I48*'Equipment Costs'!$C$10*'Equipment Costs'!$C$7))+(J48*(K48*'Equipment Costs'!$C$10*'Equipment Costs'!$C$6))</f>
        <v>0</v>
      </c>
      <c r="P48" s="51">
        <f>IF(H48+J48&gt;0,(H48+J48)*'Equipment Costs'!$C$16,0)</f>
        <v>0</v>
      </c>
      <c r="Q48" s="51">
        <f>IF(H48+J48=0,0,E48*'Equipment Costs'!$C$25)</f>
        <v>0</v>
      </c>
      <c r="R48" s="51">
        <f>(IF(J48&gt;0,F48*'Equipment Costs'!$C$23)/1000)*'Equipment Costs'!$C$24</f>
        <v>0</v>
      </c>
      <c r="S48" s="72">
        <f>(H48+J48)*'Equipment Costs'!$C$17</f>
        <v>0</v>
      </c>
      <c r="U48" s="24">
        <f>(L48*1000)*'Equipment Costs'!$C$8</f>
        <v>27470.499516056527</v>
      </c>
      <c r="V48" s="27">
        <f t="shared" si="10"/>
        <v>8241.1498548169584</v>
      </c>
      <c r="W48" s="31">
        <f t="shared" si="11"/>
        <v>35711.649370873485</v>
      </c>
      <c r="X48" s="24" t="s">
        <v>39</v>
      </c>
      <c r="Y48" s="19">
        <v>2</v>
      </c>
      <c r="Z48" s="34">
        <f>Y48*'Equipment Costs'!$C$18</f>
        <v>2000</v>
      </c>
      <c r="AB48" s="24" t="s">
        <v>124</v>
      </c>
      <c r="AC48" s="411">
        <f t="shared" si="12"/>
        <v>0</v>
      </c>
      <c r="AD48" s="10">
        <f t="shared" si="13"/>
        <v>0</v>
      </c>
    </row>
    <row r="49" spans="1:30" x14ac:dyDescent="0.25">
      <c r="A49" s="1" t="s">
        <v>127</v>
      </c>
      <c r="B49" s="375" t="s">
        <v>122</v>
      </c>
      <c r="C49" s="376">
        <v>110000</v>
      </c>
      <c r="D49" s="82" t="s">
        <v>107</v>
      </c>
      <c r="E49" s="376">
        <v>245.90917704380286</v>
      </c>
      <c r="F49" s="377">
        <v>134225.25266860958</v>
      </c>
      <c r="G49" s="378">
        <v>472070.05627881445</v>
      </c>
      <c r="H49" s="64"/>
      <c r="I49" s="379"/>
      <c r="J49" s="64"/>
      <c r="K49" s="380"/>
      <c r="L49" s="45">
        <v>2.8816997087154337</v>
      </c>
      <c r="M49" s="10">
        <v>2715.5606696782647</v>
      </c>
      <c r="N49" s="219"/>
      <c r="O49" s="71">
        <f>(H49*(I49*'Equipment Costs'!$C$10*'Equipment Costs'!$C$7))+(J49*(K49*'Equipment Costs'!$C$10*'Equipment Costs'!$C$6))</f>
        <v>0</v>
      </c>
      <c r="P49" s="51">
        <f>IF(H49+J49&gt;0,(H49+J49)*'Equipment Costs'!$C$16,0)</f>
        <v>0</v>
      </c>
      <c r="Q49" s="51">
        <f>IF(H49+J49=0,0,E49*'Equipment Costs'!$C$25)</f>
        <v>0</v>
      </c>
      <c r="R49" s="51">
        <f>(IF(J49&gt;0,F49*'Equipment Costs'!$C$23)/1000)*'Equipment Costs'!$C$24</f>
        <v>0</v>
      </c>
      <c r="S49" s="72">
        <f>(H49+J49)*'Equipment Costs'!$C$17</f>
        <v>0</v>
      </c>
      <c r="U49" s="24">
        <f>(L49*1000)*'Equipment Costs'!$C$8</f>
        <v>72042.492717885834</v>
      </c>
      <c r="V49" s="27">
        <f t="shared" si="10"/>
        <v>21612.74781536575</v>
      </c>
      <c r="W49" s="31">
        <f t="shared" si="11"/>
        <v>93655.240533251577</v>
      </c>
      <c r="X49" s="24" t="s">
        <v>128</v>
      </c>
      <c r="Y49" s="19">
        <v>2</v>
      </c>
      <c r="Z49" s="34">
        <f>Y49*'Equipment Costs'!$C$18</f>
        <v>2000</v>
      </c>
      <c r="AB49" s="24" t="s">
        <v>124</v>
      </c>
      <c r="AC49" s="411">
        <f t="shared" si="12"/>
        <v>0</v>
      </c>
      <c r="AD49" s="10">
        <f t="shared" si="13"/>
        <v>0</v>
      </c>
    </row>
    <row r="50" spans="1:30" x14ac:dyDescent="0.25">
      <c r="A50" s="1" t="s">
        <v>129</v>
      </c>
      <c r="B50" s="375" t="s">
        <v>122</v>
      </c>
      <c r="C50" s="376">
        <v>30000</v>
      </c>
      <c r="D50" s="82" t="s">
        <v>62</v>
      </c>
      <c r="E50" s="376">
        <v>59.364743210298819</v>
      </c>
      <c r="F50" s="377">
        <v>22337.049917628527</v>
      </c>
      <c r="G50" s="378">
        <v>78559.378373840082</v>
      </c>
      <c r="H50" s="64"/>
      <c r="I50" s="379"/>
      <c r="J50" s="64"/>
      <c r="K50" s="380"/>
      <c r="L50" s="45">
        <v>0.7325466537615074</v>
      </c>
      <c r="M50" s="10">
        <v>792.53209066524823</v>
      </c>
      <c r="N50" s="219"/>
      <c r="O50" s="71">
        <f>(H50*(I50*'Equipment Costs'!$C$10*'Equipment Costs'!$C$7))+(J50*(K50*'Equipment Costs'!$C$10*'Equipment Costs'!$C$6))</f>
        <v>0</v>
      </c>
      <c r="P50" s="51">
        <f>IF(H50+J50&gt;0,(H50+J50)*'Equipment Costs'!$C$16,0)</f>
        <v>0</v>
      </c>
      <c r="Q50" s="51">
        <f>IF(H50+J50=0,0,E50*'Equipment Costs'!$C$25)</f>
        <v>0</v>
      </c>
      <c r="R50" s="51">
        <f>(IF(J50&gt;0,F50*'Equipment Costs'!$C$23)/1000)*'Equipment Costs'!$C$24</f>
        <v>0</v>
      </c>
      <c r="S50" s="72">
        <f>(H50+J50)*'Equipment Costs'!$C$17</f>
        <v>0</v>
      </c>
      <c r="U50" s="24">
        <f>(L50*1000)*'Equipment Costs'!$C$8</f>
        <v>18313.666344037683</v>
      </c>
      <c r="V50" s="27">
        <f t="shared" si="10"/>
        <v>5494.099903211305</v>
      </c>
      <c r="W50" s="31">
        <f t="shared" si="11"/>
        <v>23807.76624724899</v>
      </c>
      <c r="X50" s="24" t="s">
        <v>47</v>
      </c>
      <c r="Y50" s="19">
        <v>2</v>
      </c>
      <c r="Z50" s="34">
        <f>Y50*'Equipment Costs'!$C$18</f>
        <v>2000</v>
      </c>
      <c r="AB50" s="24" t="s">
        <v>124</v>
      </c>
      <c r="AC50" s="411">
        <f t="shared" si="12"/>
        <v>0</v>
      </c>
      <c r="AD50" s="10">
        <f t="shared" si="13"/>
        <v>0</v>
      </c>
    </row>
    <row r="51" spans="1:30" x14ac:dyDescent="0.25">
      <c r="A51" s="1" t="s">
        <v>130</v>
      </c>
      <c r="B51" s="375" t="s">
        <v>122</v>
      </c>
      <c r="C51" s="376">
        <v>225000</v>
      </c>
      <c r="D51" s="82" t="s">
        <v>62</v>
      </c>
      <c r="E51" s="376">
        <v>271.56876065499006</v>
      </c>
      <c r="F51" s="377">
        <v>98406.816429124097</v>
      </c>
      <c r="G51" s="378">
        <v>346096.65801567677</v>
      </c>
      <c r="H51" s="64"/>
      <c r="I51" s="379"/>
      <c r="J51" s="64"/>
      <c r="K51" s="380"/>
      <c r="L51" s="45">
        <v>2.3183188436854185</v>
      </c>
      <c r="M51" s="10">
        <v>4462.6498418295059</v>
      </c>
      <c r="N51" s="219"/>
      <c r="O51" s="71">
        <f>(H51*(I51*'Equipment Costs'!$C$10*'Equipment Costs'!$C$7))+(J51*(K51*'Equipment Costs'!$C$10*'Equipment Costs'!$C$6))</f>
        <v>0</v>
      </c>
      <c r="P51" s="51">
        <f>IF(H51+J51&gt;0,(H51+J51)*'Equipment Costs'!$C$16,0)</f>
        <v>0</v>
      </c>
      <c r="Q51" s="51">
        <f>IF(H51+J51=0,0,E51*'Equipment Costs'!$C$25)</f>
        <v>0</v>
      </c>
      <c r="R51" s="51">
        <f>(IF(J51&gt;0,F51*'Equipment Costs'!$C$23)/1000)*'Equipment Costs'!$C$24</f>
        <v>0</v>
      </c>
      <c r="S51" s="72">
        <f>(H51+J51)*'Equipment Costs'!$C$17</f>
        <v>0</v>
      </c>
      <c r="U51" s="24">
        <f>(L51*1000)*'Equipment Costs'!$C$8</f>
        <v>57957.971092135464</v>
      </c>
      <c r="V51" s="27">
        <f t="shared" si="10"/>
        <v>17387.391327640638</v>
      </c>
      <c r="W51" s="31">
        <f t="shared" si="11"/>
        <v>75345.362419776095</v>
      </c>
      <c r="X51" s="24" t="s">
        <v>85</v>
      </c>
      <c r="Y51" s="19">
        <v>3</v>
      </c>
      <c r="Z51" s="34">
        <f>Y51*'Equipment Costs'!$C$18</f>
        <v>3000</v>
      </c>
      <c r="AB51" s="24" t="s">
        <v>124</v>
      </c>
      <c r="AC51" s="411">
        <f t="shared" si="12"/>
        <v>0</v>
      </c>
      <c r="AD51" s="10">
        <f t="shared" si="13"/>
        <v>0</v>
      </c>
    </row>
    <row r="52" spans="1:30" x14ac:dyDescent="0.25">
      <c r="A52" s="1" t="s">
        <v>131</v>
      </c>
      <c r="B52" s="375" t="s">
        <v>122</v>
      </c>
      <c r="C52" s="376">
        <v>320000</v>
      </c>
      <c r="D52" s="82" t="s">
        <v>107</v>
      </c>
      <c r="E52" s="376">
        <v>715.3721514001536</v>
      </c>
      <c r="F52" s="377">
        <v>390473.46230868372</v>
      </c>
      <c r="G52" s="378">
        <v>1373294.7091747376</v>
      </c>
      <c r="H52" s="64"/>
      <c r="I52" s="379"/>
      <c r="J52" s="64"/>
      <c r="K52" s="380"/>
      <c r="L52" s="45">
        <v>8.3831264253539892</v>
      </c>
      <c r="M52" s="10">
        <v>7899.8128572458645</v>
      </c>
      <c r="N52" s="219"/>
      <c r="O52" s="71">
        <f>(H52*(I52*'Equipment Costs'!$C$10*'Equipment Costs'!$C$7))+(J52*(K52*'Equipment Costs'!$C$10*'Equipment Costs'!$C$6))</f>
        <v>0</v>
      </c>
      <c r="P52" s="51">
        <f>IF(H52+J52&gt;0,(H52+J52)*'Equipment Costs'!$C$16,0)</f>
        <v>0</v>
      </c>
      <c r="Q52" s="51">
        <f>IF(H52+J52=0,0,E52*'Equipment Costs'!$C$25)</f>
        <v>0</v>
      </c>
      <c r="R52" s="51">
        <f>(IF(J52&gt;0,F52*'Equipment Costs'!$C$23)/1000)*'Equipment Costs'!$C$24</f>
        <v>0</v>
      </c>
      <c r="S52" s="72">
        <f>(H52+J52)*'Equipment Costs'!$C$17</f>
        <v>0</v>
      </c>
      <c r="U52" s="24">
        <f>(L52*1000)*'Equipment Costs'!$C$8</f>
        <v>209578.16063384971</v>
      </c>
      <c r="V52" s="27">
        <f t="shared" si="10"/>
        <v>62873.448190154908</v>
      </c>
      <c r="W52" s="31">
        <f t="shared" si="11"/>
        <v>272451.60882400459</v>
      </c>
      <c r="X52" s="24" t="s">
        <v>132</v>
      </c>
      <c r="Y52" s="19">
        <v>3</v>
      </c>
      <c r="Z52" s="34">
        <f>Y52*'Equipment Costs'!$C$18</f>
        <v>3000</v>
      </c>
      <c r="AB52" s="24" t="s">
        <v>124</v>
      </c>
      <c r="AC52" s="411">
        <f t="shared" si="12"/>
        <v>0</v>
      </c>
      <c r="AD52" s="10">
        <f t="shared" si="13"/>
        <v>0</v>
      </c>
    </row>
    <row r="53" spans="1:30" x14ac:dyDescent="0.25">
      <c r="A53" s="1" t="s">
        <v>133</v>
      </c>
      <c r="B53" s="375" t="s">
        <v>122</v>
      </c>
      <c r="C53" s="376">
        <v>120000</v>
      </c>
      <c r="D53" s="82" t="s">
        <v>62</v>
      </c>
      <c r="E53" s="376">
        <v>144.83667234932801</v>
      </c>
      <c r="F53" s="377">
        <v>52483.635428866408</v>
      </c>
      <c r="G53" s="378">
        <v>184584.88427502842</v>
      </c>
      <c r="H53" s="64"/>
      <c r="I53" s="379"/>
      <c r="J53" s="64"/>
      <c r="K53" s="380"/>
      <c r="L53" s="45">
        <v>1.2364367166322232</v>
      </c>
      <c r="M53" s="10">
        <v>2380.07991564241</v>
      </c>
      <c r="N53" s="219"/>
      <c r="O53" s="71">
        <f>(H53*(I53*'Equipment Costs'!$C$10*'Equipment Costs'!$C$7))+(J53*(K53*'Equipment Costs'!$C$10*'Equipment Costs'!$C$6))</f>
        <v>0</v>
      </c>
      <c r="P53" s="51">
        <f>IF(H53+J53&gt;0,(H53+J53)*'Equipment Costs'!$C$16,0)</f>
        <v>0</v>
      </c>
      <c r="Q53" s="51">
        <f>IF(H53+J53=0,0,E53*'Equipment Costs'!$C$25)</f>
        <v>0</v>
      </c>
      <c r="R53" s="51">
        <f>(IF(J53&gt;0,F53*'Equipment Costs'!$C$23)/1000)*'Equipment Costs'!$C$24</f>
        <v>0</v>
      </c>
      <c r="S53" s="72">
        <f>(H53+J53)*'Equipment Costs'!$C$17</f>
        <v>0</v>
      </c>
      <c r="U53" s="24">
        <f>(L53*1000)*'Equipment Costs'!$C$8</f>
        <v>30910.917915805578</v>
      </c>
      <c r="V53" s="27">
        <f t="shared" si="10"/>
        <v>9273.2753747416737</v>
      </c>
      <c r="W53" s="31">
        <f t="shared" si="11"/>
        <v>40184.193290547249</v>
      </c>
      <c r="X53" s="24" t="s">
        <v>39</v>
      </c>
      <c r="Y53" s="19">
        <v>2</v>
      </c>
      <c r="Z53" s="34">
        <f>Y53*'Equipment Costs'!$C$18</f>
        <v>2000</v>
      </c>
      <c r="AB53" s="24" t="s">
        <v>124</v>
      </c>
      <c r="AC53" s="411">
        <f t="shared" si="12"/>
        <v>0</v>
      </c>
      <c r="AD53" s="10">
        <f t="shared" si="13"/>
        <v>0</v>
      </c>
    </row>
    <row r="54" spans="1:30" x14ac:dyDescent="0.25">
      <c r="A54" s="1" t="s">
        <v>134</v>
      </c>
      <c r="B54" s="375" t="s">
        <v>122</v>
      </c>
      <c r="C54" s="376">
        <v>60000</v>
      </c>
      <c r="D54" s="82" t="s">
        <v>62</v>
      </c>
      <c r="E54" s="376">
        <v>118.72948642059764</v>
      </c>
      <c r="F54" s="377">
        <v>44674.099835257053</v>
      </c>
      <c r="G54" s="378">
        <v>157118.75674768016</v>
      </c>
      <c r="H54" s="64"/>
      <c r="I54" s="379"/>
      <c r="J54" s="64"/>
      <c r="K54" s="380"/>
      <c r="L54" s="45">
        <v>1.4650933075230148</v>
      </c>
      <c r="M54" s="10">
        <v>1585.0641813304965</v>
      </c>
      <c r="N54" s="219"/>
      <c r="O54" s="71">
        <f>(H54*(I54*'Equipment Costs'!$C$10*'Equipment Costs'!$C$7))+(J54*(K54*'Equipment Costs'!$C$10*'Equipment Costs'!$C$6))</f>
        <v>0</v>
      </c>
      <c r="P54" s="51">
        <f>IF(H54+J54&gt;0,(H54+J54)*'Equipment Costs'!$C$16,0)</f>
        <v>0</v>
      </c>
      <c r="Q54" s="51">
        <f>IF(H54+J54=0,0,E54*'Equipment Costs'!$C$25)</f>
        <v>0</v>
      </c>
      <c r="R54" s="51">
        <f>(IF(J54&gt;0,F54*'Equipment Costs'!$C$23)/1000)*'Equipment Costs'!$C$24</f>
        <v>0</v>
      </c>
      <c r="S54" s="72">
        <f>(H54+J54)*'Equipment Costs'!$C$17</f>
        <v>0</v>
      </c>
      <c r="U54" s="24">
        <f>(L54*1000)*'Equipment Costs'!$C$8</f>
        <v>36627.332688075367</v>
      </c>
      <c r="V54" s="27">
        <f t="shared" si="10"/>
        <v>10988.19980642261</v>
      </c>
      <c r="W54" s="31">
        <f t="shared" si="11"/>
        <v>47615.53249449798</v>
      </c>
      <c r="X54" s="24" t="s">
        <v>39</v>
      </c>
      <c r="Y54" s="19">
        <v>2</v>
      </c>
      <c r="Z54" s="34">
        <f>Y54*'Equipment Costs'!$C$18</f>
        <v>2000</v>
      </c>
      <c r="AB54" s="24" t="s">
        <v>124</v>
      </c>
      <c r="AC54" s="411">
        <f t="shared" si="12"/>
        <v>0</v>
      </c>
      <c r="AD54" s="10">
        <f t="shared" si="13"/>
        <v>0</v>
      </c>
    </row>
    <row r="55" spans="1:30" x14ac:dyDescent="0.25">
      <c r="A55" s="1" t="s">
        <v>135</v>
      </c>
      <c r="B55" s="375" t="s">
        <v>122</v>
      </c>
      <c r="C55" s="376">
        <v>160000</v>
      </c>
      <c r="D55" s="82" t="s">
        <v>62</v>
      </c>
      <c r="E55" s="376">
        <v>193.11556313243736</v>
      </c>
      <c r="F55" s="377">
        <v>69978.180571821722</v>
      </c>
      <c r="G55" s="378">
        <v>246113.17903337063</v>
      </c>
      <c r="H55" s="64"/>
      <c r="I55" s="379"/>
      <c r="J55" s="64"/>
      <c r="K55" s="380"/>
      <c r="L55" s="45">
        <v>1.648582288842964</v>
      </c>
      <c r="M55" s="10">
        <v>3173.4398875232018</v>
      </c>
      <c r="N55" s="219"/>
      <c r="O55" s="71">
        <f>(H55*(I55*'Equipment Costs'!$C$10*'Equipment Costs'!$C$7))+(J55*(K55*'Equipment Costs'!$C$10*'Equipment Costs'!$C$6))</f>
        <v>0</v>
      </c>
      <c r="P55" s="51">
        <f>IF(H55+J55&gt;0,(H55+J55)*'Equipment Costs'!$C$16,0)</f>
        <v>0</v>
      </c>
      <c r="Q55" s="51">
        <f>IF(H55+J55=0,0,E55*'Equipment Costs'!$C$25)</f>
        <v>0</v>
      </c>
      <c r="R55" s="51">
        <f>(IF(J55&gt;0,F55*'Equipment Costs'!$C$23)/1000)*'Equipment Costs'!$C$24</f>
        <v>0</v>
      </c>
      <c r="S55" s="72">
        <f>(H55+J55)*'Equipment Costs'!$C$17</f>
        <v>0</v>
      </c>
      <c r="U55" s="24">
        <f>(L55*1000)*'Equipment Costs'!$C$8</f>
        <v>41214.557221074101</v>
      </c>
      <c r="V55" s="27">
        <f t="shared" si="10"/>
        <v>12364.36716632223</v>
      </c>
      <c r="W55" s="31">
        <f t="shared" si="11"/>
        <v>53578.924387396328</v>
      </c>
      <c r="X55" s="24" t="s">
        <v>97</v>
      </c>
      <c r="Y55" s="19">
        <v>3</v>
      </c>
      <c r="Z55" s="34">
        <f>Y55*'Equipment Costs'!$C$18</f>
        <v>3000</v>
      </c>
      <c r="AB55" s="24" t="s">
        <v>124</v>
      </c>
      <c r="AC55" s="411">
        <f t="shared" si="12"/>
        <v>0</v>
      </c>
      <c r="AD55" s="10">
        <f t="shared" si="13"/>
        <v>0</v>
      </c>
    </row>
    <row r="56" spans="1:30" x14ac:dyDescent="0.25">
      <c r="A56" s="1" t="s">
        <v>136</v>
      </c>
      <c r="B56" s="375" t="s">
        <v>122</v>
      </c>
      <c r="C56" s="376">
        <v>270000</v>
      </c>
      <c r="D56" s="82" t="s">
        <v>107</v>
      </c>
      <c r="E56" s="376">
        <v>603.59525274387977</v>
      </c>
      <c r="F56" s="377">
        <v>329461.98382295022</v>
      </c>
      <c r="G56" s="378">
        <v>1158717.4108661788</v>
      </c>
      <c r="H56" s="64"/>
      <c r="I56" s="379"/>
      <c r="J56" s="64"/>
      <c r="K56" s="380"/>
      <c r="L56" s="45">
        <v>7.0732629213924261</v>
      </c>
      <c r="M56" s="10">
        <v>6665.467098301212</v>
      </c>
      <c r="N56" s="219"/>
      <c r="O56" s="71">
        <f>(H56*(I56*'Equipment Costs'!$C$10*'Equipment Costs'!$C$7))+(J56*(K56*'Equipment Costs'!$C$10*'Equipment Costs'!$C$6))</f>
        <v>0</v>
      </c>
      <c r="P56" s="51">
        <f>IF(H56+J56&gt;0,(H56+J56)*'Equipment Costs'!$C$16,0)</f>
        <v>0</v>
      </c>
      <c r="Q56" s="51">
        <f>IF(H56+J56=0,0,E56*'Equipment Costs'!$C$25)</f>
        <v>0</v>
      </c>
      <c r="R56" s="51">
        <f>(IF(J56&gt;0,F56*'Equipment Costs'!$C$23)/1000)*'Equipment Costs'!$C$24</f>
        <v>0</v>
      </c>
      <c r="S56" s="72">
        <f>(H56+J56)*'Equipment Costs'!$C$17</f>
        <v>0</v>
      </c>
      <c r="U56" s="24">
        <f>(L56*1000)*'Equipment Costs'!$C$8</f>
        <v>176831.57303481066</v>
      </c>
      <c r="V56" s="27">
        <f t="shared" si="10"/>
        <v>53049.471910443193</v>
      </c>
      <c r="W56" s="31">
        <f t="shared" si="11"/>
        <v>229881.04494525385</v>
      </c>
      <c r="X56" s="24" t="s">
        <v>137</v>
      </c>
      <c r="Y56" s="19">
        <v>3</v>
      </c>
      <c r="Z56" s="34">
        <f>Y56*'Equipment Costs'!$C$18</f>
        <v>3000</v>
      </c>
      <c r="AB56" s="24" t="s">
        <v>124</v>
      </c>
      <c r="AC56" s="411">
        <f t="shared" si="12"/>
        <v>0</v>
      </c>
      <c r="AD56" s="10">
        <f t="shared" si="13"/>
        <v>0</v>
      </c>
    </row>
    <row r="57" spans="1:30" ht="15.75" thickBot="1" x14ac:dyDescent="0.3">
      <c r="A57" s="94" t="s">
        <v>138</v>
      </c>
      <c r="B57" s="381" t="s">
        <v>122</v>
      </c>
      <c r="C57" s="382">
        <v>85000</v>
      </c>
      <c r="D57" s="350" t="s">
        <v>139</v>
      </c>
      <c r="E57" s="382">
        <v>211.49456757662264</v>
      </c>
      <c r="F57" s="383">
        <v>94491.567352557366</v>
      </c>
      <c r="G57" s="384">
        <v>332326.73160336702</v>
      </c>
      <c r="H57" s="406"/>
      <c r="I57" s="386"/>
      <c r="J57" s="406"/>
      <c r="K57" s="387"/>
      <c r="L57" s="46">
        <v>2.6417507941667533</v>
      </c>
      <c r="M57" s="11">
        <v>1613.4141832960281</v>
      </c>
      <c r="N57" s="219"/>
      <c r="O57" s="73">
        <f>(H57*(I57*'Equipment Costs'!$C$10*'Equipment Costs'!$C$7))+(J57*(K57*'Equipment Costs'!$C$10*'Equipment Costs'!$C$6))</f>
        <v>0</v>
      </c>
      <c r="P57" s="74">
        <f>IF(H57+J57&gt;0,(H57+J57)*'Equipment Costs'!$C$16,0)</f>
        <v>0</v>
      </c>
      <c r="Q57" s="74">
        <f>IF(H57+J57=0,0,E57*'Equipment Costs'!$C$25)</f>
        <v>0</v>
      </c>
      <c r="R57" s="74">
        <f>(IF(J57&gt;0,F57*'Equipment Costs'!$C$23)/1000)*'Equipment Costs'!$C$24</f>
        <v>0</v>
      </c>
      <c r="S57" s="75">
        <f>(H57+J57)*'Equipment Costs'!$C$17</f>
        <v>0</v>
      </c>
      <c r="U57" s="24">
        <f>(L57*1000)*'Equipment Costs'!$C$8</f>
        <v>66043.76985416883</v>
      </c>
      <c r="V57" s="27">
        <f t="shared" si="10"/>
        <v>19813.130956250647</v>
      </c>
      <c r="W57" s="37">
        <f t="shared" si="11"/>
        <v>85856.90081041948</v>
      </c>
      <c r="X57" s="25" t="s">
        <v>97</v>
      </c>
      <c r="Y57" s="17">
        <v>3</v>
      </c>
      <c r="Z57" s="35">
        <f>Y57*'Equipment Costs'!$C$18</f>
        <v>3000</v>
      </c>
      <c r="AB57" s="25" t="s">
        <v>124</v>
      </c>
      <c r="AC57" s="413">
        <f t="shared" si="12"/>
        <v>0</v>
      </c>
      <c r="AD57" s="11">
        <f t="shared" si="13"/>
        <v>0</v>
      </c>
    </row>
    <row r="58" spans="1:30" ht="15.75" thickBot="1" x14ac:dyDescent="0.3">
      <c r="A58" t="s">
        <v>142</v>
      </c>
      <c r="B58" s="88"/>
      <c r="C58" s="15">
        <f>SUM(C8:C57)</f>
        <v>9387610</v>
      </c>
      <c r="D58" s="89"/>
      <c r="E58" s="15">
        <f>'[1]Cooling Profiles'!$BB$18</f>
        <v>12092.285495836893</v>
      </c>
      <c r="F58" s="15"/>
      <c r="G58" s="15">
        <f>SUM(G8:G57)</f>
        <v>35290274.54954274</v>
      </c>
      <c r="K58" s="90" t="s">
        <v>140</v>
      </c>
      <c r="L58" s="15">
        <f>'[1]Heating Profiles'!$BB$18*1000</f>
        <v>153126.75994585452</v>
      </c>
      <c r="M58" s="20" t="s">
        <v>141</v>
      </c>
      <c r="N58" s="219"/>
      <c r="O58" s="78">
        <f>SUM(O8:O57)</f>
        <v>3202935.5510700569</v>
      </c>
      <c r="P58" s="79">
        <f>SUM(P8:P57)</f>
        <v>27680</v>
      </c>
      <c r="Q58" s="79">
        <f>SUM(Q8:Q57)</f>
        <v>6574.904512069731</v>
      </c>
      <c r="R58" s="79">
        <f>SUM(R8:R57)</f>
        <v>467677.15959961625</v>
      </c>
      <c r="S58" s="80">
        <f>SUM(S8:S57)</f>
        <v>40000</v>
      </c>
      <c r="U58" s="22">
        <f>SUM(U8:U57)</f>
        <v>93209556.771472245</v>
      </c>
      <c r="V58" s="23">
        <f>SUM(V8:V57)</f>
        <v>27962867.031441677</v>
      </c>
      <c r="W58" s="38">
        <f>SUM(W8:W57)</f>
        <v>121172423.80291395</v>
      </c>
      <c r="X58" s="32"/>
      <c r="Y58" s="33"/>
      <c r="Z58" s="36">
        <f>SUM(Z8:Z57)</f>
        <v>109000</v>
      </c>
      <c r="AB58" s="16"/>
      <c r="AC58" s="5" t="s">
        <v>32</v>
      </c>
      <c r="AD58" s="15">
        <f>SUM(AD8:AD57)</f>
        <v>1104583.9580277149</v>
      </c>
    </row>
    <row r="59" spans="1:30" ht="15.75" thickBot="1" x14ac:dyDescent="0.3">
      <c r="C59" s="230">
        <f>2000000/C58</f>
        <v>0.21304677122292043</v>
      </c>
      <c r="M59" s="182"/>
      <c r="N59" s="219"/>
      <c r="AB59" s="16"/>
      <c r="AC59" s="5" t="s">
        <v>263</v>
      </c>
      <c r="AD59" s="16">
        <f>AD58*0.085</f>
        <v>93889.636432355765</v>
      </c>
    </row>
    <row r="60" spans="1:30" x14ac:dyDescent="0.25">
      <c r="M60" s="15">
        <f>SUM(M8:M57)</f>
        <v>120329.52785616757</v>
      </c>
      <c r="N60" s="155" t="s">
        <v>40</v>
      </c>
      <c r="O60" s="359">
        <f>SUMIF($AB$8:$AB$57,"=A",O8:O57)</f>
        <v>1666736.1609550116</v>
      </c>
      <c r="P60" s="357">
        <f>SUMIF($AB$8:$AB$57,"=A",P8:P57)</f>
        <v>16608</v>
      </c>
      <c r="Q60" s="357">
        <f>SUMIF($AB$8:$AB$57,"=A",Q8:Q57)</f>
        <v>3643.8711143880273</v>
      </c>
      <c r="R60" s="357">
        <f>SUMIF($AB$8:$AB$57,"=A",R8:R57)</f>
        <v>351634.5382042136</v>
      </c>
      <c r="S60" s="360">
        <f>SUMIF($AB$8:$AB$57,"=A",S8:S57)</f>
        <v>24000</v>
      </c>
      <c r="T60" s="155" t="s">
        <v>40</v>
      </c>
      <c r="U60" s="365">
        <f>SUMIF($AB$8:$AB$57,"=A",U8:U57)</f>
        <v>90649337.32868129</v>
      </c>
      <c r="V60" s="363">
        <f>SUMIF($AB$8:$AB$57,"=A",V8:V57)</f>
        <v>27194801.198604383</v>
      </c>
      <c r="W60" s="368">
        <f>SUMIF($AB$8:$AB$57,"=A",W8:W57)</f>
        <v>117844138.52728568</v>
      </c>
      <c r="X60" s="365"/>
      <c r="Y60" s="368"/>
      <c r="Z60" s="371">
        <f>SUMIF($AB$8:$AB$57,"=A",Z8:Z57)</f>
        <v>36000</v>
      </c>
    </row>
    <row r="61" spans="1:30" ht="15.75" thickBot="1" x14ac:dyDescent="0.3">
      <c r="M61" s="15">
        <f>M60/0.8</f>
        <v>150411.90982020946</v>
      </c>
      <c r="N61" s="161" t="s">
        <v>82</v>
      </c>
      <c r="O61" s="24">
        <f>SUMIF($AB$8:$AB$57,"=B",O8:O57)</f>
        <v>1536199.3901150455</v>
      </c>
      <c r="P61" s="294">
        <f>SUMIF($AB$8:$AB$57,"=B",P8:P57)</f>
        <v>11072</v>
      </c>
      <c r="Q61" s="294">
        <f>SUMIF($AB$8:$AB$57,"=B",Q8:Q57)</f>
        <v>2931.0333976817051</v>
      </c>
      <c r="R61" s="294">
        <f>SUMIF($AB$8:$AB$57,"=B",R8:R57)</f>
        <v>116042.62139540263</v>
      </c>
      <c r="S61" s="31">
        <f>SUMIF($AB$8:$AB$57,"=B",S8:S57)</f>
        <v>16000</v>
      </c>
      <c r="T61" s="161" t="s">
        <v>82</v>
      </c>
      <c r="U61" s="366">
        <f>SUMIF($AB$8:$AB$57,"=B",U8:U57)</f>
        <v>1615890.1765368748</v>
      </c>
      <c r="V61" s="362">
        <f>SUMIF($AB$8:$AB$57,"=B",V8:V57)</f>
        <v>484767.05296106241</v>
      </c>
      <c r="W61" s="369">
        <f>SUMIF($AB$8:$AB$57,"=B",W8:W57)</f>
        <v>2100657.229497937</v>
      </c>
      <c r="X61" s="366"/>
      <c r="Y61" s="369"/>
      <c r="Z61" s="372">
        <f>SUMIF($AB$8:$AB$57,"=B",Z8:Z57)</f>
        <v>43000</v>
      </c>
    </row>
    <row r="62" spans="1:30" ht="15.75" thickBot="1" x14ac:dyDescent="0.3">
      <c r="N62" s="169" t="s">
        <v>124</v>
      </c>
      <c r="O62" s="25">
        <f>SUMIF($AB$8:$AB$57,"=C",O8:O57)</f>
        <v>0</v>
      </c>
      <c r="P62" s="358">
        <f>SUMIF($AB$8:$AB$57,"=C",P8:P57)</f>
        <v>0</v>
      </c>
      <c r="Q62" s="358">
        <f>SUMIF($AB$8:$AB$57,"=C",Q8:Q57)</f>
        <v>0</v>
      </c>
      <c r="R62" s="358">
        <f>SUMIF($AB$8:$AB$57,"=C",R8:R57)</f>
        <v>0</v>
      </c>
      <c r="S62" s="361">
        <f>SUMIF($AB$8:$AB$57,"=C",S8:S57)</f>
        <v>0</v>
      </c>
      <c r="T62" s="169" t="s">
        <v>124</v>
      </c>
      <c r="U62" s="367">
        <f>SUMIF($AB$8:$AB$57,"=C",U8:U57)</f>
        <v>944329.26625410537</v>
      </c>
      <c r="V62" s="364">
        <f>SUMIF($AB$8:$AB$57,"=C",V8:V57)</f>
        <v>283298.77987623157</v>
      </c>
      <c r="W62" s="370">
        <f>SUMIF($AB$8:$AB$57,"=C",W8:W57)</f>
        <v>1227628.0461303368</v>
      </c>
      <c r="X62" s="367"/>
      <c r="Y62" s="370"/>
      <c r="Z62" s="373">
        <f>SUMIF($AB$8:$AB$57,"=C",Z8:Z57)</f>
        <v>30000</v>
      </c>
      <c r="AB62" s="422" t="s">
        <v>260</v>
      </c>
      <c r="AC62" s="423"/>
    </row>
    <row r="63" spans="1:30" ht="15.75" thickBot="1" x14ac:dyDescent="0.3">
      <c r="AB63" s="301" t="s">
        <v>40</v>
      </c>
      <c r="AC63" s="18">
        <f>COUNTIF(AB8:AB57,"=A")</f>
        <v>18</v>
      </c>
    </row>
    <row r="64" spans="1:30" ht="15.75" thickBot="1" x14ac:dyDescent="0.3">
      <c r="X64" s="422" t="s">
        <v>143</v>
      </c>
      <c r="Y64" s="430"/>
      <c r="Z64" s="81">
        <f>Z58+SUM(P58:S58)</f>
        <v>650932.06411168596</v>
      </c>
      <c r="AB64" s="49" t="s">
        <v>82</v>
      </c>
      <c r="AC64" s="19">
        <f>COUNTIF(AB8:AB57,"=B")</f>
        <v>18</v>
      </c>
    </row>
    <row r="65" spans="16:29" ht="15.75" thickBot="1" x14ac:dyDescent="0.3">
      <c r="X65" s="5"/>
      <c r="Y65" s="5" t="s">
        <v>40</v>
      </c>
      <c r="Z65" s="13">
        <f>Z60+SUM(P60:S60)</f>
        <v>431886.40931860165</v>
      </c>
      <c r="AB65" s="192" t="s">
        <v>124</v>
      </c>
      <c r="AC65" s="17">
        <f>COUNTIF(AB8:AB57,"=C")</f>
        <v>12</v>
      </c>
    </row>
    <row r="66" spans="16:29" x14ac:dyDescent="0.25">
      <c r="X66" s="5"/>
      <c r="Y66" s="5" t="s">
        <v>82</v>
      </c>
      <c r="Z66" s="13">
        <f t="shared" ref="Z66:Z67" si="14">Z61+SUM(P61:S61)</f>
        <v>189045.65479308434</v>
      </c>
    </row>
    <row r="67" spans="16:29" x14ac:dyDescent="0.25">
      <c r="X67" s="5"/>
      <c r="Y67" s="5" t="s">
        <v>124</v>
      </c>
      <c r="Z67" s="13">
        <f t="shared" si="14"/>
        <v>30000</v>
      </c>
    </row>
    <row r="69" spans="16:29" x14ac:dyDescent="0.25">
      <c r="P69" s="284"/>
    </row>
    <row r="70" spans="16:29" x14ac:dyDescent="0.25">
      <c r="P70" s="284"/>
    </row>
    <row r="71" spans="16:29" x14ac:dyDescent="0.25">
      <c r="P71" s="284"/>
    </row>
  </sheetData>
  <sheetProtection algorithmName="SHA-512" hashValue="Jdu1FiH/xM9mh9n8ozkJxHm9k3UWdFrH70ZKWQF9uvAZ+U5bOSIbQAbhQGDwejh8eVQWPdRwEm+R+eI0exBZXg==" saltValue="9pnPgeRj4RKvOmGISRTJlw==" spinCount="100000" sheet="1" objects="1" scenarios="1"/>
  <autoFilter ref="A5:M60" xr:uid="{6BD00723-7447-4B36-9946-923510A39187}">
    <filterColumn colId="7" showButton="0"/>
    <filterColumn colId="9" showButton="0"/>
  </autoFilter>
  <sortState xmlns:xlrd2="http://schemas.microsoft.com/office/spreadsheetml/2017/richdata2" ref="A8:AD57">
    <sortCondition ref="AB8:AB57"/>
  </sortState>
  <mergeCells count="20">
    <mergeCell ref="X64:Y64"/>
    <mergeCell ref="A5:A6"/>
    <mergeCell ref="C5:C6"/>
    <mergeCell ref="D5:D6"/>
    <mergeCell ref="O5:O6"/>
    <mergeCell ref="P5:P6"/>
    <mergeCell ref="U5:W5"/>
    <mergeCell ref="S5:S6"/>
    <mergeCell ref="H5:I5"/>
    <mergeCell ref="J5:K5"/>
    <mergeCell ref="F5:F6"/>
    <mergeCell ref="B5:B6"/>
    <mergeCell ref="AB62:AC62"/>
    <mergeCell ref="AB6:AB7"/>
    <mergeCell ref="U4:Z4"/>
    <mergeCell ref="X5:Y6"/>
    <mergeCell ref="O4:S4"/>
    <mergeCell ref="Q5:Q6"/>
    <mergeCell ref="R5:R6"/>
    <mergeCell ref="Z5:Z6"/>
  </mergeCells>
  <pageMargins left="0.7" right="0.7" top="0.75" bottom="0.75" header="0.3" footer="0.3"/>
  <pageSetup paperSize="17" scale="69" fitToWidth="2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9B29-A425-4DA9-BD49-9F77A3354261}">
  <dimension ref="A1:AI67"/>
  <sheetViews>
    <sheetView view="pageBreakPreview" zoomScale="85" zoomScaleNormal="70" zoomScaleSheetLayoutView="85" workbookViewId="0">
      <selection activeCell="D2" sqref="D2"/>
    </sheetView>
  </sheetViews>
  <sheetFormatPr defaultRowHeight="15" x14ac:dyDescent="0.25"/>
  <cols>
    <col min="1" max="1" width="29.5703125" bestFit="1" customWidth="1"/>
    <col min="2" max="2" width="29.5703125" customWidth="1"/>
    <col min="3" max="3" width="11.5703125" bestFit="1" customWidth="1"/>
    <col min="4" max="4" width="23.42578125" customWidth="1"/>
    <col min="5" max="5" width="12.42578125" bestFit="1" customWidth="1"/>
    <col min="6" max="6" width="15.85546875" bestFit="1" customWidth="1"/>
    <col min="7" max="7" width="14.5703125" bestFit="1" customWidth="1"/>
    <col min="8" max="11" width="10.42578125" customWidth="1"/>
    <col min="12" max="13" width="13.42578125" customWidth="1"/>
    <col min="14" max="16" width="15" customWidth="1"/>
    <col min="17" max="17" width="41.85546875" bestFit="1" customWidth="1"/>
    <col min="18" max="18" width="30.5703125" bestFit="1" customWidth="1"/>
    <col min="19" max="20" width="16.140625" customWidth="1"/>
    <col min="21" max="21" width="14.7109375" customWidth="1"/>
    <col min="22" max="22" width="9.5703125" customWidth="1"/>
    <col min="23" max="23" width="23.5703125" bestFit="1" customWidth="1"/>
    <col min="24" max="24" width="9.85546875" bestFit="1" customWidth="1"/>
    <col min="25" max="25" width="14.7109375" bestFit="1" customWidth="1"/>
    <col min="26" max="26" width="23.5703125" bestFit="1" customWidth="1"/>
    <col min="27" max="29" width="23.5703125" customWidth="1"/>
    <col min="30" max="30" width="10.28515625" bestFit="1" customWidth="1"/>
    <col min="31" max="31" width="12.42578125" bestFit="1" customWidth="1"/>
    <col min="32" max="32" width="14.5703125" customWidth="1"/>
    <col min="33" max="33" width="13.7109375" customWidth="1"/>
    <col min="34" max="34" width="15.7109375" bestFit="1" customWidth="1"/>
    <col min="35" max="35" width="13" customWidth="1"/>
  </cols>
  <sheetData>
    <row r="1" spans="1:35" x14ac:dyDescent="0.25">
      <c r="A1" s="14" t="s">
        <v>0</v>
      </c>
      <c r="B1" s="14"/>
    </row>
    <row r="2" spans="1:35" ht="15.75" thickBot="1" x14ac:dyDescent="0.3">
      <c r="A2" s="14"/>
      <c r="B2" s="14"/>
    </row>
    <row r="3" spans="1:35" ht="15.75" thickBot="1" x14ac:dyDescent="0.3">
      <c r="A3" s="14" t="s">
        <v>256</v>
      </c>
      <c r="B3" s="14"/>
      <c r="V3" s="459" t="s">
        <v>145</v>
      </c>
      <c r="W3" s="460"/>
      <c r="X3" s="460"/>
      <c r="Y3" s="460"/>
      <c r="Z3" s="461"/>
      <c r="AA3" s="54"/>
      <c r="AB3" s="54"/>
      <c r="AC3" s="54"/>
    </row>
    <row r="4" spans="1:35" ht="15.75" thickBot="1" x14ac:dyDescent="0.3">
      <c r="O4" s="464" t="s">
        <v>146</v>
      </c>
      <c r="P4" s="465"/>
      <c r="V4" s="429" t="s">
        <v>147</v>
      </c>
      <c r="W4" s="429" t="s">
        <v>148</v>
      </c>
      <c r="X4" s="422" t="s">
        <v>149</v>
      </c>
      <c r="Y4" s="447"/>
      <c r="Z4" s="423"/>
      <c r="AA4" s="5"/>
      <c r="AB4" s="5"/>
      <c r="AC4" s="5"/>
    </row>
    <row r="5" spans="1:35" ht="14.65" customHeight="1" thickBot="1" x14ac:dyDescent="0.3">
      <c r="A5" s="431"/>
      <c r="B5" s="445" t="s">
        <v>6</v>
      </c>
      <c r="C5" s="433" t="s">
        <v>7</v>
      </c>
      <c r="D5" s="435" t="s">
        <v>8</v>
      </c>
      <c r="E5" s="47" t="s">
        <v>9</v>
      </c>
      <c r="F5" s="428" t="s">
        <v>10</v>
      </c>
      <c r="G5" s="58" t="s">
        <v>11</v>
      </c>
      <c r="H5" s="424" t="s">
        <v>12</v>
      </c>
      <c r="I5" s="468"/>
      <c r="J5" s="424" t="s">
        <v>13</v>
      </c>
      <c r="K5" s="456"/>
      <c r="L5" s="466" t="s">
        <v>14</v>
      </c>
      <c r="M5" s="467"/>
      <c r="N5" s="58" t="s">
        <v>150</v>
      </c>
      <c r="O5" s="47" t="s">
        <v>151</v>
      </c>
      <c r="P5" s="18" t="s">
        <v>152</v>
      </c>
      <c r="Q5" s="447" t="s">
        <v>153</v>
      </c>
      <c r="R5" s="447"/>
      <c r="S5" s="447"/>
      <c r="T5" s="457" t="s">
        <v>154</v>
      </c>
      <c r="U5" s="95"/>
      <c r="V5" s="462"/>
      <c r="W5" s="463"/>
      <c r="X5" s="149" t="s">
        <v>155</v>
      </c>
      <c r="Y5" s="138" t="s">
        <v>156</v>
      </c>
      <c r="Z5" s="150" t="s">
        <v>157</v>
      </c>
      <c r="AA5" s="432" t="s">
        <v>158</v>
      </c>
      <c r="AB5" s="455"/>
      <c r="AC5" s="133"/>
      <c r="AI5" s="452"/>
    </row>
    <row r="6" spans="1:35" ht="15.75" thickBot="1" x14ac:dyDescent="0.3">
      <c r="A6" s="432"/>
      <c r="B6" s="446"/>
      <c r="C6" s="434"/>
      <c r="D6" s="436"/>
      <c r="E6" s="48" t="s">
        <v>24</v>
      </c>
      <c r="F6" s="428"/>
      <c r="G6" s="59" t="s">
        <v>25</v>
      </c>
      <c r="H6" s="83" t="s">
        <v>26</v>
      </c>
      <c r="I6" s="232" t="s">
        <v>27</v>
      </c>
      <c r="J6" s="233" t="s">
        <v>26</v>
      </c>
      <c r="K6" s="234" t="s">
        <v>27</v>
      </c>
      <c r="L6" s="57" t="s">
        <v>28</v>
      </c>
      <c r="M6" s="223" t="s">
        <v>159</v>
      </c>
      <c r="N6" s="235" t="s">
        <v>29</v>
      </c>
      <c r="O6" s="48" t="s">
        <v>29</v>
      </c>
      <c r="P6" s="237" t="s">
        <v>160</v>
      </c>
      <c r="Q6" s="236" t="s">
        <v>146</v>
      </c>
      <c r="R6" s="97" t="s">
        <v>161</v>
      </c>
      <c r="S6" s="185" t="s">
        <v>162</v>
      </c>
      <c r="T6" s="458"/>
      <c r="U6" s="95"/>
      <c r="V6" s="151" t="s">
        <v>163</v>
      </c>
      <c r="W6" s="462"/>
      <c r="X6" s="96" t="s">
        <v>164</v>
      </c>
      <c r="Y6" s="152" t="s">
        <v>164</v>
      </c>
      <c r="Z6" s="153" t="s">
        <v>164</v>
      </c>
      <c r="AA6" s="220" t="s">
        <v>165</v>
      </c>
      <c r="AB6" s="241" t="s">
        <v>31</v>
      </c>
      <c r="AC6" s="221" t="s">
        <v>166</v>
      </c>
      <c r="AE6" s="453" t="s">
        <v>167</v>
      </c>
      <c r="AF6" s="454"/>
      <c r="AG6" s="154">
        <v>2.5</v>
      </c>
      <c r="AI6" s="452"/>
    </row>
    <row r="7" spans="1:35" ht="15.75" thickBot="1" x14ac:dyDescent="0.3">
      <c r="A7" s="91" t="str">
        <f>'Bldg Info, Cost Est'!A8</f>
        <v>Barclay Damon</v>
      </c>
      <c r="B7" s="91" t="str">
        <f>'Bldg Info, Cost Est'!B8</f>
        <v>125 E Jefferson St</v>
      </c>
      <c r="C7" s="6">
        <f>'Bldg Info, Cost Est'!C8</f>
        <v>330000</v>
      </c>
      <c r="D7" s="58" t="str">
        <f>'Bldg Info, Cost Est'!D8</f>
        <v>Large Office</v>
      </c>
      <c r="E7" s="6">
        <f>'Bldg Info, Cost Est'!E8</f>
        <v>309.74201782356636</v>
      </c>
      <c r="F7" s="76">
        <f>'Bldg Info, Cost Est'!F8</f>
        <v>352221.59945426352</v>
      </c>
      <c r="G7" s="60">
        <f>'Bldg Info, Cost Est'!G8</f>
        <v>1238762.9523596608</v>
      </c>
      <c r="H7" s="47">
        <f>'Bldg Info, Cost Est'!H8</f>
        <v>1</v>
      </c>
      <c r="I7" s="85">
        <f>'Bldg Info, Cost Est'!I8</f>
        <v>309.74201782356636</v>
      </c>
      <c r="J7" s="47"/>
      <c r="K7" s="66">
        <f>'Bldg Info, Cost Est'!K8</f>
        <v>0</v>
      </c>
      <c r="L7" s="92">
        <f>'Bldg Info, Cost Est'!L8</f>
        <v>3582.0955031715998</v>
      </c>
      <c r="M7" s="231">
        <f>L7*1000</f>
        <v>3582095.5031715999</v>
      </c>
      <c r="N7" s="60">
        <f>'Bldg Info, Cost Est'!M8</f>
        <v>1460.7472524645293</v>
      </c>
      <c r="O7" s="6">
        <f>N7*0.75</f>
        <v>1095.560439348397</v>
      </c>
      <c r="P7" s="93">
        <f>N7*0.25*1000/3.413</f>
        <v>106998.77325406749</v>
      </c>
      <c r="Q7" s="56" t="s">
        <v>168</v>
      </c>
      <c r="R7" s="58" t="str">
        <f>IF(J7&gt;0,"Water Cooled Chiller",IF(H7&gt;0,"Heat Pump",""))</f>
        <v>Heat Pump</v>
      </c>
      <c r="S7" s="155">
        <v>2</v>
      </c>
      <c r="T7" s="262">
        <v>0.35</v>
      </c>
      <c r="U7" s="270">
        <f>E7*0.9</f>
        <v>278.76781604120976</v>
      </c>
      <c r="V7" s="267">
        <v>13</v>
      </c>
      <c r="W7" s="155" t="s">
        <v>169</v>
      </c>
      <c r="X7" s="156"/>
      <c r="Y7" s="157" t="str">
        <f t="shared" ref="Y7:Y15" si="0">IF(W7="Heat pump",L7*293.07/2.5,"")</f>
        <v/>
      </c>
      <c r="Z7" s="158">
        <f>(L7*$AG$8)-(L7*$AG$8/$AG$7)</f>
        <v>787353.5468358756</v>
      </c>
      <c r="AA7" s="246">
        <f>IF(W7="Electric Boiler",SUM(X7:Z7)*150,SUM(X7:Z7)*342)</f>
        <v>118103032.02538134</v>
      </c>
      <c r="AB7" s="277">
        <f>AA7*0.25</f>
        <v>29525758.006345335</v>
      </c>
      <c r="AC7" s="281">
        <f>IF(W7="Electric Boiler",SUM(X7:Z7)*1000/460/SQRT(3),SUM(X7:Z7)*1000/460/SQRT(3)/2.5)</f>
        <v>988214.74394152046</v>
      </c>
      <c r="AD7" s="159"/>
      <c r="AE7" s="448" t="s">
        <v>170</v>
      </c>
      <c r="AF7" s="449"/>
      <c r="AG7" s="160">
        <v>4</v>
      </c>
      <c r="AI7" s="16"/>
    </row>
    <row r="8" spans="1:35" ht="15.75" thickBot="1" x14ac:dyDescent="0.3">
      <c r="A8" s="39" t="str">
        <f>'Bldg Info, Cost Est'!A9</f>
        <v>State Tower</v>
      </c>
      <c r="B8" s="39" t="str">
        <f>'Bldg Info, Cost Est'!B9</f>
        <v>109 S Warren St</v>
      </c>
      <c r="C8" s="40">
        <f>'Bldg Info, Cost Est'!C9</f>
        <v>1200000</v>
      </c>
      <c r="D8" s="41" t="str">
        <f>'Bldg Info, Cost Est'!D9</f>
        <v>Large Office</v>
      </c>
      <c r="E8" s="7">
        <f>'Bldg Info, Cost Est'!E9</f>
        <v>1126.3346102675141</v>
      </c>
      <c r="F8" s="77">
        <f>'Bldg Info, Cost Est'!F9</f>
        <v>1280805.8161973276</v>
      </c>
      <c r="G8" s="61">
        <f>'Bldg Info, Cost Est'!G9</f>
        <v>4504592.5540351495</v>
      </c>
      <c r="H8" s="62"/>
      <c r="I8" s="86"/>
      <c r="J8" s="62"/>
      <c r="K8" s="65"/>
      <c r="L8" s="44">
        <f>'Bldg Info, Cost Est'!L9</f>
        <v>13.02580182971491</v>
      </c>
      <c r="M8" s="166">
        <f t="shared" ref="M8:M42" si="1">L8*1000</f>
        <v>13025.80182971491</v>
      </c>
      <c r="N8" s="113">
        <f>'Bldg Info, Cost Est'!M9</f>
        <v>5311.8081907800733</v>
      </c>
      <c r="O8" s="7">
        <f t="shared" ref="O8:O18" si="2">N8*0.75</f>
        <v>3983.856143085055</v>
      </c>
      <c r="P8" s="10">
        <f t="shared" ref="P8:P11" si="3">N8*0.25*1000/3.413</f>
        <v>389086.44819660665</v>
      </c>
      <c r="Q8" s="98" t="s">
        <v>171</v>
      </c>
      <c r="R8" s="3" t="s">
        <v>172</v>
      </c>
      <c r="S8" s="161">
        <v>2</v>
      </c>
      <c r="T8" s="263">
        <v>0.35</v>
      </c>
      <c r="U8" s="271">
        <f>E8*0.9</f>
        <v>1013.7011492407627</v>
      </c>
      <c r="V8" s="268"/>
      <c r="W8" s="161" t="s">
        <v>169</v>
      </c>
      <c r="X8" s="162"/>
      <c r="Y8" s="163" t="str">
        <f t="shared" si="0"/>
        <v/>
      </c>
      <c r="Z8" s="164">
        <f t="shared" ref="Z8:Z42" si="4">(L8*$AG$8)-(L8*$AG$8/$AG$7)</f>
        <v>2863.1038066759111</v>
      </c>
      <c r="AA8" s="247">
        <f>IF(W8="Electric Boiler",SUM(X8:Z8)*150,SUM(X8:Z8)*342)</f>
        <v>429465.57100138668</v>
      </c>
      <c r="AB8" s="278">
        <f t="shared" ref="AB8:AB42" si="5">AA8*0.25</f>
        <v>107366.39275034667</v>
      </c>
      <c r="AC8" s="282">
        <f>IF(W8="Electric Boiler",SUM(X8:Z8)*1000/460/SQRT(3),SUM(X8:Z8)*1000/460/SQRT(3)/2.5)</f>
        <v>3593.5081597873468</v>
      </c>
      <c r="AE8" s="450" t="s">
        <v>173</v>
      </c>
      <c r="AF8" s="451"/>
      <c r="AG8" s="165">
        <v>293.07</v>
      </c>
      <c r="AH8" t="s">
        <v>174</v>
      </c>
      <c r="AI8" s="16"/>
    </row>
    <row r="9" spans="1:35" ht="15.75" thickBot="1" x14ac:dyDescent="0.3">
      <c r="A9" s="39" t="str">
        <f>'Bldg Info, Cost Est'!A10</f>
        <v>Courtyard Marriott</v>
      </c>
      <c r="B9" s="39" t="str">
        <f>'Bldg Info, Cost Est'!B10</f>
        <v>300 W Fayette St</v>
      </c>
      <c r="C9" s="40">
        <f>'Bldg Info, Cost Est'!C10</f>
        <v>40000</v>
      </c>
      <c r="D9" s="41" t="str">
        <f>'Bldg Info, Cost Est'!D10</f>
        <v>Hotel</v>
      </c>
      <c r="E9" s="7">
        <f>'Bldg Info, Cost Est'!E10</f>
        <v>70.543561676757918</v>
      </c>
      <c r="F9" s="77">
        <f>'Bldg Info, Cost Est'!F10</f>
        <v>52730.834030878257</v>
      </c>
      <c r="G9" s="61">
        <f>'Bldg Info, Cost Est'!G10</f>
        <v>185454.28146850501</v>
      </c>
      <c r="H9" s="49">
        <f>'Bldg Info, Cost Est'!H10</f>
        <v>1</v>
      </c>
      <c r="I9" s="86">
        <f>'Bldg Info, Cost Est'!I10</f>
        <v>35.271780838378959</v>
      </c>
      <c r="J9" s="49">
        <f>'Bldg Info, Cost Est'!J10</f>
        <v>1</v>
      </c>
      <c r="K9" s="65">
        <f>'Bldg Info, Cost Est'!K10</f>
        <v>35.271780838378959</v>
      </c>
      <c r="L9" s="44">
        <f>'Bldg Info, Cost Est'!L10</f>
        <v>0.98565213472835578</v>
      </c>
      <c r="M9" s="166">
        <f t="shared" si="1"/>
        <v>985.6521347283558</v>
      </c>
      <c r="N9" s="113">
        <f>'Bldg Info, Cost Est'!M10</f>
        <v>1420.0590428715707</v>
      </c>
      <c r="O9" s="7">
        <f>N9*0.75</f>
        <v>1065.0442821536781</v>
      </c>
      <c r="P9" s="10">
        <f t="shared" si="3"/>
        <v>104018.38872484403</v>
      </c>
      <c r="Q9" s="98" t="s">
        <v>171</v>
      </c>
      <c r="R9" s="3" t="s">
        <v>172</v>
      </c>
      <c r="S9" s="161">
        <v>2</v>
      </c>
      <c r="T9" s="263">
        <v>0.35</v>
      </c>
      <c r="U9" s="271">
        <f t="shared" ref="U9:U56" si="6">E9*0.9</f>
        <v>63.489205509082126</v>
      </c>
      <c r="V9" s="268">
        <v>23</v>
      </c>
      <c r="W9" s="161" t="s">
        <v>169</v>
      </c>
      <c r="X9" s="162"/>
      <c r="Y9" s="163" t="str">
        <f t="shared" si="0"/>
        <v/>
      </c>
      <c r="Z9" s="164">
        <f t="shared" si="4"/>
        <v>216.64880334362942</v>
      </c>
      <c r="AA9" s="247">
        <f>IF(W9="Electric Boiler",SUM(X9:Z9)*150,SUM(X9:Z9)*342)</f>
        <v>32497.320501544415</v>
      </c>
      <c r="AB9" s="278">
        <f t="shared" si="5"/>
        <v>8124.3301253861036</v>
      </c>
      <c r="AC9" s="282">
        <f t="shared" ref="AC9:AC42" si="7">IF(W9="Electric Boiler",SUM(X9:Z9)*1000/460/SQRT(3),SUM(X9:Z9)*1000/460/SQRT(3)/2.5)</f>
        <v>271.91792376098857</v>
      </c>
      <c r="AI9" s="16"/>
    </row>
    <row r="10" spans="1:35" ht="15.75" thickBot="1" x14ac:dyDescent="0.3">
      <c r="A10" s="1" t="str">
        <f>'Bldg Info, Cost Est'!A11</f>
        <v>US Social Security Admin</v>
      </c>
      <c r="B10" s="1" t="str">
        <f>'Bldg Info, Cost Est'!B11</f>
        <v>110 Fayette St</v>
      </c>
      <c r="C10" s="7">
        <f>'Bldg Info, Cost Est'!C11</f>
        <v>287000</v>
      </c>
      <c r="D10" s="3" t="str">
        <f>'Bldg Info, Cost Est'!D11</f>
        <v>Large Office</v>
      </c>
      <c r="E10" s="7">
        <f>'Bldg Info, Cost Est'!E11</f>
        <v>269.38169428898044</v>
      </c>
      <c r="F10" s="77">
        <f>'Bldg Info, Cost Est'!F11</f>
        <v>306326.05770719383</v>
      </c>
      <c r="G10" s="61">
        <f>'Bldg Info, Cost Est'!G11</f>
        <v>1077348.3858400721</v>
      </c>
      <c r="H10" s="49">
        <f>'Bldg Info, Cost Est'!H11</f>
        <v>0</v>
      </c>
      <c r="I10" s="86">
        <f>'Bldg Info, Cost Est'!I11</f>
        <v>0</v>
      </c>
      <c r="J10" s="49">
        <f>'Bldg Info, Cost Est'!J11</f>
        <v>0</v>
      </c>
      <c r="K10" s="65">
        <f>'Bldg Info, Cost Est'!K11</f>
        <v>0</v>
      </c>
      <c r="L10" s="45">
        <f>'Bldg Info, Cost Est'!L11</f>
        <v>3.1153376042734822</v>
      </c>
      <c r="M10" s="166">
        <f t="shared" si="1"/>
        <v>3115.3376042734822</v>
      </c>
      <c r="N10" s="61">
        <f>'Bldg Info, Cost Est'!M11</f>
        <v>1270.4074589615693</v>
      </c>
      <c r="O10" s="7">
        <f t="shared" si="2"/>
        <v>952.80559422117699</v>
      </c>
      <c r="P10" s="10">
        <f t="shared" si="3"/>
        <v>93056.508860355214</v>
      </c>
      <c r="Q10" s="98" t="s">
        <v>171</v>
      </c>
      <c r="R10" s="3" t="s">
        <v>172</v>
      </c>
      <c r="S10" s="161">
        <v>2</v>
      </c>
      <c r="T10" s="263">
        <v>0.35</v>
      </c>
      <c r="U10" s="271">
        <f>E10*0.9</f>
        <v>242.44352486008239</v>
      </c>
      <c r="V10" s="268">
        <v>7</v>
      </c>
      <c r="W10" s="161" t="s">
        <v>169</v>
      </c>
      <c r="X10" s="162"/>
      <c r="Y10" s="163" t="str">
        <f t="shared" si="0"/>
        <v/>
      </c>
      <c r="Z10" s="164">
        <f t="shared" si="4"/>
        <v>684.758993763322</v>
      </c>
      <c r="AA10" s="247">
        <f>IF(W10="Electric Boiler",SUM(X10:Z10)*150,SUM(X10:Z10)*342)</f>
        <v>102713.8490644983</v>
      </c>
      <c r="AB10" s="278">
        <f t="shared" si="5"/>
        <v>25678.462266124574</v>
      </c>
      <c r="AC10" s="282">
        <f t="shared" si="7"/>
        <v>859.44736821580705</v>
      </c>
      <c r="AE10" s="422" t="s">
        <v>257</v>
      </c>
      <c r="AF10" s="447"/>
      <c r="AG10" s="423"/>
      <c r="AI10" s="16"/>
    </row>
    <row r="11" spans="1:35" x14ac:dyDescent="0.25">
      <c r="A11" s="1" t="str">
        <f>'Bldg Info, Cost Est'!A12</f>
        <v>M&amp;T Bank</v>
      </c>
      <c r="B11" s="1" t="str">
        <f>'Bldg Info, Cost Est'!B12</f>
        <v>101 S Salina St</v>
      </c>
      <c r="C11" s="7">
        <f>'Bldg Info, Cost Est'!C12</f>
        <v>365000</v>
      </c>
      <c r="D11" s="3" t="str">
        <f>'Bldg Info, Cost Est'!D12</f>
        <v>Large Office</v>
      </c>
      <c r="E11" s="7">
        <f>'Bldg Info, Cost Est'!E12</f>
        <v>342.59344395636884</v>
      </c>
      <c r="F11" s="77">
        <f>'Bldg Info, Cost Est'!F12</f>
        <v>389578.43576001952</v>
      </c>
      <c r="G11" s="61">
        <f>'Bldg Info, Cost Est'!G12</f>
        <v>1370146.9018523549</v>
      </c>
      <c r="H11" s="49"/>
      <c r="I11" s="86"/>
      <c r="J11" s="49"/>
      <c r="K11" s="65"/>
      <c r="L11" s="45">
        <f>'Bldg Info, Cost Est'!L12</f>
        <v>3.9620147232049514</v>
      </c>
      <c r="M11" s="166">
        <f t="shared" si="1"/>
        <v>3962.0147232049512</v>
      </c>
      <c r="N11" s="61">
        <f>'Bldg Info, Cost Est'!M12</f>
        <v>1615.6749913622746</v>
      </c>
      <c r="O11" s="7">
        <f t="shared" si="2"/>
        <v>1211.756243521706</v>
      </c>
      <c r="P11" s="10">
        <f t="shared" si="3"/>
        <v>118347.12799313468</v>
      </c>
      <c r="Q11" s="98" t="s">
        <v>171</v>
      </c>
      <c r="R11" s="3" t="s">
        <v>172</v>
      </c>
      <c r="S11" s="161">
        <v>2</v>
      </c>
      <c r="T11" s="263">
        <v>0.35</v>
      </c>
      <c r="U11" s="271">
        <f t="shared" si="6"/>
        <v>308.33409956073194</v>
      </c>
      <c r="V11" s="268"/>
      <c r="W11" s="161" t="s">
        <v>169</v>
      </c>
      <c r="X11" s="162"/>
      <c r="Y11" s="163" t="str">
        <f t="shared" si="0"/>
        <v/>
      </c>
      <c r="Z11" s="164">
        <f t="shared" si="4"/>
        <v>870.8607411972564</v>
      </c>
      <c r="AA11" s="247">
        <f t="shared" ref="AA11:AA42" si="8">IF(W11="Electric Boiler",SUM(X11:Z11)*150,SUM(X11:Z11)*342)</f>
        <v>130629.11117958846</v>
      </c>
      <c r="AB11" s="278">
        <f t="shared" si="5"/>
        <v>32657.277794897116</v>
      </c>
      <c r="AC11" s="282">
        <f t="shared" si="7"/>
        <v>1093.0253986019848</v>
      </c>
      <c r="AE11" s="301"/>
      <c r="AF11" s="302" t="s">
        <v>177</v>
      </c>
      <c r="AG11" s="18" t="s">
        <v>168</v>
      </c>
      <c r="AI11" s="16"/>
    </row>
    <row r="12" spans="1:35" x14ac:dyDescent="0.25">
      <c r="A12" s="1" t="str">
        <f>'Bldg Info, Cost Est'!A13</f>
        <v>State Office Building</v>
      </c>
      <c r="B12" s="1" t="str">
        <f>'Bldg Info, Cost Est'!B13</f>
        <v>333 E Washington St</v>
      </c>
      <c r="C12" s="7">
        <f>'Bldg Info, Cost Est'!C13</f>
        <v>360000</v>
      </c>
      <c r="D12" s="3" t="str">
        <f>'Bldg Info, Cost Est'!D13</f>
        <v>Large Office</v>
      </c>
      <c r="E12" s="7">
        <f>'Bldg Info, Cost Est'!E13</f>
        <v>337.90038308025419</v>
      </c>
      <c r="F12" s="77">
        <f>'Bldg Info, Cost Est'!F13</f>
        <v>384241.74485919601</v>
      </c>
      <c r="G12" s="61">
        <f>'Bldg Info, Cost Est'!G13</f>
        <v>1351377.7662105369</v>
      </c>
      <c r="H12" s="49">
        <f>'Bldg Info, Cost Est'!H13</f>
        <v>2</v>
      </c>
      <c r="I12" s="86">
        <f>'Bldg Info, Cost Est'!I13</f>
        <v>337.90038308025419</v>
      </c>
      <c r="J12" s="49">
        <f>'Bldg Info, Cost Est'!J13</f>
        <v>0</v>
      </c>
      <c r="K12" s="65">
        <f>'Bldg Info, Cost Est'!K13</f>
        <v>0</v>
      </c>
      <c r="L12" s="45">
        <f>'Bldg Info, Cost Est'!L13</f>
        <v>3.9077405489144721</v>
      </c>
      <c r="M12" s="166">
        <f t="shared" si="1"/>
        <v>3907.7405489144721</v>
      </c>
      <c r="N12" s="61">
        <f>'Bldg Info, Cost Est'!M13</f>
        <v>1593.5424572340228</v>
      </c>
      <c r="O12" s="7">
        <f>N12/0.75</f>
        <v>2124.7232763120305</v>
      </c>
      <c r="P12" s="10">
        <v>0</v>
      </c>
      <c r="Q12" s="98" t="s">
        <v>155</v>
      </c>
      <c r="R12" s="3" t="str">
        <f t="shared" ref="R12:R41" si="9">IF(J12&gt;0,"Water Cooled Chiller",IF(H12&gt;0,"Heat Pump",""))</f>
        <v>Heat Pump</v>
      </c>
      <c r="S12" s="161">
        <v>3</v>
      </c>
      <c r="T12" s="263">
        <v>0.28000000000000003</v>
      </c>
      <c r="U12" s="271">
        <f t="shared" si="6"/>
        <v>304.11034477222876</v>
      </c>
      <c r="V12" s="268">
        <v>10</v>
      </c>
      <c r="W12" s="161" t="s">
        <v>169</v>
      </c>
      <c r="X12" s="162">
        <f>IF(W12="Electric boiler",L12*$AG$8,"")</f>
        <v>1145.2415226703642</v>
      </c>
      <c r="Y12" s="163" t="str">
        <f t="shared" si="0"/>
        <v/>
      </c>
      <c r="Z12" s="164"/>
      <c r="AA12" s="247">
        <f t="shared" si="8"/>
        <v>171786.22840055462</v>
      </c>
      <c r="AB12" s="278">
        <f t="shared" si="5"/>
        <v>42946.557100138656</v>
      </c>
      <c r="AC12" s="282">
        <f t="shared" si="7"/>
        <v>1437.4032639149386</v>
      </c>
      <c r="AE12" s="49" t="s">
        <v>178</v>
      </c>
      <c r="AF12" s="354" t="e">
        <f>SUM(X43,Z43)</f>
        <v>#REF!</v>
      </c>
      <c r="AG12" s="355">
        <f>Y43</f>
        <v>960.66083331940536</v>
      </c>
      <c r="AI12" s="16"/>
    </row>
    <row r="13" spans="1:35" ht="15.75" thickBot="1" x14ac:dyDescent="0.3">
      <c r="A13" s="1" t="str">
        <f>'Bldg Info, Cost Est'!A14</f>
        <v>SU-Warehouse</v>
      </c>
      <c r="B13" s="1" t="str">
        <f>'Bldg Info, Cost Est'!B14</f>
        <v>350 W Fayette St</v>
      </c>
      <c r="C13" s="7">
        <f>'Bldg Info, Cost Est'!C14</f>
        <v>72000</v>
      </c>
      <c r="D13" s="3" t="str">
        <f>'Bldg Info, Cost Est'!D14</f>
        <v>Medium Office</v>
      </c>
      <c r="E13" s="7">
        <f>'Bldg Info, Cost Est'!E14</f>
        <v>148.43999434106257</v>
      </c>
      <c r="F13" s="77">
        <f>'Bldg Info, Cost Est'!F14</f>
        <v>134233.00890875552</v>
      </c>
      <c r="G13" s="61">
        <f>'Bldg Info, Cost Est'!G14</f>
        <v>472097.33496631484</v>
      </c>
      <c r="H13" s="49">
        <f>'Bldg Info, Cost Est'!H14</f>
        <v>1</v>
      </c>
      <c r="I13" s="86">
        <f>'Bldg Info, Cost Est'!I14</f>
        <v>148.43999434106257</v>
      </c>
      <c r="J13" s="49"/>
      <c r="K13" s="65">
        <f>'Bldg Info, Cost Est'!K14</f>
        <v>0</v>
      </c>
      <c r="L13" s="45">
        <f>'Bldg Info, Cost Est'!L14</f>
        <v>1.4208084085637034</v>
      </c>
      <c r="M13" s="166">
        <f t="shared" si="1"/>
        <v>1420.8084085637033</v>
      </c>
      <c r="N13" s="61">
        <f>'Bldg Info, Cost Est'!M14</f>
        <v>1054.1905752366083</v>
      </c>
      <c r="O13" s="7">
        <f t="shared" si="2"/>
        <v>790.64293142745623</v>
      </c>
      <c r="P13" s="10">
        <f t="shared" ref="P13:P15" si="10">N13*0.25*1000/3.413</f>
        <v>77218.764667199561</v>
      </c>
      <c r="Q13" s="98" t="s">
        <v>175</v>
      </c>
      <c r="R13" s="3" t="s">
        <v>176</v>
      </c>
      <c r="S13" s="161">
        <v>2</v>
      </c>
      <c r="T13" s="263">
        <v>0.28000000000000003</v>
      </c>
      <c r="U13" s="271">
        <f t="shared" si="6"/>
        <v>133.59599490695632</v>
      </c>
      <c r="V13" s="268"/>
      <c r="W13" s="161" t="s">
        <v>169</v>
      </c>
      <c r="X13" s="162"/>
      <c r="Y13" s="163" t="str">
        <f t="shared" si="0"/>
        <v/>
      </c>
      <c r="Z13" s="164">
        <f t="shared" si="4"/>
        <v>312.2972402233234</v>
      </c>
      <c r="AA13" s="247">
        <f t="shared" si="8"/>
        <v>46844.586033498512</v>
      </c>
      <c r="AB13" s="278">
        <f t="shared" si="5"/>
        <v>11711.146508374628</v>
      </c>
      <c r="AC13" s="282">
        <f t="shared" si="7"/>
        <v>391.96716458720221</v>
      </c>
      <c r="AE13" s="192" t="s">
        <v>122</v>
      </c>
      <c r="AF13" s="29"/>
      <c r="AG13" s="356">
        <f>Y57</f>
        <v>4585.3004321410235</v>
      </c>
      <c r="AI13" s="16"/>
    </row>
    <row r="14" spans="1:35" x14ac:dyDescent="0.25">
      <c r="A14" s="1" t="str">
        <f>'Bldg Info, Cost Est'!A15</f>
        <v>300 S State St</v>
      </c>
      <c r="B14" s="1" t="str">
        <f>'Bldg Info, Cost Est'!B15</f>
        <v>300 S State St</v>
      </c>
      <c r="C14" s="7">
        <f>'Bldg Info, Cost Est'!C15</f>
        <v>252910</v>
      </c>
      <c r="D14" s="3" t="str">
        <f>'Bldg Info, Cost Est'!D15</f>
        <v>Large Office</v>
      </c>
      <c r="E14" s="7">
        <f>'Bldg Info, Cost Est'!E15</f>
        <v>237.38440523563079</v>
      </c>
      <c r="F14" s="77">
        <f>'Bldg Info, Cost Est'!F15</f>
        <v>269940.49914538721</v>
      </c>
      <c r="G14" s="61">
        <f>'Bldg Info, Cost Est'!G15</f>
        <v>949380.4190341871</v>
      </c>
      <c r="H14" s="49">
        <f>'Bldg Info, Cost Est'!H15</f>
        <v>1</v>
      </c>
      <c r="I14" s="86">
        <f>'Bldg Info, Cost Est'!I15</f>
        <v>237.38440523563079</v>
      </c>
      <c r="J14" s="49"/>
      <c r="K14" s="65">
        <f>'Bldg Info, Cost Est'!K15</f>
        <v>0</v>
      </c>
      <c r="L14" s="45">
        <f>'Bldg Info, Cost Est'!L15</f>
        <v>2.7452962839609976</v>
      </c>
      <c r="M14" s="166">
        <f t="shared" si="1"/>
        <v>2745.2962839609977</v>
      </c>
      <c r="N14" s="61">
        <f>'Bldg Info, Cost Est'!M15</f>
        <v>1119.5078412751584</v>
      </c>
      <c r="O14" s="7">
        <f t="shared" si="2"/>
        <v>839.63088095636886</v>
      </c>
      <c r="P14" s="10">
        <f t="shared" si="10"/>
        <v>82003.211344503259</v>
      </c>
      <c r="Q14" s="98" t="s">
        <v>171</v>
      </c>
      <c r="R14" s="3" t="s">
        <v>172</v>
      </c>
      <c r="S14" s="161">
        <v>3</v>
      </c>
      <c r="T14" s="263">
        <v>0.35</v>
      </c>
      <c r="U14" s="271">
        <f t="shared" si="6"/>
        <v>213.64596471206772</v>
      </c>
      <c r="V14" s="268"/>
      <c r="W14" s="161" t="s">
        <v>169</v>
      </c>
      <c r="X14" s="162"/>
      <c r="Y14" s="163" t="str">
        <f t="shared" si="0"/>
        <v/>
      </c>
      <c r="Z14" s="164">
        <f t="shared" si="4"/>
        <v>603.4229864553372</v>
      </c>
      <c r="AA14" s="247">
        <f t="shared" si="8"/>
        <v>90513.447968300577</v>
      </c>
      <c r="AB14" s="278">
        <f t="shared" si="5"/>
        <v>22628.361992075144</v>
      </c>
      <c r="AC14" s="282">
        <f t="shared" si="7"/>
        <v>757.36179057651475</v>
      </c>
      <c r="AI14" s="16"/>
    </row>
    <row r="15" spans="1:35" x14ac:dyDescent="0.25">
      <c r="A15" s="327" t="str">
        <f>'Bldg Info, Cost Est'!A16</f>
        <v>Key Bank Building</v>
      </c>
      <c r="B15" s="327" t="str">
        <f>'Bldg Info, Cost Est'!B16</f>
        <v>201 S Warren St</v>
      </c>
      <c r="C15" s="328">
        <f>'Bldg Info, Cost Est'!C16</f>
        <v>132000</v>
      </c>
      <c r="D15" s="329" t="str">
        <f>'Bldg Info, Cost Est'!D16</f>
        <v>Large Office</v>
      </c>
      <c r="E15" s="328">
        <f>'Bldg Info, Cost Est'!E16</f>
        <v>123.89680712942653</v>
      </c>
      <c r="F15" s="330">
        <f>'Bldg Info, Cost Est'!F16</f>
        <v>140888.6397817058</v>
      </c>
      <c r="G15" s="331">
        <f>'Bldg Info, Cost Est'!G16</f>
        <v>495505.18094386562</v>
      </c>
      <c r="H15" s="332">
        <f>'Bldg Info, Cost Est'!H16</f>
        <v>0</v>
      </c>
      <c r="I15" s="333">
        <f>'Bldg Info, Cost Est'!I16</f>
        <v>0</v>
      </c>
      <c r="J15" s="332"/>
      <c r="K15" s="334">
        <f>'Bldg Info, Cost Est'!K16</f>
        <v>0</v>
      </c>
      <c r="L15" s="335">
        <f>'Bldg Info, Cost Est'!L16</f>
        <v>1.4328382012686398</v>
      </c>
      <c r="M15" s="336">
        <f t="shared" si="1"/>
        <v>1432.8382012686398</v>
      </c>
      <c r="N15" s="331">
        <f>'Bldg Info, Cost Est'!M16</f>
        <v>584.29890098580984</v>
      </c>
      <c r="O15" s="328">
        <f t="shared" si="2"/>
        <v>438.22417573935741</v>
      </c>
      <c r="P15" s="337">
        <f t="shared" si="10"/>
        <v>42799.509301626858</v>
      </c>
      <c r="Q15" s="338" t="s">
        <v>171</v>
      </c>
      <c r="R15" s="329" t="s">
        <v>172</v>
      </c>
      <c r="S15" s="339">
        <v>3</v>
      </c>
      <c r="T15" s="340">
        <v>0.35</v>
      </c>
      <c r="U15" s="341">
        <f t="shared" si="6"/>
        <v>111.50712641648389</v>
      </c>
      <c r="V15" s="342">
        <v>10</v>
      </c>
      <c r="W15" s="339" t="s">
        <v>169</v>
      </c>
      <c r="X15" s="343"/>
      <c r="Y15" s="344" t="str">
        <f t="shared" si="0"/>
        <v/>
      </c>
      <c r="Z15" s="345">
        <f t="shared" si="4"/>
        <v>314.94141873435018</v>
      </c>
      <c r="AA15" s="346">
        <f t="shared" si="8"/>
        <v>47241.21281015253</v>
      </c>
      <c r="AB15" s="347">
        <f>AA15*0.25</f>
        <v>11810.303202538133</v>
      </c>
      <c r="AC15" s="348">
        <f t="shared" si="7"/>
        <v>395.28589757660814</v>
      </c>
      <c r="AI15" s="16"/>
    </row>
    <row r="16" spans="1:35" x14ac:dyDescent="0.25">
      <c r="A16" s="327" t="str">
        <f>'Bldg Info, Cost Est'!A17</f>
        <v>100 East Washington St</v>
      </c>
      <c r="B16" s="327" t="str">
        <f>'Bldg Info, Cost Est'!B17</f>
        <v>100 E Washington St</v>
      </c>
      <c r="C16" s="328">
        <f>'Bldg Info, Cost Est'!C17</f>
        <v>50000</v>
      </c>
      <c r="D16" s="329" t="str">
        <f>'Bldg Info, Cost Est'!D17</f>
        <v>Midrise Apartment</v>
      </c>
      <c r="E16" s="328">
        <f>'Bldg Info, Cost Est'!E17</f>
        <v>82.682316973797143</v>
      </c>
      <c r="F16" s="330">
        <f>'Bldg Info, Cost Est'!F17</f>
        <v>31084.322489106202</v>
      </c>
      <c r="G16" s="331">
        <f>'Bldg Info, Cost Est'!G17</f>
        <v>109323.52575301127</v>
      </c>
      <c r="H16" s="332"/>
      <c r="I16" s="333"/>
      <c r="J16" s="332"/>
      <c r="K16" s="334"/>
      <c r="L16" s="335">
        <f>'Bldg Info, Cost Est'!L17</f>
        <v>0.92980896790037304</v>
      </c>
      <c r="M16" s="336">
        <f t="shared" si="1"/>
        <v>929.80896790037309</v>
      </c>
      <c r="N16" s="331">
        <f>'Bldg Info, Cost Est'!M17</f>
        <v>1189.2120766056512</v>
      </c>
      <c r="O16" s="328">
        <f>N16/0.75</f>
        <v>1585.6161021408682</v>
      </c>
      <c r="P16" s="337">
        <v>0</v>
      </c>
      <c r="Q16" s="338" t="s">
        <v>179</v>
      </c>
      <c r="R16" s="329" t="s">
        <v>180</v>
      </c>
      <c r="S16" s="339">
        <v>2</v>
      </c>
      <c r="T16" s="340">
        <v>0.28000000000000003</v>
      </c>
      <c r="U16" s="341">
        <f t="shared" si="6"/>
        <v>74.414085276417424</v>
      </c>
      <c r="V16" s="342">
        <v>2</v>
      </c>
      <c r="W16" s="339" t="s">
        <v>181</v>
      </c>
      <c r="X16" s="343"/>
      <c r="Y16" s="344">
        <f>IF(W16="Heat pump",L16*$AG$8/$AG$6,"")</f>
        <v>108.99964568902492</v>
      </c>
      <c r="Z16" s="345"/>
      <c r="AA16" s="346">
        <f t="shared" si="8"/>
        <v>37277.87882564652</v>
      </c>
      <c r="AB16" s="347">
        <f t="shared" si="5"/>
        <v>9319.4697064116299</v>
      </c>
      <c r="AC16" s="348">
        <f t="shared" si="7"/>
        <v>54.722586765332494</v>
      </c>
      <c r="AI16" s="16"/>
    </row>
    <row r="17" spans="1:35" x14ac:dyDescent="0.25">
      <c r="A17" s="327" t="str">
        <f>'Bldg Info, Cost Est'!A18</f>
        <v>Ramboll</v>
      </c>
      <c r="B17" s="327" t="str">
        <f>'Bldg Info, Cost Est'!B18</f>
        <v>333 W Washington St</v>
      </c>
      <c r="C17" s="328">
        <f>'Bldg Info, Cost Est'!C18</f>
        <v>137000</v>
      </c>
      <c r="D17" s="329" t="str">
        <f>'Bldg Info, Cost Est'!D18</f>
        <v>Large Office</v>
      </c>
      <c r="E17" s="328">
        <f>'Bldg Info, Cost Est'!E18</f>
        <v>128.58986800554118</v>
      </c>
      <c r="F17" s="330">
        <f>'Bldg Info, Cost Est'!F18</f>
        <v>146225.33068252832</v>
      </c>
      <c r="G17" s="331">
        <f>'Bldg Info, Cost Est'!G18</f>
        <v>514274.31658567989</v>
      </c>
      <c r="H17" s="349">
        <f>'Bldg Info, Cost Est'!H18</f>
        <v>2</v>
      </c>
      <c r="I17" s="351">
        <f>'Bldg Info, Cost Est'!I18</f>
        <v>128.58986800554118</v>
      </c>
      <c r="J17" s="349"/>
      <c r="K17" s="352">
        <f>'Bldg Info, Cost Est'!K18</f>
        <v>0</v>
      </c>
      <c r="L17" s="335">
        <f>'Bldg Info, Cost Est'!L18</f>
        <v>1.4871123755591185</v>
      </c>
      <c r="M17" s="336">
        <f t="shared" si="1"/>
        <v>1487.1123755591184</v>
      </c>
      <c r="N17" s="331">
        <f>'Bldg Info, Cost Est'!M18</f>
        <v>606.43143511405663</v>
      </c>
      <c r="O17" s="328">
        <f t="shared" si="2"/>
        <v>454.8235763355425</v>
      </c>
      <c r="P17" s="337">
        <f t="shared" ref="P17:P18" si="11">N17*0.25*1000/3.413</f>
        <v>44420.702835779128</v>
      </c>
      <c r="Q17" s="338" t="s">
        <v>171</v>
      </c>
      <c r="R17" s="329" t="s">
        <v>182</v>
      </c>
      <c r="S17" s="339">
        <v>1</v>
      </c>
      <c r="T17" s="340">
        <v>0.28000000000000003</v>
      </c>
      <c r="U17" s="341">
        <f t="shared" si="6"/>
        <v>115.73088120498706</v>
      </c>
      <c r="V17" s="342"/>
      <c r="W17" s="339" t="s">
        <v>169</v>
      </c>
      <c r="X17" s="343"/>
      <c r="Y17" s="344" t="str">
        <f t="shared" ref="Y17:Y42" si="12">IF(W17="Heat pump",L17*$AH$10/$AH$8,"")</f>
        <v/>
      </c>
      <c r="Z17" s="345">
        <f t="shared" si="4"/>
        <v>326.87101792883311</v>
      </c>
      <c r="AA17" s="346">
        <f t="shared" si="8"/>
        <v>49030.652689324968</v>
      </c>
      <c r="AB17" s="347">
        <f t="shared" si="5"/>
        <v>12257.663172331242</v>
      </c>
      <c r="AC17" s="348">
        <f t="shared" si="7"/>
        <v>410.25884824238864</v>
      </c>
      <c r="AI17" s="16"/>
    </row>
    <row r="18" spans="1:35" x14ac:dyDescent="0.25">
      <c r="A18" s="327" t="str">
        <f>'Bldg Info, Cost Est'!A19</f>
        <v>City Hall</v>
      </c>
      <c r="B18" s="327" t="str">
        <f>'Bldg Info, Cost Est'!B19</f>
        <v>233 E Washington St</v>
      </c>
      <c r="C18" s="328">
        <f>'Bldg Info, Cost Est'!C19</f>
        <v>84555</v>
      </c>
      <c r="D18" s="329" t="str">
        <f>'Bldg Info, Cost Est'!D19</f>
        <v>Medium Office</v>
      </c>
      <c r="E18" s="328">
        <f>'Bldg Info, Cost Est'!E19</f>
        <v>174.32421835428534</v>
      </c>
      <c r="F18" s="330">
        <f>'Bldg Info, Cost Est'!F19</f>
        <v>157639.88983721955</v>
      </c>
      <c r="G18" s="331">
        <f>'Bldg Info, Cost Est'!G19</f>
        <v>554419.30775106524</v>
      </c>
      <c r="H18" s="349">
        <f>'Bldg Info, Cost Est'!H19</f>
        <v>0</v>
      </c>
      <c r="I18" s="351">
        <f>'Bldg Info, Cost Est'!I19</f>
        <v>0</v>
      </c>
      <c r="J18" s="349"/>
      <c r="K18" s="352">
        <f>'Bldg Info, Cost Est'!K19</f>
        <v>0</v>
      </c>
      <c r="L18" s="335">
        <f>'Bldg Info, Cost Est'!L19</f>
        <v>1.6685618748069992</v>
      </c>
      <c r="M18" s="336">
        <f t="shared" si="1"/>
        <v>1668.5618748069992</v>
      </c>
      <c r="N18" s="331">
        <f>'Bldg Info, Cost Est'!M19</f>
        <v>1238.0150567934909</v>
      </c>
      <c r="O18" s="328">
        <f t="shared" si="2"/>
        <v>928.51129259511822</v>
      </c>
      <c r="P18" s="337">
        <f t="shared" si="11"/>
        <v>90683.786756042406</v>
      </c>
      <c r="Q18" s="338" t="s">
        <v>168</v>
      </c>
      <c r="R18" s="329" t="str">
        <f t="shared" si="9"/>
        <v/>
      </c>
      <c r="S18" s="339">
        <v>2</v>
      </c>
      <c r="T18" s="340">
        <v>0.35</v>
      </c>
      <c r="U18" s="341">
        <f t="shared" si="6"/>
        <v>156.89179651885681</v>
      </c>
      <c r="V18" s="342"/>
      <c r="W18" s="339" t="s">
        <v>169</v>
      </c>
      <c r="X18" s="343"/>
      <c r="Y18" s="344" t="str">
        <f t="shared" si="12"/>
        <v/>
      </c>
      <c r="Z18" s="345">
        <f t="shared" si="4"/>
        <v>366.75407148726543</v>
      </c>
      <c r="AA18" s="346">
        <f t="shared" si="8"/>
        <v>55013.110723089812</v>
      </c>
      <c r="AB18" s="347">
        <f t="shared" si="5"/>
        <v>13753.277680772453</v>
      </c>
      <c r="AC18" s="348">
        <f t="shared" si="7"/>
        <v>460.31643891209552</v>
      </c>
      <c r="AI18" s="16"/>
    </row>
    <row r="19" spans="1:35" x14ac:dyDescent="0.25">
      <c r="A19" s="327" t="str">
        <f>'Bldg Info, Cost Est'!A20</f>
        <v>1 Lincoln Center</v>
      </c>
      <c r="B19" s="327" t="str">
        <f>'Bldg Info, Cost Est'!B20</f>
        <v>110 W Fayette St</v>
      </c>
      <c r="C19" s="328">
        <f>'Bldg Info, Cost Est'!C20</f>
        <v>367500</v>
      </c>
      <c r="D19" s="329" t="str">
        <f>'Bldg Info, Cost Est'!D20</f>
        <v>Large Office</v>
      </c>
      <c r="E19" s="328">
        <f>'Bldg Info, Cost Est'!E20</f>
        <v>344.9399743944262</v>
      </c>
      <c r="F19" s="330">
        <f>'Bldg Info, Cost Est'!F20</f>
        <v>392246.78121042921</v>
      </c>
      <c r="G19" s="331">
        <f>'Bldg Info, Cost Est'!G20</f>
        <v>1379531.4696732562</v>
      </c>
      <c r="H19" s="349"/>
      <c r="I19" s="351"/>
      <c r="J19" s="349"/>
      <c r="K19" s="352"/>
      <c r="L19" s="335">
        <f>'Bldg Info, Cost Est'!L20</f>
        <v>3.9891518103501911</v>
      </c>
      <c r="M19" s="336">
        <f t="shared" si="1"/>
        <v>3989.1518103501912</v>
      </c>
      <c r="N19" s="331">
        <f>'Bldg Info, Cost Est'!M20</f>
        <v>1626.7412584263961</v>
      </c>
      <c r="O19" s="328">
        <f>N19/0.75</f>
        <v>2168.9883445685282</v>
      </c>
      <c r="P19" s="337">
        <v>0</v>
      </c>
      <c r="Q19" s="338" t="s">
        <v>183</v>
      </c>
      <c r="R19" s="329" t="s">
        <v>184</v>
      </c>
      <c r="S19" s="339">
        <v>2</v>
      </c>
      <c r="T19" s="340">
        <v>0.28000000000000003</v>
      </c>
      <c r="U19" s="341">
        <f t="shared" si="6"/>
        <v>310.44597695498356</v>
      </c>
      <c r="V19" s="342">
        <v>12</v>
      </c>
      <c r="W19" s="339" t="s">
        <v>169</v>
      </c>
      <c r="X19" s="343">
        <f t="shared" ref="X19" si="13">IF(W19="Electric boiler",L19*$AG$8,"")</f>
        <v>1169.1007210593305</v>
      </c>
      <c r="Y19" s="344" t="str">
        <f t="shared" si="12"/>
        <v/>
      </c>
      <c r="Z19" s="345"/>
      <c r="AA19" s="346">
        <f t="shared" si="8"/>
        <v>175365.10815889956</v>
      </c>
      <c r="AB19" s="347">
        <f t="shared" si="5"/>
        <v>43841.27703972489</v>
      </c>
      <c r="AC19" s="348">
        <f t="shared" si="7"/>
        <v>1467.3491652465002</v>
      </c>
      <c r="AI19" s="16"/>
    </row>
    <row r="20" spans="1:35" x14ac:dyDescent="0.25">
      <c r="A20" s="327" t="str">
        <f>'Bldg Info, Cost Est'!A21</f>
        <v>SUNY Oswego MetroCenter</v>
      </c>
      <c r="B20" s="327" t="str">
        <f>'Bldg Info, Cost Est'!B21</f>
        <v>2 S Clinton St</v>
      </c>
      <c r="C20" s="328">
        <f>'Bldg Info, Cost Est'!C21</f>
        <v>185530</v>
      </c>
      <c r="D20" s="329" t="str">
        <f>'Bldg Info, Cost Est'!D21</f>
        <v>Large Office</v>
      </c>
      <c r="E20" s="328">
        <f>'Bldg Info, Cost Est'!E21</f>
        <v>174.14071686910987</v>
      </c>
      <c r="F20" s="330">
        <f>'Bldg Info, Cost Est'!F21</f>
        <v>198023.25256590851</v>
      </c>
      <c r="G20" s="331">
        <f>'Bldg Info, Cost Est'!G21</f>
        <v>696447.54712511785</v>
      </c>
      <c r="H20" s="349"/>
      <c r="I20" s="351"/>
      <c r="J20" s="349">
        <f>'Bldg Info, Cost Est'!J21</f>
        <v>2</v>
      </c>
      <c r="K20" s="352">
        <f>'Bldg Info, Cost Est'!K21</f>
        <v>174.14071686910987</v>
      </c>
      <c r="L20" s="335">
        <f>'Bldg Info, Cost Est'!L21</f>
        <v>2.0138975112225057</v>
      </c>
      <c r="M20" s="336">
        <f t="shared" si="1"/>
        <v>2013.8975112225057</v>
      </c>
      <c r="N20" s="331">
        <f>'Bldg Info, Cost Est'!M21</f>
        <v>821.24981136285749</v>
      </c>
      <c r="O20" s="328">
        <f>N20/0.75</f>
        <v>1094.99974848381</v>
      </c>
      <c r="P20" s="337">
        <v>0</v>
      </c>
      <c r="Q20" s="338" t="s">
        <v>155</v>
      </c>
      <c r="R20" s="329" t="s">
        <v>185</v>
      </c>
      <c r="S20" s="339">
        <v>3</v>
      </c>
      <c r="T20" s="340">
        <v>0.28000000000000003</v>
      </c>
      <c r="U20" s="341">
        <f t="shared" si="6"/>
        <v>156.72664518219889</v>
      </c>
      <c r="V20" s="342">
        <v>18</v>
      </c>
      <c r="W20" s="339" t="s">
        <v>169</v>
      </c>
      <c r="X20" s="343">
        <f>IF(W20="Electric boiler",L20*$AG$8,"")</f>
        <v>590.21294361397975</v>
      </c>
      <c r="Y20" s="344" t="str">
        <f t="shared" si="12"/>
        <v/>
      </c>
      <c r="Z20" s="345"/>
      <c r="AA20" s="346">
        <f t="shared" si="8"/>
        <v>88531.94154209696</v>
      </c>
      <c r="AB20" s="347">
        <f t="shared" si="5"/>
        <v>22132.98538552424</v>
      </c>
      <c r="AC20" s="348">
        <f t="shared" si="7"/>
        <v>740.78174320594053</v>
      </c>
      <c r="AI20" s="16"/>
    </row>
    <row r="21" spans="1:35" x14ac:dyDescent="0.25">
      <c r="A21" s="327" t="str">
        <f>'Bldg Info, Cost Est'!A22</f>
        <v>217 Montgomery St</v>
      </c>
      <c r="B21" s="327" t="str">
        <f>'Bldg Info, Cost Est'!B22</f>
        <v>217 Montgomery St</v>
      </c>
      <c r="C21" s="328">
        <f>'Bldg Info, Cost Est'!C22</f>
        <v>50000</v>
      </c>
      <c r="D21" s="329" t="str">
        <f>'Bldg Info, Cost Est'!D22</f>
        <v>Medium Office</v>
      </c>
      <c r="E21" s="328">
        <f>'Bldg Info, Cost Est'!E22</f>
        <v>103.08332940351566</v>
      </c>
      <c r="F21" s="330">
        <f>'Bldg Info, Cost Est'!F22</f>
        <v>93217.367297746518</v>
      </c>
      <c r="G21" s="331">
        <f>'Bldg Info, Cost Est'!G22</f>
        <v>327845.37150438403</v>
      </c>
      <c r="H21" s="349"/>
      <c r="I21" s="351"/>
      <c r="J21" s="349">
        <f>'Bldg Info, Cost Est'!J22</f>
        <v>0</v>
      </c>
      <c r="K21" s="352">
        <f>'Bldg Info, Cost Est'!K22</f>
        <v>0</v>
      </c>
      <c r="L21" s="335">
        <f>'Bldg Info, Cost Est'!L22</f>
        <v>0.98667250594701617</v>
      </c>
      <c r="M21" s="336">
        <f t="shared" si="1"/>
        <v>986.67250594701613</v>
      </c>
      <c r="N21" s="331">
        <f>'Bldg Info, Cost Est'!M22</f>
        <v>732.07678835875299</v>
      </c>
      <c r="O21" s="328">
        <f t="shared" ref="O21:O23" si="14">N21*0.75</f>
        <v>549.05759126906469</v>
      </c>
      <c r="P21" s="337">
        <f t="shared" ref="P21:P23" si="15">N21*0.25*1000/3.413</f>
        <v>53624.142129999491</v>
      </c>
      <c r="Q21" s="338" t="s">
        <v>168</v>
      </c>
      <c r="R21" s="329" t="s">
        <v>176</v>
      </c>
      <c r="S21" s="339">
        <v>2</v>
      </c>
      <c r="T21" s="340">
        <v>0.28000000000000003</v>
      </c>
      <c r="U21" s="341">
        <f t="shared" si="6"/>
        <v>92.774996463164101</v>
      </c>
      <c r="V21" s="342"/>
      <c r="W21" s="339" t="s">
        <v>169</v>
      </c>
      <c r="X21" s="343"/>
      <c r="Y21" s="344" t="str">
        <f t="shared" si="12"/>
        <v/>
      </c>
      <c r="Z21" s="345">
        <f t="shared" si="4"/>
        <v>216.87308348841901</v>
      </c>
      <c r="AA21" s="346">
        <f t="shared" si="8"/>
        <v>32530.962523262853</v>
      </c>
      <c r="AB21" s="347">
        <f t="shared" si="5"/>
        <v>8132.7406308157133</v>
      </c>
      <c r="AC21" s="348">
        <f t="shared" si="7"/>
        <v>272.19941985222374</v>
      </c>
      <c r="AI21" s="16"/>
    </row>
    <row r="22" spans="1:35" x14ac:dyDescent="0.25">
      <c r="A22" s="327" t="str">
        <f>'Bldg Info, Cost Est'!A23</f>
        <v>City Hall Commons</v>
      </c>
      <c r="B22" s="327" t="str">
        <f>'Bldg Info, Cost Est'!B23</f>
        <v>201 E Washington St</v>
      </c>
      <c r="C22" s="328">
        <f>'Bldg Info, Cost Est'!C23</f>
        <v>52957</v>
      </c>
      <c r="D22" s="329" t="str">
        <f>'Bldg Info, Cost Est'!D23</f>
        <v>Medium Office</v>
      </c>
      <c r="E22" s="328">
        <f>'Bldg Info, Cost Est'!E23</f>
        <v>109.1796775044396</v>
      </c>
      <c r="F22" s="330">
        <f>'Bldg Info, Cost Est'!F23</f>
        <v>98730.242399735507</v>
      </c>
      <c r="G22" s="331">
        <f>'Bldg Info, Cost Est'!G23</f>
        <v>347234.14677515422</v>
      </c>
      <c r="H22" s="349">
        <f>'Bldg Info, Cost Est'!H23</f>
        <v>1</v>
      </c>
      <c r="I22" s="351">
        <f>'Bldg Info, Cost Est'!I23</f>
        <v>109.1796775044396</v>
      </c>
      <c r="J22" s="349"/>
      <c r="K22" s="352">
        <f>'Bldg Info, Cost Est'!K23</f>
        <v>0</v>
      </c>
      <c r="L22" s="335">
        <f>'Bldg Info, Cost Est'!L23</f>
        <v>1.0450243179487226</v>
      </c>
      <c r="M22" s="336">
        <f t="shared" si="1"/>
        <v>1045.0243179487227</v>
      </c>
      <c r="N22" s="331">
        <f>'Bldg Info, Cost Est'!M23</f>
        <v>775.37180962229138</v>
      </c>
      <c r="O22" s="328">
        <f t="shared" si="14"/>
        <v>581.52885721671851</v>
      </c>
      <c r="P22" s="337">
        <f t="shared" si="15"/>
        <v>56795.473895567782</v>
      </c>
      <c r="Q22" s="338" t="s">
        <v>171</v>
      </c>
      <c r="R22" s="329" t="str">
        <f t="shared" si="9"/>
        <v>Heat Pump</v>
      </c>
      <c r="S22" s="339">
        <v>2</v>
      </c>
      <c r="T22" s="340">
        <v>0.35</v>
      </c>
      <c r="U22" s="341">
        <f t="shared" si="6"/>
        <v>98.261709753995632</v>
      </c>
      <c r="V22" s="342">
        <v>12</v>
      </c>
      <c r="W22" s="339" t="s">
        <v>169</v>
      </c>
      <c r="X22" s="343"/>
      <c r="Y22" s="344" t="str">
        <f t="shared" si="12"/>
        <v/>
      </c>
      <c r="Z22" s="345">
        <f t="shared" si="4"/>
        <v>229.69895764592408</v>
      </c>
      <c r="AA22" s="346">
        <f t="shared" si="8"/>
        <v>34454.843646888614</v>
      </c>
      <c r="AB22" s="347">
        <f t="shared" si="5"/>
        <v>8613.7109117221535</v>
      </c>
      <c r="AC22" s="348">
        <f t="shared" si="7"/>
        <v>288.29729354228419</v>
      </c>
      <c r="AI22" s="16"/>
    </row>
    <row r="23" spans="1:35" x14ac:dyDescent="0.25">
      <c r="A23" s="327" t="str">
        <f>'Bldg Info, Cost Est'!A24</f>
        <v>Salinas Place</v>
      </c>
      <c r="B23" s="327" t="str">
        <f>'Bldg Info, Cost Est'!B24</f>
        <v>205 S Salina St</v>
      </c>
      <c r="C23" s="328">
        <f>'Bldg Info, Cost Est'!C24</f>
        <v>50000</v>
      </c>
      <c r="D23" s="329" t="str">
        <f>'Bldg Info, Cost Est'!D24</f>
        <v>Midrise Apartment</v>
      </c>
      <c r="E23" s="328">
        <f>'Bldg Info, Cost Est'!E24</f>
        <v>74.878416893260535</v>
      </c>
      <c r="F23" s="330">
        <f>'Bldg Info, Cost Est'!F24</f>
        <v>46126.904624172261</v>
      </c>
      <c r="G23" s="331">
        <f>'Bldg Info, Cost Est'!G24</f>
        <v>162228.26948712402</v>
      </c>
      <c r="H23" s="349">
        <f>'Bldg Info, Cost Est'!H24</f>
        <v>1</v>
      </c>
      <c r="I23" s="351">
        <f>'Bldg Info, Cost Est'!I24</f>
        <v>74.878416893260535</v>
      </c>
      <c r="J23" s="349"/>
      <c r="K23" s="352">
        <f>'Bldg Info, Cost Est'!K24</f>
        <v>0</v>
      </c>
      <c r="L23" s="335">
        <f>'Bldg Info, Cost Est'!L24</f>
        <v>0.65077985020422913</v>
      </c>
      <c r="M23" s="336">
        <f t="shared" si="1"/>
        <v>650.77985020422909</v>
      </c>
      <c r="N23" s="331">
        <f>'Bldg Info, Cost Est'!M24</f>
        <v>903.42808484364286</v>
      </c>
      <c r="O23" s="328">
        <f t="shared" si="14"/>
        <v>677.57106363273215</v>
      </c>
      <c r="P23" s="337">
        <f t="shared" si="15"/>
        <v>66175.511635192132</v>
      </c>
      <c r="Q23" s="338" t="s">
        <v>186</v>
      </c>
      <c r="R23" s="329" t="str">
        <f t="shared" si="9"/>
        <v>Heat Pump</v>
      </c>
      <c r="S23" s="339">
        <v>2</v>
      </c>
      <c r="T23" s="340">
        <v>0.35</v>
      </c>
      <c r="U23" s="341">
        <f t="shared" si="6"/>
        <v>67.390575203934489</v>
      </c>
      <c r="V23" s="342"/>
      <c r="W23" s="339" t="s">
        <v>169</v>
      </c>
      <c r="X23" s="343"/>
      <c r="Y23" s="344" t="str">
        <f t="shared" si="12"/>
        <v/>
      </c>
      <c r="Z23" s="345">
        <f t="shared" si="4"/>
        <v>143.04303802451506</v>
      </c>
      <c r="AA23" s="346">
        <f t="shared" si="8"/>
        <v>21456.455703677257</v>
      </c>
      <c r="AB23" s="347">
        <f t="shared" si="5"/>
        <v>5364.1139259193142</v>
      </c>
      <c r="AC23" s="348">
        <f t="shared" si="7"/>
        <v>179.53464458512099</v>
      </c>
      <c r="AI23" s="16"/>
    </row>
    <row r="24" spans="1:35" x14ac:dyDescent="0.25">
      <c r="A24" s="327" t="str">
        <f>'Bldg Info, Cost Est'!A25</f>
        <v>SU-Peck Hall</v>
      </c>
      <c r="B24" s="327" t="str">
        <f>'Bldg Info, Cost Est'!B25</f>
        <v>601 E Genesee St</v>
      </c>
      <c r="C24" s="328">
        <f>'Bldg Info, Cost Est'!C25</f>
        <v>25920</v>
      </c>
      <c r="D24" s="329" t="str">
        <f>'Bldg Info, Cost Est'!D25</f>
        <v>Medium Office</v>
      </c>
      <c r="E24" s="328">
        <f>'Bldg Info, Cost Est'!E25</f>
        <v>53.438397962782524</v>
      </c>
      <c r="F24" s="330">
        <f>'Bldg Info, Cost Est'!F25</f>
        <v>48323.883207151957</v>
      </c>
      <c r="G24" s="331">
        <f>'Bldg Info, Cost Est'!G25</f>
        <v>169955.04058787326</v>
      </c>
      <c r="H24" s="349">
        <f>'Bldg Info, Cost Est'!H25</f>
        <v>1</v>
      </c>
      <c r="I24" s="351">
        <f>'Bldg Info, Cost Est'!I25</f>
        <v>53.438397962782524</v>
      </c>
      <c r="J24" s="349"/>
      <c r="K24" s="352">
        <f>'Bldg Info, Cost Est'!K25</f>
        <v>0</v>
      </c>
      <c r="L24" s="335">
        <f>'Bldg Info, Cost Est'!L25</f>
        <v>0.51149102708293326</v>
      </c>
      <c r="M24" s="336">
        <f t="shared" si="1"/>
        <v>511.49102708293327</v>
      </c>
      <c r="N24" s="331">
        <f>'Bldg Info, Cost Est'!M25</f>
        <v>379.50860708517894</v>
      </c>
      <c r="O24" s="328">
        <f>N24/0.75</f>
        <v>506.01147611357192</v>
      </c>
      <c r="P24" s="337">
        <v>0</v>
      </c>
      <c r="Q24" s="338" t="s">
        <v>187</v>
      </c>
      <c r="R24" s="329" t="s">
        <v>188</v>
      </c>
      <c r="S24" s="339">
        <v>3</v>
      </c>
      <c r="T24" s="340">
        <v>0.35</v>
      </c>
      <c r="U24" s="341">
        <f t="shared" si="6"/>
        <v>48.094558166504271</v>
      </c>
      <c r="V24" s="342"/>
      <c r="W24" s="339" t="s">
        <v>169</v>
      </c>
      <c r="X24" s="343">
        <f>IF(W24="Electric boiler",L24*$AG$8,"")</f>
        <v>149.90267530719524</v>
      </c>
      <c r="Y24" s="344" t="str">
        <f t="shared" si="12"/>
        <v/>
      </c>
      <c r="Z24" s="345"/>
      <c r="AA24" s="346">
        <f t="shared" si="8"/>
        <v>22485.401296079286</v>
      </c>
      <c r="AB24" s="347">
        <f t="shared" si="5"/>
        <v>5621.3503240198215</v>
      </c>
      <c r="AC24" s="348">
        <f t="shared" si="7"/>
        <v>188.14423900185704</v>
      </c>
      <c r="AI24" s="16"/>
    </row>
    <row r="25" spans="1:35" x14ac:dyDescent="0.25">
      <c r="A25" s="327" t="str">
        <f>'Bldg Info, Cost Est'!A27</f>
        <v>Atrium</v>
      </c>
      <c r="B25" s="327" t="str">
        <f>'Bldg Info, Cost Est'!B27</f>
        <v>2 Clinton Sq</v>
      </c>
      <c r="C25" s="328">
        <f>'Bldg Info, Cost Est'!C27</f>
        <v>170000</v>
      </c>
      <c r="D25" s="329" t="str">
        <f>'Bldg Info, Cost Est'!D27</f>
        <v>Large Office</v>
      </c>
      <c r="E25" s="328">
        <f>'Bldg Info, Cost Est'!E27</f>
        <v>159.56406978789781</v>
      </c>
      <c r="F25" s="330">
        <f>'Bldg Info, Cost Est'!F27</f>
        <v>181447.49062795399</v>
      </c>
      <c r="G25" s="331">
        <f>'Bldg Info, Cost Est'!G27</f>
        <v>638150.61182164354</v>
      </c>
      <c r="H25" s="349"/>
      <c r="I25" s="351"/>
      <c r="J25" s="349">
        <f>'Bldg Info, Cost Est'!J27</f>
        <v>0</v>
      </c>
      <c r="K25" s="352">
        <f>'Bldg Info, Cost Est'!K27</f>
        <v>0</v>
      </c>
      <c r="L25" s="335">
        <f>'Bldg Info, Cost Est'!L27</f>
        <v>1.8453219258762785</v>
      </c>
      <c r="M25" s="336">
        <f t="shared" si="1"/>
        <v>1845.3219258762786</v>
      </c>
      <c r="N25" s="331">
        <f>'Bldg Info, Cost Est'!M27</f>
        <v>752.50616036051213</v>
      </c>
      <c r="O25" s="328">
        <f>N25/0.75</f>
        <v>1003.3415471473495</v>
      </c>
      <c r="P25" s="337">
        <v>0</v>
      </c>
      <c r="Q25" s="338" t="s">
        <v>189</v>
      </c>
      <c r="R25" s="329" t="str">
        <f t="shared" si="9"/>
        <v/>
      </c>
      <c r="S25" s="339">
        <v>2</v>
      </c>
      <c r="T25" s="340">
        <v>0.28000000000000003</v>
      </c>
      <c r="U25" s="341">
        <f t="shared" si="6"/>
        <v>143.60766280910804</v>
      </c>
      <c r="V25" s="342">
        <v>19</v>
      </c>
      <c r="W25" s="339" t="s">
        <v>169</v>
      </c>
      <c r="X25" s="343">
        <f t="shared" ref="X25" si="16">IF(W25="Electric boiler",L25*$AG$8,"")</f>
        <v>540.80849681656093</v>
      </c>
      <c r="Y25" s="344" t="str">
        <f t="shared" si="12"/>
        <v/>
      </c>
      <c r="Z25" s="345"/>
      <c r="AA25" s="346">
        <f t="shared" si="8"/>
        <v>81121.274522484135</v>
      </c>
      <c r="AB25" s="347">
        <f t="shared" si="5"/>
        <v>20280.318630621034</v>
      </c>
      <c r="AC25" s="348">
        <f t="shared" si="7"/>
        <v>678.77376351538771</v>
      </c>
      <c r="AI25" s="16"/>
    </row>
    <row r="26" spans="1:35" x14ac:dyDescent="0.25">
      <c r="A26" s="327" t="str">
        <f>'Bldg Info, Cost Est'!A28</f>
        <v>AXA Towers</v>
      </c>
      <c r="B26" s="327" t="str">
        <f>'Bldg Info, Cost Est'!B28</f>
        <v>100 Madison St</v>
      </c>
      <c r="C26" s="328">
        <f>'Bldg Info, Cost Est'!C28</f>
        <v>653177</v>
      </c>
      <c r="D26" s="329" t="str">
        <f>'Bldg Info, Cost Est'!D28</f>
        <v>Large Office</v>
      </c>
      <c r="E26" s="328">
        <f>'Bldg Info, Cost Est'!E28</f>
        <v>613.07988477558661</v>
      </c>
      <c r="F26" s="330">
        <f>'Bldg Info, Cost Est'!F28</f>
        <v>697160.75050526706</v>
      </c>
      <c r="G26" s="331">
        <f>'Bldg Info, Cost Est'!G28</f>
        <v>2451913.5422225101</v>
      </c>
      <c r="H26" s="349"/>
      <c r="I26" s="351"/>
      <c r="J26" s="349"/>
      <c r="K26" s="352"/>
      <c r="L26" s="335">
        <f>'Bldg Info, Cost Est'!L28</f>
        <v>7.0901284681064114</v>
      </c>
      <c r="M26" s="336">
        <f t="shared" si="1"/>
        <v>7090.1284681064117</v>
      </c>
      <c r="N26" s="331">
        <f>'Bldg Info, Cost Est'!M28</f>
        <v>2891.2924488576332</v>
      </c>
      <c r="O26" s="328">
        <f>N26/0.75</f>
        <v>3855.0565984768441</v>
      </c>
      <c r="P26" s="337">
        <v>0</v>
      </c>
      <c r="Q26" s="338" t="s">
        <v>190</v>
      </c>
      <c r="R26" s="329" t="s">
        <v>180</v>
      </c>
      <c r="S26" s="339">
        <v>3</v>
      </c>
      <c r="T26" s="340">
        <v>0.28000000000000003</v>
      </c>
      <c r="U26" s="341">
        <f t="shared" si="6"/>
        <v>551.77189629802797</v>
      </c>
      <c r="V26" s="342"/>
      <c r="W26" s="339"/>
      <c r="X26" s="343"/>
      <c r="Y26" s="344" t="str">
        <f t="shared" si="12"/>
        <v/>
      </c>
      <c r="Z26" s="345"/>
      <c r="AA26" s="346">
        <f t="shared" si="8"/>
        <v>0</v>
      </c>
      <c r="AB26" s="347">
        <f t="shared" si="5"/>
        <v>0</v>
      </c>
      <c r="AC26" s="348">
        <f t="shared" si="7"/>
        <v>0</v>
      </c>
      <c r="AI26" s="16"/>
    </row>
    <row r="27" spans="1:35" x14ac:dyDescent="0.25">
      <c r="A27" s="327" t="e">
        <f>'Bldg Info, Cost Est'!#REF!</f>
        <v>#REF!</v>
      </c>
      <c r="B27" s="327" t="e">
        <f>'Bldg Info, Cost Est'!#REF!</f>
        <v>#REF!</v>
      </c>
      <c r="C27" s="328" t="e">
        <f>'Bldg Info, Cost Est'!#REF!</f>
        <v>#REF!</v>
      </c>
      <c r="D27" s="329" t="e">
        <f>'Bldg Info, Cost Est'!#REF!</f>
        <v>#REF!</v>
      </c>
      <c r="E27" s="328" t="e">
        <f>'Bldg Info, Cost Est'!#REF!</f>
        <v>#REF!</v>
      </c>
      <c r="F27" s="330" t="e">
        <f>'Bldg Info, Cost Est'!#REF!</f>
        <v>#REF!</v>
      </c>
      <c r="G27" s="331" t="e">
        <f>'Bldg Info, Cost Est'!#REF!</f>
        <v>#REF!</v>
      </c>
      <c r="H27" s="349" t="e">
        <f>'Bldg Info, Cost Est'!#REF!</f>
        <v>#REF!</v>
      </c>
      <c r="I27" s="351" t="e">
        <f>'Bldg Info, Cost Est'!#REF!</f>
        <v>#REF!</v>
      </c>
      <c r="J27" s="349"/>
      <c r="K27" s="352" t="e">
        <f>'Bldg Info, Cost Est'!#REF!</f>
        <v>#REF!</v>
      </c>
      <c r="L27" s="335" t="e">
        <f>'Bldg Info, Cost Est'!#REF!</f>
        <v>#REF!</v>
      </c>
      <c r="M27" s="336" t="e">
        <f t="shared" si="1"/>
        <v>#REF!</v>
      </c>
      <c r="N27" s="331" t="e">
        <f>'Bldg Info, Cost Est'!#REF!</f>
        <v>#REF!</v>
      </c>
      <c r="O27" s="328" t="e">
        <f t="shared" ref="O27:O30" si="17">N27*0.75</f>
        <v>#REF!</v>
      </c>
      <c r="P27" s="337" t="e">
        <f t="shared" ref="P27:P30" si="18">N27*0.25*1000/3.413</f>
        <v>#REF!</v>
      </c>
      <c r="Q27" s="338" t="s">
        <v>171</v>
      </c>
      <c r="R27" s="329" t="s">
        <v>172</v>
      </c>
      <c r="S27" s="339">
        <v>2</v>
      </c>
      <c r="T27" s="340">
        <v>0.35</v>
      </c>
      <c r="U27" s="341" t="e">
        <f t="shared" si="6"/>
        <v>#REF!</v>
      </c>
      <c r="V27" s="342"/>
      <c r="W27" s="339" t="s">
        <v>169</v>
      </c>
      <c r="X27" s="343"/>
      <c r="Y27" s="344" t="str">
        <f t="shared" si="12"/>
        <v/>
      </c>
      <c r="Z27" s="345" t="e">
        <f t="shared" si="4"/>
        <v>#REF!</v>
      </c>
      <c r="AA27" s="346" t="e">
        <f t="shared" si="8"/>
        <v>#REF!</v>
      </c>
      <c r="AB27" s="347" t="e">
        <f t="shared" si="5"/>
        <v>#REF!</v>
      </c>
      <c r="AC27" s="348" t="e">
        <f t="shared" si="7"/>
        <v>#REF!</v>
      </c>
      <c r="AD27" t="s">
        <v>191</v>
      </c>
      <c r="AI27" s="16"/>
    </row>
    <row r="28" spans="1:35" x14ac:dyDescent="0.25">
      <c r="A28" s="327" t="str">
        <f>'Bldg Info, Cost Est'!A29</f>
        <v>Hotel Syracuse</v>
      </c>
      <c r="B28" s="327" t="str">
        <f>'Bldg Info, Cost Est'!B29</f>
        <v>100 E Onondaga St</v>
      </c>
      <c r="C28" s="328">
        <f>'Bldg Info, Cost Est'!C29</f>
        <v>720000</v>
      </c>
      <c r="D28" s="329" t="str">
        <f>'Bldg Info, Cost Est'!D29</f>
        <v>Hotel</v>
      </c>
      <c r="E28" s="328">
        <f>'Bldg Info, Cost Est'!E29</f>
        <v>1269.7841101816423</v>
      </c>
      <c r="F28" s="330">
        <f>'Bldg Info, Cost Est'!F29</f>
        <v>949155.01255580795</v>
      </c>
      <c r="G28" s="331">
        <f>'Bldg Info, Cost Est'!G29</f>
        <v>3338177.0664330884</v>
      </c>
      <c r="H28" s="349"/>
      <c r="I28" s="351"/>
      <c r="J28" s="349">
        <f>'Bldg Info, Cost Est'!J29</f>
        <v>0</v>
      </c>
      <c r="K28" s="352">
        <f>'Bldg Info, Cost Est'!K29</f>
        <v>0</v>
      </c>
      <c r="L28" s="335">
        <f>'Bldg Info, Cost Est'!L29</f>
        <v>17.741738425110402</v>
      </c>
      <c r="M28" s="336">
        <f t="shared" si="1"/>
        <v>17741.738425110401</v>
      </c>
      <c r="N28" s="331">
        <f>'Bldg Info, Cost Est'!M29</f>
        <v>25561.062771688245</v>
      </c>
      <c r="O28" s="328">
        <f t="shared" si="17"/>
        <v>19170.797078766183</v>
      </c>
      <c r="P28" s="337">
        <f t="shared" si="18"/>
        <v>1872330.9970471906</v>
      </c>
      <c r="Q28" s="338" t="s">
        <v>171</v>
      </c>
      <c r="R28" s="329" t="s">
        <v>172</v>
      </c>
      <c r="S28" s="339">
        <v>2</v>
      </c>
      <c r="T28" s="340">
        <v>0.35</v>
      </c>
      <c r="U28" s="341">
        <f t="shared" si="6"/>
        <v>1142.805699163478</v>
      </c>
      <c r="V28" s="342"/>
      <c r="W28" s="339" t="s">
        <v>169</v>
      </c>
      <c r="X28" s="343"/>
      <c r="Y28" s="344" t="str">
        <f t="shared" si="12"/>
        <v/>
      </c>
      <c r="Z28" s="345">
        <f t="shared" si="4"/>
        <v>3899.6784601853287</v>
      </c>
      <c r="AA28" s="346">
        <f t="shared" si="8"/>
        <v>584951.76902779937</v>
      </c>
      <c r="AB28" s="347">
        <f t="shared" si="5"/>
        <v>146237.94225694984</v>
      </c>
      <c r="AC28" s="348">
        <f t="shared" si="7"/>
        <v>4894.5226276977928</v>
      </c>
      <c r="AI28" s="16"/>
    </row>
    <row r="29" spans="1:35" x14ac:dyDescent="0.25">
      <c r="A29" s="327" t="str">
        <f>'Bldg Info, Cost Est'!A30</f>
        <v>Tech Garden</v>
      </c>
      <c r="B29" s="327" t="str">
        <f>'Bldg Info, Cost Est'!B30</f>
        <v>235 Harrison St</v>
      </c>
      <c r="C29" s="328">
        <f>'Bldg Info, Cost Est'!C30</f>
        <v>35550</v>
      </c>
      <c r="D29" s="329" t="str">
        <f>'Bldg Info, Cost Est'!D30</f>
        <v>Medium Office</v>
      </c>
      <c r="E29" s="328">
        <f>'Bldg Info, Cost Est'!E30</f>
        <v>73.292247205899642</v>
      </c>
      <c r="F29" s="330">
        <f>'Bldg Info, Cost Est'!F30</f>
        <v>66277.54814869765</v>
      </c>
      <c r="G29" s="331">
        <f>'Bldg Info, Cost Est'!G30</f>
        <v>233098.05913961661</v>
      </c>
      <c r="H29" s="349"/>
      <c r="I29" s="351"/>
      <c r="J29" s="349"/>
      <c r="K29" s="352"/>
      <c r="L29" s="335">
        <f>'Bldg Info, Cost Est'!L30</f>
        <v>0.70152415172832849</v>
      </c>
      <c r="M29" s="336">
        <f t="shared" si="1"/>
        <v>701.52415172832855</v>
      </c>
      <c r="N29" s="331">
        <f>'Bldg Info, Cost Est'!M30</f>
        <v>520.5065965230765</v>
      </c>
      <c r="O29" s="328">
        <f t="shared" si="17"/>
        <v>390.37994739230737</v>
      </c>
      <c r="P29" s="337">
        <f t="shared" si="18"/>
        <v>38126.765054429867</v>
      </c>
      <c r="Q29" s="338" t="s">
        <v>171</v>
      </c>
      <c r="R29" s="329" t="s">
        <v>172</v>
      </c>
      <c r="S29" s="339">
        <v>2</v>
      </c>
      <c r="T29" s="340">
        <v>0.35</v>
      </c>
      <c r="U29" s="341">
        <f t="shared" si="6"/>
        <v>65.963022485309679</v>
      </c>
      <c r="V29" s="342">
        <v>6</v>
      </c>
      <c r="W29" s="339" t="s">
        <v>169</v>
      </c>
      <c r="X29" s="343"/>
      <c r="Y29" s="344" t="str">
        <f t="shared" si="12"/>
        <v/>
      </c>
      <c r="Z29" s="345">
        <f t="shared" si="4"/>
        <v>154.19676236026592</v>
      </c>
      <c r="AA29" s="346">
        <f t="shared" si="8"/>
        <v>23129.514354039889</v>
      </c>
      <c r="AB29" s="347">
        <f t="shared" si="5"/>
        <v>5782.3785885099724</v>
      </c>
      <c r="AC29" s="348">
        <f t="shared" si="7"/>
        <v>193.53378751493105</v>
      </c>
      <c r="AI29" s="16"/>
    </row>
    <row r="30" spans="1:35" x14ac:dyDescent="0.25">
      <c r="A30" s="327" t="str">
        <f>'Bldg Info, Cost Est'!A31</f>
        <v>Bank of America</v>
      </c>
      <c r="B30" s="327" t="str">
        <f>'Bldg Info, Cost Est'!B31</f>
        <v>1 S Clinton St</v>
      </c>
      <c r="C30" s="328">
        <f>'Bldg Info, Cost Est'!C31</f>
        <v>45000</v>
      </c>
      <c r="D30" s="329" t="str">
        <f>'Bldg Info, Cost Est'!D31</f>
        <v>Midrise Apartment</v>
      </c>
      <c r="E30" s="328">
        <f>'Bldg Info, Cost Est'!E31</f>
        <v>107.33840173923672</v>
      </c>
      <c r="F30" s="330">
        <f>'Bldg Info, Cost Est'!F31</f>
        <v>40417.68067175171</v>
      </c>
      <c r="G30" s="331">
        <f>'Bldg Info, Cost Est'!G31</f>
        <v>142148.93553957224</v>
      </c>
      <c r="H30" s="349">
        <f>'Bldg Info, Cost Est'!H31</f>
        <v>0</v>
      </c>
      <c r="I30" s="351">
        <f>'Bldg Info, Cost Est'!I31</f>
        <v>0</v>
      </c>
      <c r="J30" s="349"/>
      <c r="K30" s="352">
        <f>'Bldg Info, Cost Est'!K31</f>
        <v>0</v>
      </c>
      <c r="L30" s="335">
        <f>'Bldg Info, Cost Est'!L31</f>
        <v>1.4263098675571673</v>
      </c>
      <c r="M30" s="336">
        <f t="shared" si="1"/>
        <v>1426.3098675571673</v>
      </c>
      <c r="N30" s="331">
        <f>'Bldg Info, Cost Est'!M31</f>
        <v>1336.9322198138561</v>
      </c>
      <c r="O30" s="328">
        <f t="shared" si="17"/>
        <v>1002.6991648603921</v>
      </c>
      <c r="P30" s="337">
        <f t="shared" si="18"/>
        <v>97929.403736731329</v>
      </c>
      <c r="Q30" s="338" t="s">
        <v>175</v>
      </c>
      <c r="R30" s="329" t="str">
        <f t="shared" si="9"/>
        <v/>
      </c>
      <c r="S30" s="339">
        <v>3</v>
      </c>
      <c r="T30" s="340">
        <v>0.35</v>
      </c>
      <c r="U30" s="341">
        <f t="shared" si="6"/>
        <v>96.604561565313048</v>
      </c>
      <c r="V30" s="342">
        <v>3</v>
      </c>
      <c r="W30" s="339" t="s">
        <v>169</v>
      </c>
      <c r="X30" s="343"/>
      <c r="Y30" s="344" t="str">
        <f t="shared" si="12"/>
        <v/>
      </c>
      <c r="Z30" s="345">
        <f t="shared" si="4"/>
        <v>313.50647466373425</v>
      </c>
      <c r="AA30" s="346">
        <f t="shared" si="8"/>
        <v>47025.971199560139</v>
      </c>
      <c r="AB30" s="347">
        <f t="shared" si="5"/>
        <v>11756.492799890035</v>
      </c>
      <c r="AC30" s="348">
        <f t="shared" si="7"/>
        <v>393.48488595608171</v>
      </c>
      <c r="AI30" s="16"/>
    </row>
    <row r="31" spans="1:35" x14ac:dyDescent="0.25">
      <c r="A31" s="327" t="str">
        <f>'Bldg Info, Cost Est'!A32</f>
        <v>Clinton Exchange</v>
      </c>
      <c r="B31" s="327" t="str">
        <f>'Bldg Info, Cost Est'!B32</f>
        <v>101 N Clinton St</v>
      </c>
      <c r="C31" s="328">
        <f>'Bldg Info, Cost Est'!C32</f>
        <v>180000</v>
      </c>
      <c r="D31" s="329" t="str">
        <f>'Bldg Info, Cost Est'!D32</f>
        <v>Large Office</v>
      </c>
      <c r="E31" s="328">
        <f>'Bldg Info, Cost Est'!E32</f>
        <v>168.95019154012709</v>
      </c>
      <c r="F31" s="330">
        <f>'Bldg Info, Cost Est'!F32</f>
        <v>192120.87242959801</v>
      </c>
      <c r="G31" s="331">
        <f>'Bldg Info, Cost Est'!G32</f>
        <v>675688.88310526847</v>
      </c>
      <c r="H31" s="349">
        <f>'Bldg Info, Cost Est'!H32</f>
        <v>3</v>
      </c>
      <c r="I31" s="351">
        <f>'Bldg Info, Cost Est'!I32</f>
        <v>168.95019154012709</v>
      </c>
      <c r="J31" s="349"/>
      <c r="K31" s="352">
        <f>'Bldg Info, Cost Est'!K32</f>
        <v>0</v>
      </c>
      <c r="L31" s="335">
        <f>'Bldg Info, Cost Est'!L32</f>
        <v>1.953870274457236</v>
      </c>
      <c r="M31" s="336">
        <f t="shared" si="1"/>
        <v>1953.8702744572361</v>
      </c>
      <c r="N31" s="331">
        <f>'Bldg Info, Cost Est'!M32</f>
        <v>796.77122861701139</v>
      </c>
      <c r="O31" s="328">
        <f>N31/0.75</f>
        <v>1062.3616381560153</v>
      </c>
      <c r="P31" s="337">
        <v>0</v>
      </c>
      <c r="Q31" s="338" t="s">
        <v>192</v>
      </c>
      <c r="R31" s="329" t="str">
        <f t="shared" si="9"/>
        <v>Heat Pump</v>
      </c>
      <c r="S31" s="339">
        <v>2</v>
      </c>
      <c r="T31" s="340">
        <v>0.35</v>
      </c>
      <c r="U31" s="341">
        <f t="shared" si="6"/>
        <v>152.05517238611438</v>
      </c>
      <c r="V31" s="342"/>
      <c r="W31" s="339" t="s">
        <v>181</v>
      </c>
      <c r="X31" s="343"/>
      <c r="Y31" s="344">
        <f>IF(W31="Heat pump",L31*$AG$8/$AG$6,"")</f>
        <v>229.04830453407286</v>
      </c>
      <c r="Z31" s="345"/>
      <c r="AA31" s="346">
        <f t="shared" si="8"/>
        <v>78334.520150652912</v>
      </c>
      <c r="AB31" s="347">
        <f t="shared" si="5"/>
        <v>19583.630037663228</v>
      </c>
      <c r="AC31" s="348">
        <f t="shared" si="7"/>
        <v>114.99226111319508</v>
      </c>
      <c r="AI31" s="16"/>
    </row>
    <row r="32" spans="1:35" x14ac:dyDescent="0.25">
      <c r="A32" s="327" t="str">
        <f>'Bldg Info, Cost Est'!A33</f>
        <v>National Grid</v>
      </c>
      <c r="B32" s="327" t="str">
        <f>'Bldg Info, Cost Est'!B33</f>
        <v>300 W Erie Blvd</v>
      </c>
      <c r="C32" s="328">
        <f>'Bldg Info, Cost Est'!C33</f>
        <v>511200</v>
      </c>
      <c r="D32" s="329" t="str">
        <f>'Bldg Info, Cost Est'!D33</f>
        <v>Large Office</v>
      </c>
      <c r="E32" s="328">
        <f>'Bldg Info, Cost Est'!E33</f>
        <v>479.81854397396097</v>
      </c>
      <c r="F32" s="330">
        <f>'Bldg Info, Cost Est'!F33</f>
        <v>545623.27770005947</v>
      </c>
      <c r="G32" s="331">
        <f>'Bldg Info, Cost Est'!G33</f>
        <v>1918956.4280189665</v>
      </c>
      <c r="H32" s="349">
        <f>'Bldg Info, Cost Est'!H33</f>
        <v>4</v>
      </c>
      <c r="I32" s="351">
        <f>'Bldg Info, Cost Est'!I33</f>
        <v>479.81854397396097</v>
      </c>
      <c r="J32" s="349"/>
      <c r="K32" s="352">
        <f>'Bldg Info, Cost Est'!K33</f>
        <v>0</v>
      </c>
      <c r="L32" s="335">
        <f>'Bldg Info, Cost Est'!L33</f>
        <v>5.5489915794585514</v>
      </c>
      <c r="M32" s="336">
        <f t="shared" si="1"/>
        <v>5548.9915794585513</v>
      </c>
      <c r="N32" s="331">
        <f>'Bldg Info, Cost Est'!M33</f>
        <v>2262.8302892723168</v>
      </c>
      <c r="O32" s="328">
        <f t="shared" ref="O32" si="19">N32*0.75</f>
        <v>1697.1227169542376</v>
      </c>
      <c r="P32" s="337">
        <f t="shared" ref="P32" si="20">N32*0.25*1000/3.413</f>
        <v>165750.82693175483</v>
      </c>
      <c r="Q32" s="338" t="s">
        <v>171</v>
      </c>
      <c r="R32" s="329" t="s">
        <v>172</v>
      </c>
      <c r="S32" s="339">
        <v>2</v>
      </c>
      <c r="T32" s="340">
        <v>0.35</v>
      </c>
      <c r="U32" s="341">
        <f t="shared" si="6"/>
        <v>431.83668957656488</v>
      </c>
      <c r="V32" s="342">
        <v>2</v>
      </c>
      <c r="W32" s="339" t="s">
        <v>169</v>
      </c>
      <c r="X32" s="343"/>
      <c r="Y32" s="344" t="str">
        <f>IF(W32="Heat pump",L32*$AH$10/$AH$8,"")</f>
        <v/>
      </c>
      <c r="Z32" s="345">
        <f t="shared" si="4"/>
        <v>1219.6822216439382</v>
      </c>
      <c r="AA32" s="346">
        <f t="shared" si="8"/>
        <v>182952.33324659072</v>
      </c>
      <c r="AB32" s="347">
        <f t="shared" si="5"/>
        <v>45738.083311647679</v>
      </c>
      <c r="AC32" s="348">
        <f t="shared" si="7"/>
        <v>1530.8344760694099</v>
      </c>
      <c r="AD32" t="s">
        <v>193</v>
      </c>
      <c r="AI32" s="16"/>
    </row>
    <row r="33" spans="1:35" x14ac:dyDescent="0.25">
      <c r="A33" s="327" t="str">
        <f>'Bldg Info, Cost Est'!A34</f>
        <v>Post Standard</v>
      </c>
      <c r="B33" s="327" t="str">
        <f>'Bldg Info, Cost Est'!B34</f>
        <v>101 N Salina St</v>
      </c>
      <c r="C33" s="328">
        <f>'Bldg Info, Cost Est'!C34</f>
        <v>179000</v>
      </c>
      <c r="D33" s="329" t="str">
        <f>'Bldg Info, Cost Est'!D34</f>
        <v>Large Office</v>
      </c>
      <c r="E33" s="328">
        <f>'Bldg Info, Cost Est'!E34</f>
        <v>168.01157936490418</v>
      </c>
      <c r="F33" s="330">
        <f>'Bldg Info, Cost Est'!F34</f>
        <v>191053.53424943364</v>
      </c>
      <c r="G33" s="331">
        <f>'Bldg Info, Cost Est'!G34</f>
        <v>671935.05597690609</v>
      </c>
      <c r="H33" s="349"/>
      <c r="I33" s="351"/>
      <c r="J33" s="349"/>
      <c r="K33" s="352"/>
      <c r="L33" s="335">
        <f>'Bldg Info, Cost Est'!L34</f>
        <v>1.9430154395991404</v>
      </c>
      <c r="M33" s="336">
        <f t="shared" si="1"/>
        <v>1943.0154395991403</v>
      </c>
      <c r="N33" s="331">
        <f>'Bldg Info, Cost Est'!M34</f>
        <v>792.34472179136185</v>
      </c>
      <c r="O33" s="328">
        <f t="shared" ref="O33:O38" si="21">N33/0.75</f>
        <v>1056.4596290551492</v>
      </c>
      <c r="P33" s="337">
        <v>0</v>
      </c>
      <c r="Q33" s="338" t="s">
        <v>192</v>
      </c>
      <c r="R33" s="329" t="s">
        <v>180</v>
      </c>
      <c r="S33" s="339">
        <v>2</v>
      </c>
      <c r="T33" s="340">
        <v>0.28000000000000003</v>
      </c>
      <c r="U33" s="341">
        <f t="shared" si="6"/>
        <v>151.21042142841375</v>
      </c>
      <c r="V33" s="342">
        <v>7</v>
      </c>
      <c r="W33" s="339" t="s">
        <v>169</v>
      </c>
      <c r="X33" s="343">
        <f>IF(W33="Electric boiler",L33*$AG$8,"")</f>
        <v>569.43953488332011</v>
      </c>
      <c r="Y33" s="344" t="str">
        <f t="shared" si="12"/>
        <v/>
      </c>
      <c r="Z33" s="345"/>
      <c r="AA33" s="346">
        <f t="shared" si="8"/>
        <v>85415.930232498009</v>
      </c>
      <c r="AB33" s="347">
        <f t="shared" si="5"/>
        <v>21353.982558124502</v>
      </c>
      <c r="AC33" s="348">
        <f t="shared" si="7"/>
        <v>714.7088451132613</v>
      </c>
      <c r="AI33" s="16"/>
    </row>
    <row r="34" spans="1:35" x14ac:dyDescent="0.25">
      <c r="A34" s="327" t="str">
        <f>'Bldg Info, Cost Est'!A35</f>
        <v>Galleries of Syracuse</v>
      </c>
      <c r="B34" s="327" t="str">
        <f>'Bldg Info, Cost Est'!B35</f>
        <v>441 S Salina St</v>
      </c>
      <c r="C34" s="328">
        <f>'Bldg Info, Cost Est'!C35</f>
        <v>219000</v>
      </c>
      <c r="D34" s="329" t="str">
        <f>'Bldg Info, Cost Est'!D35</f>
        <v>Large Office</v>
      </c>
      <c r="E34" s="328">
        <f>'Bldg Info, Cost Est'!E35</f>
        <v>205.5560663738213</v>
      </c>
      <c r="F34" s="330">
        <f>'Bldg Info, Cost Est'!F35</f>
        <v>233747.06145601158</v>
      </c>
      <c r="G34" s="331">
        <f>'Bldg Info, Cost Est'!G35</f>
        <v>822088.14111141232</v>
      </c>
      <c r="H34" s="349"/>
      <c r="I34" s="351"/>
      <c r="J34" s="349"/>
      <c r="K34" s="352"/>
      <c r="L34" s="335">
        <f>'Bldg Info, Cost Est'!L35</f>
        <v>2.3772088339229702</v>
      </c>
      <c r="M34" s="336">
        <f t="shared" si="1"/>
        <v>2377.2088339229704</v>
      </c>
      <c r="N34" s="331">
        <f>'Bldg Info, Cost Est'!M35</f>
        <v>969.4049948173664</v>
      </c>
      <c r="O34" s="328">
        <f t="shared" si="21"/>
        <v>1292.5399930898218</v>
      </c>
      <c r="P34" s="337">
        <v>0</v>
      </c>
      <c r="Q34" s="338" t="s">
        <v>194</v>
      </c>
      <c r="R34" s="329" t="s">
        <v>195</v>
      </c>
      <c r="S34" s="339">
        <v>2</v>
      </c>
      <c r="T34" s="340">
        <v>0.28000000000000003</v>
      </c>
      <c r="U34" s="341">
        <f t="shared" si="6"/>
        <v>185.00045973643918</v>
      </c>
      <c r="V34" s="342">
        <v>5</v>
      </c>
      <c r="W34" s="339" t="s">
        <v>181</v>
      </c>
      <c r="X34" s="343"/>
      <c r="Y34" s="344">
        <f>IF(W34="Heat pump",L34*$AG$8/$AG$6,"")</f>
        <v>278.67543718312197</v>
      </c>
      <c r="Z34" s="345"/>
      <c r="AA34" s="346">
        <f t="shared" si="8"/>
        <v>95306.999516627708</v>
      </c>
      <c r="AB34" s="347">
        <f t="shared" si="5"/>
        <v>23826.749879156927</v>
      </c>
      <c r="AC34" s="348">
        <f t="shared" si="7"/>
        <v>139.90725102105404</v>
      </c>
      <c r="AI34" s="16"/>
    </row>
    <row r="35" spans="1:35" x14ac:dyDescent="0.25">
      <c r="A35" s="327" t="str">
        <f>'Bldg Info, Cost Est'!A36</f>
        <v>100 Clinton Sq</v>
      </c>
      <c r="B35" s="327" t="str">
        <f>'Bldg Info, Cost Est'!B36</f>
        <v>100 Clinton Sq</v>
      </c>
      <c r="C35" s="328">
        <f>'Bldg Info, Cost Est'!C36</f>
        <v>120000</v>
      </c>
      <c r="D35" s="329" t="str">
        <f>'Bldg Info, Cost Est'!D36</f>
        <v>Large Office</v>
      </c>
      <c r="E35" s="328">
        <f>'Bldg Info, Cost Est'!E36</f>
        <v>112.63346102675139</v>
      </c>
      <c r="F35" s="330">
        <f>'Bldg Info, Cost Est'!F36</f>
        <v>128080.58161973268</v>
      </c>
      <c r="G35" s="331">
        <f>'Bldg Info, Cost Est'!G36</f>
        <v>450459.25540351472</v>
      </c>
      <c r="H35" s="349"/>
      <c r="I35" s="351"/>
      <c r="J35" s="349"/>
      <c r="K35" s="352"/>
      <c r="L35" s="335">
        <f>'Bldg Info, Cost Est'!L36</f>
        <v>1.3025801829714907</v>
      </c>
      <c r="M35" s="336">
        <f t="shared" si="1"/>
        <v>1302.5801829714908</v>
      </c>
      <c r="N35" s="331">
        <f>'Bldg Info, Cost Est'!M36</f>
        <v>531.18081907800786</v>
      </c>
      <c r="O35" s="328">
        <f t="shared" si="21"/>
        <v>708.24109210401048</v>
      </c>
      <c r="P35" s="337">
        <v>0</v>
      </c>
      <c r="Q35" s="338" t="s">
        <v>196</v>
      </c>
      <c r="R35" s="329" t="s">
        <v>197</v>
      </c>
      <c r="S35" s="339">
        <v>3</v>
      </c>
      <c r="T35" s="340">
        <v>0.28000000000000003</v>
      </c>
      <c r="U35" s="341">
        <f t="shared" si="6"/>
        <v>101.37011492407625</v>
      </c>
      <c r="V35" s="342">
        <v>4</v>
      </c>
      <c r="W35" s="339"/>
      <c r="X35" s="343"/>
      <c r="Y35" s="344"/>
      <c r="Z35" s="345"/>
      <c r="AA35" s="346">
        <f t="shared" si="8"/>
        <v>0</v>
      </c>
      <c r="AB35" s="347">
        <f t="shared" si="5"/>
        <v>0</v>
      </c>
      <c r="AC35" s="348">
        <f t="shared" si="7"/>
        <v>0</v>
      </c>
      <c r="AI35" s="16"/>
    </row>
    <row r="36" spans="1:35" x14ac:dyDescent="0.25">
      <c r="A36" s="1" t="str">
        <f>'Bldg Info, Cost Est'!A37</f>
        <v>City of Syr Criminal Court House</v>
      </c>
      <c r="B36" s="1" t="str">
        <f>'Bldg Info, Cost Est'!B37</f>
        <v>505 S State St</v>
      </c>
      <c r="C36" s="7">
        <f>'Bldg Info, Cost Est'!C37</f>
        <v>95977</v>
      </c>
      <c r="D36" s="82" t="str">
        <f>'Bldg Info, Cost Est'!D37</f>
        <v>Medium Office</v>
      </c>
      <c r="E36" s="7">
        <f>'Bldg Info, Cost Est'!E37</f>
        <v>197.87257412322447</v>
      </c>
      <c r="F36" s="77">
        <f>'Bldg Info, Cost Est'!F37</f>
        <v>178934.46522271683</v>
      </c>
      <c r="G36" s="61">
        <f>'Bldg Info, Cost Est'!G37</f>
        <v>629312.30441752705</v>
      </c>
      <c r="H36" s="49"/>
      <c r="I36" s="86"/>
      <c r="J36" s="49"/>
      <c r="K36" s="65"/>
      <c r="L36" s="45">
        <f>'Bldg Info, Cost Est'!L37</f>
        <v>1.8939573420655356</v>
      </c>
      <c r="M36" s="166">
        <f t="shared" si="1"/>
        <v>1893.9573420655356</v>
      </c>
      <c r="N36" s="61">
        <f>'Bldg Info, Cost Est'!M37</f>
        <v>1405.2506783261676</v>
      </c>
      <c r="O36" s="7">
        <f t="shared" si="21"/>
        <v>1873.6675711015569</v>
      </c>
      <c r="P36" s="10">
        <v>0</v>
      </c>
      <c r="Q36" s="98" t="s">
        <v>198</v>
      </c>
      <c r="R36" s="3" t="s">
        <v>199</v>
      </c>
      <c r="S36" s="161">
        <v>2</v>
      </c>
      <c r="T36" s="263">
        <v>0.28000000000000003</v>
      </c>
      <c r="U36" s="271">
        <f t="shared" si="6"/>
        <v>178.08531671090202</v>
      </c>
      <c r="V36" s="268">
        <v>1</v>
      </c>
      <c r="W36" s="161" t="s">
        <v>181</v>
      </c>
      <c r="X36" s="162"/>
      <c r="Y36" s="163">
        <f t="shared" ref="Y36" si="22">IF(W36="Heat pump",L36*$AG$8/$AG$6,"")</f>
        <v>222.02483129565857</v>
      </c>
      <c r="Z36" s="164"/>
      <c r="AA36" s="247">
        <f t="shared" si="8"/>
        <v>75932.492303115228</v>
      </c>
      <c r="AB36" s="278">
        <f t="shared" si="5"/>
        <v>18983.123075778807</v>
      </c>
      <c r="AC36" s="282">
        <f t="shared" si="7"/>
        <v>111.46617053506932</v>
      </c>
      <c r="AI36" s="16"/>
    </row>
    <row r="37" spans="1:35" x14ac:dyDescent="0.25">
      <c r="A37" s="1" t="str">
        <f>'Bldg Info, Cost Est'!A38</f>
        <v>550 Harrison Building</v>
      </c>
      <c r="B37" s="1" t="str">
        <f>'Bldg Info, Cost Est'!B38</f>
        <v>550 Harrison St</v>
      </c>
      <c r="C37" s="7">
        <f>'Bldg Info, Cost Est'!C38</f>
        <v>252000</v>
      </c>
      <c r="D37" s="82" t="str">
        <f>'Bldg Info, Cost Est'!D38</f>
        <v>Retail</v>
      </c>
      <c r="E37" s="7">
        <f>'Bldg Info, Cost Est'!E38</f>
        <v>0</v>
      </c>
      <c r="F37" s="77">
        <f>'Bldg Info, Cost Est'!F38</f>
        <v>0</v>
      </c>
      <c r="G37" s="61">
        <f>'Bldg Info, Cost Est'!G38</f>
        <v>0</v>
      </c>
      <c r="H37" s="49"/>
      <c r="I37" s="86"/>
      <c r="J37" s="49"/>
      <c r="K37" s="65"/>
      <c r="L37" s="45">
        <f>'Bldg Info, Cost Est'!L38</f>
        <v>13.489165358490565</v>
      </c>
      <c r="M37" s="166">
        <f t="shared" si="1"/>
        <v>13489.165358490565</v>
      </c>
      <c r="N37" s="61">
        <f>'Bldg Info, Cost Est'!M38</f>
        <v>9975.4730390661898</v>
      </c>
      <c r="O37" s="7">
        <f t="shared" si="21"/>
        <v>13300.630718754919</v>
      </c>
      <c r="P37" s="10">
        <v>0</v>
      </c>
      <c r="Q37" s="98" t="s">
        <v>155</v>
      </c>
      <c r="R37" s="3" t="s">
        <v>200</v>
      </c>
      <c r="S37" s="161">
        <v>2</v>
      </c>
      <c r="T37" s="263">
        <v>0.28000000000000003</v>
      </c>
      <c r="U37" s="271">
        <f t="shared" si="6"/>
        <v>0</v>
      </c>
      <c r="V37" s="268">
        <v>11</v>
      </c>
      <c r="W37" s="161" t="s">
        <v>169</v>
      </c>
      <c r="X37" s="162">
        <f>IF(W37="Electric boiler",L37*$AG$8,"")</f>
        <v>3953.2696916128298</v>
      </c>
      <c r="Y37" s="163" t="str">
        <f t="shared" si="12"/>
        <v/>
      </c>
      <c r="Z37" s="164"/>
      <c r="AA37" s="247">
        <f t="shared" si="8"/>
        <v>592990.45374192449</v>
      </c>
      <c r="AB37" s="278">
        <f t="shared" si="5"/>
        <v>148247.61343548112</v>
      </c>
      <c r="AC37" s="282">
        <f t="shared" si="7"/>
        <v>4961.78547963447</v>
      </c>
      <c r="AI37" s="16"/>
    </row>
    <row r="38" spans="1:35" x14ac:dyDescent="0.25">
      <c r="A38" s="1" t="str">
        <f>'Bldg Info, Cost Est'!A39</f>
        <v>Jefferson Clinton Hotel</v>
      </c>
      <c r="B38" s="1" t="str">
        <f>'Bldg Info, Cost Est'!B39</f>
        <v>416 S Clinton St</v>
      </c>
      <c r="C38" s="7">
        <f>'Bldg Info, Cost Est'!C39</f>
        <v>42204</v>
      </c>
      <c r="D38" s="3" t="str">
        <f>'Bldg Info, Cost Est'!D39</f>
        <v>Hotel</v>
      </c>
      <c r="E38" s="7">
        <f>'Bldg Info, Cost Est'!E39</f>
        <v>74.430511925147272</v>
      </c>
      <c r="F38" s="77">
        <f>'Bldg Info, Cost Est'!F39</f>
        <v>55636.302985979528</v>
      </c>
      <c r="G38" s="61">
        <f>'Bldg Info, Cost Est'!G39</f>
        <v>195672.81237741918</v>
      </c>
      <c r="H38" s="49"/>
      <c r="I38" s="86"/>
      <c r="J38" s="49"/>
      <c r="K38" s="65"/>
      <c r="L38" s="45">
        <f>'Bldg Info, Cost Est'!L39</f>
        <v>1.039961567351888</v>
      </c>
      <c r="M38" s="166">
        <f t="shared" si="1"/>
        <v>1039.9615673518881</v>
      </c>
      <c r="N38" s="61">
        <f>'Bldg Info, Cost Est'!M39</f>
        <v>1498.3042961337962</v>
      </c>
      <c r="O38" s="7">
        <f t="shared" si="21"/>
        <v>1997.7390615117283</v>
      </c>
      <c r="P38" s="10">
        <v>0</v>
      </c>
      <c r="Q38" s="98" t="s">
        <v>201</v>
      </c>
      <c r="R38" s="3" t="s">
        <v>201</v>
      </c>
      <c r="S38" s="161">
        <v>2</v>
      </c>
      <c r="T38" s="263">
        <v>0.28000000000000003</v>
      </c>
      <c r="U38" s="271">
        <f t="shared" si="6"/>
        <v>66.987460732632542</v>
      </c>
      <c r="V38" s="268">
        <v>3</v>
      </c>
      <c r="W38" s="161" t="s">
        <v>181</v>
      </c>
      <c r="X38" s="162" t="str">
        <f t="shared" ref="X38" si="23">IF(W38="Electric boiler",L38*293.07,"")</f>
        <v/>
      </c>
      <c r="Y38" s="163">
        <f>IF(W38="Heat pump",L38*$AG$8/$AG$6,"")</f>
        <v>121.91261461752713</v>
      </c>
      <c r="Z38" s="164"/>
      <c r="AA38" s="247">
        <f t="shared" si="8"/>
        <v>41694.114199194279</v>
      </c>
      <c r="AB38" s="278">
        <f t="shared" si="5"/>
        <v>10423.52854979857</v>
      </c>
      <c r="AC38" s="282">
        <f t="shared" si="7"/>
        <v>61.205461623513386</v>
      </c>
      <c r="AI38" s="16"/>
    </row>
    <row r="39" spans="1:35" x14ac:dyDescent="0.25">
      <c r="A39" s="1" t="str">
        <f>'Bldg Info, Cost Est'!A40</f>
        <v>Sky Armory</v>
      </c>
      <c r="B39" s="1" t="str">
        <f>'Bldg Info, Cost Est'!B40</f>
        <v>351 S Clinton St</v>
      </c>
      <c r="C39" s="7">
        <f>'Bldg Info, Cost Est'!C40</f>
        <v>40700</v>
      </c>
      <c r="D39" s="3" t="str">
        <f>'Bldg Info, Cost Est'!D40</f>
        <v>Medium Office</v>
      </c>
      <c r="E39" s="7">
        <f>'Bldg Info, Cost Est'!E40</f>
        <v>83.909830134461757</v>
      </c>
      <c r="F39" s="77">
        <f>'Bldg Info, Cost Est'!F40</f>
        <v>75878.93698036579</v>
      </c>
      <c r="G39" s="61">
        <f>'Bldg Info, Cost Est'!G40</f>
        <v>266866.13240456907</v>
      </c>
      <c r="H39" s="49"/>
      <c r="I39" s="86"/>
      <c r="J39" s="49"/>
      <c r="K39" s="65"/>
      <c r="L39" s="45">
        <f>'Bldg Info, Cost Est'!L40</f>
        <v>0.80315141984087113</v>
      </c>
      <c r="M39" s="166">
        <f t="shared" si="1"/>
        <v>803.15141984087109</v>
      </c>
      <c r="N39" s="61">
        <f>'Bldg Info, Cost Est'!M40</f>
        <v>595.91050572402867</v>
      </c>
      <c r="O39" s="7">
        <f t="shared" ref="O39:O42" si="24">N39*0.75</f>
        <v>446.93287929302153</v>
      </c>
      <c r="P39" s="10">
        <f t="shared" ref="P39:P42" si="25">N39*0.25*1000/3.413</f>
        <v>43650.051693819856</v>
      </c>
      <c r="Q39" s="98" t="s">
        <v>168</v>
      </c>
      <c r="R39" s="3" t="s">
        <v>182</v>
      </c>
      <c r="S39" s="161">
        <v>1</v>
      </c>
      <c r="T39" s="263">
        <v>0.28000000000000003</v>
      </c>
      <c r="U39" s="271">
        <f t="shared" si="6"/>
        <v>75.518847121015583</v>
      </c>
      <c r="V39" s="268">
        <v>23</v>
      </c>
      <c r="W39" s="161" t="s">
        <v>169</v>
      </c>
      <c r="X39" s="162"/>
      <c r="Y39" s="163" t="str">
        <f t="shared" si="12"/>
        <v/>
      </c>
      <c r="Z39" s="164">
        <f t="shared" si="4"/>
        <v>176.53468995957306</v>
      </c>
      <c r="AA39" s="247">
        <f t="shared" si="8"/>
        <v>26480.203493935958</v>
      </c>
      <c r="AB39" s="278">
        <f t="shared" si="5"/>
        <v>6620.0508734839896</v>
      </c>
      <c r="AC39" s="282">
        <f t="shared" si="7"/>
        <v>221.5703277597101</v>
      </c>
      <c r="AI39" s="16"/>
    </row>
    <row r="40" spans="1:35" x14ac:dyDescent="0.25">
      <c r="A40" s="1" t="str">
        <f>'Bldg Info, Cost Est'!A41</f>
        <v>Clinton Plaza</v>
      </c>
      <c r="B40" s="1" t="str">
        <f>'Bldg Info, Cost Est'!B41</f>
        <v>550 S Clinton St</v>
      </c>
      <c r="C40" s="7">
        <f>'Bldg Info, Cost Est'!C41</f>
        <v>254690</v>
      </c>
      <c r="D40" s="3" t="str">
        <f>'Bldg Info, Cost Est'!D41</f>
        <v>Midrise Apartment</v>
      </c>
      <c r="E40" s="7">
        <f>'Bldg Info, Cost Est'!E41</f>
        <v>307.40376733875297</v>
      </c>
      <c r="F40" s="77">
        <f>'Bldg Info, Cost Est'!F41</f>
        <v>111392.14256148321</v>
      </c>
      <c r="G40" s="61">
        <f>'Bldg Info, Cost Est'!G41</f>
        <v>391766.03480005823</v>
      </c>
      <c r="H40" s="49">
        <f>'Bldg Info, Cost Est'!H41</f>
        <v>0</v>
      </c>
      <c r="I40" s="86">
        <f>'Bldg Info, Cost Est'!I41</f>
        <v>0</v>
      </c>
      <c r="J40" s="49"/>
      <c r="K40" s="65">
        <f>'Bldg Info, Cost Est'!K41</f>
        <v>0</v>
      </c>
      <c r="L40" s="45">
        <f>'Bldg Info, Cost Est'!L41</f>
        <v>2.6242338946588406</v>
      </c>
      <c r="M40" s="166">
        <f t="shared" si="1"/>
        <v>2624.2338946588407</v>
      </c>
      <c r="N40" s="61">
        <f>'Bldg Info, Cost Est'!M41</f>
        <v>5051.5212809580171</v>
      </c>
      <c r="O40" s="7">
        <f t="shared" si="24"/>
        <v>3788.6409607185128</v>
      </c>
      <c r="P40" s="10">
        <f t="shared" si="25"/>
        <v>370020.60364474199</v>
      </c>
      <c r="Q40" s="98" t="s">
        <v>168</v>
      </c>
      <c r="R40" s="3" t="str">
        <f t="shared" si="9"/>
        <v/>
      </c>
      <c r="S40" s="161">
        <v>1</v>
      </c>
      <c r="T40" s="263">
        <v>0.35</v>
      </c>
      <c r="U40" s="271">
        <f t="shared" si="6"/>
        <v>276.66339060487769</v>
      </c>
      <c r="V40" s="268">
        <v>3</v>
      </c>
      <c r="W40" s="161" t="s">
        <v>169</v>
      </c>
      <c r="X40" s="162"/>
      <c r="Y40" s="163" t="str">
        <f t="shared" si="12"/>
        <v/>
      </c>
      <c r="Z40" s="164">
        <f t="shared" si="4"/>
        <v>576.81317063074971</v>
      </c>
      <c r="AA40" s="247">
        <f t="shared" si="8"/>
        <v>86521.97559461245</v>
      </c>
      <c r="AB40" s="278">
        <f t="shared" si="5"/>
        <v>21630.493898653112</v>
      </c>
      <c r="AC40" s="282">
        <f t="shared" si="7"/>
        <v>723.96356377344546</v>
      </c>
      <c r="AI40" s="16"/>
    </row>
    <row r="41" spans="1:35" x14ac:dyDescent="0.25">
      <c r="A41" s="1" t="str">
        <f>'Bldg Info, Cost Est'!A42</f>
        <v>MOST</v>
      </c>
      <c r="B41" s="1" t="str">
        <f>'Bldg Info, Cost Est'!B42</f>
        <v>500 S Franklin St</v>
      </c>
      <c r="C41" s="7">
        <f>'Bldg Info, Cost Est'!C42</f>
        <v>40000</v>
      </c>
      <c r="D41" s="3" t="str">
        <f>'Bldg Info, Cost Est'!D42</f>
        <v>Medium Office</v>
      </c>
      <c r="E41" s="7">
        <f>'Bldg Info, Cost Est'!E42</f>
        <v>82.466663522812539</v>
      </c>
      <c r="F41" s="77">
        <f>'Bldg Info, Cost Est'!F42</f>
        <v>74573.893838197197</v>
      </c>
      <c r="G41" s="61">
        <f>'Bldg Info, Cost Est'!G42</f>
        <v>262276.2972035071</v>
      </c>
      <c r="H41" s="49">
        <f>'Bldg Info, Cost Est'!H42</f>
        <v>1</v>
      </c>
      <c r="I41" s="86">
        <f>'Bldg Info, Cost Est'!I42</f>
        <v>82.466663522812539</v>
      </c>
      <c r="J41" s="49"/>
      <c r="K41" s="65">
        <f>'Bldg Info, Cost Est'!K42</f>
        <v>0</v>
      </c>
      <c r="L41" s="45">
        <f>'Bldg Info, Cost Est'!L42</f>
        <v>0.78933800475761307</v>
      </c>
      <c r="M41" s="166">
        <f t="shared" si="1"/>
        <v>789.33800475761302</v>
      </c>
      <c r="N41" s="61">
        <f>'Bldg Info, Cost Est'!M42</f>
        <v>585.66143068700376</v>
      </c>
      <c r="O41" s="7">
        <f t="shared" si="24"/>
        <v>439.24607301525282</v>
      </c>
      <c r="P41" s="10">
        <f t="shared" si="25"/>
        <v>42899.313703999695</v>
      </c>
      <c r="Q41" s="98" t="s">
        <v>202</v>
      </c>
      <c r="R41" s="3" t="str">
        <f t="shared" si="9"/>
        <v>Heat Pump</v>
      </c>
      <c r="S41" s="161">
        <v>1</v>
      </c>
      <c r="T41" s="263">
        <v>0.35</v>
      </c>
      <c r="U41" s="271">
        <f t="shared" si="6"/>
        <v>74.219997170531286</v>
      </c>
      <c r="V41" s="268">
        <v>6</v>
      </c>
      <c r="W41" s="161" t="s">
        <v>169</v>
      </c>
      <c r="X41" s="162"/>
      <c r="Y41" s="163" t="str">
        <f t="shared" si="12"/>
        <v/>
      </c>
      <c r="Z41" s="164">
        <f t="shared" si="4"/>
        <v>173.49846679073525</v>
      </c>
      <c r="AA41" s="247">
        <f t="shared" si="8"/>
        <v>26024.770018610288</v>
      </c>
      <c r="AB41" s="278">
        <f t="shared" si="5"/>
        <v>6506.1925046525721</v>
      </c>
      <c r="AC41" s="282">
        <f t="shared" si="7"/>
        <v>217.75953588177904</v>
      </c>
      <c r="AD41" t="s">
        <v>203</v>
      </c>
      <c r="AI41" s="16"/>
    </row>
    <row r="42" spans="1:35" ht="15.75" thickBot="1" x14ac:dyDescent="0.3">
      <c r="A42" s="2" t="str">
        <f>'Bldg Info, Cost Est'!A43</f>
        <v>600 Montgomery St</v>
      </c>
      <c r="B42" s="2" t="str">
        <f>'Bldg Info, Cost Est'!B43</f>
        <v>600 Montgomery St</v>
      </c>
      <c r="C42" s="104">
        <f>'Bldg Info, Cost Est'!C43</f>
        <v>36684</v>
      </c>
      <c r="D42" s="59" t="str">
        <f>'Bldg Info, Cost Est'!D43</f>
        <v>Medium Office</v>
      </c>
      <c r="E42" s="104">
        <f>'Bldg Info, Cost Est'!E43</f>
        <v>75.630177116771378</v>
      </c>
      <c r="F42" s="105">
        <f>'Bldg Info, Cost Est'!F43</f>
        <v>68391.718039010666</v>
      </c>
      <c r="G42" s="106">
        <f>'Bldg Info, Cost Est'!G43</f>
        <v>240533.59216533648</v>
      </c>
      <c r="H42" s="48">
        <f>'Bldg Info, Cost Est'!H43</f>
        <v>1</v>
      </c>
      <c r="I42" s="107">
        <f>'Bldg Info, Cost Est'!I43</f>
        <v>50</v>
      </c>
      <c r="J42" s="48"/>
      <c r="K42" s="108">
        <f>'Bldg Info, Cost Est'!K43</f>
        <v>0</v>
      </c>
      <c r="L42" s="109">
        <f>'Bldg Info, Cost Est'!L43</f>
        <v>0.72390188416320689</v>
      </c>
      <c r="M42" s="166">
        <f t="shared" si="1"/>
        <v>723.90188416320689</v>
      </c>
      <c r="N42" s="106">
        <f>'Bldg Info, Cost Est'!M43</f>
        <v>537.11009808305255</v>
      </c>
      <c r="O42" s="9">
        <f t="shared" si="24"/>
        <v>402.83257356228944</v>
      </c>
      <c r="P42" s="11">
        <f t="shared" si="25"/>
        <v>39342.960597938218</v>
      </c>
      <c r="Q42" s="111" t="s">
        <v>171</v>
      </c>
      <c r="R42" s="59" t="str">
        <f>IF(J42&gt;0,"Water Cooled Chiller",IF(H42&gt;0,"Heat Pump",""))</f>
        <v>Heat Pump</v>
      </c>
      <c r="S42" s="171">
        <v>2</v>
      </c>
      <c r="T42" s="264">
        <v>0.35</v>
      </c>
      <c r="U42" s="273">
        <f t="shared" si="6"/>
        <v>68.067159405094245</v>
      </c>
      <c r="V42" s="269"/>
      <c r="W42" s="171" t="s">
        <v>169</v>
      </c>
      <c r="X42" s="173"/>
      <c r="Y42" s="174" t="str">
        <f t="shared" si="12"/>
        <v/>
      </c>
      <c r="Z42" s="175">
        <f t="shared" si="4"/>
        <v>159.11544389378327</v>
      </c>
      <c r="AA42" s="248">
        <f t="shared" si="8"/>
        <v>23867.316584067488</v>
      </c>
      <c r="AB42" s="279">
        <f t="shared" si="5"/>
        <v>5966.8291460168721</v>
      </c>
      <c r="AC42" s="283">
        <f t="shared" si="7"/>
        <v>199.70727035717948</v>
      </c>
      <c r="AI42" s="16"/>
    </row>
    <row r="43" spans="1:35" ht="15.75" thickBot="1" x14ac:dyDescent="0.3">
      <c r="A43" s="121" t="s">
        <v>204</v>
      </c>
      <c r="B43" s="121"/>
      <c r="C43" s="123" t="e">
        <f>SUM(C7:C42)</f>
        <v>#REF!</v>
      </c>
      <c r="D43" s="120"/>
      <c r="E43" s="123" t="e">
        <f>SUM(E7:E42)</f>
        <v>#REF!</v>
      </c>
      <c r="F43" s="117" t="e">
        <f t="shared" ref="F43:G43" si="26">SUM(F7:F42)</f>
        <v>#REF!</v>
      </c>
      <c r="G43" s="127" t="e">
        <f t="shared" si="26"/>
        <v>#REF!</v>
      </c>
      <c r="H43" s="139"/>
      <c r="I43" s="140"/>
      <c r="J43" s="123"/>
      <c r="K43" s="141"/>
      <c r="L43" s="142" t="e">
        <f>SUM(L7:L42)</f>
        <v>#REF!</v>
      </c>
      <c r="M43" s="226"/>
      <c r="N43" s="140" t="e">
        <f>SUM(N7:N42)</f>
        <v>#REF!</v>
      </c>
      <c r="O43" s="238"/>
      <c r="P43" s="238"/>
      <c r="Q43" s="126"/>
      <c r="R43" s="125"/>
      <c r="S43" s="146"/>
      <c r="T43" s="146"/>
      <c r="U43" s="275" t="e">
        <f>SUM(U7:U42)</f>
        <v>#REF!</v>
      </c>
      <c r="V43" s="147"/>
      <c r="W43" s="148"/>
      <c r="X43" s="250">
        <f>SUM(X7:X42)</f>
        <v>8117.9755859635807</v>
      </c>
      <c r="Y43" s="251">
        <f>SUM(Y7:Y42)</f>
        <v>960.66083331940536</v>
      </c>
      <c r="Z43" s="252" t="e">
        <f>SUM(Z7:Z42)</f>
        <v>#REF!</v>
      </c>
      <c r="AA43" s="240" t="e">
        <f>SUM(AA7:AA42)</f>
        <v>#REF!</v>
      </c>
      <c r="AB43" s="245" t="e">
        <f>SUM(AB7:AB42)</f>
        <v>#REF!</v>
      </c>
      <c r="AC43" s="280"/>
      <c r="AD43" s="353" t="e">
        <f>SUM(X43:Z43)-U43</f>
        <v>#REF!</v>
      </c>
      <c r="AI43" s="16"/>
    </row>
    <row r="44" spans="1:35" ht="15.75" thickBot="1" x14ac:dyDescent="0.3">
      <c r="A44" s="39" t="str">
        <f>'Bldg Info, Cost Est'!A44</f>
        <v>Medical Office Bldg</v>
      </c>
      <c r="B44" s="177"/>
      <c r="C44" s="40">
        <f>'Bldg Info, Cost Est'!C44</f>
        <v>25056</v>
      </c>
      <c r="D44" s="41" t="str">
        <f>'Bldg Info, Cost Est'!D44</f>
        <v>Retail</v>
      </c>
      <c r="E44" s="40">
        <f>'Bldg Info, Cost Est'!E44</f>
        <v>0</v>
      </c>
      <c r="F44" s="112">
        <f>'Bldg Info, Cost Est'!F44</f>
        <v>0</v>
      </c>
      <c r="G44" s="113">
        <f>'Bldg Info, Cost Est'!G44</f>
        <v>0</v>
      </c>
      <c r="H44" s="114"/>
      <c r="I44" s="115"/>
      <c r="J44" s="114"/>
      <c r="K44" s="116"/>
      <c r="L44" s="44">
        <f>'Bldg Info, Cost Est'!L44</f>
        <v>1.3412084413584906</v>
      </c>
      <c r="M44" s="224"/>
      <c r="N44" s="113">
        <f>'Bldg Info, Cost Est'!M44</f>
        <v>991.8470335985777</v>
      </c>
      <c r="O44" s="6"/>
      <c r="P44" s="93"/>
      <c r="Q44" s="99"/>
      <c r="R44" s="100" t="str">
        <f t="shared" ref="R44:R55" si="27">IF(J44&gt;0,"Water Cooled Chiller",IF(H44&gt;0,"Heat Pump",""))</f>
        <v/>
      </c>
      <c r="S44" s="186"/>
      <c r="T44" s="265"/>
      <c r="U44" s="274">
        <f t="shared" si="6"/>
        <v>0</v>
      </c>
      <c r="V44" s="222"/>
      <c r="W44" s="186" t="s">
        <v>181</v>
      </c>
      <c r="X44" s="156" t="str">
        <f t="shared" ref="X44:X56" si="28">IF(W44="Electric boiler",L44*293.07,"")</f>
        <v/>
      </c>
      <c r="Y44" s="157">
        <f>IF(W44="Heat pump",L44*$AG$8/$AG$6,"")</f>
        <v>157.22718316357313</v>
      </c>
      <c r="Z44" s="253"/>
      <c r="AA44" s="249">
        <f t="shared" ref="AA44:AA56" si="29">IF(W44="Electric Boiler",SUM(X44:Z44)*150,SUM(X44:Z44)*342)</f>
        <v>53771.696641942013</v>
      </c>
      <c r="AB44" s="244">
        <f t="shared" ref="AB44:AB56" si="30">AA44*0.5</f>
        <v>26885.848320971007</v>
      </c>
      <c r="AD44" s="172" t="s">
        <v>32</v>
      </c>
      <c r="AI44" s="16"/>
    </row>
    <row r="45" spans="1:35" x14ac:dyDescent="0.25">
      <c r="A45" s="2" t="str">
        <f>'Bldg Info, Cost Est'!A46</f>
        <v>Parcel 1</v>
      </c>
      <c r="B45" s="179"/>
      <c r="C45" s="8">
        <f>'Bldg Info, Cost Est'!C46</f>
        <v>180000</v>
      </c>
      <c r="D45" s="4" t="str">
        <f>'Bldg Info, Cost Est'!D46</f>
        <v>Medium Office</v>
      </c>
      <c r="E45" s="7">
        <f>'Bldg Info, Cost Est'!E46</f>
        <v>453.67849427214128</v>
      </c>
      <c r="F45" s="77">
        <f>'Bldg Info, Cost Est'!F46</f>
        <v>305260.34559149685</v>
      </c>
      <c r="G45" s="61">
        <f>'Bldg Info, Cost Est'!G46</f>
        <v>1073600.2775785353</v>
      </c>
      <c r="H45" s="49"/>
      <c r="I45" s="86"/>
      <c r="J45" s="49"/>
      <c r="K45" s="65"/>
      <c r="L45" s="45">
        <f>'Bldg Info, Cost Est'!L46</f>
        <v>5.1498605999404772</v>
      </c>
      <c r="M45" s="225"/>
      <c r="N45" s="61">
        <f>'Bldg Info, Cost Est'!M46</f>
        <v>4132.0969204101166</v>
      </c>
      <c r="O45" s="7"/>
      <c r="P45" s="10"/>
      <c r="Q45" s="101"/>
      <c r="R45" s="102" t="str">
        <f t="shared" si="27"/>
        <v/>
      </c>
      <c r="S45" s="187"/>
      <c r="T45" s="161"/>
      <c r="U45" s="271">
        <f t="shared" si="6"/>
        <v>408.31064484492714</v>
      </c>
      <c r="V45" s="268"/>
      <c r="W45" s="187" t="s">
        <v>181</v>
      </c>
      <c r="X45" s="162" t="str">
        <f t="shared" si="28"/>
        <v/>
      </c>
      <c r="Y45" s="163">
        <f t="shared" ref="Y45:Y56" si="31">IF(W45="Heat pump",L45*$AG$8/$AG$6,"")</f>
        <v>603.70785840982228</v>
      </c>
      <c r="Z45" s="254"/>
      <c r="AA45" s="247">
        <f t="shared" si="29"/>
        <v>206468.08757615922</v>
      </c>
      <c r="AB45" s="242">
        <f t="shared" si="30"/>
        <v>103234.04378807961</v>
      </c>
      <c r="AI45" s="16"/>
    </row>
    <row r="46" spans="1:35" x14ac:dyDescent="0.25">
      <c r="A46" s="1" t="str">
        <f>'Bldg Info, Cost Est'!A47</f>
        <v>Parcel 2</v>
      </c>
      <c r="B46" s="178"/>
      <c r="C46" s="7">
        <f>'Bldg Info, Cost Est'!C47</f>
        <v>120000</v>
      </c>
      <c r="D46" s="3" t="str">
        <f>'Bldg Info, Cost Est'!D47</f>
        <v>Retail</v>
      </c>
      <c r="E46" s="7">
        <f>'Bldg Info, Cost Est'!E47</f>
        <v>268.2645567750576</v>
      </c>
      <c r="F46" s="77">
        <f>'Bldg Info, Cost Est'!F47</f>
        <v>146427.54836575568</v>
      </c>
      <c r="G46" s="61">
        <f>'Bldg Info, Cost Est'!G47</f>
        <v>514985.51594052406</v>
      </c>
      <c r="H46" s="49"/>
      <c r="I46" s="86"/>
      <c r="J46" s="49"/>
      <c r="K46" s="65"/>
      <c r="L46" s="45">
        <f>'Bldg Info, Cost Est'!L47</f>
        <v>3.1436724095077451</v>
      </c>
      <c r="M46" s="225"/>
      <c r="N46" s="61">
        <f>'Bldg Info, Cost Est'!M47</f>
        <v>2962.4298214671994</v>
      </c>
      <c r="O46" s="7"/>
      <c r="P46" s="10"/>
      <c r="Q46" s="101"/>
      <c r="R46" s="102" t="str">
        <f t="shared" si="27"/>
        <v/>
      </c>
      <c r="S46" s="187"/>
      <c r="T46" s="161"/>
      <c r="U46" s="271">
        <f t="shared" si="6"/>
        <v>241.43810109755185</v>
      </c>
      <c r="V46" s="268"/>
      <c r="W46" s="187" t="s">
        <v>181</v>
      </c>
      <c r="X46" s="162" t="str">
        <f t="shared" si="28"/>
        <v/>
      </c>
      <c r="Y46" s="163">
        <f t="shared" si="31"/>
        <v>368.52642922177392</v>
      </c>
      <c r="Z46" s="254"/>
      <c r="AA46" s="247">
        <f t="shared" si="29"/>
        <v>126036.03879384669</v>
      </c>
      <c r="AB46" s="242">
        <f t="shared" si="30"/>
        <v>63018.019396923344</v>
      </c>
      <c r="AI46" s="16"/>
    </row>
    <row r="47" spans="1:35" x14ac:dyDescent="0.25">
      <c r="A47" s="1" t="str">
        <f>'Bldg Info, Cost Est'!A48</f>
        <v>Parcel 3</v>
      </c>
      <c r="B47" s="178"/>
      <c r="C47" s="7">
        <f>'Bldg Info, Cost Est'!C48</f>
        <v>45000</v>
      </c>
      <c r="D47" s="3" t="str">
        <f>'Bldg Info, Cost Est'!D48</f>
        <v>Midrise Apartment</v>
      </c>
      <c r="E47" s="7">
        <f>'Bldg Info, Cost Est'!E48</f>
        <v>89.047114815448239</v>
      </c>
      <c r="F47" s="77">
        <f>'Bldg Info, Cost Est'!F48</f>
        <v>33505.574876442748</v>
      </c>
      <c r="G47" s="61">
        <f>'Bldg Info, Cost Est'!G48</f>
        <v>117839.06756075997</v>
      </c>
      <c r="H47" s="49"/>
      <c r="I47" s="86"/>
      <c r="J47" s="49"/>
      <c r="K47" s="65"/>
      <c r="L47" s="45">
        <f>'Bldg Info, Cost Est'!L48</f>
        <v>1.0988199806422609</v>
      </c>
      <c r="M47" s="225"/>
      <c r="N47" s="61">
        <f>'Bldg Info, Cost Est'!M48</f>
        <v>1188.7981359978742</v>
      </c>
      <c r="O47" s="7"/>
      <c r="P47" s="10"/>
      <c r="Q47" s="101"/>
      <c r="R47" s="102" t="str">
        <f t="shared" si="27"/>
        <v/>
      </c>
      <c r="S47" s="187"/>
      <c r="T47" s="161"/>
      <c r="U47" s="271">
        <f t="shared" si="6"/>
        <v>80.142403333903417</v>
      </c>
      <c r="V47" s="268"/>
      <c r="W47" s="187" t="s">
        <v>181</v>
      </c>
      <c r="X47" s="162" t="str">
        <f t="shared" si="28"/>
        <v/>
      </c>
      <c r="Y47" s="163">
        <f t="shared" si="31"/>
        <v>128.81246869073095</v>
      </c>
      <c r="Z47" s="254"/>
      <c r="AA47" s="247">
        <f t="shared" si="29"/>
        <v>44053.864292229984</v>
      </c>
      <c r="AB47" s="242">
        <f t="shared" si="30"/>
        <v>22026.932146114992</v>
      </c>
      <c r="AI47" s="16"/>
    </row>
    <row r="48" spans="1:35" x14ac:dyDescent="0.25">
      <c r="A48" s="1" t="str">
        <f>'Bldg Info, Cost Est'!A49</f>
        <v>Parcel 4</v>
      </c>
      <c r="B48" s="178"/>
      <c r="C48" s="7">
        <f>'Bldg Info, Cost Est'!C49</f>
        <v>110000</v>
      </c>
      <c r="D48" s="3" t="str">
        <f>'Bldg Info, Cost Est'!D49</f>
        <v>Retail</v>
      </c>
      <c r="E48" s="7">
        <f>'Bldg Info, Cost Est'!E49</f>
        <v>245.90917704380286</v>
      </c>
      <c r="F48" s="77">
        <f>'Bldg Info, Cost Est'!F49</f>
        <v>134225.25266860958</v>
      </c>
      <c r="G48" s="61">
        <f>'Bldg Info, Cost Est'!G49</f>
        <v>472070.05627881445</v>
      </c>
      <c r="H48" s="49"/>
      <c r="I48" s="86"/>
      <c r="J48" s="49"/>
      <c r="K48" s="65"/>
      <c r="L48" s="45">
        <f>'Bldg Info, Cost Est'!L49</f>
        <v>2.8816997087154337</v>
      </c>
      <c r="M48" s="225"/>
      <c r="N48" s="61">
        <f>'Bldg Info, Cost Est'!M49</f>
        <v>2715.5606696782647</v>
      </c>
      <c r="O48" s="7"/>
      <c r="P48" s="10"/>
      <c r="Q48" s="101"/>
      <c r="R48" s="102" t="str">
        <f t="shared" si="27"/>
        <v/>
      </c>
      <c r="S48" s="187"/>
      <c r="T48" s="161"/>
      <c r="U48" s="271">
        <f t="shared" si="6"/>
        <v>221.31825933942258</v>
      </c>
      <c r="V48" s="268"/>
      <c r="W48" s="187" t="s">
        <v>181</v>
      </c>
      <c r="X48" s="162" t="str">
        <f t="shared" si="28"/>
        <v/>
      </c>
      <c r="Y48" s="163">
        <f t="shared" si="31"/>
        <v>337.81589345329286</v>
      </c>
      <c r="Z48" s="254"/>
      <c r="AA48" s="247">
        <f t="shared" si="29"/>
        <v>115533.03556102616</v>
      </c>
      <c r="AB48" s="242">
        <f t="shared" si="30"/>
        <v>57766.517780513081</v>
      </c>
      <c r="AI48" s="16"/>
    </row>
    <row r="49" spans="1:35" x14ac:dyDescent="0.25">
      <c r="A49" s="1" t="str">
        <f>'Bldg Info, Cost Est'!A50</f>
        <v>Parcel 5</v>
      </c>
      <c r="B49" s="178"/>
      <c r="C49" s="7">
        <f>'Bldg Info, Cost Est'!C50</f>
        <v>30000</v>
      </c>
      <c r="D49" s="3" t="str">
        <f>'Bldg Info, Cost Est'!D50</f>
        <v>Midrise Apartment</v>
      </c>
      <c r="E49" s="7">
        <f>'Bldg Info, Cost Est'!E50</f>
        <v>59.364743210298819</v>
      </c>
      <c r="F49" s="77">
        <f>'Bldg Info, Cost Est'!F50</f>
        <v>22337.049917628527</v>
      </c>
      <c r="G49" s="61">
        <f>'Bldg Info, Cost Est'!G50</f>
        <v>78559.378373840082</v>
      </c>
      <c r="H49" s="49"/>
      <c r="I49" s="86"/>
      <c r="J49" s="49"/>
      <c r="K49" s="65"/>
      <c r="L49" s="45">
        <f>'Bldg Info, Cost Est'!L50</f>
        <v>0.7325466537615074</v>
      </c>
      <c r="M49" s="225"/>
      <c r="N49" s="61">
        <f>'Bldg Info, Cost Est'!M50</f>
        <v>792.53209066524823</v>
      </c>
      <c r="O49" s="7"/>
      <c r="P49" s="10"/>
      <c r="Q49" s="101"/>
      <c r="R49" s="103" t="str">
        <f t="shared" si="27"/>
        <v/>
      </c>
      <c r="S49" s="188"/>
      <c r="T49" s="266"/>
      <c r="U49" s="271">
        <f t="shared" si="6"/>
        <v>53.428268889268935</v>
      </c>
      <c r="V49" s="268"/>
      <c r="W49" s="187" t="s">
        <v>181</v>
      </c>
      <c r="X49" s="162" t="str">
        <f t="shared" si="28"/>
        <v/>
      </c>
      <c r="Y49" s="163">
        <f t="shared" si="31"/>
        <v>85.874979127153978</v>
      </c>
      <c r="Z49" s="254"/>
      <c r="AA49" s="247">
        <f t="shared" si="29"/>
        <v>29369.242861486662</v>
      </c>
      <c r="AB49" s="242">
        <f t="shared" si="30"/>
        <v>14684.621430743331</v>
      </c>
      <c r="AI49" s="16"/>
    </row>
    <row r="50" spans="1:35" x14ac:dyDescent="0.25">
      <c r="A50" s="1" t="str">
        <f>'Bldg Info, Cost Est'!A51</f>
        <v>Parcel 6</v>
      </c>
      <c r="B50" s="178"/>
      <c r="C50" s="7">
        <f>'Bldg Info, Cost Est'!C51</f>
        <v>225000</v>
      </c>
      <c r="D50" s="3" t="str">
        <f>'Bldg Info, Cost Est'!D51</f>
        <v>Midrise Apartment</v>
      </c>
      <c r="E50" s="7">
        <f>'Bldg Info, Cost Est'!E51</f>
        <v>271.56876065499006</v>
      </c>
      <c r="F50" s="77">
        <f>'Bldg Info, Cost Est'!F51</f>
        <v>98406.816429124097</v>
      </c>
      <c r="G50" s="61">
        <f>'Bldg Info, Cost Est'!G51</f>
        <v>346096.65801567677</v>
      </c>
      <c r="H50" s="49"/>
      <c r="I50" s="86"/>
      <c r="J50" s="49"/>
      <c r="K50" s="65"/>
      <c r="L50" s="45">
        <f>'Bldg Info, Cost Est'!L51</f>
        <v>2.3183188436854185</v>
      </c>
      <c r="M50" s="225"/>
      <c r="N50" s="61">
        <f>'Bldg Info, Cost Est'!M51</f>
        <v>4462.6498418295059</v>
      </c>
      <c r="O50" s="7"/>
      <c r="P50" s="10"/>
      <c r="Q50" s="101"/>
      <c r="R50" s="103" t="str">
        <f t="shared" si="27"/>
        <v/>
      </c>
      <c r="S50" s="188"/>
      <c r="T50" s="266"/>
      <c r="U50" s="271">
        <f t="shared" si="6"/>
        <v>244.41188458949105</v>
      </c>
      <c r="V50" s="268"/>
      <c r="W50" s="187" t="s">
        <v>181</v>
      </c>
      <c r="X50" s="162" t="str">
        <f t="shared" si="28"/>
        <v/>
      </c>
      <c r="Y50" s="163">
        <f t="shared" si="31"/>
        <v>271.77188140755425</v>
      </c>
      <c r="Z50" s="254"/>
      <c r="AA50" s="247">
        <f t="shared" si="29"/>
        <v>92945.983441383549</v>
      </c>
      <c r="AB50" s="242">
        <f t="shared" si="30"/>
        <v>46472.991720691774</v>
      </c>
      <c r="AI50" s="16"/>
    </row>
    <row r="51" spans="1:35" x14ac:dyDescent="0.25">
      <c r="A51" s="1" t="str">
        <f>'Bldg Info, Cost Est'!A52</f>
        <v>Parcel 7</v>
      </c>
      <c r="B51" s="178"/>
      <c r="C51" s="7">
        <f>'Bldg Info, Cost Est'!C52</f>
        <v>320000</v>
      </c>
      <c r="D51" s="3" t="str">
        <f>'Bldg Info, Cost Est'!D52</f>
        <v>Retail</v>
      </c>
      <c r="E51" s="7">
        <f>'Bldg Info, Cost Est'!E52</f>
        <v>715.3721514001536</v>
      </c>
      <c r="F51" s="77">
        <f>'Bldg Info, Cost Est'!F52</f>
        <v>390473.46230868372</v>
      </c>
      <c r="G51" s="61">
        <f>'Bldg Info, Cost Est'!G52</f>
        <v>1373294.7091747376</v>
      </c>
      <c r="H51" s="49"/>
      <c r="I51" s="86"/>
      <c r="J51" s="49"/>
      <c r="K51" s="65"/>
      <c r="L51" s="45">
        <f>'Bldg Info, Cost Est'!L52</f>
        <v>8.3831264253539892</v>
      </c>
      <c r="M51" s="225"/>
      <c r="N51" s="61">
        <f>'Bldg Info, Cost Est'!M52</f>
        <v>7899.8128572458645</v>
      </c>
      <c r="O51" s="7"/>
      <c r="P51" s="10"/>
      <c r="Q51" s="101"/>
      <c r="R51" s="103" t="str">
        <f t="shared" si="27"/>
        <v/>
      </c>
      <c r="S51" s="188"/>
      <c r="T51" s="266"/>
      <c r="U51" s="271">
        <f t="shared" si="6"/>
        <v>643.83493626013831</v>
      </c>
      <c r="V51" s="268"/>
      <c r="W51" s="187" t="s">
        <v>181</v>
      </c>
      <c r="X51" s="162" t="str">
        <f t="shared" si="28"/>
        <v/>
      </c>
      <c r="Y51" s="163">
        <f t="shared" si="31"/>
        <v>982.7371445913974</v>
      </c>
      <c r="Z51" s="254"/>
      <c r="AA51" s="247">
        <f t="shared" si="29"/>
        <v>336096.10345025791</v>
      </c>
      <c r="AB51" s="242">
        <f t="shared" si="30"/>
        <v>168048.05172512896</v>
      </c>
      <c r="AI51" s="16"/>
    </row>
    <row r="52" spans="1:35" x14ac:dyDescent="0.25">
      <c r="A52" s="1" t="str">
        <f>'Bldg Info, Cost Est'!A53</f>
        <v>Parcel 8</v>
      </c>
      <c r="B52" s="178"/>
      <c r="C52" s="7">
        <f>'Bldg Info, Cost Est'!C53</f>
        <v>120000</v>
      </c>
      <c r="D52" s="3" t="str">
        <f>'Bldg Info, Cost Est'!D53</f>
        <v>Midrise Apartment</v>
      </c>
      <c r="E52" s="7">
        <f>'Bldg Info, Cost Est'!E53</f>
        <v>144.83667234932801</v>
      </c>
      <c r="F52" s="77">
        <f>'Bldg Info, Cost Est'!F53</f>
        <v>52483.635428866408</v>
      </c>
      <c r="G52" s="61">
        <f>'Bldg Info, Cost Est'!G53</f>
        <v>184584.88427502842</v>
      </c>
      <c r="H52" s="49"/>
      <c r="I52" s="86"/>
      <c r="J52" s="49"/>
      <c r="K52" s="65"/>
      <c r="L52" s="45">
        <f>'Bldg Info, Cost Est'!L53</f>
        <v>1.2364367166322232</v>
      </c>
      <c r="M52" s="225"/>
      <c r="N52" s="61">
        <f>'Bldg Info, Cost Est'!M53</f>
        <v>2380.07991564241</v>
      </c>
      <c r="O52" s="7"/>
      <c r="P52" s="10"/>
      <c r="Q52" s="101"/>
      <c r="R52" s="103" t="str">
        <f t="shared" si="27"/>
        <v/>
      </c>
      <c r="S52" s="188"/>
      <c r="T52" s="266"/>
      <c r="U52" s="271">
        <f t="shared" si="6"/>
        <v>130.35300511439522</v>
      </c>
      <c r="V52" s="268"/>
      <c r="W52" s="187" t="s">
        <v>181</v>
      </c>
      <c r="X52" s="162" t="str">
        <f t="shared" si="28"/>
        <v/>
      </c>
      <c r="Y52" s="163">
        <f t="shared" si="31"/>
        <v>144.94500341736224</v>
      </c>
      <c r="Z52" s="254"/>
      <c r="AA52" s="247">
        <f t="shared" si="29"/>
        <v>49571.191168737889</v>
      </c>
      <c r="AB52" s="242">
        <f t="shared" si="30"/>
        <v>24785.595584368944</v>
      </c>
      <c r="AI52" s="16"/>
    </row>
    <row r="53" spans="1:35" x14ac:dyDescent="0.25">
      <c r="A53" s="1" t="str">
        <f>'Bldg Info, Cost Est'!A54</f>
        <v>Parcel 9</v>
      </c>
      <c r="B53" s="178"/>
      <c r="C53" s="7">
        <f>'Bldg Info, Cost Est'!C54</f>
        <v>60000</v>
      </c>
      <c r="D53" s="3" t="str">
        <f>'Bldg Info, Cost Est'!D54</f>
        <v>Midrise Apartment</v>
      </c>
      <c r="E53" s="7">
        <f>'Bldg Info, Cost Est'!E54</f>
        <v>118.72948642059764</v>
      </c>
      <c r="F53" s="77">
        <f>'Bldg Info, Cost Est'!F54</f>
        <v>44674.099835257053</v>
      </c>
      <c r="G53" s="61">
        <f>'Bldg Info, Cost Est'!G54</f>
        <v>157118.75674768016</v>
      </c>
      <c r="H53" s="49"/>
      <c r="I53" s="86"/>
      <c r="J53" s="49"/>
      <c r="K53" s="65"/>
      <c r="L53" s="45">
        <f>'Bldg Info, Cost Est'!L54</f>
        <v>1.4650933075230148</v>
      </c>
      <c r="M53" s="225"/>
      <c r="N53" s="61">
        <f>'Bldg Info, Cost Est'!M54</f>
        <v>1585.0641813304965</v>
      </c>
      <c r="O53" s="7"/>
      <c r="P53" s="10"/>
      <c r="Q53" s="101"/>
      <c r="R53" s="103" t="str">
        <f t="shared" si="27"/>
        <v/>
      </c>
      <c r="S53" s="188"/>
      <c r="T53" s="266"/>
      <c r="U53" s="271">
        <f t="shared" si="6"/>
        <v>106.85653777853787</v>
      </c>
      <c r="V53" s="268"/>
      <c r="W53" s="187" t="s">
        <v>181</v>
      </c>
      <c r="X53" s="162" t="str">
        <f t="shared" si="28"/>
        <v/>
      </c>
      <c r="Y53" s="163">
        <f t="shared" si="31"/>
        <v>171.74995825430796</v>
      </c>
      <c r="Z53" s="254"/>
      <c r="AA53" s="247">
        <f t="shared" si="29"/>
        <v>58738.485722973324</v>
      </c>
      <c r="AB53" s="242">
        <f t="shared" si="30"/>
        <v>29369.242861486662</v>
      </c>
      <c r="AI53" s="16"/>
    </row>
    <row r="54" spans="1:35" x14ac:dyDescent="0.25">
      <c r="A54" s="1" t="str">
        <f>'Bldg Info, Cost Est'!A55</f>
        <v>Parcel 10</v>
      </c>
      <c r="B54" s="178"/>
      <c r="C54" s="7">
        <f>'Bldg Info, Cost Est'!C55</f>
        <v>160000</v>
      </c>
      <c r="D54" s="3" t="str">
        <f>'Bldg Info, Cost Est'!D55</f>
        <v>Midrise Apartment</v>
      </c>
      <c r="E54" s="7">
        <f>'Bldg Info, Cost Est'!E55</f>
        <v>193.11556313243736</v>
      </c>
      <c r="F54" s="77">
        <f>'Bldg Info, Cost Est'!F55</f>
        <v>69978.180571821722</v>
      </c>
      <c r="G54" s="61">
        <f>'Bldg Info, Cost Est'!G55</f>
        <v>246113.17903337063</v>
      </c>
      <c r="H54" s="49"/>
      <c r="I54" s="86"/>
      <c r="J54" s="49"/>
      <c r="K54" s="65"/>
      <c r="L54" s="45">
        <f>'Bldg Info, Cost Est'!L55</f>
        <v>1.648582288842964</v>
      </c>
      <c r="M54" s="225"/>
      <c r="N54" s="61">
        <f>'Bldg Info, Cost Est'!M55</f>
        <v>3173.4398875232018</v>
      </c>
      <c r="O54" s="7"/>
      <c r="P54" s="10"/>
      <c r="Q54" s="101"/>
      <c r="R54" s="103" t="str">
        <f t="shared" si="27"/>
        <v/>
      </c>
      <c r="S54" s="188"/>
      <c r="T54" s="266"/>
      <c r="U54" s="271">
        <f t="shared" si="6"/>
        <v>173.80400681919363</v>
      </c>
      <c r="V54" s="268"/>
      <c r="W54" s="187" t="s">
        <v>181</v>
      </c>
      <c r="X54" s="162" t="str">
        <f t="shared" si="28"/>
        <v/>
      </c>
      <c r="Y54" s="163">
        <f t="shared" si="31"/>
        <v>193.26000455648298</v>
      </c>
      <c r="Z54" s="254"/>
      <c r="AA54" s="247">
        <f t="shared" si="29"/>
        <v>66094.921558317175</v>
      </c>
      <c r="AB54" s="242">
        <f t="shared" si="30"/>
        <v>33047.460779158588</v>
      </c>
      <c r="AI54" s="16"/>
    </row>
    <row r="55" spans="1:35" x14ac:dyDescent="0.25">
      <c r="A55" s="1" t="str">
        <f>'Bldg Info, Cost Est'!A56</f>
        <v>Parcel 11</v>
      </c>
      <c r="B55" s="178"/>
      <c r="C55" s="7">
        <f>'Bldg Info, Cost Est'!C56</f>
        <v>270000</v>
      </c>
      <c r="D55" s="82" t="str">
        <f>'Bldg Info, Cost Est'!D56</f>
        <v>Retail</v>
      </c>
      <c r="E55" s="7">
        <f>'Bldg Info, Cost Est'!E56</f>
        <v>603.59525274387977</v>
      </c>
      <c r="F55" s="77">
        <f>'Bldg Info, Cost Est'!F56</f>
        <v>329461.98382295022</v>
      </c>
      <c r="G55" s="61">
        <f>'Bldg Info, Cost Est'!G56</f>
        <v>1158717.4108661788</v>
      </c>
      <c r="H55" s="62"/>
      <c r="I55" s="86"/>
      <c r="J55" s="62"/>
      <c r="K55" s="65"/>
      <c r="L55" s="45">
        <f>'Bldg Info, Cost Est'!L56</f>
        <v>7.0732629213924261</v>
      </c>
      <c r="M55" s="225"/>
      <c r="N55" s="61">
        <f>'Bldg Info, Cost Est'!M56</f>
        <v>6665.467098301212</v>
      </c>
      <c r="O55" s="7"/>
      <c r="P55" s="10"/>
      <c r="Q55" s="101"/>
      <c r="R55" s="103" t="str">
        <f t="shared" si="27"/>
        <v/>
      </c>
      <c r="S55" s="188"/>
      <c r="T55" s="266"/>
      <c r="U55" s="271">
        <f t="shared" si="6"/>
        <v>543.23572746949185</v>
      </c>
      <c r="V55" s="268"/>
      <c r="W55" s="187" t="s">
        <v>181</v>
      </c>
      <c r="X55" s="162" t="str">
        <f t="shared" si="28"/>
        <v/>
      </c>
      <c r="Y55" s="163">
        <f t="shared" si="31"/>
        <v>829.18446574899133</v>
      </c>
      <c r="Z55" s="254"/>
      <c r="AA55" s="247">
        <f t="shared" si="29"/>
        <v>283581.08728615503</v>
      </c>
      <c r="AB55" s="242">
        <f t="shared" si="30"/>
        <v>141790.54364307752</v>
      </c>
      <c r="AI55" s="16"/>
    </row>
    <row r="56" spans="1:35" ht="15.75" thickBot="1" x14ac:dyDescent="0.3">
      <c r="A56" s="94" t="str">
        <f>'Bldg Info, Cost Est'!A57</f>
        <v>Parcel 12</v>
      </c>
      <c r="B56" s="94" t="str">
        <f>'Bldg Info, Cost Est'!B57</f>
        <v>Inner Harbor</v>
      </c>
      <c r="C56" s="9">
        <f>'Bldg Info, Cost Est'!C57</f>
        <v>85000</v>
      </c>
      <c r="D56" s="350" t="str">
        <f>'Bldg Info, Cost Est'!D57</f>
        <v>Classroom</v>
      </c>
      <c r="E56" s="104">
        <f>'Bldg Info, Cost Est'!E57</f>
        <v>211.49456757662264</v>
      </c>
      <c r="F56" s="105">
        <f>'Bldg Info, Cost Est'!F57</f>
        <v>94491.567352557366</v>
      </c>
      <c r="G56" s="106">
        <f>'Bldg Info, Cost Est'!G57</f>
        <v>332326.73160336702</v>
      </c>
      <c r="H56" s="84"/>
      <c r="I56" s="87"/>
      <c r="J56" s="84"/>
      <c r="K56" s="67"/>
      <c r="L56" s="46">
        <f>'Bldg Info, Cost Est'!L57</f>
        <v>2.6417507941667533</v>
      </c>
      <c r="M56" s="227"/>
      <c r="N56" s="63">
        <f>'Bldg Info, Cost Est'!M57</f>
        <v>1613.4141832960281</v>
      </c>
      <c r="O56" s="104"/>
      <c r="P56" s="110"/>
      <c r="Q56" s="111" t="s">
        <v>194</v>
      </c>
      <c r="R56" s="59" t="s">
        <v>201</v>
      </c>
      <c r="S56" s="171">
        <v>2</v>
      </c>
      <c r="T56" s="263">
        <v>0.28000000000000003</v>
      </c>
      <c r="U56" s="272">
        <f t="shared" si="6"/>
        <v>190.34511081896039</v>
      </c>
      <c r="V56" s="223">
        <v>5</v>
      </c>
      <c r="W56" s="169" t="s">
        <v>181</v>
      </c>
      <c r="X56" s="256" t="str">
        <f t="shared" si="28"/>
        <v/>
      </c>
      <c r="Y56" s="257">
        <f t="shared" si="31"/>
        <v>309.68716209858019</v>
      </c>
      <c r="Z56" s="258"/>
      <c r="AA56" s="248">
        <f t="shared" si="29"/>
        <v>105913.00943771443</v>
      </c>
      <c r="AB56" s="243">
        <f t="shared" si="30"/>
        <v>52956.504718857213</v>
      </c>
      <c r="AI56" s="16"/>
    </row>
    <row r="57" spans="1:35" ht="15.75" thickBot="1" x14ac:dyDescent="0.3">
      <c r="A57" s="128" t="s">
        <v>122</v>
      </c>
      <c r="B57" s="128"/>
      <c r="C57" s="129">
        <f>SUM(C44:C56)</f>
        <v>1750056</v>
      </c>
      <c r="D57" s="130"/>
      <c r="E57" s="129">
        <f>SUM(E44:E56)</f>
        <v>3374.9765403947581</v>
      </c>
      <c r="F57" s="131">
        <f t="shared" ref="F57:G57" si="32">SUM(F44:F56)</f>
        <v>1721725.5171691938</v>
      </c>
      <c r="G57" s="132">
        <f t="shared" si="32"/>
        <v>6055306.6254485128</v>
      </c>
      <c r="H57" s="139"/>
      <c r="I57" s="140"/>
      <c r="J57" s="123"/>
      <c r="K57" s="141"/>
      <c r="L57" s="143">
        <f>SUM(L44:L56)</f>
        <v>39.114379091522707</v>
      </c>
      <c r="M57" s="226"/>
      <c r="N57" s="140">
        <f>SUM(N44:N56)</f>
        <v>40563.192636986001</v>
      </c>
      <c r="O57" s="123"/>
      <c r="P57" s="127"/>
      <c r="Q57" s="239"/>
      <c r="R57" s="118"/>
      <c r="S57" s="125"/>
      <c r="T57" s="148"/>
      <c r="U57" s="276"/>
      <c r="V57" s="148"/>
      <c r="W57" s="147"/>
      <c r="X57" s="170"/>
      <c r="Y57" s="261">
        <f>SUM(Y44:Y56)</f>
        <v>4585.3004321410235</v>
      </c>
      <c r="Z57" s="194"/>
      <c r="AA57" s="255" t="e">
        <f>SUM(AA21:AA56)</f>
        <v>#REF!</v>
      </c>
      <c r="AB57" s="245" t="e">
        <f>SUM(AB21:AB56)</f>
        <v>#REF!</v>
      </c>
      <c r="AC57" s="167"/>
      <c r="AI57" s="16"/>
    </row>
    <row r="58" spans="1:35" ht="15.75" thickBot="1" x14ac:dyDescent="0.3">
      <c r="A58" s="133"/>
      <c r="B58" s="181"/>
      <c r="C58" s="122" t="e">
        <f>C43+C57</f>
        <v>#REF!</v>
      </c>
      <c r="D58" s="134"/>
      <c r="E58" s="124" t="e">
        <f>E43+E57</f>
        <v>#REF!</v>
      </c>
      <c r="F58" s="119"/>
      <c r="G58" s="135" t="e">
        <f>G43+G57</f>
        <v>#REF!</v>
      </c>
      <c r="H58" s="136"/>
      <c r="I58" s="137"/>
      <c r="J58" s="145"/>
      <c r="K58" s="137"/>
      <c r="L58" s="144" t="e">
        <f>(L43+L57)</f>
        <v>#REF!</v>
      </c>
      <c r="M58" s="228"/>
      <c r="N58" s="135" t="e">
        <f>N43+N57</f>
        <v>#REF!</v>
      </c>
      <c r="O58" s="15"/>
      <c r="P58" s="15"/>
      <c r="Q58" s="5"/>
      <c r="R58" s="5"/>
      <c r="S58" s="5"/>
      <c r="T58" s="5"/>
      <c r="U58" s="13"/>
      <c r="V58" s="5"/>
      <c r="X58" s="259" t="s">
        <v>205</v>
      </c>
      <c r="Y58" s="260" t="e">
        <f>SUM(AD43,Y57)</f>
        <v>#REF!</v>
      </c>
      <c r="AI58" s="16"/>
    </row>
    <row r="59" spans="1:35" ht="15.75" thickBot="1" x14ac:dyDescent="0.3">
      <c r="E59" t="e">
        <f>E58*12</f>
        <v>#REF!</v>
      </c>
      <c r="J59" s="422" t="s">
        <v>140</v>
      </c>
      <c r="K59" s="447"/>
      <c r="L59" s="124" t="e">
        <f>L58*1000</f>
        <v>#REF!</v>
      </c>
      <c r="M59" s="229" t="s">
        <v>141</v>
      </c>
      <c r="N59" s="137"/>
      <c r="V59" s="168" t="s">
        <v>206</v>
      </c>
      <c r="AI59" s="16"/>
    </row>
    <row r="60" spans="1:35" x14ac:dyDescent="0.25">
      <c r="A60" t="s">
        <v>142</v>
      </c>
      <c r="V60" t="s">
        <v>207</v>
      </c>
    </row>
    <row r="61" spans="1:35" x14ac:dyDescent="0.25">
      <c r="V61" t="s">
        <v>208</v>
      </c>
    </row>
    <row r="62" spans="1:35" x14ac:dyDescent="0.25">
      <c r="V62" t="s">
        <v>209</v>
      </c>
    </row>
    <row r="63" spans="1:35" x14ac:dyDescent="0.25">
      <c r="V63" t="s">
        <v>210</v>
      </c>
    </row>
    <row r="64" spans="1:35" x14ac:dyDescent="0.25">
      <c r="V64" t="s">
        <v>211</v>
      </c>
    </row>
    <row r="66" spans="22:22" x14ac:dyDescent="0.25">
      <c r="V66" t="s">
        <v>212</v>
      </c>
    </row>
    <row r="67" spans="22:22" x14ac:dyDescent="0.25">
      <c r="V67" t="s">
        <v>213</v>
      </c>
    </row>
  </sheetData>
  <sheetProtection algorithmName="SHA-512" hashValue="8uXrTt6cbuaFdDmi0zggJVok4jVzsJ9tIE5qa8Vxpm+edHoWXpERTkLPB1/qIVoKCOkGFIB68AyzrcDMfclnDA==" saltValue="7JvHO7OgzZfQvKkCqgj1QQ==" spinCount="100000" sheet="1" objects="1" scenarios="1"/>
  <autoFilter ref="A7:T64" xr:uid="{279C9B29-A425-4DA9-BD49-9F77A3354261}"/>
  <mergeCells count="22">
    <mergeCell ref="A5:A6"/>
    <mergeCell ref="C5:C6"/>
    <mergeCell ref="D5:D6"/>
    <mergeCell ref="F5:F6"/>
    <mergeCell ref="H5:I5"/>
    <mergeCell ref="B5:B6"/>
    <mergeCell ref="J59:K59"/>
    <mergeCell ref="J5:K5"/>
    <mergeCell ref="T5:T6"/>
    <mergeCell ref="V3:Z3"/>
    <mergeCell ref="V4:V5"/>
    <mergeCell ref="W4:W6"/>
    <mergeCell ref="X4:Z4"/>
    <mergeCell ref="O4:P4"/>
    <mergeCell ref="L5:M5"/>
    <mergeCell ref="AE10:AG10"/>
    <mergeCell ref="AE7:AF7"/>
    <mergeCell ref="AE8:AF8"/>
    <mergeCell ref="AI5:AI6"/>
    <mergeCell ref="Q5:S5"/>
    <mergeCell ref="AE6:AF6"/>
    <mergeCell ref="AA5:AB5"/>
  </mergeCells>
  <pageMargins left="0.7" right="0.7" top="0.75" bottom="0.75" header="0.3" footer="0.3"/>
  <pageSetup paperSize="17" scale="53" fitToWidth="2" orientation="landscape" r:id="rId1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view="pageBreakPreview" zoomScaleNormal="100" zoomScaleSheetLayoutView="100" workbookViewId="0"/>
  </sheetViews>
  <sheetFormatPr defaultRowHeight="15" x14ac:dyDescent="0.25"/>
  <cols>
    <col min="2" max="2" width="27.42578125" bestFit="1" customWidth="1"/>
    <col min="4" max="4" width="14.5703125" bestFit="1" customWidth="1"/>
    <col min="5" max="5" width="56.5703125" customWidth="1"/>
    <col min="6" max="6" width="65.28515625" bestFit="1" customWidth="1"/>
  </cols>
  <sheetData>
    <row r="1" spans="1:6" x14ac:dyDescent="0.25">
      <c r="A1" s="14" t="str">
        <f>'Bldg Info, Cost Est'!A1</f>
        <v>Syracuse District Energy</v>
      </c>
    </row>
    <row r="2" spans="1:6" x14ac:dyDescent="0.25">
      <c r="A2" s="14"/>
    </row>
    <row r="3" spans="1:6" x14ac:dyDescent="0.25">
      <c r="A3" s="14" t="s">
        <v>261</v>
      </c>
    </row>
    <row r="5" spans="1:6" x14ac:dyDescent="0.25">
      <c r="B5" s="54" t="s">
        <v>214</v>
      </c>
      <c r="C5" s="54" t="s">
        <v>215</v>
      </c>
      <c r="D5" s="54" t="s">
        <v>216</v>
      </c>
      <c r="E5" s="53" t="s">
        <v>217</v>
      </c>
      <c r="F5" s="53" t="s">
        <v>218</v>
      </c>
    </row>
    <row r="6" spans="1:6" x14ac:dyDescent="0.25">
      <c r="B6" s="5" t="s">
        <v>219</v>
      </c>
      <c r="C6" s="13">
        <v>250</v>
      </c>
      <c r="D6" s="5" t="s">
        <v>220</v>
      </c>
      <c r="E6" s="20" t="s">
        <v>221</v>
      </c>
      <c r="F6" s="20" t="s">
        <v>222</v>
      </c>
    </row>
    <row r="7" spans="1:6" x14ac:dyDescent="0.25">
      <c r="B7" s="5" t="s">
        <v>223</v>
      </c>
      <c r="C7" s="13">
        <v>500</v>
      </c>
      <c r="D7" s="5" t="s">
        <v>220</v>
      </c>
      <c r="E7" s="20" t="s">
        <v>221</v>
      </c>
      <c r="F7" s="20"/>
    </row>
    <row r="8" spans="1:6" x14ac:dyDescent="0.25">
      <c r="B8" s="5" t="s">
        <v>224</v>
      </c>
      <c r="C8" s="5">
        <v>25</v>
      </c>
      <c r="D8" s="5" t="s">
        <v>225</v>
      </c>
      <c r="E8" s="20" t="s">
        <v>226</v>
      </c>
      <c r="F8" s="20"/>
    </row>
    <row r="9" spans="1:6" x14ac:dyDescent="0.25">
      <c r="B9" s="5" t="s">
        <v>227</v>
      </c>
      <c r="C9" s="13">
        <v>3000</v>
      </c>
      <c r="D9" s="5" t="s">
        <v>220</v>
      </c>
      <c r="E9" s="20" t="s">
        <v>228</v>
      </c>
      <c r="F9" s="20" t="s">
        <v>229</v>
      </c>
    </row>
    <row r="10" spans="1:6" x14ac:dyDescent="0.25">
      <c r="B10" s="5" t="s">
        <v>230</v>
      </c>
      <c r="C10" s="50">
        <v>0.6</v>
      </c>
      <c r="D10" s="5"/>
      <c r="E10" s="20" t="s">
        <v>231</v>
      </c>
      <c r="F10" s="55" t="s">
        <v>232</v>
      </c>
    </row>
    <row r="12" spans="1:6" x14ac:dyDescent="0.25">
      <c r="B12" s="14"/>
    </row>
    <row r="13" spans="1:6" x14ac:dyDescent="0.25">
      <c r="C13" s="14"/>
      <c r="D13" s="14"/>
    </row>
    <row r="14" spans="1:6" x14ac:dyDescent="0.25">
      <c r="C14" s="16"/>
      <c r="D14" s="21"/>
      <c r="E14" s="21"/>
    </row>
    <row r="15" spans="1:6" x14ac:dyDescent="0.25">
      <c r="B15" s="54" t="s">
        <v>233</v>
      </c>
      <c r="C15" s="54" t="s">
        <v>215</v>
      </c>
      <c r="D15" s="54" t="s">
        <v>216</v>
      </c>
      <c r="E15" s="14" t="s">
        <v>217</v>
      </c>
    </row>
    <row r="16" spans="1:6" x14ac:dyDescent="0.25">
      <c r="B16" s="5" t="s">
        <v>234</v>
      </c>
      <c r="C16" s="13">
        <f>173*4</f>
        <v>692</v>
      </c>
      <c r="D16" s="5" t="s">
        <v>235</v>
      </c>
      <c r="E16" s="12" t="s">
        <v>236</v>
      </c>
    </row>
    <row r="17" spans="2:5" x14ac:dyDescent="0.25">
      <c r="B17" s="5" t="s">
        <v>237</v>
      </c>
      <c r="C17" s="469">
        <v>1000</v>
      </c>
      <c r="D17" s="5" t="s">
        <v>235</v>
      </c>
      <c r="E17" s="12"/>
    </row>
    <row r="18" spans="2:5" x14ac:dyDescent="0.25">
      <c r="B18" s="5" t="s">
        <v>238</v>
      </c>
      <c r="C18" s="13">
        <v>1000</v>
      </c>
      <c r="D18" s="5" t="s">
        <v>239</v>
      </c>
      <c r="E18" s="12" t="s">
        <v>240</v>
      </c>
    </row>
    <row r="21" spans="2:5" x14ac:dyDescent="0.25">
      <c r="B21" s="54" t="s">
        <v>241</v>
      </c>
      <c r="C21" s="54" t="s">
        <v>215</v>
      </c>
      <c r="D21" s="54" t="s">
        <v>216</v>
      </c>
      <c r="E21" t="s">
        <v>217</v>
      </c>
    </row>
    <row r="22" spans="2:5" x14ac:dyDescent="0.25">
      <c r="B22" s="5" t="s">
        <v>242</v>
      </c>
      <c r="C22" s="5">
        <v>3</v>
      </c>
      <c r="D22" s="5" t="s">
        <v>243</v>
      </c>
    </row>
    <row r="23" spans="2:5" x14ac:dyDescent="0.25">
      <c r="B23" s="5" t="s">
        <v>242</v>
      </c>
      <c r="C23" s="5">
        <v>50</v>
      </c>
      <c r="D23" s="5" t="s">
        <v>244</v>
      </c>
    </row>
    <row r="24" spans="2:5" x14ac:dyDescent="0.25">
      <c r="B24" s="5" t="s">
        <v>19</v>
      </c>
      <c r="C24" s="52">
        <v>3.04</v>
      </c>
      <c r="D24" s="5" t="s">
        <v>245</v>
      </c>
      <c r="E24" s="12" t="s">
        <v>246</v>
      </c>
    </row>
    <row r="25" spans="2:5" x14ac:dyDescent="0.25">
      <c r="B25" s="5" t="s">
        <v>18</v>
      </c>
      <c r="C25" s="13">
        <v>1</v>
      </c>
      <c r="D25" s="5" t="s">
        <v>247</v>
      </c>
    </row>
  </sheetData>
  <sheetProtection algorithmName="SHA-512" hashValue="4Ahp4ivZJE8zYwk1ROXyQc+t9LUyoFO9Mq4WvgleR1Wa/PUFSyCl5SZqa+gi8cwKe53ouwxrIkKRANM9Tdj0/w==" saltValue="nbXawWcZZjKZshDlLPBK9g==" spinCount="100000" sheet="1" objects="1" scenarios="1"/>
  <hyperlinks>
    <hyperlink ref="F10" r:id="rId1" xr:uid="{B6A7B6C7-B0F4-4DF0-BD01-6DF6EE8F959D}"/>
  </hyperlinks>
  <pageMargins left="0.7" right="0.7" top="0.75" bottom="0.75" header="0.3" footer="0.3"/>
  <pageSetup paperSize="1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9F75-D185-498D-B2D0-DC420617199C}">
  <sheetPr>
    <pageSetUpPr fitToPage="1"/>
  </sheetPr>
  <dimension ref="A1:D51"/>
  <sheetViews>
    <sheetView view="pageBreakPreview" zoomScaleNormal="100" zoomScaleSheetLayoutView="100" workbookViewId="0">
      <selection activeCell="K13" sqref="K13:K14"/>
    </sheetView>
  </sheetViews>
  <sheetFormatPr defaultRowHeight="15" x14ac:dyDescent="0.25"/>
  <cols>
    <col min="1" max="1" width="28.42578125" bestFit="1" customWidth="1"/>
    <col min="2" max="2" width="14.7109375" customWidth="1"/>
    <col min="3" max="3" width="17.140625" customWidth="1"/>
    <col min="4" max="4" width="17.85546875" customWidth="1"/>
  </cols>
  <sheetData>
    <row r="1" spans="1:4" x14ac:dyDescent="0.25">
      <c r="A1" s="14" t="s">
        <v>0</v>
      </c>
    </row>
    <row r="2" spans="1:4" x14ac:dyDescent="0.25">
      <c r="A2" s="14"/>
    </row>
    <row r="3" spans="1:4" x14ac:dyDescent="0.25">
      <c r="A3" s="14" t="s">
        <v>262</v>
      </c>
    </row>
    <row r="5" spans="1:4" ht="15.75" thickBot="1" x14ac:dyDescent="0.3"/>
    <row r="6" spans="1:4" x14ac:dyDescent="0.25">
      <c r="A6" s="445" t="s">
        <v>248</v>
      </c>
      <c r="B6" s="47" t="s">
        <v>249</v>
      </c>
      <c r="C6" s="184" t="s">
        <v>250</v>
      </c>
      <c r="D6" s="18" t="s">
        <v>251</v>
      </c>
    </row>
    <row r="7" spans="1:4" ht="15.75" thickBot="1" x14ac:dyDescent="0.3">
      <c r="A7" s="446"/>
      <c r="B7" s="192" t="s">
        <v>25</v>
      </c>
      <c r="C7" s="29" t="s">
        <v>252</v>
      </c>
      <c r="D7" s="17" t="s">
        <v>25</v>
      </c>
    </row>
    <row r="8" spans="1:4" x14ac:dyDescent="0.25">
      <c r="A8" s="176" t="s">
        <v>36</v>
      </c>
      <c r="B8" s="40">
        <f>'Bldg Info, Cost Est'!G8</f>
        <v>1238762.9523596608</v>
      </c>
      <c r="C8" s="191">
        <f>'Baseline Electrification'!T7</f>
        <v>0.35</v>
      </c>
      <c r="D8" s="42">
        <f>C8*B8</f>
        <v>433567.03332588123</v>
      </c>
    </row>
    <row r="9" spans="1:4" x14ac:dyDescent="0.25">
      <c r="A9" s="177" t="s">
        <v>80</v>
      </c>
      <c r="B9" s="7">
        <f>'Bldg Info, Cost Est'!G9</f>
        <v>4504592.5540351495</v>
      </c>
      <c r="C9" s="189">
        <f>'Baseline Electrification'!T8</f>
        <v>0.35</v>
      </c>
      <c r="D9" s="10">
        <f t="shared" ref="D9:D44" si="0">C9*B9</f>
        <v>1576607.3939123023</v>
      </c>
    </row>
    <row r="10" spans="1:4" x14ac:dyDescent="0.25">
      <c r="A10" s="177" t="s">
        <v>41</v>
      </c>
      <c r="B10" s="7">
        <f>'Bldg Info, Cost Est'!G10</f>
        <v>185454.28146850501</v>
      </c>
      <c r="C10" s="189">
        <f>'Baseline Electrification'!T9</f>
        <v>0.35</v>
      </c>
      <c r="D10" s="10">
        <f t="shared" si="0"/>
        <v>64908.998513976752</v>
      </c>
    </row>
    <row r="11" spans="1:4" x14ac:dyDescent="0.25">
      <c r="A11" s="178" t="s">
        <v>44</v>
      </c>
      <c r="B11" s="7">
        <f>'Bldg Info, Cost Est'!G11</f>
        <v>1077348.3858400721</v>
      </c>
      <c r="C11" s="189">
        <f>'Baseline Electrification'!T10</f>
        <v>0.35</v>
      </c>
      <c r="D11" s="10">
        <f t="shared" si="0"/>
        <v>377071.93504402519</v>
      </c>
    </row>
    <row r="12" spans="1:4" x14ac:dyDescent="0.25">
      <c r="A12" s="178" t="s">
        <v>48</v>
      </c>
      <c r="B12" s="7">
        <f>'Bldg Info, Cost Est'!G12</f>
        <v>1370146.9018523549</v>
      </c>
      <c r="C12" s="189">
        <f>'Baseline Electrification'!T11</f>
        <v>0.35</v>
      </c>
      <c r="D12" s="10">
        <f t="shared" si="0"/>
        <v>479551.41564832418</v>
      </c>
    </row>
    <row r="13" spans="1:4" x14ac:dyDescent="0.25">
      <c r="A13" s="178" t="s">
        <v>50</v>
      </c>
      <c r="B13" s="7">
        <f>'Bldg Info, Cost Est'!G13</f>
        <v>1351377.7662105369</v>
      </c>
      <c r="C13" s="189">
        <f>'Baseline Electrification'!T12</f>
        <v>0.28000000000000003</v>
      </c>
      <c r="D13" s="10">
        <f t="shared" si="0"/>
        <v>378385.77453895035</v>
      </c>
    </row>
    <row r="14" spans="1:4" x14ac:dyDescent="0.25">
      <c r="A14" s="178" t="s">
        <v>52</v>
      </c>
      <c r="B14" s="7">
        <f>'Bldg Info, Cost Est'!G14</f>
        <v>472097.33496631484</v>
      </c>
      <c r="C14" s="189">
        <f>'Baseline Electrification'!T13</f>
        <v>0.28000000000000003</v>
      </c>
      <c r="D14" s="10">
        <f t="shared" si="0"/>
        <v>132187.25379056818</v>
      </c>
    </row>
    <row r="15" spans="1:4" x14ac:dyDescent="0.25">
      <c r="A15" s="178" t="s">
        <v>54</v>
      </c>
      <c r="B15" s="7">
        <f>'Bldg Info, Cost Est'!G15</f>
        <v>949380.4190341871</v>
      </c>
      <c r="C15" s="189">
        <f>'Baseline Electrification'!T14</f>
        <v>0.35</v>
      </c>
      <c r="D15" s="10">
        <f t="shared" si="0"/>
        <v>332283.14666196547</v>
      </c>
    </row>
    <row r="16" spans="1:4" x14ac:dyDescent="0.25">
      <c r="A16" s="178" t="s">
        <v>57</v>
      </c>
      <c r="B16" s="7">
        <f>'Bldg Info, Cost Est'!G16</f>
        <v>495505.18094386562</v>
      </c>
      <c r="C16" s="189">
        <f>'Baseline Electrification'!T15</f>
        <v>0.35</v>
      </c>
      <c r="D16" s="10">
        <f t="shared" si="0"/>
        <v>173426.81333035295</v>
      </c>
    </row>
    <row r="17" spans="1:4" x14ac:dyDescent="0.25">
      <c r="A17" s="178" t="s">
        <v>58</v>
      </c>
      <c r="B17" s="7">
        <f>'Bldg Info, Cost Est'!G17</f>
        <v>109323.52575301127</v>
      </c>
      <c r="C17" s="189">
        <f>'Baseline Electrification'!T16</f>
        <v>0.28000000000000003</v>
      </c>
      <c r="D17" s="10">
        <f t="shared" si="0"/>
        <v>30610.587210843158</v>
      </c>
    </row>
    <row r="18" spans="1:4" x14ac:dyDescent="0.25">
      <c r="A18" s="178" t="s">
        <v>60</v>
      </c>
      <c r="B18" s="7">
        <f>'Bldg Info, Cost Est'!G18</f>
        <v>514274.31658567989</v>
      </c>
      <c r="C18" s="189">
        <f>'Baseline Electrification'!T17</f>
        <v>0.28000000000000003</v>
      </c>
      <c r="D18" s="10">
        <f t="shared" si="0"/>
        <v>143996.80864399037</v>
      </c>
    </row>
    <row r="19" spans="1:4" x14ac:dyDescent="0.25">
      <c r="A19" s="178" t="s">
        <v>63</v>
      </c>
      <c r="B19" s="7">
        <f>'Bldg Info, Cost Est'!G19</f>
        <v>554419.30775106524</v>
      </c>
      <c r="C19" s="189">
        <f>'Baseline Electrification'!T18</f>
        <v>0.35</v>
      </c>
      <c r="D19" s="10">
        <f t="shared" si="0"/>
        <v>194046.75771287282</v>
      </c>
    </row>
    <row r="20" spans="1:4" x14ac:dyDescent="0.25">
      <c r="A20" s="178" t="s">
        <v>65</v>
      </c>
      <c r="B20" s="7">
        <f>'Bldg Info, Cost Est'!G20</f>
        <v>1379531.4696732562</v>
      </c>
      <c r="C20" s="189">
        <f>'Baseline Electrification'!T19</f>
        <v>0.28000000000000003</v>
      </c>
      <c r="D20" s="10">
        <f t="shared" si="0"/>
        <v>386268.81150851178</v>
      </c>
    </row>
    <row r="21" spans="1:4" x14ac:dyDescent="0.25">
      <c r="A21" s="178" t="s">
        <v>67</v>
      </c>
      <c r="B21" s="7">
        <f>'Bldg Info, Cost Est'!G21</f>
        <v>696447.54712511785</v>
      </c>
      <c r="C21" s="189">
        <f>'Baseline Electrification'!T20</f>
        <v>0.28000000000000003</v>
      </c>
      <c r="D21" s="10">
        <f t="shared" si="0"/>
        <v>195005.31319503303</v>
      </c>
    </row>
    <row r="22" spans="1:4" x14ac:dyDescent="0.25">
      <c r="A22" s="178" t="s">
        <v>69</v>
      </c>
      <c r="B22" s="7">
        <f>'Bldg Info, Cost Est'!G22</f>
        <v>327845.37150438403</v>
      </c>
      <c r="C22" s="189">
        <f>'Baseline Electrification'!T21</f>
        <v>0.28000000000000003</v>
      </c>
      <c r="D22" s="10">
        <f t="shared" si="0"/>
        <v>91796.704021227531</v>
      </c>
    </row>
    <row r="23" spans="1:4" x14ac:dyDescent="0.25">
      <c r="A23" s="178" t="s">
        <v>71</v>
      </c>
      <c r="B23" s="7">
        <f>'Bldg Info, Cost Est'!G23</f>
        <v>347234.14677515422</v>
      </c>
      <c r="C23" s="189">
        <f>'Baseline Electrification'!T22</f>
        <v>0.35</v>
      </c>
      <c r="D23" s="10">
        <f t="shared" si="0"/>
        <v>121531.95137130396</v>
      </c>
    </row>
    <row r="24" spans="1:4" x14ac:dyDescent="0.25">
      <c r="A24" s="178" t="s">
        <v>73</v>
      </c>
      <c r="B24" s="7">
        <f>'Bldg Info, Cost Est'!G24</f>
        <v>162228.26948712402</v>
      </c>
      <c r="C24" s="189">
        <f>'Baseline Electrification'!T23</f>
        <v>0.35</v>
      </c>
      <c r="D24" s="10">
        <f t="shared" si="0"/>
        <v>56779.894320493404</v>
      </c>
    </row>
    <row r="25" spans="1:4" x14ac:dyDescent="0.25">
      <c r="A25" s="178" t="s">
        <v>75</v>
      </c>
      <c r="B25" s="7">
        <f>'Bldg Info, Cost Est'!G25</f>
        <v>169955.04058787326</v>
      </c>
      <c r="C25" s="189">
        <f>'Baseline Electrification'!T24</f>
        <v>0.35</v>
      </c>
      <c r="D25" s="10">
        <f t="shared" si="0"/>
        <v>59484.264205755637</v>
      </c>
    </row>
    <row r="26" spans="1:4" x14ac:dyDescent="0.25">
      <c r="A26" s="178" t="s">
        <v>83</v>
      </c>
      <c r="B26" s="7">
        <f>'Bldg Info, Cost Est'!G27</f>
        <v>638150.61182164354</v>
      </c>
      <c r="C26" s="189">
        <f>'Baseline Electrification'!T25</f>
        <v>0.28000000000000003</v>
      </c>
      <c r="D26" s="10">
        <f t="shared" si="0"/>
        <v>178682.17131006022</v>
      </c>
    </row>
    <row r="27" spans="1:4" x14ac:dyDescent="0.25">
      <c r="A27" s="178" t="s">
        <v>144</v>
      </c>
      <c r="B27" s="7">
        <f>'Bldg Info, Cost Est'!G28</f>
        <v>2451913.5422225101</v>
      </c>
      <c r="C27" s="189">
        <f>'Baseline Electrification'!T26</f>
        <v>0.28000000000000003</v>
      </c>
      <c r="D27" s="10">
        <f t="shared" si="0"/>
        <v>686535.79182230285</v>
      </c>
    </row>
    <row r="28" spans="1:4" x14ac:dyDescent="0.25">
      <c r="A28" s="178" t="s">
        <v>86</v>
      </c>
      <c r="B28" s="7" t="e">
        <f>'Bldg Info, Cost Est'!#REF!</f>
        <v>#REF!</v>
      </c>
      <c r="C28" s="189">
        <f>'Baseline Electrification'!T27</f>
        <v>0.35</v>
      </c>
      <c r="D28" s="10" t="e">
        <f t="shared" si="0"/>
        <v>#REF!</v>
      </c>
    </row>
    <row r="29" spans="1:4" x14ac:dyDescent="0.25">
      <c r="A29" s="178" t="s">
        <v>89</v>
      </c>
      <c r="B29" s="7">
        <f>'Bldg Info, Cost Est'!G29</f>
        <v>3338177.0664330884</v>
      </c>
      <c r="C29" s="189">
        <f>'Baseline Electrification'!T28</f>
        <v>0.35</v>
      </c>
      <c r="D29" s="10">
        <f t="shared" si="0"/>
        <v>1168361.973251581</v>
      </c>
    </row>
    <row r="30" spans="1:4" x14ac:dyDescent="0.25">
      <c r="A30" s="178" t="s">
        <v>91</v>
      </c>
      <c r="B30" s="7">
        <f>'Bldg Info, Cost Est'!G30</f>
        <v>233098.05913961661</v>
      </c>
      <c r="C30" s="189">
        <f>'Baseline Electrification'!T29</f>
        <v>0.35</v>
      </c>
      <c r="D30" s="10">
        <f t="shared" si="0"/>
        <v>81584.320698865806</v>
      </c>
    </row>
    <row r="31" spans="1:4" x14ac:dyDescent="0.25">
      <c r="A31" s="178" t="s">
        <v>93</v>
      </c>
      <c r="B31" s="7">
        <f>'Bldg Info, Cost Est'!G31</f>
        <v>142148.93553957224</v>
      </c>
      <c r="C31" s="189">
        <f>'Baseline Electrification'!T30</f>
        <v>0.35</v>
      </c>
      <c r="D31" s="10">
        <f t="shared" si="0"/>
        <v>49752.127438850279</v>
      </c>
    </row>
    <row r="32" spans="1:4" x14ac:dyDescent="0.25">
      <c r="A32" s="178" t="s">
        <v>95</v>
      </c>
      <c r="B32" s="7">
        <f>'Bldg Info, Cost Est'!G32</f>
        <v>675688.88310526847</v>
      </c>
      <c r="C32" s="189">
        <f>'Baseline Electrification'!T31</f>
        <v>0.35</v>
      </c>
      <c r="D32" s="10">
        <f t="shared" si="0"/>
        <v>236491.10908684394</v>
      </c>
    </row>
    <row r="33" spans="1:4" x14ac:dyDescent="0.25">
      <c r="A33" s="178" t="s">
        <v>98</v>
      </c>
      <c r="B33" s="7">
        <f>'Bldg Info, Cost Est'!G33</f>
        <v>1918956.4280189665</v>
      </c>
      <c r="C33" s="189">
        <f>'Baseline Electrification'!T32</f>
        <v>0.35</v>
      </c>
      <c r="D33" s="10">
        <f t="shared" si="0"/>
        <v>671634.74980663822</v>
      </c>
    </row>
    <row r="34" spans="1:4" x14ac:dyDescent="0.25">
      <c r="A34" s="178" t="s">
        <v>100</v>
      </c>
      <c r="B34" s="7">
        <f>'Bldg Info, Cost Est'!G34</f>
        <v>671935.05597690609</v>
      </c>
      <c r="C34" s="189">
        <f>'Baseline Electrification'!T33</f>
        <v>0.28000000000000003</v>
      </c>
      <c r="D34" s="10">
        <f t="shared" si="0"/>
        <v>188141.81567353371</v>
      </c>
    </row>
    <row r="35" spans="1:4" x14ac:dyDescent="0.25">
      <c r="A35" s="178" t="s">
        <v>102</v>
      </c>
      <c r="B35" s="7">
        <f>'Bldg Info, Cost Est'!G35</f>
        <v>822088.14111141232</v>
      </c>
      <c r="C35" s="189">
        <f>'Baseline Electrification'!T34</f>
        <v>0.28000000000000003</v>
      </c>
      <c r="D35" s="10">
        <f t="shared" si="0"/>
        <v>230184.67951119549</v>
      </c>
    </row>
    <row r="36" spans="1:4" x14ac:dyDescent="0.25">
      <c r="A36" s="178" t="s">
        <v>103</v>
      </c>
      <c r="B36" s="7">
        <f>'Bldg Info, Cost Est'!G36</f>
        <v>450459.25540351472</v>
      </c>
      <c r="C36" s="189">
        <f>'Baseline Electrification'!T35</f>
        <v>0.28000000000000003</v>
      </c>
      <c r="D36" s="10">
        <f t="shared" si="0"/>
        <v>126128.59151298413</v>
      </c>
    </row>
    <row r="37" spans="1:4" x14ac:dyDescent="0.25">
      <c r="A37" s="178" t="s">
        <v>105</v>
      </c>
      <c r="B37" s="7">
        <f>'Bldg Info, Cost Est'!G37</f>
        <v>629312.30441752705</v>
      </c>
      <c r="C37" s="189">
        <f>'Baseline Electrification'!T36</f>
        <v>0.28000000000000003</v>
      </c>
      <c r="D37" s="10">
        <f t="shared" si="0"/>
        <v>176207.4452369076</v>
      </c>
    </row>
    <row r="38" spans="1:4" x14ac:dyDescent="0.25">
      <c r="A38" s="178" t="s">
        <v>108</v>
      </c>
      <c r="B38" s="7">
        <f>'Bldg Info, Cost Est'!G38</f>
        <v>0</v>
      </c>
      <c r="C38" s="189">
        <f>'Baseline Electrification'!T37</f>
        <v>0.28000000000000003</v>
      </c>
      <c r="D38" s="10">
        <f t="shared" si="0"/>
        <v>0</v>
      </c>
    </row>
    <row r="39" spans="1:4" x14ac:dyDescent="0.25">
      <c r="A39" s="178" t="s">
        <v>110</v>
      </c>
      <c r="B39" s="7">
        <f>'Bldg Info, Cost Est'!G39</f>
        <v>195672.81237741918</v>
      </c>
      <c r="C39" s="189">
        <f>'Baseline Electrification'!T38</f>
        <v>0.28000000000000003</v>
      </c>
      <c r="D39" s="10">
        <f t="shared" si="0"/>
        <v>54788.387465677377</v>
      </c>
    </row>
    <row r="40" spans="1:4" x14ac:dyDescent="0.25">
      <c r="A40" s="178" t="s">
        <v>112</v>
      </c>
      <c r="B40" s="7">
        <f>'Bldg Info, Cost Est'!G40</f>
        <v>266866.13240456907</v>
      </c>
      <c r="C40" s="189">
        <f>'Baseline Electrification'!T39</f>
        <v>0.28000000000000003</v>
      </c>
      <c r="D40" s="10">
        <f t="shared" si="0"/>
        <v>74722.517073279349</v>
      </c>
    </row>
    <row r="41" spans="1:4" x14ac:dyDescent="0.25">
      <c r="A41" s="178" t="s">
        <v>115</v>
      </c>
      <c r="B41" s="7">
        <f>'Bldg Info, Cost Est'!G41</f>
        <v>391766.03480005823</v>
      </c>
      <c r="C41" s="189">
        <f>'Baseline Electrification'!T40</f>
        <v>0.35</v>
      </c>
      <c r="D41" s="10">
        <f t="shared" si="0"/>
        <v>137118.11218002037</v>
      </c>
    </row>
    <row r="42" spans="1:4" x14ac:dyDescent="0.25">
      <c r="A42" s="178" t="s">
        <v>117</v>
      </c>
      <c r="B42" s="7">
        <f>'Bldg Info, Cost Est'!G42</f>
        <v>262276.2972035071</v>
      </c>
      <c r="C42" s="189">
        <f>'Baseline Electrification'!T41</f>
        <v>0.35</v>
      </c>
      <c r="D42" s="10">
        <f t="shared" si="0"/>
        <v>91796.704021227473</v>
      </c>
    </row>
    <row r="43" spans="1:4" x14ac:dyDescent="0.25">
      <c r="A43" s="190" t="s">
        <v>77</v>
      </c>
      <c r="B43" s="7">
        <f>'Bldg Info, Cost Est'!G43</f>
        <v>240533.59216533648</v>
      </c>
      <c r="C43" s="189">
        <f>'Baseline Electrification'!T42</f>
        <v>0.35</v>
      </c>
      <c r="D43" s="10">
        <f t="shared" si="0"/>
        <v>84186.757257867765</v>
      </c>
    </row>
    <row r="44" spans="1:4" ht="15.75" thickBot="1" x14ac:dyDescent="0.3">
      <c r="A44" s="180" t="s">
        <v>118</v>
      </c>
      <c r="B44" s="104">
        <f>'Bldg Info, Cost Est'!G57</f>
        <v>332326.73160336702</v>
      </c>
      <c r="C44" s="193">
        <f>'Baseline Electrification'!T56</f>
        <v>0.28000000000000003</v>
      </c>
      <c r="D44" s="110">
        <f t="shared" si="0"/>
        <v>93051.484848942768</v>
      </c>
    </row>
    <row r="45" spans="1:4" ht="15.75" thickBot="1" x14ac:dyDescent="0.3">
      <c r="A45" s="172" t="s">
        <v>32</v>
      </c>
      <c r="B45" s="124" t="e">
        <f>SUM(B8:B44)</f>
        <v>#REF!</v>
      </c>
      <c r="C45" s="138"/>
      <c r="D45" s="194" t="e">
        <f>SUM(D8:D44)</f>
        <v>#REF!</v>
      </c>
    </row>
    <row r="46" spans="1:4" ht="15.75" thickBot="1" x14ac:dyDescent="0.3">
      <c r="A46" s="198" t="s">
        <v>253</v>
      </c>
    </row>
    <row r="47" spans="1:4" x14ac:dyDescent="0.25">
      <c r="C47" s="90" t="s">
        <v>254</v>
      </c>
      <c r="D47" s="196">
        <f>ROUND([2]Summary!$E$16,3)</f>
        <v>8.5000000000000006E-2</v>
      </c>
    </row>
    <row r="48" spans="1:4" ht="15.75" thickBot="1" x14ac:dyDescent="0.3">
      <c r="C48" s="90" t="s">
        <v>255</v>
      </c>
      <c r="D48" s="197" t="e">
        <f>D45*D47</f>
        <v>#REF!</v>
      </c>
    </row>
    <row r="51" spans="4:4" x14ac:dyDescent="0.25">
      <c r="D51" s="195"/>
    </row>
  </sheetData>
  <sheetProtection algorithmName="SHA-512" hashValue="8wiz8svFVQGE86/bjgdQ9eNr99oeWEipnyyyEt8odnxxxoTYP2One0G5ASKinLrXqoWMfRQI4g7xxMrEN58vBg==" saltValue="istL6YRY3Lc6auIYmqErug==" spinCount="100000" sheet="1" objects="1" scenarios="1"/>
  <mergeCells count="1">
    <mergeCell ref="A6:A7"/>
  </mergeCells>
  <pageMargins left="0.7" right="0.7" top="0.75" bottom="0.75" header="0.3" footer="0.3"/>
  <pageSetup scale="9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5377360C758642836FA27549CC56EF" ma:contentTypeVersion="8" ma:contentTypeDescription="Create a new document." ma:contentTypeScope="" ma:versionID="45aca95a6bf54b6a68b2eb6497ecb18c">
  <xsd:schema xmlns:xsd="http://www.w3.org/2001/XMLSchema" xmlns:xs="http://www.w3.org/2001/XMLSchema" xmlns:p="http://schemas.microsoft.com/office/2006/metadata/properties" xmlns:ns2="5c3b414a-42b5-4f3e-bc15-e98eadd98e7f" xmlns:ns3="3622e63a-d837-4b38-93c6-6dd27fcd9d50" targetNamespace="http://schemas.microsoft.com/office/2006/metadata/properties" ma:root="true" ma:fieldsID="0cf8969e401bc199394dbc2ae4c3c2ac" ns2:_="" ns3:_="">
    <xsd:import namespace="5c3b414a-42b5-4f3e-bc15-e98eadd98e7f"/>
    <xsd:import namespace="3622e63a-d837-4b38-93c6-6dd27fcd9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b414a-42b5-4f3e-bc15-e98eadd98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2e63a-d837-4b38-93c6-6dd27fcd9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31523-FD6F-4AB9-9FAD-887E359EBD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0DE12D-3500-4C73-850A-23404E3EABD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c3b414a-42b5-4f3e-bc15-e98eadd98e7f"/>
    <ds:schemaRef ds:uri="http://schemas.microsoft.com/office/infopath/2007/PartnerControls"/>
    <ds:schemaRef ds:uri="3622e63a-d837-4b38-93c6-6dd27fcd9d5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3A9E9C-4EF0-4A3F-B3C7-94CAC6D26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b414a-42b5-4f3e-bc15-e98eadd98e7f"/>
    <ds:schemaRef ds:uri="3622e63a-d837-4b38-93c6-6dd27fcd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Bldg Info, Cost Est</vt:lpstr>
      <vt:lpstr>Baseline Electrification</vt:lpstr>
      <vt:lpstr>Equipment Costs</vt:lpstr>
      <vt:lpstr>Energy Reduction</vt:lpstr>
      <vt:lpstr>'Baseline Electrification'!Print_Area</vt:lpstr>
      <vt:lpstr>'Bldg Info, Cost Est'!Print_Area</vt:lpstr>
      <vt:lpstr>'Equipment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Walck, Charles</dc:creator>
  <cp:keywords/>
  <dc:description/>
  <cp:lastModifiedBy>Walck, Charles</cp:lastModifiedBy>
  <cp:revision/>
  <dcterms:created xsi:type="dcterms:W3CDTF">2021-11-03T17:53:43Z</dcterms:created>
  <dcterms:modified xsi:type="dcterms:W3CDTF">2025-02-07T19:50:20Z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0x010100275377360C758642836FA27549CC56EF</vt:lpwstr>
  </property>
</Properties>
</file>