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haconsulting-my.sharepoint.com/personal/cwalck_chacompanies_com/Documents/Desktop/Syracuse DES Appendices/"/>
    </mc:Choice>
  </mc:AlternateContent>
  <xr:revisionPtr revIDLastSave="12" documentId="8_{AC86A2F3-767A-457C-9E34-F8A499D12593}" xr6:coauthVersionLast="47" xr6:coauthVersionMax="47" xr10:uidLastSave="{A596FCE7-BBB8-43DA-8A03-4B0BF5B73343}"/>
  <bookViews>
    <workbookView xWindow="-120" yWindow="-120" windowWidth="29040" windowHeight="15840" xr2:uid="{369FBF4D-D20E-4588-91ED-2679CD22B669}"/>
  </bookViews>
  <sheets>
    <sheet name="Summary" sheetId="1" r:id="rId1"/>
    <sheet name="Summary-No Cat C" sheetId="8" r:id="rId2"/>
    <sheet name="Summary Phase C (Initial)" sheetId="7" r:id="rId3"/>
    <sheet name="Summary Phase C -No Cat  C" sheetId="9" r:id="rId4"/>
    <sheet name="Summary Phase A" sheetId="5" r:id="rId5"/>
    <sheet name="Summary Phase A-No Cat C" sheetId="10" r:id="rId6"/>
    <sheet name="Summary Phase B" sheetId="6" r:id="rId7"/>
    <sheet name="Summary Phase B - No Cat C" sheetId="11" r:id="rId8"/>
    <sheet name="Central Plant" sheetId="2" r:id="rId9"/>
    <sheet name="Probable Cost" sheetId="4" r:id="rId10"/>
    <sheet name="Loop" sheetId="3" r:id="rId11"/>
  </sheets>
  <externalReferences>
    <externalReference r:id="rId12"/>
    <externalReference r:id="rId13"/>
    <externalReference r:id="rId14"/>
    <externalReference r:id="rId15"/>
    <externalReference r:id="rId16"/>
  </externalReferences>
  <definedNames>
    <definedName name="\n">#REF!</definedName>
    <definedName name="\p">#REF!</definedName>
    <definedName name="\q">#REF!</definedName>
    <definedName name="_1_.">#REF!</definedName>
    <definedName name="_alt1">#REF!</definedName>
    <definedName name="_ALT10">[1]EST!#REF!</definedName>
    <definedName name="_ALT11">#REF!</definedName>
    <definedName name="_ALT12">[2]EST!#REF!</definedName>
    <definedName name="_alt2">#REF!</definedName>
    <definedName name="_ALT20">[2]EST!#REF!</definedName>
    <definedName name="_alt3">#REF!</definedName>
    <definedName name="_ALT33">[2]EST!#REF!</definedName>
    <definedName name="_ALT4">[1]EST!#REF!</definedName>
    <definedName name="_ALT44">[2]EST!#REF!</definedName>
    <definedName name="_ALT5">[1]EST!#REF!</definedName>
    <definedName name="_ALT55">[2]EST!#REF!</definedName>
    <definedName name="_ALT6">[1]EST!#REF!</definedName>
    <definedName name="_ALT66">[2]EST!#REF!</definedName>
    <definedName name="_alt7">[1]EST!#REF!</definedName>
    <definedName name="_ALT77">[2]EST!#REF!</definedName>
    <definedName name="_ALT8">[1]EST!#REF!</definedName>
    <definedName name="_ALT88">[2]EST!#REF!</definedName>
    <definedName name="_ALT9">[1]EST!#REF!</definedName>
    <definedName name="_bob2">#REF!</definedName>
    <definedName name="_DAT2">#REF!</definedName>
    <definedName name="_DEM1">#REF!</definedName>
    <definedName name="_DEM2">[3]EST!#REF!</definedName>
    <definedName name="_ELE1">#REF!</definedName>
    <definedName name="_ELE2">[3]EST!#REF!</definedName>
    <definedName name="_EQU1">[3]EST!#REF!</definedName>
    <definedName name="_EQU2">[3]EST!#REF!</definedName>
    <definedName name="_EXC1">#REF!</definedName>
    <definedName name="_EXC2">[3]EST!#REF!</definedName>
    <definedName name="_EXT1">#REF!</definedName>
    <definedName name="_EXT2">[3]EST!#REF!</definedName>
    <definedName name="_FIR2">[3]EST!#REF!</definedName>
    <definedName name="_HVA2">[3]EST!#REF!</definedName>
    <definedName name="_INT2">[3]EST!#REF!</definedName>
    <definedName name="_PLU1">#REF!</definedName>
    <definedName name="_PLU2">[3]EST!#REF!</definedName>
    <definedName name="_ROO1">#REF!</definedName>
    <definedName name="_ROO2">[3]EST!#REF!</definedName>
    <definedName name="_SIT1">#REF!</definedName>
    <definedName name="_sit2">[3]EST!#REF!</definedName>
    <definedName name="_SPE2">[3]EST!#REF!</definedName>
    <definedName name="_SUP1">#REF!</definedName>
    <definedName name="_SUP2">[3]EST!#REF!</definedName>
    <definedName name="_VER1">#REF!</definedName>
    <definedName name="_VER2">[3]EST!#REF!</definedName>
    <definedName name="A">#REF!</definedName>
    <definedName name="abc">#REF!</definedName>
    <definedName name="ACO">#REF!</definedName>
    <definedName name="AESTIMATE">#REF!</definedName>
    <definedName name="ALKT99">[2]EST!#REF!</definedName>
    <definedName name="ALTERNATE">#REF!</definedName>
    <definedName name="area">#REF!</definedName>
    <definedName name="AROWS">#REF!</definedName>
    <definedName name="ATRADE">#REF!</definedName>
    <definedName name="BLDGE">#REF!</definedName>
    <definedName name="BLDGS">#REF!</definedName>
    <definedName name="BUI">#REF!</definedName>
    <definedName name="BUTI">[1]EST!#REF!</definedName>
    <definedName name="CABLEEST">#REF!</definedName>
    <definedName name="cablerows">#REF!</definedName>
    <definedName name="CAR">#REF!</definedName>
    <definedName name="CAU">#REF!</definedName>
    <definedName name="CER">#REF!</definedName>
    <definedName name="CESTIMATE">#REF!</definedName>
    <definedName name="CON">#REF!</definedName>
    <definedName name="CONA">#REF!</definedName>
    <definedName name="CONB">#REF!</definedName>
    <definedName name="CONC">#REF!</definedName>
    <definedName name="CONF">#REF!</definedName>
    <definedName name="CONS">#REF!</definedName>
    <definedName name="CONV">[1]EST!#REF!</definedName>
    <definedName name="CONVA">#REF!</definedName>
    <definedName name="CONVB">#REF!</definedName>
    <definedName name="CONVC">#REF!</definedName>
    <definedName name="COST1">#REF!</definedName>
    <definedName name="COST10">#REF!</definedName>
    <definedName name="COST11">#REF!</definedName>
    <definedName name="COST12">#REF!</definedName>
    <definedName name="COST13">#REF!</definedName>
    <definedName name="COST14">#REF!</definedName>
    <definedName name="COST15">#REF!</definedName>
    <definedName name="COST16">#REF!</definedName>
    <definedName name="COST17">#REF!</definedName>
    <definedName name="COST18">#REF!</definedName>
    <definedName name="COST19">#REF!</definedName>
    <definedName name="COST2">#REF!</definedName>
    <definedName name="COST20">#REF!</definedName>
    <definedName name="COST21">#REF!</definedName>
    <definedName name="COST22">#REF!</definedName>
    <definedName name="COST23">#REF!</definedName>
    <definedName name="COST24">#REF!</definedName>
    <definedName name="COST25">#REF!</definedName>
    <definedName name="COST3">#REF!</definedName>
    <definedName name="COST4">#REF!</definedName>
    <definedName name="COST5">#REF!</definedName>
    <definedName name="COST6">#REF!</definedName>
    <definedName name="COST7">#REF!</definedName>
    <definedName name="COST8">#REF!</definedName>
    <definedName name="COST9">#REF!</definedName>
    <definedName name="CROWS">#REF!</definedName>
    <definedName name="CTRADE">#REF!</definedName>
    <definedName name="CTROWS">#REF!</definedName>
    <definedName name="dat">#REF!</definedName>
    <definedName name="DEM">#REF!</definedName>
    <definedName name="DEMOEST">#REF!</definedName>
    <definedName name="DEMOROWS">#REF!</definedName>
    <definedName name="DOO">[1]EST!#REF!</definedName>
    <definedName name="DOOA">#REF!</definedName>
    <definedName name="DOOB">#REF!</definedName>
    <definedName name="DOOC">#REF!</definedName>
    <definedName name="DRY">#REF!</definedName>
    <definedName name="EAR">#REF!</definedName>
    <definedName name="ELE">[1]EST!#REF!</definedName>
    <definedName name="ELEA">#REF!</definedName>
    <definedName name="ELEB">#REF!</definedName>
    <definedName name="ELEC">#REF!</definedName>
    <definedName name="ELEV">#REF!</definedName>
    <definedName name="ELEVATOR">#REF!</definedName>
    <definedName name="ENT">#REF!</definedName>
    <definedName name="EQU">[1]EST!#REF!</definedName>
    <definedName name="EQUA">#REF!</definedName>
    <definedName name="EQUB">#REF!</definedName>
    <definedName name="EQUC">#REF!</definedName>
    <definedName name="EROWS">#REF!</definedName>
    <definedName name="ESCAL">#REF!</definedName>
    <definedName name="ESTIMATE">#REF!</definedName>
    <definedName name="ESTMATE">#REF!</definedName>
    <definedName name="EXC">#REF!</definedName>
    <definedName name="EXT">#REF!</definedName>
    <definedName name="FIN">[1]EST!#REF!</definedName>
    <definedName name="FINA">#REF!</definedName>
    <definedName name="FINB">#REF!</definedName>
    <definedName name="FINC">#REF!</definedName>
    <definedName name="FIR">[1]EST!#REF!</definedName>
    <definedName name="FIRA">#REF!</definedName>
    <definedName name="FIRB">#REF!</definedName>
    <definedName name="FIRC">#REF!</definedName>
    <definedName name="FIRE">#REF!</definedName>
    <definedName name="FITUP">#REF!</definedName>
    <definedName name="FU">#REF!</definedName>
    <definedName name="FUR">[1]EST!#REF!</definedName>
    <definedName name="FURA">#REF!</definedName>
    <definedName name="FURB">#REF!</definedName>
    <definedName name="FURC">#REF!</definedName>
    <definedName name="GEN">[1]EST!#REF!</definedName>
    <definedName name="GENA">#REF!</definedName>
    <definedName name="GENB">#REF!</definedName>
    <definedName name="GENC">#REF!</definedName>
    <definedName name="GLA">#REF!</definedName>
    <definedName name="HAR">#REF!</definedName>
    <definedName name="HCA">[1]EST!#REF!</definedName>
    <definedName name="HOL">#REF!</definedName>
    <definedName name="HVA">#REF!</definedName>
    <definedName name="HVAA">#REF!</definedName>
    <definedName name="HVAB">#REF!</definedName>
    <definedName name="HVAC">#REF!</definedName>
    <definedName name="INFILL">#REF!</definedName>
    <definedName name="INTF">#REF!</definedName>
    <definedName name="INTF2">[3]EST!#REF!</definedName>
    <definedName name="INTP">#REF!</definedName>
    <definedName name="INTP1">#REF!</definedName>
    <definedName name="LAN">#REF!</definedName>
    <definedName name="LC">#REF!</definedName>
    <definedName name="LCL">#REF!</definedName>
    <definedName name="LCLH">[4]mike!#REF!</definedName>
    <definedName name="LCM">#REF!</definedName>
    <definedName name="LCT">#REF!</definedName>
    <definedName name="LCTOHP">#REF!</definedName>
    <definedName name="lehman">#REF!</definedName>
    <definedName name="LF">#REF!</definedName>
    <definedName name="LFL">#REF!</definedName>
    <definedName name="LFLH">[4]mike!#REF!</definedName>
    <definedName name="LFM">#REF!</definedName>
    <definedName name="LFT">#REF!</definedName>
    <definedName name="LFTOHP">#REF!</definedName>
    <definedName name="LOU">#REF!</definedName>
    <definedName name="MAS">[1]EST!#REF!</definedName>
    <definedName name="MASA">#REF!</definedName>
    <definedName name="MASB">#REF!</definedName>
    <definedName name="MASC">#REF!</definedName>
    <definedName name="MED">#REF!</definedName>
    <definedName name="MEPbobrev">#REF!</definedName>
    <definedName name="MET">[1]EST!#REF!</definedName>
    <definedName name="META">#REF!</definedName>
    <definedName name="METB">#REF!</definedName>
    <definedName name="METC">#REF!</definedName>
    <definedName name="MIL">#REF!</definedName>
    <definedName name="MIS">#REF!</definedName>
    <definedName name="MISCS">#REF!</definedName>
    <definedName name="MODERN">#REF!</definedName>
    <definedName name="MU">#REF!</definedName>
    <definedName name="NCONA">#REF!</definedName>
    <definedName name="NCONB">#REF!</definedName>
    <definedName name="NCONC">#REF!</definedName>
    <definedName name="NCONVA">#REF!</definedName>
    <definedName name="NCONVB">#REF!</definedName>
    <definedName name="NCONVC">#REF!</definedName>
    <definedName name="NDOOA">#REF!</definedName>
    <definedName name="NDOOB">#REF!</definedName>
    <definedName name="NDOOC">#REF!</definedName>
    <definedName name="NELEA">#REF!</definedName>
    <definedName name="NELEB">#REF!</definedName>
    <definedName name="NELEC">#REF!</definedName>
    <definedName name="NEQUA">#REF!</definedName>
    <definedName name="NEQUB">#REF!</definedName>
    <definedName name="NEQUC">#REF!</definedName>
    <definedName name="NESTIMATE">#REF!</definedName>
    <definedName name="NFINA">#REF!</definedName>
    <definedName name="NFINB">#REF!</definedName>
    <definedName name="NFINC">#REF!</definedName>
    <definedName name="NFIRA">#REF!</definedName>
    <definedName name="NFIRB">#REF!</definedName>
    <definedName name="NFIRC">#REF!</definedName>
    <definedName name="NFURA">#REF!</definedName>
    <definedName name="NFURB">#REF!</definedName>
    <definedName name="NFURC">#REF!</definedName>
    <definedName name="NGENA">#REF!</definedName>
    <definedName name="NGENB">#REF!</definedName>
    <definedName name="NGENC">#REF!</definedName>
    <definedName name="NHVAA">#REF!</definedName>
    <definedName name="NHVAB">#REF!</definedName>
    <definedName name="NHVAC">#REF!</definedName>
    <definedName name="NMASA">#REF!</definedName>
    <definedName name="NMASB">#REF!</definedName>
    <definedName name="NMASC">#REF!</definedName>
    <definedName name="NMETA">#REF!</definedName>
    <definedName name="NMETB">#REF!</definedName>
    <definedName name="NMETC">#REF!</definedName>
    <definedName name="NP">#REF!</definedName>
    <definedName name="NPLUA">#REF!</definedName>
    <definedName name="NPLUB">#REF!</definedName>
    <definedName name="NPLUC">#REF!</definedName>
    <definedName name="NROWS">#REF!</definedName>
    <definedName name="NSITA">#REF!</definedName>
    <definedName name="NSITB">#REF!</definedName>
    <definedName name="NSITC">#REF!</definedName>
    <definedName name="NSPEA">#REF!</definedName>
    <definedName name="NSPEB">#REF!</definedName>
    <definedName name="NSPEC">#REF!</definedName>
    <definedName name="NTHEA">#REF!</definedName>
    <definedName name="NTHEB">#REF!</definedName>
    <definedName name="NTHEC">#REF!</definedName>
    <definedName name="NTRADE">#REF!</definedName>
    <definedName name="NWOOA">#REF!</definedName>
    <definedName name="NWOOB">#REF!</definedName>
    <definedName name="NWOOC">#REF!</definedName>
    <definedName name="oldtakeoff">#REF!</definedName>
    <definedName name="ORN">#REF!</definedName>
    <definedName name="PAI">#REF!</definedName>
    <definedName name="PC">#REF!</definedName>
    <definedName name="PCL">#REF!</definedName>
    <definedName name="PCLH">[4]mike!#REF!</definedName>
    <definedName name="PCM">#REF!</definedName>
    <definedName name="PCT">#REF!</definedName>
    <definedName name="PCTOHP">#REF!</definedName>
    <definedName name="PE">#REF!</definedName>
    <definedName name="PEL">#REF!</definedName>
    <definedName name="PELH">[4]mike!#REF!</definedName>
    <definedName name="PEM">#REF!</definedName>
    <definedName name="PET">#REF!</definedName>
    <definedName name="PETOHP">#REF!</definedName>
    <definedName name="PLU">[1]EST!#REF!</definedName>
    <definedName name="PLUA">#REF!</definedName>
    <definedName name="PLUB">#REF!</definedName>
    <definedName name="PLUC">#REF!</definedName>
    <definedName name="PRE">#REF!</definedName>
    <definedName name="_xlnm.Print_Area" localSheetId="8">'Central Plant'!$B$1:$M$46</definedName>
    <definedName name="_xlnm.Print_Area">#REF!</definedName>
    <definedName name="Print_Area_MI">#REF!</definedName>
    <definedName name="_xlnm.Print_Titles" localSheetId="8">'Central Plant'!$1:$10</definedName>
    <definedName name="_xlnm.Print_Titles">#REF!</definedName>
    <definedName name="PRINT_TITLES_BOB">#REF!</definedName>
    <definedName name="PRINT_TITLES_MI">#REF!</definedName>
    <definedName name="QUALIFICATION">#REF!</definedName>
    <definedName name="ROA">#REF!</definedName>
    <definedName name="roger">#REF!</definedName>
    <definedName name="ROL">#REF!</definedName>
    <definedName name="ROO">#REF!</definedName>
    <definedName name="ROWS">#REF!</definedName>
    <definedName name="ROWSA">#REF!</definedName>
    <definedName name="SCHEMEA">#REF!</definedName>
    <definedName name="SCHEMEB">#REF!</definedName>
    <definedName name="SCHEMEC">#REF!</definedName>
    <definedName name="SF">#REF!</definedName>
    <definedName name="SHELL">#REF!</definedName>
    <definedName name="SIGN">#REF!</definedName>
    <definedName name="SIT">[1]EST!#REF!</definedName>
    <definedName name="SITA">#REF!</definedName>
    <definedName name="SITB">#REF!</definedName>
    <definedName name="SITC">#REF!</definedName>
    <definedName name="SKY">#REF!</definedName>
    <definedName name="SPA">#REF!</definedName>
    <definedName name="SPE">[1]EST!#REF!</definedName>
    <definedName name="SPEA">#REF!</definedName>
    <definedName name="SPEB">#REF!</definedName>
    <definedName name="SPEC">#REF!</definedName>
    <definedName name="SPR">#REF!</definedName>
    <definedName name="SS">#REF!</definedName>
    <definedName name="SSL">#REF!</definedName>
    <definedName name="SSLH">[4]mike!#REF!</definedName>
    <definedName name="SSM">#REF!</definedName>
    <definedName name="SST">#REF!</definedName>
    <definedName name="SSTOHP">#REF!</definedName>
    <definedName name="STR">#REF!</definedName>
    <definedName name="SUMMARY">#REF!</definedName>
    <definedName name="SUP">#REF!</definedName>
    <definedName name="T">#REF!</definedName>
    <definedName name="TER">#REF!</definedName>
    <definedName name="THE">[1]EST!#REF!</definedName>
    <definedName name="THEA">#REF!</definedName>
    <definedName name="THEB">#REF!</definedName>
    <definedName name="THEC">#REF!</definedName>
    <definedName name="TITLE">#REF!</definedName>
    <definedName name="TOI">#REF!</definedName>
    <definedName name="TRADE">#REF!</definedName>
    <definedName name="TRADEM">#REF!</definedName>
    <definedName name="TRADEN">#REF!</definedName>
    <definedName name="trows">#REF!</definedName>
    <definedName name="UTI">[1]EST!#REF!</definedName>
    <definedName name="UTIL">[3]EST!#REF!</definedName>
    <definedName name="VER">#REF!</definedName>
    <definedName name="WAT">#REF!</definedName>
    <definedName name="WIN">#REF!</definedName>
    <definedName name="WINT">#REF!</definedName>
    <definedName name="WOO">[1]EST!#REF!</definedName>
    <definedName name="WOOA">#REF!</definedName>
    <definedName name="WOOB">#REF!</definedName>
    <definedName name="WOOC">#REF!</definedName>
  </definedNames>
  <calcPr calcId="191028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1" l="1"/>
  <c r="G35" i="11"/>
  <c r="R35" i="11" s="1"/>
  <c r="K34" i="11"/>
  <c r="J34" i="11"/>
  <c r="I28" i="11"/>
  <c r="H28" i="11"/>
  <c r="G27" i="11"/>
  <c r="G28" i="11" s="1"/>
  <c r="K26" i="11"/>
  <c r="J26" i="11"/>
  <c r="K25" i="11"/>
  <c r="L25" i="11" s="1"/>
  <c r="J25" i="11"/>
  <c r="H21" i="11"/>
  <c r="D21" i="11"/>
  <c r="L20" i="11"/>
  <c r="K20" i="11"/>
  <c r="G20" i="11"/>
  <c r="J20" i="11" s="1"/>
  <c r="D20" i="11" s="1"/>
  <c r="G19" i="11"/>
  <c r="J19" i="11" s="1"/>
  <c r="AK18" i="11"/>
  <c r="AJ18" i="11"/>
  <c r="AI18" i="11"/>
  <c r="AG18" i="11"/>
  <c r="Y18" i="11"/>
  <c r="X18" i="11"/>
  <c r="W18" i="11"/>
  <c r="U18" i="11"/>
  <c r="M18" i="11"/>
  <c r="L18" i="11"/>
  <c r="K18" i="11"/>
  <c r="I18" i="11"/>
  <c r="G18" i="11"/>
  <c r="AF18" i="11" s="1"/>
  <c r="AG17" i="11"/>
  <c r="AF17" i="1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6" i="11"/>
  <c r="G21" i="10"/>
  <c r="G21" i="9"/>
  <c r="G21" i="7"/>
  <c r="D21" i="8"/>
  <c r="K21" i="7"/>
  <c r="B18" i="4"/>
  <c r="H21" i="9"/>
  <c r="D21" i="9" s="1"/>
  <c r="G35" i="10"/>
  <c r="R35" i="10" s="1"/>
  <c r="K34" i="10"/>
  <c r="J34" i="10"/>
  <c r="I28" i="10"/>
  <c r="H28" i="10"/>
  <c r="G27" i="10"/>
  <c r="G28" i="10" s="1"/>
  <c r="K26" i="10"/>
  <c r="L26" i="10" s="1"/>
  <c r="J26" i="10"/>
  <c r="K25" i="10"/>
  <c r="L25" i="10" s="1"/>
  <c r="J25" i="10"/>
  <c r="H21" i="10"/>
  <c r="D21" i="10"/>
  <c r="G20" i="10"/>
  <c r="L20" i="10" s="1"/>
  <c r="G19" i="10"/>
  <c r="J19" i="10" s="1"/>
  <c r="AG17" i="10"/>
  <c r="AF17" i="10"/>
  <c r="AE17" i="10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35" i="9"/>
  <c r="R35" i="9" s="1"/>
  <c r="D35" i="9" s="1"/>
  <c r="K34" i="9"/>
  <c r="L34" i="9" s="1"/>
  <c r="M34" i="9" s="1"/>
  <c r="J34" i="9"/>
  <c r="I28" i="9"/>
  <c r="H28" i="9"/>
  <c r="G27" i="9"/>
  <c r="G28" i="9" s="1"/>
  <c r="K26" i="9"/>
  <c r="L26" i="9" s="1"/>
  <c r="J26" i="9"/>
  <c r="K25" i="9"/>
  <c r="L25" i="9" s="1"/>
  <c r="J25" i="9"/>
  <c r="G20" i="9"/>
  <c r="L20" i="9" s="1"/>
  <c r="G19" i="9"/>
  <c r="J19" i="9" s="1"/>
  <c r="AD17" i="9"/>
  <c r="G17" i="9"/>
  <c r="X17" i="9" s="1"/>
  <c r="G35" i="8"/>
  <c r="R35" i="8" s="1"/>
  <c r="D35" i="8" s="1"/>
  <c r="K34" i="8"/>
  <c r="J34" i="8"/>
  <c r="I28" i="8"/>
  <c r="H28" i="8"/>
  <c r="G27" i="8"/>
  <c r="G28" i="8" s="1"/>
  <c r="K26" i="8"/>
  <c r="L26" i="8" s="1"/>
  <c r="M26" i="8" s="1"/>
  <c r="N26" i="8" s="1"/>
  <c r="O26" i="8" s="1"/>
  <c r="P26" i="8" s="1"/>
  <c r="Q26" i="8" s="1"/>
  <c r="R26" i="8" s="1"/>
  <c r="S26" i="8" s="1"/>
  <c r="T26" i="8" s="1"/>
  <c r="U26" i="8" s="1"/>
  <c r="V26" i="8" s="1"/>
  <c r="W26" i="8" s="1"/>
  <c r="X26" i="8" s="1"/>
  <c r="Y26" i="8" s="1"/>
  <c r="Z26" i="8" s="1"/>
  <c r="AA26" i="8" s="1"/>
  <c r="AB26" i="8" s="1"/>
  <c r="AC26" i="8" s="1"/>
  <c r="AD26" i="8" s="1"/>
  <c r="AE26" i="8" s="1"/>
  <c r="AF26" i="8" s="1"/>
  <c r="AG26" i="8" s="1"/>
  <c r="AH26" i="8" s="1"/>
  <c r="AI26" i="8" s="1"/>
  <c r="AJ26" i="8" s="1"/>
  <c r="AK26" i="8" s="1"/>
  <c r="J26" i="8"/>
  <c r="K25" i="8"/>
  <c r="L25" i="8" s="1"/>
  <c r="J25" i="8"/>
  <c r="G20" i="8"/>
  <c r="K20" i="8" s="1"/>
  <c r="G19" i="8"/>
  <c r="J19" i="8" s="1"/>
  <c r="K19" i="8" s="1"/>
  <c r="L19" i="8" s="1"/>
  <c r="M19" i="8" s="1"/>
  <c r="N19" i="8" s="1"/>
  <c r="O19" i="8" s="1"/>
  <c r="P19" i="8" s="1"/>
  <c r="Q19" i="8" s="1"/>
  <c r="R19" i="8" s="1"/>
  <c r="S19" i="8" s="1"/>
  <c r="T19" i="8" s="1"/>
  <c r="U19" i="8" s="1"/>
  <c r="V19" i="8" s="1"/>
  <c r="W19" i="8" s="1"/>
  <c r="X19" i="8" s="1"/>
  <c r="Y19" i="8" s="1"/>
  <c r="Z19" i="8" s="1"/>
  <c r="AA19" i="8" s="1"/>
  <c r="AB19" i="8" s="1"/>
  <c r="AC19" i="8" s="1"/>
  <c r="AD19" i="8" s="1"/>
  <c r="AE19" i="8" s="1"/>
  <c r="AF19" i="8" s="1"/>
  <c r="AG19" i="8" s="1"/>
  <c r="AH19" i="8" s="1"/>
  <c r="AI19" i="8" s="1"/>
  <c r="AJ19" i="8" s="1"/>
  <c r="AK19" i="8" s="1"/>
  <c r="G17" i="8"/>
  <c r="AG17" i="8" s="1"/>
  <c r="B6" i="4"/>
  <c r="G17" i="1"/>
  <c r="I22" i="11" l="1"/>
  <c r="I30" i="11" s="1"/>
  <c r="I38" i="11" s="1"/>
  <c r="G22" i="11"/>
  <c r="D17" i="11"/>
  <c r="M25" i="11"/>
  <c r="K19" i="11"/>
  <c r="L19" i="11" s="1"/>
  <c r="D35" i="11"/>
  <c r="J18" i="11"/>
  <c r="J22" i="11" s="1"/>
  <c r="V18" i="11"/>
  <c r="AH18" i="11"/>
  <c r="L26" i="11"/>
  <c r="M26" i="11" s="1"/>
  <c r="N26" i="11" s="1"/>
  <c r="O26" i="11" s="1"/>
  <c r="P26" i="11" s="1"/>
  <c r="Q26" i="11" s="1"/>
  <c r="R26" i="11" s="1"/>
  <c r="S26" i="11" s="1"/>
  <c r="T26" i="11" s="1"/>
  <c r="U26" i="11" s="1"/>
  <c r="V26" i="11" s="1"/>
  <c r="W26" i="11" s="1"/>
  <c r="X26" i="11" s="1"/>
  <c r="Y26" i="11" s="1"/>
  <c r="Z26" i="11" s="1"/>
  <c r="AA26" i="11" s="1"/>
  <c r="AB26" i="11" s="1"/>
  <c r="AC26" i="11" s="1"/>
  <c r="AD26" i="11" s="1"/>
  <c r="AE26" i="11" s="1"/>
  <c r="AF26" i="11" s="1"/>
  <c r="AG26" i="11" s="1"/>
  <c r="AH26" i="11" s="1"/>
  <c r="AI26" i="11" s="1"/>
  <c r="AJ26" i="11" s="1"/>
  <c r="AK26" i="11" s="1"/>
  <c r="H16" i="11"/>
  <c r="N18" i="11"/>
  <c r="Z18" i="11"/>
  <c r="J27" i="11"/>
  <c r="L34" i="11"/>
  <c r="O18" i="11"/>
  <c r="AA18" i="11"/>
  <c r="K27" i="11"/>
  <c r="P18" i="11"/>
  <c r="AB18" i="11"/>
  <c r="Q18" i="11"/>
  <c r="AC18" i="11"/>
  <c r="R18" i="11"/>
  <c r="AD18" i="11"/>
  <c r="S18" i="11"/>
  <c r="AE18" i="11"/>
  <c r="H18" i="11"/>
  <c r="T18" i="11"/>
  <c r="R17" i="9"/>
  <c r="D17" i="10"/>
  <c r="M25" i="10"/>
  <c r="M26" i="10"/>
  <c r="N26" i="10" s="1"/>
  <c r="O26" i="10" s="1"/>
  <c r="P26" i="10" s="1"/>
  <c r="Q26" i="10" s="1"/>
  <c r="R26" i="10" s="1"/>
  <c r="S26" i="10" s="1"/>
  <c r="T26" i="10" s="1"/>
  <c r="U26" i="10" s="1"/>
  <c r="V26" i="10" s="1"/>
  <c r="W26" i="10" s="1"/>
  <c r="X26" i="10" s="1"/>
  <c r="Y26" i="10" s="1"/>
  <c r="Z26" i="10" s="1"/>
  <c r="AA26" i="10" s="1"/>
  <c r="AB26" i="10" s="1"/>
  <c r="AC26" i="10" s="1"/>
  <c r="AD26" i="10" s="1"/>
  <c r="AE26" i="10" s="1"/>
  <c r="AF26" i="10" s="1"/>
  <c r="AG26" i="10" s="1"/>
  <c r="AH26" i="10" s="1"/>
  <c r="AI26" i="10" s="1"/>
  <c r="AJ26" i="10" s="1"/>
  <c r="AK26" i="10" s="1"/>
  <c r="K19" i="10"/>
  <c r="L19" i="10" s="1"/>
  <c r="M19" i="10" s="1"/>
  <c r="N19" i="10" s="1"/>
  <c r="D35" i="10"/>
  <c r="L34" i="10"/>
  <c r="K27" i="10"/>
  <c r="L27" i="10" s="1"/>
  <c r="M27" i="10" s="1"/>
  <c r="N27" i="10" s="1"/>
  <c r="O27" i="10" s="1"/>
  <c r="P27" i="10" s="1"/>
  <c r="Q27" i="10" s="1"/>
  <c r="R27" i="10" s="1"/>
  <c r="S27" i="10" s="1"/>
  <c r="T27" i="10" s="1"/>
  <c r="U27" i="10" s="1"/>
  <c r="V27" i="10" s="1"/>
  <c r="W27" i="10" s="1"/>
  <c r="X27" i="10" s="1"/>
  <c r="Y27" i="10" s="1"/>
  <c r="Z27" i="10" s="1"/>
  <c r="AA27" i="10" s="1"/>
  <c r="AB27" i="10" s="1"/>
  <c r="AC27" i="10" s="1"/>
  <c r="AD27" i="10" s="1"/>
  <c r="AE27" i="10" s="1"/>
  <c r="AF27" i="10" s="1"/>
  <c r="AG27" i="10" s="1"/>
  <c r="AH27" i="10" s="1"/>
  <c r="AI27" i="10" s="1"/>
  <c r="AJ27" i="10" s="1"/>
  <c r="AK27" i="10" s="1"/>
  <c r="J20" i="10"/>
  <c r="K20" i="10"/>
  <c r="J27" i="10"/>
  <c r="J27" i="9"/>
  <c r="J28" i="9" s="1"/>
  <c r="K27" i="9"/>
  <c r="L27" i="9" s="1"/>
  <c r="M27" i="9" s="1"/>
  <c r="N27" i="9" s="1"/>
  <c r="O27" i="9" s="1"/>
  <c r="P27" i="9" s="1"/>
  <c r="Q27" i="9" s="1"/>
  <c r="R27" i="9" s="1"/>
  <c r="S27" i="9" s="1"/>
  <c r="T27" i="9" s="1"/>
  <c r="U27" i="9" s="1"/>
  <c r="V27" i="9" s="1"/>
  <c r="W27" i="9" s="1"/>
  <c r="X27" i="9" s="1"/>
  <c r="Y27" i="9" s="1"/>
  <c r="Z27" i="9" s="1"/>
  <c r="AA27" i="9" s="1"/>
  <c r="AB27" i="9" s="1"/>
  <c r="AC27" i="9" s="1"/>
  <c r="AD27" i="9" s="1"/>
  <c r="AE27" i="9" s="1"/>
  <c r="AF27" i="9" s="1"/>
  <c r="AG27" i="9" s="1"/>
  <c r="AH27" i="9" s="1"/>
  <c r="AI27" i="9" s="1"/>
  <c r="AJ27" i="9" s="1"/>
  <c r="AK27" i="9" s="1"/>
  <c r="M26" i="9"/>
  <c r="N26" i="9" s="1"/>
  <c r="O26" i="9" s="1"/>
  <c r="P26" i="9" s="1"/>
  <c r="Q26" i="9" s="1"/>
  <c r="R26" i="9" s="1"/>
  <c r="S26" i="9" s="1"/>
  <c r="T26" i="9" s="1"/>
  <c r="U26" i="9" s="1"/>
  <c r="V26" i="9" s="1"/>
  <c r="W26" i="9" s="1"/>
  <c r="X26" i="9" s="1"/>
  <c r="Y26" i="9" s="1"/>
  <c r="Z26" i="9" s="1"/>
  <c r="AA26" i="9" s="1"/>
  <c r="AB26" i="9" s="1"/>
  <c r="AC26" i="9" s="1"/>
  <c r="AD26" i="9" s="1"/>
  <c r="AE26" i="9" s="1"/>
  <c r="AF26" i="9" s="1"/>
  <c r="AG26" i="9" s="1"/>
  <c r="AH26" i="9" s="1"/>
  <c r="AI26" i="9" s="1"/>
  <c r="AJ26" i="9" s="1"/>
  <c r="AK26" i="9" s="1"/>
  <c r="D26" i="9"/>
  <c r="K19" i="9"/>
  <c r="L19" i="9" s="1"/>
  <c r="M19" i="9" s="1"/>
  <c r="N19" i="9" s="1"/>
  <c r="O19" i="9" s="1"/>
  <c r="P19" i="9" s="1"/>
  <c r="Q19" i="9" s="1"/>
  <c r="R19" i="9" s="1"/>
  <c r="S19" i="9" s="1"/>
  <c r="T19" i="9" s="1"/>
  <c r="U19" i="9" s="1"/>
  <c r="V19" i="9" s="1"/>
  <c r="W19" i="9" s="1"/>
  <c r="X19" i="9" s="1"/>
  <c r="Y19" i="9" s="1"/>
  <c r="Z19" i="9" s="1"/>
  <c r="AA19" i="9" s="1"/>
  <c r="AB19" i="9" s="1"/>
  <c r="AC19" i="9" s="1"/>
  <c r="AD19" i="9" s="1"/>
  <c r="AE19" i="9" s="1"/>
  <c r="AF19" i="9" s="1"/>
  <c r="AG19" i="9" s="1"/>
  <c r="AH19" i="9" s="1"/>
  <c r="AI19" i="9" s="1"/>
  <c r="AJ19" i="9" s="1"/>
  <c r="AK19" i="9" s="1"/>
  <c r="N34" i="9"/>
  <c r="M25" i="9"/>
  <c r="AG17" i="9"/>
  <c r="J17" i="9"/>
  <c r="N17" i="9"/>
  <c r="Z17" i="9"/>
  <c r="J20" i="9"/>
  <c r="K17" i="9"/>
  <c r="Y17" i="9"/>
  <c r="O17" i="9"/>
  <c r="AA17" i="9"/>
  <c r="K20" i="9"/>
  <c r="H17" i="9"/>
  <c r="V17" i="9"/>
  <c r="W17" i="9"/>
  <c r="P17" i="9"/>
  <c r="AB17" i="9"/>
  <c r="U17" i="9"/>
  <c r="M17" i="9"/>
  <c r="Q17" i="9"/>
  <c r="AC17" i="9"/>
  <c r="T17" i="9"/>
  <c r="S17" i="9"/>
  <c r="I17" i="9"/>
  <c r="AE17" i="9"/>
  <c r="AF17" i="9"/>
  <c r="L17" i="9"/>
  <c r="H17" i="8"/>
  <c r="J17" i="8"/>
  <c r="K17" i="8"/>
  <c r="L17" i="8"/>
  <c r="X17" i="8"/>
  <c r="Y17" i="8"/>
  <c r="AF17" i="8"/>
  <c r="M17" i="8"/>
  <c r="N17" i="8"/>
  <c r="T17" i="8"/>
  <c r="V17" i="8"/>
  <c r="W17" i="8"/>
  <c r="Z17" i="8"/>
  <c r="M25" i="8"/>
  <c r="D26" i="8"/>
  <c r="J27" i="8"/>
  <c r="J28" i="8" s="1"/>
  <c r="K27" i="8"/>
  <c r="L34" i="8"/>
  <c r="J20" i="8"/>
  <c r="AA17" i="8"/>
  <c r="P17" i="8"/>
  <c r="AB17" i="8"/>
  <c r="L20" i="8"/>
  <c r="Q17" i="8"/>
  <c r="O17" i="8"/>
  <c r="AC17" i="8"/>
  <c r="R17" i="8"/>
  <c r="AD17" i="8"/>
  <c r="D19" i="8"/>
  <c r="S17" i="8"/>
  <c r="AE17" i="8"/>
  <c r="I17" i="8"/>
  <c r="U17" i="8"/>
  <c r="K22" i="11" l="1"/>
  <c r="M19" i="11"/>
  <c r="L22" i="11"/>
  <c r="N25" i="11"/>
  <c r="L27" i="11"/>
  <c r="M27" i="11" s="1"/>
  <c r="N27" i="11" s="1"/>
  <c r="O27" i="11" s="1"/>
  <c r="P27" i="11" s="1"/>
  <c r="Q27" i="11" s="1"/>
  <c r="R27" i="11" s="1"/>
  <c r="S27" i="11" s="1"/>
  <c r="T27" i="11" s="1"/>
  <c r="U27" i="11" s="1"/>
  <c r="V27" i="11" s="1"/>
  <c r="W27" i="11" s="1"/>
  <c r="X27" i="11" s="1"/>
  <c r="Y27" i="11" s="1"/>
  <c r="Z27" i="11" s="1"/>
  <c r="AA27" i="11" s="1"/>
  <c r="AB27" i="11" s="1"/>
  <c r="AC27" i="11" s="1"/>
  <c r="AD27" i="11" s="1"/>
  <c r="AE27" i="11" s="1"/>
  <c r="AF27" i="11" s="1"/>
  <c r="AG27" i="11" s="1"/>
  <c r="AH27" i="11" s="1"/>
  <c r="AI27" i="11" s="1"/>
  <c r="AJ27" i="11" s="1"/>
  <c r="AK27" i="11" s="1"/>
  <c r="K28" i="11"/>
  <c r="H22" i="11"/>
  <c r="H30" i="11" s="1"/>
  <c r="D16" i="11"/>
  <c r="D26" i="11"/>
  <c r="D18" i="11"/>
  <c r="M34" i="11"/>
  <c r="J28" i="11"/>
  <c r="J30" i="11" s="1"/>
  <c r="J38" i="11" s="1"/>
  <c r="K28" i="10"/>
  <c r="L28" i="9"/>
  <c r="K28" i="9"/>
  <c r="M34" i="10"/>
  <c r="D26" i="10"/>
  <c r="D27" i="10"/>
  <c r="O19" i="10"/>
  <c r="D20" i="10"/>
  <c r="J28" i="10"/>
  <c r="L28" i="10"/>
  <c r="N25" i="10"/>
  <c r="M28" i="10"/>
  <c r="D20" i="9"/>
  <c r="D19" i="9"/>
  <c r="D27" i="9"/>
  <c r="M28" i="9"/>
  <c r="N25" i="9"/>
  <c r="O34" i="9"/>
  <c r="D17" i="9"/>
  <c r="D20" i="8"/>
  <c r="D17" i="8"/>
  <c r="M34" i="8"/>
  <c r="L27" i="8"/>
  <c r="K28" i="8"/>
  <c r="N25" i="8"/>
  <c r="K30" i="11" l="1"/>
  <c r="K38" i="11" s="1"/>
  <c r="O25" i="11"/>
  <c r="N28" i="11"/>
  <c r="D27" i="11"/>
  <c r="L28" i="11"/>
  <c r="L30" i="11" s="1"/>
  <c r="L38" i="11" s="1"/>
  <c r="M28" i="11"/>
  <c r="N34" i="11"/>
  <c r="H38" i="11"/>
  <c r="N19" i="11"/>
  <c r="M22" i="11"/>
  <c r="O25" i="10"/>
  <c r="N28" i="10"/>
  <c r="P19" i="10"/>
  <c r="N34" i="10"/>
  <c r="P34" i="9"/>
  <c r="O25" i="9"/>
  <c r="N28" i="9"/>
  <c r="N34" i="8"/>
  <c r="O25" i="8"/>
  <c r="M27" i="8"/>
  <c r="L28" i="8"/>
  <c r="M30" i="11" l="1"/>
  <c r="M38" i="11" s="1"/>
  <c r="O34" i="11"/>
  <c r="O19" i="11"/>
  <c r="N22" i="11"/>
  <c r="N30" i="11" s="1"/>
  <c r="O28" i="11"/>
  <c r="P25" i="11"/>
  <c r="O34" i="10"/>
  <c r="Q19" i="10"/>
  <c r="O28" i="10"/>
  <c r="P25" i="10"/>
  <c r="Q34" i="9"/>
  <c r="O28" i="9"/>
  <c r="P25" i="9"/>
  <c r="N27" i="8"/>
  <c r="M28" i="8"/>
  <c r="P25" i="8"/>
  <c r="O34" i="8"/>
  <c r="P28" i="11" l="1"/>
  <c r="Q25" i="11"/>
  <c r="P19" i="11"/>
  <c r="O22" i="11"/>
  <c r="O30" i="11" s="1"/>
  <c r="O38" i="11" s="1"/>
  <c r="N38" i="11"/>
  <c r="P34" i="11"/>
  <c r="P28" i="10"/>
  <c r="Q25" i="10"/>
  <c r="P34" i="10"/>
  <c r="R19" i="10"/>
  <c r="P28" i="9"/>
  <c r="Q25" i="9"/>
  <c r="R34" i="9"/>
  <c r="Q25" i="8"/>
  <c r="O27" i="8"/>
  <c r="N28" i="8"/>
  <c r="P34" i="8"/>
  <c r="Q19" i="11" l="1"/>
  <c r="P22" i="11"/>
  <c r="P30" i="11" s="1"/>
  <c r="P38" i="11" s="1"/>
  <c r="Q34" i="11"/>
  <c r="R25" i="11"/>
  <c r="Q28" i="11"/>
  <c r="S19" i="10"/>
  <c r="Q34" i="10"/>
  <c r="Q28" i="10"/>
  <c r="R25" i="10"/>
  <c r="S34" i="9"/>
  <c r="Q28" i="9"/>
  <c r="R25" i="9"/>
  <c r="P27" i="8"/>
  <c r="O28" i="8"/>
  <c r="Q34" i="8"/>
  <c r="R25" i="8"/>
  <c r="R28" i="11" l="1"/>
  <c r="S25" i="11"/>
  <c r="R34" i="11"/>
  <c r="R19" i="11"/>
  <c r="Q22" i="11"/>
  <c r="Q30" i="11" s="1"/>
  <c r="Q38" i="11" s="1"/>
  <c r="R34" i="10"/>
  <c r="R28" i="10"/>
  <c r="S25" i="10"/>
  <c r="T19" i="10"/>
  <c r="S25" i="9"/>
  <c r="R28" i="9"/>
  <c r="T34" i="9"/>
  <c r="S25" i="8"/>
  <c r="R34" i="8"/>
  <c r="Q27" i="8"/>
  <c r="P28" i="8"/>
  <c r="S19" i="11" l="1"/>
  <c r="R22" i="11"/>
  <c r="R30" i="11" s="1"/>
  <c r="R38" i="11" s="1"/>
  <c r="S34" i="11"/>
  <c r="S28" i="11"/>
  <c r="T25" i="11"/>
  <c r="U19" i="10"/>
  <c r="S34" i="10"/>
  <c r="S28" i="10"/>
  <c r="T25" i="10"/>
  <c r="U34" i="9"/>
  <c r="T25" i="9"/>
  <c r="S28" i="9"/>
  <c r="R27" i="8"/>
  <c r="Q28" i="8"/>
  <c r="S34" i="8"/>
  <c r="T25" i="8"/>
  <c r="T28" i="11" l="1"/>
  <c r="U25" i="11"/>
  <c r="T34" i="11"/>
  <c r="T19" i="11"/>
  <c r="S22" i="11"/>
  <c r="S30" i="11" s="1"/>
  <c r="S38" i="11" s="1"/>
  <c r="T34" i="10"/>
  <c r="T28" i="10"/>
  <c r="U25" i="10"/>
  <c r="V19" i="10"/>
  <c r="V34" i="9"/>
  <c r="T28" i="9"/>
  <c r="U25" i="9"/>
  <c r="T34" i="8"/>
  <c r="U25" i="8"/>
  <c r="S27" i="8"/>
  <c r="R28" i="8"/>
  <c r="U19" i="11" l="1"/>
  <c r="T22" i="11"/>
  <c r="T30" i="11" s="1"/>
  <c r="T38" i="11" s="1"/>
  <c r="V25" i="11"/>
  <c r="U28" i="11"/>
  <c r="U34" i="11"/>
  <c r="W19" i="10"/>
  <c r="U28" i="10"/>
  <c r="V25" i="10"/>
  <c r="U34" i="10"/>
  <c r="W34" i="9"/>
  <c r="V25" i="9"/>
  <c r="U28" i="9"/>
  <c r="T27" i="8"/>
  <c r="S28" i="8"/>
  <c r="U34" i="8"/>
  <c r="V25" i="8"/>
  <c r="V34" i="11" l="1"/>
  <c r="W25" i="11"/>
  <c r="V28" i="11"/>
  <c r="V19" i="11"/>
  <c r="U22" i="11"/>
  <c r="U30" i="11" s="1"/>
  <c r="U38" i="11" s="1"/>
  <c r="W25" i="10"/>
  <c r="V28" i="10"/>
  <c r="V34" i="10"/>
  <c r="X19" i="10"/>
  <c r="W25" i="9"/>
  <c r="V28" i="9"/>
  <c r="X34" i="9"/>
  <c r="W25" i="8"/>
  <c r="V34" i="8"/>
  <c r="U27" i="8"/>
  <c r="T28" i="8"/>
  <c r="W19" i="11" l="1"/>
  <c r="V22" i="11"/>
  <c r="V30" i="11" s="1"/>
  <c r="V38" i="11" s="1"/>
  <c r="X25" i="11"/>
  <c r="W28" i="11"/>
  <c r="W34" i="11"/>
  <c r="Y19" i="10"/>
  <c r="W34" i="10"/>
  <c r="X25" i="10"/>
  <c r="W28" i="10"/>
  <c r="Y34" i="9"/>
  <c r="X25" i="9"/>
  <c r="W28" i="9"/>
  <c r="V27" i="8"/>
  <c r="U28" i="8"/>
  <c r="W34" i="8"/>
  <c r="X25" i="8"/>
  <c r="X34" i="11" l="1"/>
  <c r="X28" i="11"/>
  <c r="Y25" i="11"/>
  <c r="X19" i="11"/>
  <c r="W22" i="11"/>
  <c r="W30" i="11" s="1"/>
  <c r="W38" i="11" s="1"/>
  <c r="Y25" i="10"/>
  <c r="X28" i="10"/>
  <c r="X34" i="10"/>
  <c r="Z19" i="10"/>
  <c r="Y25" i="9"/>
  <c r="X28" i="9"/>
  <c r="Z34" i="9"/>
  <c r="Y25" i="8"/>
  <c r="X34" i="8"/>
  <c r="W27" i="8"/>
  <c r="V28" i="8"/>
  <c r="Y19" i="11" l="1"/>
  <c r="X22" i="11"/>
  <c r="Z25" i="11"/>
  <c r="Y28" i="11"/>
  <c r="X30" i="11"/>
  <c r="X38" i="11" s="1"/>
  <c r="Y34" i="11"/>
  <c r="AA19" i="10"/>
  <c r="Y34" i="10"/>
  <c r="Y28" i="10"/>
  <c r="Z25" i="10"/>
  <c r="AA34" i="9"/>
  <c r="Z25" i="9"/>
  <c r="Y28" i="9"/>
  <c r="X27" i="8"/>
  <c r="W28" i="8"/>
  <c r="Y34" i="8"/>
  <c r="Z25" i="8"/>
  <c r="Z34" i="11" l="1"/>
  <c r="AA25" i="11"/>
  <c r="Z28" i="11"/>
  <c r="Z19" i="11"/>
  <c r="Y22" i="11"/>
  <c r="Y30" i="11" s="1"/>
  <c r="Y38" i="11" s="1"/>
  <c r="AA25" i="10"/>
  <c r="Z28" i="10"/>
  <c r="Z34" i="10"/>
  <c r="AB19" i="10"/>
  <c r="AA25" i="9"/>
  <c r="Z28" i="9"/>
  <c r="AB34" i="9"/>
  <c r="AA25" i="8"/>
  <c r="Z34" i="8"/>
  <c r="Y27" i="8"/>
  <c r="X28" i="8"/>
  <c r="AA19" i="11" l="1"/>
  <c r="Z22" i="11"/>
  <c r="Z30" i="11" s="1"/>
  <c r="Z38" i="11" s="1"/>
  <c r="AA28" i="11"/>
  <c r="AB25" i="11"/>
  <c r="AA34" i="11"/>
  <c r="AC19" i="10"/>
  <c r="AA34" i="10"/>
  <c r="AA28" i="10"/>
  <c r="AB25" i="10"/>
  <c r="AC34" i="9"/>
  <c r="AA28" i="9"/>
  <c r="AB25" i="9"/>
  <c r="Z27" i="8"/>
  <c r="Y28" i="8"/>
  <c r="AA34" i="8"/>
  <c r="AB25" i="8"/>
  <c r="AB34" i="11" l="1"/>
  <c r="AB28" i="11"/>
  <c r="AC25" i="11"/>
  <c r="AB19" i="11"/>
  <c r="AA22" i="11"/>
  <c r="AA30" i="11" s="1"/>
  <c r="AA38" i="11" s="1"/>
  <c r="AB28" i="10"/>
  <c r="AC25" i="10"/>
  <c r="AB34" i="10"/>
  <c r="AD19" i="10"/>
  <c r="AC25" i="9"/>
  <c r="AB28" i="9"/>
  <c r="AD34" i="9"/>
  <c r="AC25" i="8"/>
  <c r="AB34" i="8"/>
  <c r="AA27" i="8"/>
  <c r="Z28" i="8"/>
  <c r="AC28" i="11" l="1"/>
  <c r="AD25" i="11"/>
  <c r="AC34" i="11"/>
  <c r="AC19" i="11"/>
  <c r="AB22" i="11"/>
  <c r="AB30" i="11" s="1"/>
  <c r="AB38" i="11" s="1"/>
  <c r="AC34" i="10"/>
  <c r="AE19" i="10"/>
  <c r="AC28" i="10"/>
  <c r="AD25" i="10"/>
  <c r="AE34" i="9"/>
  <c r="AD25" i="9"/>
  <c r="AC28" i="9"/>
  <c r="AB27" i="8"/>
  <c r="AA28" i="8"/>
  <c r="AC34" i="8"/>
  <c r="AD25" i="8"/>
  <c r="AD34" i="11" l="1"/>
  <c r="AD28" i="11"/>
  <c r="AE25" i="11"/>
  <c r="AD19" i="11"/>
  <c r="AC22" i="11"/>
  <c r="AC30" i="11" s="1"/>
  <c r="AC38" i="11" s="1"/>
  <c r="AF19" i="10"/>
  <c r="AD28" i="10"/>
  <c r="AE25" i="10"/>
  <c r="AD34" i="10"/>
  <c r="AE25" i="9"/>
  <c r="AD28" i="9"/>
  <c r="AF34" i="9"/>
  <c r="AE25" i="8"/>
  <c r="AD34" i="8"/>
  <c r="AC27" i="8"/>
  <c r="AB28" i="8"/>
  <c r="AE19" i="11" l="1"/>
  <c r="AD22" i="11"/>
  <c r="AD30" i="11" s="1"/>
  <c r="AD38" i="11" s="1"/>
  <c r="AE28" i="11"/>
  <c r="AF25" i="11"/>
  <c r="AE34" i="11"/>
  <c r="AE34" i="10"/>
  <c r="AE28" i="10"/>
  <c r="AF25" i="10"/>
  <c r="AG19" i="10"/>
  <c r="AG34" i="9"/>
  <c r="AE28" i="9"/>
  <c r="AF25" i="9"/>
  <c r="AD27" i="8"/>
  <c r="AC28" i="8"/>
  <c r="AE34" i="8"/>
  <c r="AF25" i="8"/>
  <c r="AF28" i="11" l="1"/>
  <c r="AG25" i="11"/>
  <c r="AF34" i="11"/>
  <c r="AF19" i="11"/>
  <c r="AE22" i="11"/>
  <c r="AE30" i="11" s="1"/>
  <c r="AE38" i="11" s="1"/>
  <c r="AH19" i="10"/>
  <c r="D19" i="10"/>
  <c r="AF34" i="10"/>
  <c r="AF28" i="10"/>
  <c r="AG25" i="10"/>
  <c r="AF28" i="9"/>
  <c r="AG25" i="9"/>
  <c r="D34" i="9"/>
  <c r="D36" i="9" s="1"/>
  <c r="AF34" i="8"/>
  <c r="AG25" i="8"/>
  <c r="AE27" i="8"/>
  <c r="AD28" i="8"/>
  <c r="AG34" i="11" l="1"/>
  <c r="AG19" i="11"/>
  <c r="AF22" i="11"/>
  <c r="AH25" i="11"/>
  <c r="AG28" i="11"/>
  <c r="D25" i="11"/>
  <c r="D28" i="11" s="1"/>
  <c r="AF30" i="11"/>
  <c r="AF38" i="11" s="1"/>
  <c r="AH25" i="10"/>
  <c r="AG28" i="10"/>
  <c r="D25" i="10"/>
  <c r="D28" i="10" s="1"/>
  <c r="AG34" i="10"/>
  <c r="AI19" i="10"/>
  <c r="AH25" i="9"/>
  <c r="AG28" i="9"/>
  <c r="D25" i="9"/>
  <c r="D28" i="9" s="1"/>
  <c r="AF27" i="8"/>
  <c r="AE28" i="8"/>
  <c r="AG34" i="8"/>
  <c r="AH25" i="8"/>
  <c r="D25" i="8"/>
  <c r="AH19" i="11" l="1"/>
  <c r="AG22" i="11"/>
  <c r="AG30" i="11" s="1"/>
  <c r="D19" i="11"/>
  <c r="D22" i="11" s="1"/>
  <c r="D30" i="11" s="1"/>
  <c r="D34" i="11"/>
  <c r="D36" i="11" s="1"/>
  <c r="AI25" i="11"/>
  <c r="AH28" i="11"/>
  <c r="D34" i="10"/>
  <c r="D36" i="10" s="1"/>
  <c r="AJ19" i="10"/>
  <c r="AH28" i="10"/>
  <c r="AI25" i="10"/>
  <c r="AI25" i="9"/>
  <c r="AH28" i="9"/>
  <c r="AI25" i="8"/>
  <c r="D34" i="8"/>
  <c r="D36" i="8" s="1"/>
  <c r="AG27" i="8"/>
  <c r="AF28" i="8"/>
  <c r="D31" i="11" l="1"/>
  <c r="AG38" i="11"/>
  <c r="D39" i="11" s="1"/>
  <c r="AP12" i="11"/>
  <c r="AP23" i="11"/>
  <c r="AI28" i="11"/>
  <c r="AJ25" i="11"/>
  <c r="AI19" i="11"/>
  <c r="AH22" i="11"/>
  <c r="AH30" i="11" s="1"/>
  <c r="D32" i="11"/>
  <c r="D40" i="11"/>
  <c r="D38" i="11"/>
  <c r="AK19" i="10"/>
  <c r="AJ25" i="10"/>
  <c r="AI28" i="10"/>
  <c r="AI28" i="9"/>
  <c r="AJ25" i="9"/>
  <c r="AH27" i="8"/>
  <c r="D27" i="8"/>
  <c r="D28" i="8" s="1"/>
  <c r="AG28" i="8"/>
  <c r="AJ25" i="8"/>
  <c r="AK25" i="11" l="1"/>
  <c r="AK28" i="11" s="1"/>
  <c r="AJ28" i="11"/>
  <c r="AJ19" i="11"/>
  <c r="AI22" i="11"/>
  <c r="AI30" i="11" s="1"/>
  <c r="AK25" i="10"/>
  <c r="AK28" i="10" s="1"/>
  <c r="AJ28" i="10"/>
  <c r="AJ28" i="9"/>
  <c r="AK25" i="9"/>
  <c r="AK28" i="9" s="1"/>
  <c r="AK25" i="8"/>
  <c r="AI27" i="8"/>
  <c r="AH28" i="8"/>
  <c r="AK19" i="11" l="1"/>
  <c r="AK22" i="11" s="1"/>
  <c r="AK30" i="11" s="1"/>
  <c r="AJ22" i="11"/>
  <c r="AJ30" i="11" s="1"/>
  <c r="AJ27" i="8"/>
  <c r="AI28" i="8"/>
  <c r="AK27" i="8" l="1"/>
  <c r="AK28" i="8" s="1"/>
  <c r="AJ28" i="8"/>
  <c r="B8" i="4" l="1"/>
  <c r="G20" i="1"/>
  <c r="L21" i="3"/>
  <c r="L25" i="3" s="1"/>
  <c r="G20" i="5"/>
  <c r="G35" i="6"/>
  <c r="R35" i="6" s="1"/>
  <c r="D35" i="6" s="1"/>
  <c r="G35" i="5"/>
  <c r="R35" i="5" s="1"/>
  <c r="D35" i="5" s="1"/>
  <c r="R35" i="7"/>
  <c r="G35" i="7"/>
  <c r="K34" i="6"/>
  <c r="L34" i="6" s="1"/>
  <c r="J34" i="6"/>
  <c r="K34" i="5"/>
  <c r="L34" i="5" s="1"/>
  <c r="J34" i="5"/>
  <c r="K34" i="7"/>
  <c r="J34" i="7"/>
  <c r="K21" i="6"/>
  <c r="H21" i="6"/>
  <c r="G21" i="6"/>
  <c r="G20" i="6"/>
  <c r="K21" i="5"/>
  <c r="H21" i="5"/>
  <c r="D21" i="5" s="1"/>
  <c r="G21" i="5"/>
  <c r="H21" i="7"/>
  <c r="G27" i="6"/>
  <c r="G27" i="7"/>
  <c r="G27" i="5"/>
  <c r="G35" i="1"/>
  <c r="G19" i="5"/>
  <c r="G19" i="6"/>
  <c r="M34" i="6" l="1"/>
  <c r="M34" i="5"/>
  <c r="D35" i="7"/>
  <c r="L34" i="7"/>
  <c r="N34" i="6" l="1"/>
  <c r="N34" i="5"/>
  <c r="M34" i="7"/>
  <c r="O34" i="6" l="1"/>
  <c r="O34" i="5"/>
  <c r="N34" i="7"/>
  <c r="P34" i="6" l="1"/>
  <c r="P34" i="5"/>
  <c r="O34" i="7"/>
  <c r="Q34" i="6" l="1"/>
  <c r="Q34" i="5"/>
  <c r="P34" i="7"/>
  <c r="R34" i="6" l="1"/>
  <c r="R34" i="5"/>
  <c r="Q34" i="7"/>
  <c r="R34" i="7" s="1"/>
  <c r="S34" i="6" l="1"/>
  <c r="S34" i="5"/>
  <c r="T34" i="6" l="1"/>
  <c r="T34" i="5"/>
  <c r="S34" i="7"/>
  <c r="U34" i="6" l="1"/>
  <c r="U34" i="5"/>
  <c r="T34" i="7"/>
  <c r="V34" i="6" l="1"/>
  <c r="V34" i="5"/>
  <c r="U34" i="7"/>
  <c r="W34" i="6" l="1"/>
  <c r="W34" i="5"/>
  <c r="V34" i="7"/>
  <c r="X34" i="6" l="1"/>
  <c r="X34" i="5"/>
  <c r="W34" i="7"/>
  <c r="Y34" i="6" l="1"/>
  <c r="Y34" i="5"/>
  <c r="X34" i="7"/>
  <c r="Z34" i="6" l="1"/>
  <c r="Z34" i="5"/>
  <c r="Y34" i="7"/>
  <c r="AA34" i="6" l="1"/>
  <c r="AA34" i="5"/>
  <c r="Z34" i="7"/>
  <c r="AB34" i="6" l="1"/>
  <c r="AB34" i="5"/>
  <c r="AA34" i="7"/>
  <c r="AC34" i="6" l="1"/>
  <c r="AC34" i="5"/>
  <c r="AB34" i="7"/>
  <c r="AD34" i="6" l="1"/>
  <c r="AD34" i="5"/>
  <c r="AC34" i="7"/>
  <c r="AE34" i="6" l="1"/>
  <c r="AE34" i="5"/>
  <c r="AD34" i="7"/>
  <c r="AF34" i="6" l="1"/>
  <c r="AF34" i="5"/>
  <c r="AE34" i="7"/>
  <c r="AG34" i="6" l="1"/>
  <c r="AG34" i="5"/>
  <c r="AF34" i="7"/>
  <c r="J19" i="6"/>
  <c r="J19" i="5"/>
  <c r="K19" i="5" s="1"/>
  <c r="I5" i="3"/>
  <c r="G18" i="6"/>
  <c r="W18" i="6" s="1"/>
  <c r="L20" i="6"/>
  <c r="G20" i="7"/>
  <c r="I28" i="7"/>
  <c r="H28" i="7"/>
  <c r="K26" i="7"/>
  <c r="L26" i="7" s="1"/>
  <c r="M26" i="7" s="1"/>
  <c r="J26" i="7"/>
  <c r="K25" i="7"/>
  <c r="L25" i="7" s="1"/>
  <c r="J25" i="7"/>
  <c r="D21" i="7"/>
  <c r="G19" i="7"/>
  <c r="J19" i="7" s="1"/>
  <c r="G17" i="7"/>
  <c r="AG17" i="7" s="1"/>
  <c r="I28" i="6"/>
  <c r="H28" i="6"/>
  <c r="K27" i="6"/>
  <c r="L27" i="6" s="1"/>
  <c r="M27" i="6" s="1"/>
  <c r="N27" i="6" s="1"/>
  <c r="O27" i="6" s="1"/>
  <c r="P27" i="6" s="1"/>
  <c r="Q27" i="6" s="1"/>
  <c r="R27" i="6" s="1"/>
  <c r="S27" i="6" s="1"/>
  <c r="T27" i="6" s="1"/>
  <c r="U27" i="6" s="1"/>
  <c r="V27" i="6" s="1"/>
  <c r="W27" i="6" s="1"/>
  <c r="X27" i="6" s="1"/>
  <c r="Y27" i="6" s="1"/>
  <c r="Z27" i="6" s="1"/>
  <c r="AA27" i="6" s="1"/>
  <c r="AB27" i="6" s="1"/>
  <c r="AC27" i="6" s="1"/>
  <c r="AD27" i="6" s="1"/>
  <c r="AE27" i="6" s="1"/>
  <c r="AF27" i="6" s="1"/>
  <c r="AG27" i="6" s="1"/>
  <c r="AH27" i="6" s="1"/>
  <c r="AI27" i="6" s="1"/>
  <c r="AJ27" i="6" s="1"/>
  <c r="AK27" i="6" s="1"/>
  <c r="J27" i="6"/>
  <c r="G28" i="6"/>
  <c r="K26" i="6"/>
  <c r="J26" i="6"/>
  <c r="K25" i="6"/>
  <c r="J25" i="6"/>
  <c r="D21" i="6"/>
  <c r="K20" i="6"/>
  <c r="J20" i="6"/>
  <c r="AJ18" i="6"/>
  <c r="X18" i="6"/>
  <c r="V18" i="6"/>
  <c r="N18" i="6"/>
  <c r="J18" i="6"/>
  <c r="AB18" i="6"/>
  <c r="AD17" i="6"/>
  <c r="AC17" i="6"/>
  <c r="AB17" i="6"/>
  <c r="AA17" i="6"/>
  <c r="Z17" i="6"/>
  <c r="R17" i="6"/>
  <c r="Q17" i="6"/>
  <c r="P17" i="6"/>
  <c r="O17" i="6"/>
  <c r="N17" i="6"/>
  <c r="I17" i="6"/>
  <c r="AF17" i="6"/>
  <c r="G16" i="6"/>
  <c r="I28" i="5"/>
  <c r="H28" i="5"/>
  <c r="J27" i="5"/>
  <c r="G28" i="5"/>
  <c r="K26" i="5"/>
  <c r="L26" i="5" s="1"/>
  <c r="M26" i="5" s="1"/>
  <c r="N26" i="5" s="1"/>
  <c r="O26" i="5" s="1"/>
  <c r="P26" i="5" s="1"/>
  <c r="Q26" i="5" s="1"/>
  <c r="R26" i="5" s="1"/>
  <c r="S26" i="5" s="1"/>
  <c r="T26" i="5" s="1"/>
  <c r="U26" i="5" s="1"/>
  <c r="V26" i="5" s="1"/>
  <c r="W26" i="5" s="1"/>
  <c r="X26" i="5" s="1"/>
  <c r="Y26" i="5" s="1"/>
  <c r="Z26" i="5" s="1"/>
  <c r="AA26" i="5" s="1"/>
  <c r="AB26" i="5" s="1"/>
  <c r="AC26" i="5" s="1"/>
  <c r="AD26" i="5" s="1"/>
  <c r="AE26" i="5" s="1"/>
  <c r="AF26" i="5" s="1"/>
  <c r="AG26" i="5" s="1"/>
  <c r="AH26" i="5" s="1"/>
  <c r="AI26" i="5" s="1"/>
  <c r="AJ26" i="5" s="1"/>
  <c r="AK26" i="5" s="1"/>
  <c r="J26" i="5"/>
  <c r="K25" i="5"/>
  <c r="L25" i="5" s="1"/>
  <c r="J25" i="5"/>
  <c r="J20" i="5"/>
  <c r="K20" i="5"/>
  <c r="AG17" i="5"/>
  <c r="AF17" i="5"/>
  <c r="AD17" i="5"/>
  <c r="AC17" i="5"/>
  <c r="AB17" i="5"/>
  <c r="AA17" i="5"/>
  <c r="Z17" i="5"/>
  <c r="Y17" i="5"/>
  <c r="X17" i="5"/>
  <c r="W17" i="5"/>
  <c r="V17" i="5"/>
  <c r="U17" i="5"/>
  <c r="T17" i="5"/>
  <c r="R17" i="5"/>
  <c r="Q17" i="5"/>
  <c r="P17" i="5"/>
  <c r="O17" i="5"/>
  <c r="N17" i="5"/>
  <c r="M17" i="5"/>
  <c r="L17" i="5"/>
  <c r="K17" i="5"/>
  <c r="J17" i="5"/>
  <c r="I17" i="5"/>
  <c r="H17" i="5"/>
  <c r="AE17" i="5"/>
  <c r="Y18" i="6" l="1"/>
  <c r="Z18" i="6"/>
  <c r="AH18" i="6"/>
  <c r="AI18" i="6"/>
  <c r="K18" i="6"/>
  <c r="AK18" i="6"/>
  <c r="L18" i="6"/>
  <c r="M18" i="6"/>
  <c r="D34" i="6"/>
  <c r="D36" i="6" s="1"/>
  <c r="D34" i="5"/>
  <c r="D36" i="5" s="1"/>
  <c r="AG34" i="7"/>
  <c r="Q17" i="7"/>
  <c r="R17" i="7"/>
  <c r="Y17" i="7"/>
  <c r="Z17" i="7"/>
  <c r="AA17" i="7"/>
  <c r="AB17" i="7"/>
  <c r="AC17" i="7"/>
  <c r="AD17" i="7"/>
  <c r="M17" i="7"/>
  <c r="N17" i="7"/>
  <c r="O17" i="7"/>
  <c r="P17" i="7"/>
  <c r="J28" i="6"/>
  <c r="J28" i="5"/>
  <c r="G22" i="6"/>
  <c r="D20" i="6"/>
  <c r="N26" i="7"/>
  <c r="O26" i="7" s="1"/>
  <c r="P26" i="7" s="1"/>
  <c r="Q26" i="7" s="1"/>
  <c r="R26" i="7" s="1"/>
  <c r="S26" i="7" s="1"/>
  <c r="T26" i="7" s="1"/>
  <c r="U26" i="7" s="1"/>
  <c r="V26" i="7" s="1"/>
  <c r="W26" i="7" s="1"/>
  <c r="X26" i="7" s="1"/>
  <c r="Y26" i="7" s="1"/>
  <c r="Z26" i="7" s="1"/>
  <c r="AA26" i="7" s="1"/>
  <c r="AB26" i="7" s="1"/>
  <c r="AC26" i="7" s="1"/>
  <c r="AD26" i="7" s="1"/>
  <c r="AE26" i="7" s="1"/>
  <c r="AF26" i="7" s="1"/>
  <c r="AG26" i="7" s="1"/>
  <c r="AH26" i="7" s="1"/>
  <c r="AI26" i="7" s="1"/>
  <c r="AJ26" i="7" s="1"/>
  <c r="AK26" i="7" s="1"/>
  <c r="M25" i="7"/>
  <c r="K19" i="7"/>
  <c r="L19" i="7" s="1"/>
  <c r="M19" i="7" s="1"/>
  <c r="N19" i="7" s="1"/>
  <c r="O19" i="7" s="1"/>
  <c r="P19" i="7" s="1"/>
  <c r="Q19" i="7" s="1"/>
  <c r="R19" i="7" s="1"/>
  <c r="S19" i="7" s="1"/>
  <c r="T19" i="7" s="1"/>
  <c r="U19" i="7" s="1"/>
  <c r="V19" i="7" s="1"/>
  <c r="W19" i="7" s="1"/>
  <c r="X19" i="7" s="1"/>
  <c r="Y19" i="7" s="1"/>
  <c r="Z19" i="7" s="1"/>
  <c r="AA19" i="7" s="1"/>
  <c r="AB19" i="7" s="1"/>
  <c r="AC19" i="7" s="1"/>
  <c r="AD19" i="7" s="1"/>
  <c r="AE19" i="7" s="1"/>
  <c r="AF19" i="7" s="1"/>
  <c r="AG19" i="7" s="1"/>
  <c r="AH19" i="7" s="1"/>
  <c r="AI19" i="7" s="1"/>
  <c r="AJ19" i="7" s="1"/>
  <c r="AK19" i="7" s="1"/>
  <c r="L20" i="7"/>
  <c r="K20" i="7"/>
  <c r="J20" i="7"/>
  <c r="G28" i="7"/>
  <c r="K27" i="7"/>
  <c r="L27" i="7" s="1"/>
  <c r="M27" i="7" s="1"/>
  <c r="N27" i="7" s="1"/>
  <c r="J27" i="7"/>
  <c r="J17" i="7"/>
  <c r="S17" i="7"/>
  <c r="AE17" i="7"/>
  <c r="T17" i="7"/>
  <c r="V17" i="7"/>
  <c r="K17" i="7"/>
  <c r="W17" i="7"/>
  <c r="L17" i="7"/>
  <c r="X17" i="7"/>
  <c r="H17" i="7"/>
  <c r="AF17" i="7"/>
  <c r="I17" i="7"/>
  <c r="U17" i="7"/>
  <c r="K28" i="6"/>
  <c r="K19" i="6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K22" i="6" s="1"/>
  <c r="D27" i="6"/>
  <c r="L25" i="6"/>
  <c r="AG17" i="6"/>
  <c r="Q18" i="6"/>
  <c r="J17" i="6"/>
  <c r="J22" i="6" s="1"/>
  <c r="V17" i="6"/>
  <c r="R18" i="6"/>
  <c r="AD18" i="6"/>
  <c r="L26" i="6"/>
  <c r="M26" i="6" s="1"/>
  <c r="N26" i="6" s="1"/>
  <c r="O26" i="6" s="1"/>
  <c r="P26" i="6" s="1"/>
  <c r="Q26" i="6" s="1"/>
  <c r="R26" i="6" s="1"/>
  <c r="S26" i="6" s="1"/>
  <c r="T26" i="6" s="1"/>
  <c r="U26" i="6" s="1"/>
  <c r="V26" i="6" s="1"/>
  <c r="W26" i="6" s="1"/>
  <c r="X26" i="6" s="1"/>
  <c r="Y26" i="6" s="1"/>
  <c r="Z26" i="6" s="1"/>
  <c r="AA26" i="6" s="1"/>
  <c r="AB26" i="6" s="1"/>
  <c r="AC26" i="6" s="1"/>
  <c r="AD26" i="6" s="1"/>
  <c r="AE26" i="6" s="1"/>
  <c r="AF26" i="6" s="1"/>
  <c r="AG26" i="6" s="1"/>
  <c r="AH26" i="6" s="1"/>
  <c r="AI26" i="6" s="1"/>
  <c r="AJ26" i="6" s="1"/>
  <c r="AK26" i="6" s="1"/>
  <c r="AE18" i="6"/>
  <c r="L17" i="6"/>
  <c r="X17" i="6"/>
  <c r="H18" i="6"/>
  <c r="T18" i="6"/>
  <c r="AF18" i="6"/>
  <c r="U17" i="6"/>
  <c r="AC18" i="6"/>
  <c r="K17" i="6"/>
  <c r="W17" i="6"/>
  <c r="S18" i="6"/>
  <c r="M17" i="6"/>
  <c r="Y17" i="6"/>
  <c r="I18" i="6"/>
  <c r="I22" i="6" s="1"/>
  <c r="I30" i="6" s="1"/>
  <c r="I38" i="6" s="1"/>
  <c r="U18" i="6"/>
  <c r="AG18" i="6"/>
  <c r="H16" i="6"/>
  <c r="S17" i="6"/>
  <c r="AE17" i="6"/>
  <c r="O18" i="6"/>
  <c r="AA18" i="6"/>
  <c r="H17" i="6"/>
  <c r="T17" i="6"/>
  <c r="P18" i="6"/>
  <c r="P22" i="6" s="1"/>
  <c r="M25" i="5"/>
  <c r="L19" i="5"/>
  <c r="M19" i="5" s="1"/>
  <c r="N19" i="5" s="1"/>
  <c r="O19" i="5" s="1"/>
  <c r="P19" i="5" s="1"/>
  <c r="Q19" i="5" s="1"/>
  <c r="R19" i="5" s="1"/>
  <c r="S19" i="5" s="1"/>
  <c r="T19" i="5" s="1"/>
  <c r="U19" i="5" s="1"/>
  <c r="V19" i="5" s="1"/>
  <c r="W19" i="5" s="1"/>
  <c r="X19" i="5" s="1"/>
  <c r="Y19" i="5" s="1"/>
  <c r="Z19" i="5" s="1"/>
  <c r="AA19" i="5" s="1"/>
  <c r="AB19" i="5" s="1"/>
  <c r="AC19" i="5" s="1"/>
  <c r="AD19" i="5" s="1"/>
  <c r="AE19" i="5" s="1"/>
  <c r="AF19" i="5" s="1"/>
  <c r="AG19" i="5" s="1"/>
  <c r="AH19" i="5" s="1"/>
  <c r="AI19" i="5" s="1"/>
  <c r="AJ19" i="5" s="1"/>
  <c r="AK19" i="5" s="1"/>
  <c r="D26" i="5"/>
  <c r="L20" i="5"/>
  <c r="D20" i="5" s="1"/>
  <c r="K27" i="5"/>
  <c r="L27" i="5" s="1"/>
  <c r="M27" i="5" s="1"/>
  <c r="N27" i="5" s="1"/>
  <c r="O27" i="5" s="1"/>
  <c r="P27" i="5" s="1"/>
  <c r="Q27" i="5" s="1"/>
  <c r="R27" i="5" s="1"/>
  <c r="S27" i="5" s="1"/>
  <c r="T27" i="5" s="1"/>
  <c r="U27" i="5" s="1"/>
  <c r="V27" i="5" s="1"/>
  <c r="W27" i="5" s="1"/>
  <c r="X27" i="5" s="1"/>
  <c r="Y27" i="5" s="1"/>
  <c r="Z27" i="5" s="1"/>
  <c r="AA27" i="5" s="1"/>
  <c r="AB27" i="5" s="1"/>
  <c r="AC27" i="5" s="1"/>
  <c r="AD27" i="5" s="1"/>
  <c r="AE27" i="5" s="1"/>
  <c r="AF27" i="5" s="1"/>
  <c r="AG27" i="5" s="1"/>
  <c r="AH27" i="5" s="1"/>
  <c r="AI27" i="5" s="1"/>
  <c r="AJ27" i="5" s="1"/>
  <c r="AK27" i="5" s="1"/>
  <c r="S17" i="5"/>
  <c r="D17" i="5" s="1"/>
  <c r="D34" i="7" l="1"/>
  <c r="D36" i="7" s="1"/>
  <c r="W22" i="6"/>
  <c r="R22" i="6"/>
  <c r="K22" i="6"/>
  <c r="K30" i="6" s="1"/>
  <c r="K38" i="6" s="1"/>
  <c r="J30" i="6"/>
  <c r="J38" i="6" s="1"/>
  <c r="AJ22" i="6"/>
  <c r="AI22" i="6"/>
  <c r="Z22" i="6"/>
  <c r="AA22" i="6"/>
  <c r="V22" i="6"/>
  <c r="O27" i="7"/>
  <c r="P27" i="7" s="1"/>
  <c r="Q27" i="7" s="1"/>
  <c r="R27" i="7" s="1"/>
  <c r="S27" i="7" s="1"/>
  <c r="T27" i="7" s="1"/>
  <c r="U27" i="7" s="1"/>
  <c r="V27" i="7" s="1"/>
  <c r="W27" i="7" s="1"/>
  <c r="X27" i="7" s="1"/>
  <c r="Y27" i="7" s="1"/>
  <c r="Z27" i="7" s="1"/>
  <c r="AA27" i="7" s="1"/>
  <c r="AB27" i="7" s="1"/>
  <c r="AC27" i="7" s="1"/>
  <c r="AD27" i="7" s="1"/>
  <c r="AE27" i="7" s="1"/>
  <c r="AF27" i="7" s="1"/>
  <c r="AG27" i="7" s="1"/>
  <c r="AH27" i="7" s="1"/>
  <c r="AI27" i="7" s="1"/>
  <c r="AJ27" i="7" s="1"/>
  <c r="AK27" i="7" s="1"/>
  <c r="AB22" i="6"/>
  <c r="O22" i="6"/>
  <c r="AC22" i="6"/>
  <c r="Q22" i="6"/>
  <c r="AF22" i="6"/>
  <c r="AD22" i="6"/>
  <c r="AE22" i="6"/>
  <c r="U22" i="6"/>
  <c r="K28" i="7"/>
  <c r="T22" i="6"/>
  <c r="D17" i="7"/>
  <c r="D19" i="7"/>
  <c r="N25" i="7"/>
  <c r="M28" i="7"/>
  <c r="D26" i="7"/>
  <c r="D20" i="7"/>
  <c r="J28" i="7"/>
  <c r="L28" i="7"/>
  <c r="S22" i="6"/>
  <c r="H22" i="6"/>
  <c r="H30" i="6" s="1"/>
  <c r="H38" i="6" s="1"/>
  <c r="D16" i="6"/>
  <c r="D17" i="6"/>
  <c r="D18" i="6"/>
  <c r="M25" i="6"/>
  <c r="L28" i="6"/>
  <c r="X22" i="6"/>
  <c r="N22" i="6"/>
  <c r="L22" i="6"/>
  <c r="D26" i="6"/>
  <c r="D19" i="6"/>
  <c r="AG22" i="6"/>
  <c r="Y22" i="6"/>
  <c r="M22" i="6"/>
  <c r="AH22" i="6"/>
  <c r="D27" i="5"/>
  <c r="K28" i="5"/>
  <c r="L28" i="5"/>
  <c r="N25" i="5"/>
  <c r="M28" i="5"/>
  <c r="D19" i="5"/>
  <c r="D27" i="7" l="1"/>
  <c r="O25" i="7"/>
  <c r="N28" i="7"/>
  <c r="D22" i="6"/>
  <c r="L30" i="6"/>
  <c r="L38" i="6" s="1"/>
  <c r="M28" i="6"/>
  <c r="M30" i="6" s="1"/>
  <c r="M38" i="6" s="1"/>
  <c r="N25" i="6"/>
  <c r="O25" i="5"/>
  <c r="N28" i="5"/>
  <c r="P25" i="7" l="1"/>
  <c r="O28" i="7"/>
  <c r="O25" i="6"/>
  <c r="N28" i="6"/>
  <c r="N30" i="6" s="1"/>
  <c r="N38" i="6" s="1"/>
  <c r="P25" i="5"/>
  <c r="O28" i="5"/>
  <c r="Q25" i="7" l="1"/>
  <c r="P28" i="7"/>
  <c r="O28" i="6"/>
  <c r="O30" i="6" s="1"/>
  <c r="O38" i="6" s="1"/>
  <c r="P25" i="6"/>
  <c r="P28" i="5"/>
  <c r="Q25" i="5"/>
  <c r="Q28" i="7" l="1"/>
  <c r="R25" i="7"/>
  <c r="Q25" i="6"/>
  <c r="P28" i="6"/>
  <c r="P30" i="6" s="1"/>
  <c r="P38" i="6" s="1"/>
  <c r="Q28" i="5"/>
  <c r="R25" i="5"/>
  <c r="S25" i="7" l="1"/>
  <c r="R28" i="7"/>
  <c r="Q28" i="6"/>
  <c r="Q30" i="6" s="1"/>
  <c r="Q38" i="6" s="1"/>
  <c r="R25" i="6"/>
  <c r="R28" i="5"/>
  <c r="S25" i="5"/>
  <c r="J7" i="3"/>
  <c r="F7" i="3"/>
  <c r="D21" i="1"/>
  <c r="J34" i="1"/>
  <c r="J25" i="2"/>
  <c r="S28" i="7" l="1"/>
  <c r="T25" i="7"/>
  <c r="R28" i="6"/>
  <c r="R30" i="6" s="1"/>
  <c r="R38" i="6" s="1"/>
  <c r="S25" i="6"/>
  <c r="S28" i="5"/>
  <c r="T25" i="5"/>
  <c r="B44" i="4"/>
  <c r="R35" i="1"/>
  <c r="G19" i="1"/>
  <c r="T28" i="7" l="1"/>
  <c r="U25" i="7"/>
  <c r="S28" i="6"/>
  <c r="S30" i="6" s="1"/>
  <c r="S38" i="6" s="1"/>
  <c r="T25" i="6"/>
  <c r="T28" i="5"/>
  <c r="U25" i="5"/>
  <c r="K34" i="1"/>
  <c r="J26" i="1"/>
  <c r="K26" i="1"/>
  <c r="K25" i="1"/>
  <c r="B32" i="4"/>
  <c r="N17" i="3"/>
  <c r="L17" i="3"/>
  <c r="J17" i="3"/>
  <c r="J15" i="3"/>
  <c r="L15" i="3"/>
  <c r="N15" i="3"/>
  <c r="L13" i="3"/>
  <c r="J13" i="3"/>
  <c r="N13" i="3"/>
  <c r="M5" i="3"/>
  <c r="K5" i="3"/>
  <c r="U28" i="7" l="1"/>
  <c r="V25" i="7"/>
  <c r="U25" i="6"/>
  <c r="T28" i="6"/>
  <c r="T30" i="6" s="1"/>
  <c r="T38" i="6" s="1"/>
  <c r="V25" i="5"/>
  <c r="U28" i="5"/>
  <c r="D35" i="1"/>
  <c r="L34" i="1"/>
  <c r="B20" i="4"/>
  <c r="W25" i="7" l="1"/>
  <c r="V28" i="7"/>
  <c r="V25" i="6"/>
  <c r="U28" i="6"/>
  <c r="U30" i="6" s="1"/>
  <c r="U38" i="6" s="1"/>
  <c r="W25" i="5"/>
  <c r="V28" i="5"/>
  <c r="M34" i="1"/>
  <c r="L42" i="2"/>
  <c r="F17" i="3"/>
  <c r="F15" i="3"/>
  <c r="F13" i="3"/>
  <c r="L41" i="2"/>
  <c r="L40" i="2"/>
  <c r="L39" i="2"/>
  <c r="L16" i="2"/>
  <c r="L17" i="2"/>
  <c r="L18" i="2"/>
  <c r="L19" i="2"/>
  <c r="L21" i="2"/>
  <c r="L23" i="2"/>
  <c r="L24" i="2"/>
  <c r="L25" i="2"/>
  <c r="L26" i="2"/>
  <c r="L27" i="2"/>
  <c r="L28" i="2"/>
  <c r="L29" i="2"/>
  <c r="L15" i="2"/>
  <c r="W28" i="7" l="1"/>
  <c r="X25" i="7"/>
  <c r="V28" i="6"/>
  <c r="V30" i="6" s="1"/>
  <c r="V38" i="6" s="1"/>
  <c r="W25" i="6"/>
  <c r="W28" i="5"/>
  <c r="X25" i="5"/>
  <c r="N34" i="1"/>
  <c r="G27" i="1"/>
  <c r="Y25" i="7" l="1"/>
  <c r="X28" i="7"/>
  <c r="X25" i="6"/>
  <c r="W28" i="6"/>
  <c r="W30" i="6" s="1"/>
  <c r="W38" i="6" s="1"/>
  <c r="Y25" i="5"/>
  <c r="X28" i="5"/>
  <c r="O34" i="1"/>
  <c r="G28" i="1"/>
  <c r="J27" i="1"/>
  <c r="K27" i="1"/>
  <c r="L27" i="1" s="1"/>
  <c r="M27" i="1" s="1"/>
  <c r="J25" i="1"/>
  <c r="Z25" i="7" l="1"/>
  <c r="Y28" i="7"/>
  <c r="X28" i="6"/>
  <c r="X30" i="6" s="1"/>
  <c r="X38" i="6" s="1"/>
  <c r="Y25" i="6"/>
  <c r="Y28" i="5"/>
  <c r="Z25" i="5"/>
  <c r="P34" i="1"/>
  <c r="K37" i="2"/>
  <c r="L37" i="2"/>
  <c r="K28" i="2"/>
  <c r="J28" i="2"/>
  <c r="I28" i="2"/>
  <c r="K27" i="2"/>
  <c r="J27" i="2"/>
  <c r="I27" i="2"/>
  <c r="K26" i="2"/>
  <c r="J26" i="2"/>
  <c r="I26" i="2"/>
  <c r="K25" i="2"/>
  <c r="I25" i="2"/>
  <c r="K24" i="2"/>
  <c r="J24" i="2"/>
  <c r="I24" i="2"/>
  <c r="K23" i="2"/>
  <c r="J23" i="2"/>
  <c r="I23" i="2"/>
  <c r="J22" i="2"/>
  <c r="I22" i="2"/>
  <c r="K21" i="2"/>
  <c r="J21" i="2"/>
  <c r="I21" i="2"/>
  <c r="K22" i="2" s="1"/>
  <c r="L22" i="2" s="1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29" i="2"/>
  <c r="K36" i="2"/>
  <c r="L36" i="2" s="1"/>
  <c r="K35" i="2"/>
  <c r="L35" i="2" s="1"/>
  <c r="K34" i="2"/>
  <c r="J34" i="2"/>
  <c r="I34" i="2"/>
  <c r="K33" i="2"/>
  <c r="L33" i="2" s="1"/>
  <c r="J33" i="2"/>
  <c r="I33" i="2"/>
  <c r="F16" i="3"/>
  <c r="F14" i="3"/>
  <c r="F12" i="3"/>
  <c r="E11" i="3"/>
  <c r="N11" i="3" s="1"/>
  <c r="N19" i="3" s="1"/>
  <c r="B19" i="4" s="1"/>
  <c r="B21" i="4" s="1"/>
  <c r="F10" i="3"/>
  <c r="AA25" i="7" l="1"/>
  <c r="Z28" i="7"/>
  <c r="Z25" i="6"/>
  <c r="Y28" i="6"/>
  <c r="Y30" i="6" s="1"/>
  <c r="Y38" i="6" s="1"/>
  <c r="AA25" i="5"/>
  <c r="Z28" i="5"/>
  <c r="Q34" i="1"/>
  <c r="F11" i="3"/>
  <c r="J11" i="3"/>
  <c r="F9" i="3"/>
  <c r="L9" i="3"/>
  <c r="J9" i="3"/>
  <c r="N9" i="3"/>
  <c r="L7" i="3"/>
  <c r="N7" i="3"/>
  <c r="L34" i="2"/>
  <c r="K20" i="2"/>
  <c r="E39" i="3"/>
  <c r="F19" i="3" l="1"/>
  <c r="F21" i="3" s="1"/>
  <c r="B10" i="4" s="1"/>
  <c r="AB25" i="7"/>
  <c r="AA28" i="7"/>
  <c r="AA25" i="6"/>
  <c r="Z28" i="6"/>
  <c r="Z30" i="6" s="1"/>
  <c r="Z38" i="6" s="1"/>
  <c r="AB25" i="5"/>
  <c r="AA28" i="5"/>
  <c r="J19" i="3"/>
  <c r="J21" i="3" s="1"/>
  <c r="B34" i="4" s="1"/>
  <c r="L19" i="3"/>
  <c r="B43" i="4" s="1"/>
  <c r="B45" i="4" s="1"/>
  <c r="R34" i="1"/>
  <c r="N21" i="3"/>
  <c r="B22" i="4" s="1"/>
  <c r="L20" i="2"/>
  <c r="AB28" i="7" l="1"/>
  <c r="AC25" i="7"/>
  <c r="AA28" i="6"/>
  <c r="AA30" i="6" s="1"/>
  <c r="AA38" i="6" s="1"/>
  <c r="AB25" i="6"/>
  <c r="AB28" i="5"/>
  <c r="AC25" i="5"/>
  <c r="F25" i="3"/>
  <c r="G18" i="8" s="1"/>
  <c r="B46" i="4"/>
  <c r="B47" i="4" s="1"/>
  <c r="B31" i="4"/>
  <c r="B35" i="4" s="1"/>
  <c r="S34" i="1"/>
  <c r="N25" i="3"/>
  <c r="J25" i="3"/>
  <c r="K38" i="2"/>
  <c r="J38" i="2"/>
  <c r="I38" i="2"/>
  <c r="K32" i="2"/>
  <c r="L32" i="2" s="1"/>
  <c r="K31" i="2"/>
  <c r="L31" i="2" s="1"/>
  <c r="K13" i="2"/>
  <c r="L13" i="2" s="1"/>
  <c r="K12" i="2"/>
  <c r="L12" i="2" s="1"/>
  <c r="AC18" i="8" l="1"/>
  <c r="AC22" i="8" s="1"/>
  <c r="AC30" i="8" s="1"/>
  <c r="AC38" i="8" s="1"/>
  <c r="R18" i="8"/>
  <c r="R22" i="8" s="1"/>
  <c r="R30" i="8" s="1"/>
  <c r="R38" i="8" s="1"/>
  <c r="AA18" i="8"/>
  <c r="AA22" i="8" s="1"/>
  <c r="AA30" i="8" s="1"/>
  <c r="AA38" i="8" s="1"/>
  <c r="H18" i="8"/>
  <c r="P18" i="8"/>
  <c r="P22" i="8" s="1"/>
  <c r="P30" i="8" s="1"/>
  <c r="P38" i="8" s="1"/>
  <c r="AE18" i="8"/>
  <c r="AE22" i="8" s="1"/>
  <c r="AE30" i="8" s="1"/>
  <c r="AE38" i="8" s="1"/>
  <c r="AJ18" i="8"/>
  <c r="AJ22" i="8" s="1"/>
  <c r="AJ30" i="8" s="1"/>
  <c r="Y18" i="8"/>
  <c r="Y22" i="8" s="1"/>
  <c r="Y30" i="8" s="1"/>
  <c r="Y38" i="8" s="1"/>
  <c r="S18" i="8"/>
  <c r="S22" i="8" s="1"/>
  <c r="S30" i="8" s="1"/>
  <c r="S38" i="8" s="1"/>
  <c r="X18" i="8"/>
  <c r="X22" i="8" s="1"/>
  <c r="X30" i="8" s="1"/>
  <c r="X38" i="8" s="1"/>
  <c r="AB18" i="8"/>
  <c r="AB22" i="8" s="1"/>
  <c r="AB30" i="8" s="1"/>
  <c r="AB38" i="8" s="1"/>
  <c r="T18" i="8"/>
  <c r="T22" i="8" s="1"/>
  <c r="T30" i="8" s="1"/>
  <c r="T38" i="8" s="1"/>
  <c r="J18" i="8"/>
  <c r="J22" i="8" s="1"/>
  <c r="J30" i="8" s="1"/>
  <c r="J38" i="8" s="1"/>
  <c r="M18" i="8"/>
  <c r="M22" i="8" s="1"/>
  <c r="M30" i="8" s="1"/>
  <c r="M38" i="8" s="1"/>
  <c r="U18" i="8"/>
  <c r="U22" i="8" s="1"/>
  <c r="U30" i="8" s="1"/>
  <c r="U38" i="8" s="1"/>
  <c r="G16" i="8"/>
  <c r="N18" i="8"/>
  <c r="N22" i="8" s="1"/>
  <c r="N30" i="8" s="1"/>
  <c r="N38" i="8" s="1"/>
  <c r="K18" i="8"/>
  <c r="K22" i="8" s="1"/>
  <c r="K30" i="8" s="1"/>
  <c r="K38" i="8" s="1"/>
  <c r="Z18" i="8"/>
  <c r="Z22" i="8" s="1"/>
  <c r="Z30" i="8" s="1"/>
  <c r="Z38" i="8" s="1"/>
  <c r="AD18" i="8"/>
  <c r="AD22" i="8" s="1"/>
  <c r="AD30" i="8" s="1"/>
  <c r="AD38" i="8" s="1"/>
  <c r="AG18" i="8"/>
  <c r="AG22" i="8" s="1"/>
  <c r="AG30" i="8" s="1"/>
  <c r="AG38" i="8" s="1"/>
  <c r="AF18" i="8"/>
  <c r="AF22" i="8" s="1"/>
  <c r="AF30" i="8" s="1"/>
  <c r="AF38" i="8" s="1"/>
  <c r="AI18" i="8"/>
  <c r="AI22" i="8" s="1"/>
  <c r="AI30" i="8" s="1"/>
  <c r="AK18" i="8"/>
  <c r="AK22" i="8" s="1"/>
  <c r="AK30" i="8" s="1"/>
  <c r="AH18" i="8"/>
  <c r="AH22" i="8" s="1"/>
  <c r="AH30" i="8" s="1"/>
  <c r="I18" i="8"/>
  <c r="I22" i="8" s="1"/>
  <c r="I30" i="8" s="1"/>
  <c r="I38" i="8" s="1"/>
  <c r="V18" i="8"/>
  <c r="V22" i="8" s="1"/>
  <c r="V30" i="8" s="1"/>
  <c r="V38" i="8" s="1"/>
  <c r="O18" i="8"/>
  <c r="O22" i="8" s="1"/>
  <c r="O30" i="8" s="1"/>
  <c r="O38" i="8" s="1"/>
  <c r="L18" i="8"/>
  <c r="L22" i="8" s="1"/>
  <c r="L30" i="8" s="1"/>
  <c r="L38" i="8" s="1"/>
  <c r="W18" i="8"/>
  <c r="W22" i="8" s="1"/>
  <c r="W30" i="8" s="1"/>
  <c r="W38" i="8" s="1"/>
  <c r="Q18" i="8"/>
  <c r="Q22" i="8" s="1"/>
  <c r="Q30" i="8" s="1"/>
  <c r="Q38" i="8" s="1"/>
  <c r="G18" i="10"/>
  <c r="G18" i="5"/>
  <c r="G18" i="7"/>
  <c r="Q18" i="7" s="1"/>
  <c r="Q22" i="7" s="1"/>
  <c r="Q30" i="7" s="1"/>
  <c r="Q38" i="7" s="1"/>
  <c r="G18" i="9"/>
  <c r="B33" i="4"/>
  <c r="O18" i="7"/>
  <c r="O22" i="7" s="1"/>
  <c r="O30" i="7" s="1"/>
  <c r="O38" i="7" s="1"/>
  <c r="J18" i="7"/>
  <c r="J22" i="7" s="1"/>
  <c r="J30" i="7" s="1"/>
  <c r="J38" i="7" s="1"/>
  <c r="U18" i="7"/>
  <c r="U22" i="7" s="1"/>
  <c r="U30" i="7" s="1"/>
  <c r="U38" i="7" s="1"/>
  <c r="AJ18" i="7"/>
  <c r="AJ22" i="7" s="1"/>
  <c r="AB18" i="7"/>
  <c r="AB22" i="7" s="1"/>
  <c r="AB30" i="7" s="1"/>
  <c r="AB38" i="7" s="1"/>
  <c r="P18" i="7"/>
  <c r="P22" i="7" s="1"/>
  <c r="P30" i="7" s="1"/>
  <c r="P38" i="7" s="1"/>
  <c r="Z18" i="7"/>
  <c r="Z22" i="7" s="1"/>
  <c r="Z30" i="7" s="1"/>
  <c r="Z38" i="7" s="1"/>
  <c r="H18" i="7"/>
  <c r="W18" i="7"/>
  <c r="W22" i="7" s="1"/>
  <c r="W30" i="7" s="1"/>
  <c r="W38" i="7" s="1"/>
  <c r="I18" i="7"/>
  <c r="I22" i="7" s="1"/>
  <c r="I30" i="7" s="1"/>
  <c r="I38" i="7" s="1"/>
  <c r="S18" i="7"/>
  <c r="S22" i="7" s="1"/>
  <c r="S30" i="7" s="1"/>
  <c r="S38" i="7" s="1"/>
  <c r="AE18" i="7"/>
  <c r="AE22" i="7" s="1"/>
  <c r="K18" i="7"/>
  <c r="K22" i="7" s="1"/>
  <c r="K30" i="7" s="1"/>
  <c r="K38" i="7" s="1"/>
  <c r="V18" i="7"/>
  <c r="V22" i="7" s="1"/>
  <c r="V30" i="7" s="1"/>
  <c r="V38" i="7" s="1"/>
  <c r="AD18" i="7"/>
  <c r="AD22" i="7" s="1"/>
  <c r="G16" i="7"/>
  <c r="AD25" i="7"/>
  <c r="AC28" i="7"/>
  <c r="AB28" i="6"/>
  <c r="AB30" i="6" s="1"/>
  <c r="AB38" i="6" s="1"/>
  <c r="AC25" i="6"/>
  <c r="AC28" i="5"/>
  <c r="AD25" i="5"/>
  <c r="T34" i="1"/>
  <c r="B48" i="4"/>
  <c r="B36" i="4"/>
  <c r="L38" i="2"/>
  <c r="AA18" i="7" l="1"/>
  <c r="AA22" i="7" s="1"/>
  <c r="AA30" i="7" s="1"/>
  <c r="AA38" i="7" s="1"/>
  <c r="AK18" i="7"/>
  <c r="AK22" i="7" s="1"/>
  <c r="X18" i="7"/>
  <c r="X22" i="7" s="1"/>
  <c r="X30" i="7" s="1"/>
  <c r="X38" i="7" s="1"/>
  <c r="AF18" i="9"/>
  <c r="AF22" i="9" s="1"/>
  <c r="AF30" i="9" s="1"/>
  <c r="AF38" i="9" s="1"/>
  <c r="N18" i="9"/>
  <c r="N22" i="9" s="1"/>
  <c r="N30" i="9" s="1"/>
  <c r="N38" i="9" s="1"/>
  <c r="V18" i="9"/>
  <c r="V22" i="9" s="1"/>
  <c r="V30" i="9" s="1"/>
  <c r="V38" i="9" s="1"/>
  <c r="AG18" i="9"/>
  <c r="AG22" i="9" s="1"/>
  <c r="AG30" i="9" s="1"/>
  <c r="AH18" i="9"/>
  <c r="AH22" i="9" s="1"/>
  <c r="AH30" i="9" s="1"/>
  <c r="H18" i="9"/>
  <c r="G16" i="9"/>
  <c r="T18" i="9"/>
  <c r="T22" i="9" s="1"/>
  <c r="T30" i="9" s="1"/>
  <c r="T38" i="9" s="1"/>
  <c r="AD18" i="9"/>
  <c r="AD22" i="9" s="1"/>
  <c r="AD30" i="9" s="1"/>
  <c r="AD38" i="9" s="1"/>
  <c r="S18" i="9"/>
  <c r="S22" i="9" s="1"/>
  <c r="S30" i="9" s="1"/>
  <c r="S38" i="9" s="1"/>
  <c r="Y18" i="9"/>
  <c r="Y22" i="9" s="1"/>
  <c r="Y30" i="9" s="1"/>
  <c r="Y38" i="9" s="1"/>
  <c r="O18" i="9"/>
  <c r="O22" i="9" s="1"/>
  <c r="O30" i="9" s="1"/>
  <c r="O38" i="9" s="1"/>
  <c r="L18" i="9"/>
  <c r="L22" i="9" s="1"/>
  <c r="L30" i="9" s="1"/>
  <c r="L38" i="9" s="1"/>
  <c r="K18" i="9"/>
  <c r="K22" i="9" s="1"/>
  <c r="K30" i="9" s="1"/>
  <c r="K38" i="9" s="1"/>
  <c r="R18" i="9"/>
  <c r="R22" i="9" s="1"/>
  <c r="R30" i="9" s="1"/>
  <c r="R38" i="9" s="1"/>
  <c r="W18" i="9"/>
  <c r="W22" i="9" s="1"/>
  <c r="W30" i="9" s="1"/>
  <c r="W38" i="9" s="1"/>
  <c r="P18" i="9"/>
  <c r="P22" i="9" s="1"/>
  <c r="P30" i="9" s="1"/>
  <c r="P38" i="9" s="1"/>
  <c r="X18" i="9"/>
  <c r="X22" i="9" s="1"/>
  <c r="X30" i="9" s="1"/>
  <c r="X38" i="9" s="1"/>
  <c r="Q18" i="9"/>
  <c r="Q22" i="9" s="1"/>
  <c r="Q30" i="9" s="1"/>
  <c r="Q38" i="9" s="1"/>
  <c r="I18" i="9"/>
  <c r="I22" i="9" s="1"/>
  <c r="I30" i="9" s="1"/>
  <c r="I38" i="9" s="1"/>
  <c r="AJ18" i="9"/>
  <c r="AJ22" i="9" s="1"/>
  <c r="AJ30" i="9" s="1"/>
  <c r="Z18" i="9"/>
  <c r="Z22" i="9" s="1"/>
  <c r="Z30" i="9" s="1"/>
  <c r="Z38" i="9" s="1"/>
  <c r="AB18" i="9"/>
  <c r="AB22" i="9" s="1"/>
  <c r="AB30" i="9" s="1"/>
  <c r="AB38" i="9" s="1"/>
  <c r="AI18" i="9"/>
  <c r="AI22" i="9" s="1"/>
  <c r="AI30" i="9" s="1"/>
  <c r="M18" i="9"/>
  <c r="M22" i="9" s="1"/>
  <c r="M30" i="9" s="1"/>
  <c r="M38" i="9" s="1"/>
  <c r="AA18" i="9"/>
  <c r="AA22" i="9" s="1"/>
  <c r="AA30" i="9" s="1"/>
  <c r="AA38" i="9" s="1"/>
  <c r="AC18" i="9"/>
  <c r="AC22" i="9" s="1"/>
  <c r="AC30" i="9" s="1"/>
  <c r="AC38" i="9" s="1"/>
  <c r="J18" i="9"/>
  <c r="J22" i="9" s="1"/>
  <c r="J30" i="9" s="1"/>
  <c r="J38" i="9" s="1"/>
  <c r="U18" i="9"/>
  <c r="U22" i="9" s="1"/>
  <c r="U30" i="9" s="1"/>
  <c r="U38" i="9" s="1"/>
  <c r="AE18" i="9"/>
  <c r="AE22" i="9" s="1"/>
  <c r="AE30" i="9" s="1"/>
  <c r="AE38" i="9" s="1"/>
  <c r="AK18" i="9"/>
  <c r="AK22" i="9" s="1"/>
  <c r="AK30" i="9" s="1"/>
  <c r="X18" i="5"/>
  <c r="X22" i="5" s="1"/>
  <c r="X30" i="5" s="1"/>
  <c r="X38" i="5" s="1"/>
  <c r="U18" i="5"/>
  <c r="U22" i="5" s="1"/>
  <c r="U30" i="5" s="1"/>
  <c r="U38" i="5" s="1"/>
  <c r="AA18" i="5"/>
  <c r="AA22" i="5" s="1"/>
  <c r="AA30" i="5" s="1"/>
  <c r="AA38" i="5" s="1"/>
  <c r="T18" i="5"/>
  <c r="T22" i="5" s="1"/>
  <c r="T30" i="5" s="1"/>
  <c r="T38" i="5" s="1"/>
  <c r="M18" i="5"/>
  <c r="M22" i="5" s="1"/>
  <c r="M30" i="5" s="1"/>
  <c r="M38" i="5" s="1"/>
  <c r="P18" i="5"/>
  <c r="P22" i="5" s="1"/>
  <c r="P30" i="5" s="1"/>
  <c r="P38" i="5" s="1"/>
  <c r="J18" i="5"/>
  <c r="J22" i="5" s="1"/>
  <c r="J30" i="5" s="1"/>
  <c r="J38" i="5" s="1"/>
  <c r="AG18" i="5"/>
  <c r="AG22" i="5" s="1"/>
  <c r="V18" i="5"/>
  <c r="V22" i="5" s="1"/>
  <c r="V30" i="5" s="1"/>
  <c r="V38" i="5" s="1"/>
  <c r="N18" i="5"/>
  <c r="N22" i="5" s="1"/>
  <c r="N30" i="5" s="1"/>
  <c r="N38" i="5" s="1"/>
  <c r="AI18" i="5"/>
  <c r="AI22" i="5" s="1"/>
  <c r="Y18" i="5"/>
  <c r="Y22" i="5" s="1"/>
  <c r="Y30" i="5" s="1"/>
  <c r="Y38" i="5" s="1"/>
  <c r="H18" i="5"/>
  <c r="I18" i="5"/>
  <c r="I22" i="5" s="1"/>
  <c r="I30" i="5" s="1"/>
  <c r="I38" i="5" s="1"/>
  <c r="Z18" i="5"/>
  <c r="Z22" i="5" s="1"/>
  <c r="Z30" i="5" s="1"/>
  <c r="Z38" i="5" s="1"/>
  <c r="AH18" i="5"/>
  <c r="AH22" i="5" s="1"/>
  <c r="S18" i="5"/>
  <c r="S22" i="5" s="1"/>
  <c r="S30" i="5" s="1"/>
  <c r="S38" i="5" s="1"/>
  <c r="AJ18" i="5"/>
  <c r="AJ22" i="5" s="1"/>
  <c r="W18" i="5"/>
  <c r="W22" i="5" s="1"/>
  <c r="W30" i="5" s="1"/>
  <c r="W38" i="5" s="1"/>
  <c r="AB18" i="5"/>
  <c r="AB22" i="5" s="1"/>
  <c r="AB30" i="5" s="1"/>
  <c r="AB38" i="5" s="1"/>
  <c r="AE18" i="5"/>
  <c r="AE22" i="5" s="1"/>
  <c r="L18" i="5"/>
  <c r="L22" i="5" s="1"/>
  <c r="L30" i="5" s="1"/>
  <c r="L38" i="5" s="1"/>
  <c r="G16" i="5"/>
  <c r="O18" i="5"/>
  <c r="O22" i="5" s="1"/>
  <c r="O30" i="5" s="1"/>
  <c r="O38" i="5" s="1"/>
  <c r="R18" i="5"/>
  <c r="R22" i="5" s="1"/>
  <c r="R30" i="5" s="1"/>
  <c r="R38" i="5" s="1"/>
  <c r="AF18" i="5"/>
  <c r="AF22" i="5" s="1"/>
  <c r="AC18" i="5"/>
  <c r="AC22" i="5" s="1"/>
  <c r="AK18" i="5"/>
  <c r="AK22" i="5" s="1"/>
  <c r="AD18" i="5"/>
  <c r="AD22" i="5" s="1"/>
  <c r="Q18" i="5"/>
  <c r="Q22" i="5" s="1"/>
  <c r="Q30" i="5" s="1"/>
  <c r="Q38" i="5" s="1"/>
  <c r="K18" i="5"/>
  <c r="K22" i="5" s="1"/>
  <c r="K30" i="5" s="1"/>
  <c r="K38" i="5" s="1"/>
  <c r="N18" i="7"/>
  <c r="N22" i="7" s="1"/>
  <c r="N30" i="7" s="1"/>
  <c r="N38" i="7" s="1"/>
  <c r="AG18" i="7"/>
  <c r="AG22" i="7" s="1"/>
  <c r="R18" i="7"/>
  <c r="R22" i="7" s="1"/>
  <c r="R30" i="7" s="1"/>
  <c r="R38" i="7" s="1"/>
  <c r="AH18" i="7"/>
  <c r="AH22" i="7" s="1"/>
  <c r="AF18" i="7"/>
  <c r="AF22" i="7" s="1"/>
  <c r="AC18" i="7"/>
  <c r="AC22" i="7" s="1"/>
  <c r="AC30" i="7" s="1"/>
  <c r="AC38" i="7" s="1"/>
  <c r="L18" i="7"/>
  <c r="L22" i="7" s="1"/>
  <c r="L30" i="7" s="1"/>
  <c r="L38" i="7" s="1"/>
  <c r="M18" i="7"/>
  <c r="M22" i="7" s="1"/>
  <c r="M30" i="7" s="1"/>
  <c r="M38" i="7" s="1"/>
  <c r="H16" i="8"/>
  <c r="G22" i="8"/>
  <c r="D18" i="8"/>
  <c r="AF18" i="10"/>
  <c r="AF22" i="10" s="1"/>
  <c r="AF30" i="10" s="1"/>
  <c r="AF38" i="10" s="1"/>
  <c r="N18" i="10"/>
  <c r="N22" i="10" s="1"/>
  <c r="N30" i="10" s="1"/>
  <c r="N38" i="10" s="1"/>
  <c r="M18" i="10"/>
  <c r="M22" i="10" s="1"/>
  <c r="M30" i="10" s="1"/>
  <c r="M38" i="10" s="1"/>
  <c r="AA18" i="10"/>
  <c r="AA22" i="10" s="1"/>
  <c r="AA30" i="10" s="1"/>
  <c r="AA38" i="10" s="1"/>
  <c r="AK18" i="10"/>
  <c r="AK22" i="10" s="1"/>
  <c r="AK30" i="10" s="1"/>
  <c r="G16" i="10"/>
  <c r="Z18" i="10"/>
  <c r="Z22" i="10" s="1"/>
  <c r="Z30" i="10" s="1"/>
  <c r="Z38" i="10" s="1"/>
  <c r="AB18" i="10"/>
  <c r="AB22" i="10" s="1"/>
  <c r="AB30" i="10" s="1"/>
  <c r="AB38" i="10" s="1"/>
  <c r="Y18" i="10"/>
  <c r="Y22" i="10" s="1"/>
  <c r="Y30" i="10" s="1"/>
  <c r="Y38" i="10" s="1"/>
  <c r="P18" i="10"/>
  <c r="P22" i="10" s="1"/>
  <c r="P30" i="10" s="1"/>
  <c r="P38" i="10" s="1"/>
  <c r="O18" i="10"/>
  <c r="O22" i="10" s="1"/>
  <c r="O30" i="10" s="1"/>
  <c r="O38" i="10" s="1"/>
  <c r="V18" i="10"/>
  <c r="V22" i="10" s="1"/>
  <c r="V30" i="10" s="1"/>
  <c r="V38" i="10" s="1"/>
  <c r="X18" i="10"/>
  <c r="X22" i="10" s="1"/>
  <c r="X30" i="10" s="1"/>
  <c r="X38" i="10" s="1"/>
  <c r="AH18" i="10"/>
  <c r="AH22" i="10" s="1"/>
  <c r="AH30" i="10" s="1"/>
  <c r="AJ18" i="10"/>
  <c r="AJ22" i="10" s="1"/>
  <c r="AJ30" i="10" s="1"/>
  <c r="R18" i="10"/>
  <c r="R22" i="10" s="1"/>
  <c r="R30" i="10" s="1"/>
  <c r="R38" i="10" s="1"/>
  <c r="Q18" i="10"/>
  <c r="Q22" i="10" s="1"/>
  <c r="Q30" i="10" s="1"/>
  <c r="Q38" i="10" s="1"/>
  <c r="K18" i="10"/>
  <c r="K22" i="10" s="1"/>
  <c r="K30" i="10" s="1"/>
  <c r="K38" i="10" s="1"/>
  <c r="W18" i="10"/>
  <c r="W22" i="10" s="1"/>
  <c r="W30" i="10" s="1"/>
  <c r="W38" i="10" s="1"/>
  <c r="AI18" i="10"/>
  <c r="AI22" i="10" s="1"/>
  <c r="AI30" i="10" s="1"/>
  <c r="AD18" i="10"/>
  <c r="AD22" i="10" s="1"/>
  <c r="AD30" i="10" s="1"/>
  <c r="AD38" i="10" s="1"/>
  <c r="T18" i="10"/>
  <c r="T22" i="10" s="1"/>
  <c r="T30" i="10" s="1"/>
  <c r="T38" i="10" s="1"/>
  <c r="H18" i="10"/>
  <c r="S18" i="10"/>
  <c r="S22" i="10" s="1"/>
  <c r="S30" i="10" s="1"/>
  <c r="S38" i="10" s="1"/>
  <c r="U18" i="10"/>
  <c r="U22" i="10" s="1"/>
  <c r="U30" i="10" s="1"/>
  <c r="U38" i="10" s="1"/>
  <c r="AG18" i="10"/>
  <c r="AG22" i="10" s="1"/>
  <c r="AG30" i="10" s="1"/>
  <c r="AC18" i="10"/>
  <c r="AC22" i="10" s="1"/>
  <c r="AC30" i="10" s="1"/>
  <c r="AC38" i="10" s="1"/>
  <c r="I18" i="10"/>
  <c r="I22" i="10" s="1"/>
  <c r="I30" i="10" s="1"/>
  <c r="I38" i="10" s="1"/>
  <c r="J18" i="10"/>
  <c r="J22" i="10" s="1"/>
  <c r="J30" i="10" s="1"/>
  <c r="J38" i="10" s="1"/>
  <c r="L18" i="10"/>
  <c r="L22" i="10" s="1"/>
  <c r="L30" i="10" s="1"/>
  <c r="L38" i="10" s="1"/>
  <c r="AE18" i="10"/>
  <c r="AE22" i="10" s="1"/>
  <c r="AE30" i="10" s="1"/>
  <c r="AE38" i="10" s="1"/>
  <c r="AC30" i="5"/>
  <c r="AC38" i="5" s="1"/>
  <c r="AI18" i="7"/>
  <c r="AI22" i="7" s="1"/>
  <c r="T18" i="7"/>
  <c r="T22" i="7" s="1"/>
  <c r="T30" i="7" s="1"/>
  <c r="T38" i="7" s="1"/>
  <c r="Y18" i="7"/>
  <c r="Y22" i="7" s="1"/>
  <c r="Y30" i="7" s="1"/>
  <c r="Y38" i="7" s="1"/>
  <c r="H16" i="7"/>
  <c r="G22" i="7"/>
  <c r="AD28" i="7"/>
  <c r="AD30" i="7" s="1"/>
  <c r="AD38" i="7" s="1"/>
  <c r="AE25" i="7"/>
  <c r="AD25" i="6"/>
  <c r="AC28" i="6"/>
  <c r="AC30" i="6" s="1"/>
  <c r="AC38" i="6" s="1"/>
  <c r="AD28" i="5"/>
  <c r="AD30" i="5" s="1"/>
  <c r="AE25" i="5"/>
  <c r="U34" i="1"/>
  <c r="L43" i="2"/>
  <c r="J19" i="1"/>
  <c r="D18" i="5" l="1"/>
  <c r="D18" i="9"/>
  <c r="AG38" i="10"/>
  <c r="G22" i="5"/>
  <c r="H16" i="5"/>
  <c r="AG38" i="9"/>
  <c r="H16" i="10"/>
  <c r="D16" i="10" s="1"/>
  <c r="G22" i="10"/>
  <c r="H22" i="10"/>
  <c r="H30" i="10" s="1"/>
  <c r="H38" i="10" s="1"/>
  <c r="D18" i="10"/>
  <c r="D18" i="7"/>
  <c r="H22" i="8"/>
  <c r="H30" i="8" s="1"/>
  <c r="D16" i="8"/>
  <c r="D22" i="8" s="1"/>
  <c r="G22" i="9"/>
  <c r="H16" i="9"/>
  <c r="D16" i="7"/>
  <c r="H22" i="7"/>
  <c r="H30" i="7" s="1"/>
  <c r="H38" i="7" s="1"/>
  <c r="AD38" i="5"/>
  <c r="AE28" i="7"/>
  <c r="AE30" i="7" s="1"/>
  <c r="AE38" i="7" s="1"/>
  <c r="AF25" i="7"/>
  <c r="AD28" i="6"/>
  <c r="AD30" i="6" s="1"/>
  <c r="AD38" i="6" s="1"/>
  <c r="AE25" i="6"/>
  <c r="AE28" i="5"/>
  <c r="AE30" i="5" s="1"/>
  <c r="AF25" i="5"/>
  <c r="V34" i="1"/>
  <c r="H28" i="1"/>
  <c r="I28" i="1"/>
  <c r="D22" i="7" l="1"/>
  <c r="D22" i="10"/>
  <c r="H22" i="5"/>
  <c r="H30" i="5" s="1"/>
  <c r="H38" i="5" s="1"/>
  <c r="D16" i="5"/>
  <c r="D22" i="5" s="1"/>
  <c r="H22" i="9"/>
  <c r="H30" i="9" s="1"/>
  <c r="D16" i="9"/>
  <c r="D22" i="9" s="1"/>
  <c r="D32" i="10"/>
  <c r="D30" i="10"/>
  <c r="D40" i="10"/>
  <c r="D39" i="10"/>
  <c r="D30" i="8"/>
  <c r="D40" i="8"/>
  <c r="D32" i="8"/>
  <c r="D31" i="10"/>
  <c r="H38" i="8"/>
  <c r="D39" i="8" s="1"/>
  <c r="D31" i="8"/>
  <c r="AE38" i="5"/>
  <c r="AF28" i="7"/>
  <c r="AF30" i="7" s="1"/>
  <c r="AF38" i="7" s="1"/>
  <c r="AG25" i="7"/>
  <c r="AE28" i="6"/>
  <c r="AE30" i="6" s="1"/>
  <c r="AE38" i="6" s="1"/>
  <c r="AF25" i="6"/>
  <c r="AF28" i="5"/>
  <c r="AF30" i="5" s="1"/>
  <c r="AG25" i="5"/>
  <c r="W34" i="1"/>
  <c r="U17" i="1"/>
  <c r="X17" i="1"/>
  <c r="M17" i="1"/>
  <c r="AF17" i="1"/>
  <c r="L17" i="1"/>
  <c r="Y17" i="1"/>
  <c r="N17" i="1"/>
  <c r="AE17" i="1"/>
  <c r="J17" i="1"/>
  <c r="W17" i="1"/>
  <c r="Q17" i="1"/>
  <c r="P17" i="1"/>
  <c r="AA17" i="1"/>
  <c r="Z17" i="1"/>
  <c r="H17" i="1"/>
  <c r="V17" i="1"/>
  <c r="AG17" i="1"/>
  <c r="O17" i="1"/>
  <c r="AC17" i="1"/>
  <c r="T17" i="1"/>
  <c r="AD17" i="1"/>
  <c r="I17" i="1"/>
  <c r="AB17" i="1"/>
  <c r="R17" i="1"/>
  <c r="K17" i="1"/>
  <c r="S17" i="1"/>
  <c r="D38" i="10" l="1"/>
  <c r="AP22" i="10"/>
  <c r="AP11" i="10"/>
  <c r="D32" i="9"/>
  <c r="D30" i="9"/>
  <c r="D40" i="9"/>
  <c r="AP27" i="8"/>
  <c r="D38" i="8"/>
  <c r="AP16" i="8"/>
  <c r="H38" i="9"/>
  <c r="D39" i="9" s="1"/>
  <c r="D31" i="9"/>
  <c r="AF38" i="5"/>
  <c r="AH25" i="7"/>
  <c r="AG28" i="7"/>
  <c r="AG30" i="7" s="1"/>
  <c r="D25" i="7"/>
  <c r="D28" i="7" s="1"/>
  <c r="D40" i="7" s="1"/>
  <c r="AF28" i="6"/>
  <c r="AF30" i="6" s="1"/>
  <c r="AF38" i="6" s="1"/>
  <c r="AG25" i="6"/>
  <c r="AH25" i="5"/>
  <c r="AG28" i="5"/>
  <c r="AG30" i="5" s="1"/>
  <c r="D31" i="5" s="1"/>
  <c r="D25" i="5"/>
  <c r="D28" i="5" s="1"/>
  <c r="D17" i="1"/>
  <c r="X34" i="1"/>
  <c r="B23" i="4"/>
  <c r="L26" i="1"/>
  <c r="AP22" i="9" l="1"/>
  <c r="D38" i="9"/>
  <c r="AP11" i="9"/>
  <c r="D40" i="5"/>
  <c r="D30" i="5"/>
  <c r="D38" i="5" s="1"/>
  <c r="AG38" i="5"/>
  <c r="D39" i="5" s="1"/>
  <c r="D31" i="7"/>
  <c r="AG38" i="7"/>
  <c r="D39" i="7" s="1"/>
  <c r="D32" i="7"/>
  <c r="D30" i="7"/>
  <c r="D38" i="7" s="1"/>
  <c r="AH28" i="7"/>
  <c r="AH30" i="7" s="1"/>
  <c r="AI25" i="7"/>
  <c r="AH25" i="6"/>
  <c r="AG28" i="6"/>
  <c r="AG30" i="6" s="1"/>
  <c r="AG38" i="6" s="1"/>
  <c r="D39" i="6" s="1"/>
  <c r="D25" i="6"/>
  <c r="D28" i="6" s="1"/>
  <c r="D40" i="6" s="1"/>
  <c r="D32" i="5"/>
  <c r="AI25" i="5"/>
  <c r="AH28" i="5"/>
  <c r="AH30" i="5" s="1"/>
  <c r="Y34" i="1"/>
  <c r="B24" i="4"/>
  <c r="J28" i="1"/>
  <c r="AP22" i="7" l="1"/>
  <c r="AP11" i="7"/>
  <c r="AI28" i="7"/>
  <c r="AI30" i="7" s="1"/>
  <c r="AJ25" i="7"/>
  <c r="D30" i="6"/>
  <c r="D38" i="6" s="1"/>
  <c r="D32" i="6"/>
  <c r="D31" i="6"/>
  <c r="AI25" i="6"/>
  <c r="AH28" i="6"/>
  <c r="AH30" i="6" s="1"/>
  <c r="AJ25" i="5"/>
  <c r="AI28" i="5"/>
  <c r="AI30" i="5" s="1"/>
  <c r="AP22" i="5"/>
  <c r="AP11" i="5"/>
  <c r="Z34" i="1"/>
  <c r="K28" i="1"/>
  <c r="M26" i="1"/>
  <c r="L25" i="1"/>
  <c r="AK25" i="7" l="1"/>
  <c r="AK28" i="7" s="1"/>
  <c r="AK30" i="7" s="1"/>
  <c r="AJ28" i="7"/>
  <c r="AJ30" i="7" s="1"/>
  <c r="AI28" i="6"/>
  <c r="AI30" i="6" s="1"/>
  <c r="AJ25" i="6"/>
  <c r="AP12" i="6"/>
  <c r="AP23" i="6"/>
  <c r="AK25" i="5"/>
  <c r="AK28" i="5" s="1"/>
  <c r="AK30" i="5" s="1"/>
  <c r="AJ28" i="5"/>
  <c r="AJ30" i="5" s="1"/>
  <c r="AA34" i="1"/>
  <c r="L20" i="1"/>
  <c r="K20" i="1"/>
  <c r="M25" i="1"/>
  <c r="N25" i="1" s="1"/>
  <c r="O25" i="1" s="1"/>
  <c r="P25" i="1" s="1"/>
  <c r="Q25" i="1" s="1"/>
  <c r="R25" i="1" s="1"/>
  <c r="S25" i="1" s="1"/>
  <c r="T25" i="1" s="1"/>
  <c r="U25" i="1" s="1"/>
  <c r="V25" i="1" s="1"/>
  <c r="W25" i="1" s="1"/>
  <c r="X25" i="1" s="1"/>
  <c r="Y25" i="1" s="1"/>
  <c r="Z25" i="1" s="1"/>
  <c r="AA25" i="1" s="1"/>
  <c r="AB25" i="1" s="1"/>
  <c r="AC25" i="1" s="1"/>
  <c r="AD25" i="1" s="1"/>
  <c r="AE25" i="1" s="1"/>
  <c r="AF25" i="1" s="1"/>
  <c r="AG25" i="1" s="1"/>
  <c r="AH25" i="1" s="1"/>
  <c r="AI25" i="1" s="1"/>
  <c r="AJ25" i="1" s="1"/>
  <c r="AK25" i="1" s="1"/>
  <c r="J20" i="1"/>
  <c r="L28" i="1"/>
  <c r="N26" i="1"/>
  <c r="O26" i="1" s="1"/>
  <c r="P26" i="1" s="1"/>
  <c r="Q26" i="1" s="1"/>
  <c r="R26" i="1" s="1"/>
  <c r="S26" i="1" s="1"/>
  <c r="T26" i="1" s="1"/>
  <c r="U26" i="1" s="1"/>
  <c r="V26" i="1" s="1"/>
  <c r="W26" i="1" s="1"/>
  <c r="X26" i="1" s="1"/>
  <c r="Y26" i="1" s="1"/>
  <c r="Z26" i="1" s="1"/>
  <c r="AA26" i="1" s="1"/>
  <c r="AB26" i="1" s="1"/>
  <c r="AC26" i="1" s="1"/>
  <c r="AD26" i="1" s="1"/>
  <c r="AE26" i="1" s="1"/>
  <c r="AF26" i="1" s="1"/>
  <c r="AG26" i="1" s="1"/>
  <c r="AH26" i="1" s="1"/>
  <c r="AI26" i="1" s="1"/>
  <c r="AJ26" i="1" s="1"/>
  <c r="AK26" i="1" s="1"/>
  <c r="K19" i="1"/>
  <c r="AJ28" i="6" l="1"/>
  <c r="AJ30" i="6" s="1"/>
  <c r="AK25" i="6"/>
  <c r="AK28" i="6" s="1"/>
  <c r="AK30" i="6" s="1"/>
  <c r="AB34" i="1"/>
  <c r="D20" i="1"/>
  <c r="D25" i="1"/>
  <c r="D26" i="1"/>
  <c r="L19" i="1"/>
  <c r="N27" i="1"/>
  <c r="N28" i="1" s="1"/>
  <c r="M28" i="1"/>
  <c r="AC34" i="1" l="1"/>
  <c r="M19" i="1"/>
  <c r="O27" i="1"/>
  <c r="P27" i="1" s="1"/>
  <c r="AD34" i="1" l="1"/>
  <c r="N19" i="1"/>
  <c r="O28" i="1"/>
  <c r="Q27" i="1"/>
  <c r="P28" i="1"/>
  <c r="AE34" i="1" l="1"/>
  <c r="O19" i="1"/>
  <c r="R27" i="1"/>
  <c r="Q28" i="1"/>
  <c r="AF34" i="1" l="1"/>
  <c r="P19" i="1"/>
  <c r="S27" i="1"/>
  <c r="R28" i="1"/>
  <c r="AG34" i="1" l="1"/>
  <c r="Q19" i="1"/>
  <c r="T27" i="1"/>
  <c r="S28" i="1"/>
  <c r="D34" i="1" l="1"/>
  <c r="D36" i="1" s="1"/>
  <c r="R19" i="1"/>
  <c r="U27" i="1"/>
  <c r="T28" i="1"/>
  <c r="S19" i="1" l="1"/>
  <c r="V27" i="1"/>
  <c r="U28" i="1"/>
  <c r="T19" i="1" l="1"/>
  <c r="W27" i="1"/>
  <c r="V28" i="1"/>
  <c r="U19" i="1" l="1"/>
  <c r="X27" i="1"/>
  <c r="W28" i="1"/>
  <c r="V19" i="1" l="1"/>
  <c r="Y27" i="1"/>
  <c r="X28" i="1"/>
  <c r="W19" i="1" l="1"/>
  <c r="Z27" i="1"/>
  <c r="Y28" i="1"/>
  <c r="X19" i="1" l="1"/>
  <c r="AA27" i="1"/>
  <c r="Z28" i="1"/>
  <c r="Y19" i="1" l="1"/>
  <c r="AB27" i="1"/>
  <c r="AA28" i="1"/>
  <c r="Z19" i="1" l="1"/>
  <c r="AC27" i="1"/>
  <c r="AB28" i="1"/>
  <c r="AA19" i="1" l="1"/>
  <c r="AD27" i="1"/>
  <c r="AC28" i="1"/>
  <c r="AB19" i="1" l="1"/>
  <c r="AE27" i="1"/>
  <c r="AD28" i="1"/>
  <c r="AC19" i="1" l="1"/>
  <c r="AF27" i="1"/>
  <c r="AE28" i="1"/>
  <c r="AD19" i="1" l="1"/>
  <c r="AG27" i="1"/>
  <c r="D27" i="1" s="1"/>
  <c r="AF28" i="1"/>
  <c r="D28" i="1" l="1"/>
  <c r="AE19" i="1"/>
  <c r="AH27" i="1"/>
  <c r="AG28" i="1"/>
  <c r="AF19" i="1" l="1"/>
  <c r="AI27" i="1"/>
  <c r="AH28" i="1"/>
  <c r="AG19" i="1" l="1"/>
  <c r="D19" i="1" s="1"/>
  <c r="AJ27" i="1"/>
  <c r="AI28" i="1"/>
  <c r="AH19" i="1" l="1"/>
  <c r="AK27" i="1"/>
  <c r="AK28" i="1" s="1"/>
  <c r="AJ28" i="1"/>
  <c r="AI19" i="1" l="1"/>
  <c r="AJ19" i="1" l="1"/>
  <c r="AK19" i="1" l="1"/>
  <c r="F39" i="3"/>
  <c r="G18" i="1"/>
  <c r="G16" i="1" s="1"/>
  <c r="H16" i="1" l="1"/>
  <c r="D16" i="1" s="1"/>
  <c r="X18" i="1"/>
  <c r="X22" i="1" s="1"/>
  <c r="X30" i="1" s="1"/>
  <c r="X38" i="1" s="1"/>
  <c r="AI18" i="1"/>
  <c r="AI22" i="1" s="1"/>
  <c r="AI30" i="1" s="1"/>
  <c r="R18" i="1"/>
  <c r="R22" i="1" s="1"/>
  <c r="R30" i="1" s="1"/>
  <c r="R38" i="1" s="1"/>
  <c r="AH18" i="1"/>
  <c r="AH22" i="1" s="1"/>
  <c r="AH30" i="1" s="1"/>
  <c r="AG18" i="1"/>
  <c r="AG22" i="1" s="1"/>
  <c r="AG30" i="1" s="1"/>
  <c r="AG38" i="1" s="1"/>
  <c r="O18" i="1"/>
  <c r="O22" i="1" s="1"/>
  <c r="O30" i="1" s="1"/>
  <c r="O38" i="1" s="1"/>
  <c r="AE18" i="1"/>
  <c r="AE22" i="1" s="1"/>
  <c r="AE30" i="1" s="1"/>
  <c r="AE38" i="1" s="1"/>
  <c r="K18" i="1"/>
  <c r="K22" i="1" s="1"/>
  <c r="K30" i="1" s="1"/>
  <c r="K38" i="1" s="1"/>
  <c r="AB18" i="1"/>
  <c r="AB22" i="1" s="1"/>
  <c r="AB30" i="1" s="1"/>
  <c r="AB38" i="1" s="1"/>
  <c r="P18" i="1"/>
  <c r="P22" i="1" s="1"/>
  <c r="P30" i="1" s="1"/>
  <c r="P38" i="1" s="1"/>
  <c r="T18" i="1"/>
  <c r="T22" i="1" s="1"/>
  <c r="T30" i="1" s="1"/>
  <c r="T38" i="1" s="1"/>
  <c r="AJ18" i="1"/>
  <c r="AJ22" i="1" s="1"/>
  <c r="AJ30" i="1" s="1"/>
  <c r="AF18" i="1"/>
  <c r="AF22" i="1" s="1"/>
  <c r="AF30" i="1" s="1"/>
  <c r="AF38" i="1" s="1"/>
  <c r="S18" i="1"/>
  <c r="S22" i="1" s="1"/>
  <c r="S30" i="1" s="1"/>
  <c r="S38" i="1" s="1"/>
  <c r="L18" i="1"/>
  <c r="L22" i="1" s="1"/>
  <c r="L30" i="1" s="1"/>
  <c r="L38" i="1" s="1"/>
  <c r="AA18" i="1"/>
  <c r="AA22" i="1" s="1"/>
  <c r="AA30" i="1" s="1"/>
  <c r="AA38" i="1" s="1"/>
  <c r="J18" i="1"/>
  <c r="J22" i="1" s="1"/>
  <c r="J30" i="1" s="1"/>
  <c r="J38" i="1" s="1"/>
  <c r="Z18" i="1"/>
  <c r="Z22" i="1" s="1"/>
  <c r="Z30" i="1" s="1"/>
  <c r="Z38" i="1" s="1"/>
  <c r="M18" i="1"/>
  <c r="M22" i="1" s="1"/>
  <c r="M30" i="1" s="1"/>
  <c r="M38" i="1" s="1"/>
  <c r="Y18" i="1"/>
  <c r="Y22" i="1" s="1"/>
  <c r="Y30" i="1" s="1"/>
  <c r="Y38" i="1" s="1"/>
  <c r="W18" i="1"/>
  <c r="W22" i="1" s="1"/>
  <c r="W30" i="1" s="1"/>
  <c r="W38" i="1" s="1"/>
  <c r="Q18" i="1"/>
  <c r="Q22" i="1" s="1"/>
  <c r="Q30" i="1" s="1"/>
  <c r="Q38" i="1" s="1"/>
  <c r="I18" i="1"/>
  <c r="I22" i="1" s="1"/>
  <c r="I30" i="1" s="1"/>
  <c r="I38" i="1" s="1"/>
  <c r="H18" i="1"/>
  <c r="B7" i="4"/>
  <c r="B9" i="4" s="1"/>
  <c r="AD18" i="1"/>
  <c r="AD22" i="1" s="1"/>
  <c r="AD30" i="1" s="1"/>
  <c r="AD38" i="1" s="1"/>
  <c r="V18" i="1"/>
  <c r="V22" i="1" s="1"/>
  <c r="V30" i="1" s="1"/>
  <c r="V38" i="1" s="1"/>
  <c r="N18" i="1"/>
  <c r="N22" i="1" s="1"/>
  <c r="N30" i="1" s="1"/>
  <c r="N38" i="1" s="1"/>
  <c r="AK18" i="1"/>
  <c r="AK22" i="1" s="1"/>
  <c r="AK30" i="1" s="1"/>
  <c r="AC18" i="1"/>
  <c r="AC22" i="1" s="1"/>
  <c r="AC30" i="1" s="1"/>
  <c r="AC38" i="1" s="1"/>
  <c r="U18" i="1"/>
  <c r="U22" i="1" s="1"/>
  <c r="U30" i="1" s="1"/>
  <c r="U38" i="1" s="1"/>
  <c r="B11" i="4" l="1"/>
  <c r="B12" i="4" s="1"/>
  <c r="G22" i="1"/>
  <c r="D18" i="1"/>
  <c r="D22" i="1" s="1"/>
  <c r="D40" i="1" s="1"/>
  <c r="H22" i="1"/>
  <c r="H30" i="1" l="1"/>
  <c r="H38" i="1" s="1"/>
  <c r="D39" i="1" s="1"/>
  <c r="D32" i="1"/>
  <c r="D30" i="1"/>
  <c r="D38" i="1" s="1"/>
  <c r="D31" i="1" l="1"/>
  <c r="AP16" i="1"/>
  <c r="AP27" i="1"/>
</calcChain>
</file>

<file path=xl/sharedStrings.xml><?xml version="1.0" encoding="utf-8"?>
<sst xmlns="http://schemas.openxmlformats.org/spreadsheetml/2006/main" count="969" uniqueCount="169">
  <si>
    <t>CLIENT:</t>
  </si>
  <si>
    <t>NYSERDA</t>
  </si>
  <si>
    <t>PROJECT NO.:</t>
  </si>
  <si>
    <t>PROJECT:</t>
  </si>
  <si>
    <t>Syracuse Community Thermal</t>
  </si>
  <si>
    <t>PREPARED DATE:</t>
  </si>
  <si>
    <t>LOCATION:</t>
  </si>
  <si>
    <t>Syracuse, NY</t>
  </si>
  <si>
    <t>ESTIMATE TYPE:</t>
  </si>
  <si>
    <t>Feasability</t>
  </si>
  <si>
    <t>ESTIMATED BY:</t>
  </si>
  <si>
    <t>BH</t>
  </si>
  <si>
    <t xml:space="preserve"> </t>
  </si>
  <si>
    <t>ENGINEER:</t>
  </si>
  <si>
    <t>CHA</t>
  </si>
  <si>
    <t>CHECKED BY:</t>
  </si>
  <si>
    <t>RSV</t>
  </si>
  <si>
    <t>ARCHITECT:</t>
  </si>
  <si>
    <t>None</t>
  </si>
  <si>
    <t>Trade:</t>
  </si>
  <si>
    <t>Mechanical/Electrical/Structural</t>
  </si>
  <si>
    <t xml:space="preserve">Assumptions: </t>
  </si>
  <si>
    <t>NatGas Inflation Rate</t>
  </si>
  <si>
    <t>General Inflation Rate</t>
  </si>
  <si>
    <t>Discount Rate</t>
  </si>
  <si>
    <t>Ton Red Rate</t>
  </si>
  <si>
    <t>Finance Rate</t>
  </si>
  <si>
    <t>yr</t>
  </si>
  <si>
    <t>25-Yr NPV Sensitivity Analysis (In thousands)</t>
  </si>
  <si>
    <t>NPV (25 Year)</t>
  </si>
  <si>
    <t>Notes</t>
  </si>
  <si>
    <t>Estimated First Cost</t>
  </si>
  <si>
    <t>Year</t>
  </si>
  <si>
    <t>Costs</t>
  </si>
  <si>
    <t xml:space="preserve">Natural Gas Inflation Rate </t>
  </si>
  <si>
    <t>Design and Planning</t>
  </si>
  <si>
    <t>~10% Construction</t>
  </si>
  <si>
    <t>Central Plant Investment</t>
  </si>
  <si>
    <t>Per CHA Estimate</t>
  </si>
  <si>
    <t>Distribution Piping Investment</t>
  </si>
  <si>
    <t>Per CHA Estimate $53M financing over 40yr</t>
  </si>
  <si>
    <t>Central Plant O&amp;M</t>
  </si>
  <si>
    <t>($30k 0.5FTE operator, $188k electric, $14k O&amp;M, $30k other G&amp;A)</t>
  </si>
  <si>
    <t>District Connections to Customer Bldgs</t>
  </si>
  <si>
    <t>($15k/building, 50 total)</t>
  </si>
  <si>
    <t>NYSERDA Category B&amp;C Award</t>
  </si>
  <si>
    <t>PON 4641 Category B&amp;C</t>
  </si>
  <si>
    <t>Total (NPV)</t>
  </si>
  <si>
    <t>Direct Benefits</t>
  </si>
  <si>
    <t>Per year estimate</t>
  </si>
  <si>
    <t>Avoided Customer O&amp;M</t>
  </si>
  <si>
    <t>Per App C (Baseline Equipment - Towers and Boilers)</t>
  </si>
  <si>
    <t>Avoided Customer Equipment Recondition</t>
  </si>
  <si>
    <t>Per App D (10% tower and boiler/yr)</t>
  </si>
  <si>
    <t xml:space="preserve">Discount Rate </t>
  </si>
  <si>
    <t>Customer Energy Savings</t>
  </si>
  <si>
    <t>Per App D eliminating customer gas heat, 25% cooling efficiency increase</t>
  </si>
  <si>
    <t>Total Direct Benefits</t>
  </si>
  <si>
    <t>Net Direct Benefits</t>
  </si>
  <si>
    <t>IRR</t>
  </si>
  <si>
    <t>BCR</t>
  </si>
  <si>
    <t>Indirect Benefits</t>
  </si>
  <si>
    <t>Carbon Reduction Social Benefit</t>
  </si>
  <si>
    <t>$125/ton value NYS-DEC Guidance per evaluation</t>
  </si>
  <si>
    <t>Avoided Electrical Substation Upgrades</t>
  </si>
  <si>
    <t>Total Indirect Benefits</t>
  </si>
  <si>
    <t>Net Direct + Indirect Benefits</t>
  </si>
  <si>
    <t>($15k/building, 12 total)</t>
  </si>
  <si>
    <t>($30k 0.5FTE operator, $188k electric, $14k O&amp;M, $30k other G&amp;A), ration of total buildings</t>
  </si>
  <si>
    <t>($15k/building, 18 total)</t>
  </si>
  <si>
    <t>($15k/building, 19 total)</t>
  </si>
  <si>
    <t>Material Multiplier</t>
  </si>
  <si>
    <t>Labor Rate</t>
  </si>
  <si>
    <t>Reference</t>
  </si>
  <si>
    <t>DESCRIPTION</t>
  </si>
  <si>
    <t>QUANTITY</t>
  </si>
  <si>
    <t>UNIT</t>
  </si>
  <si>
    <t>Unit Price</t>
  </si>
  <si>
    <t>Subtotals</t>
  </si>
  <si>
    <t>TOTAL</t>
  </si>
  <si>
    <t>Material</t>
  </si>
  <si>
    <t>Labor Hours</t>
  </si>
  <si>
    <t>Item Cost</t>
  </si>
  <si>
    <t>Labor</t>
  </si>
  <si>
    <t>AMOUNT</t>
  </si>
  <si>
    <t>Buildling</t>
  </si>
  <si>
    <t>Prefabricated Metal Panel Building</t>
  </si>
  <si>
    <t>sf</t>
  </si>
  <si>
    <t>Building shell, basic electrical, HVAC, plumbing, storm, strucutral, concrete pad.</t>
  </si>
  <si>
    <t>Strucutral Foundation</t>
  </si>
  <si>
    <t>Mechanical</t>
  </si>
  <si>
    <t xml:space="preserve">2000T Centrifugal Chiller (7.9 MW Heat Pumps) </t>
  </si>
  <si>
    <t>EA</t>
  </si>
  <si>
    <t>Heat Exchanger - 5000 gpm</t>
  </si>
  <si>
    <t>Outfall Pumps - 7500 gpm, 125 hp</t>
  </si>
  <si>
    <t>Loop Pump - 6000 gpm, 300 hp</t>
  </si>
  <si>
    <t>30" Steel Pipe</t>
  </si>
  <si>
    <t>LF</t>
  </si>
  <si>
    <t>Fittings</t>
  </si>
  <si>
    <t>p</t>
  </si>
  <si>
    <t>20" Steel Pipe</t>
  </si>
  <si>
    <t>Control Valves</t>
  </si>
  <si>
    <t xml:space="preserve">Air Seperator - 22" </t>
  </si>
  <si>
    <t>LS</t>
  </si>
  <si>
    <t>Expansion Tank - B&amp;G B5000</t>
  </si>
  <si>
    <t>HVAC System</t>
  </si>
  <si>
    <t>SF</t>
  </si>
  <si>
    <t>Chemical Treatment System</t>
  </si>
  <si>
    <t>Ton</t>
  </si>
  <si>
    <t>Outfall Connection</t>
  </si>
  <si>
    <t>HVAC Controls</t>
  </si>
  <si>
    <t>Electrical Service</t>
  </si>
  <si>
    <t>13.2 kV Line Extension</t>
  </si>
  <si>
    <t>5 MVA Transformer</t>
  </si>
  <si>
    <t>Main Fuse Switch</t>
  </si>
  <si>
    <t>Switchgear Breakers - MCC</t>
  </si>
  <si>
    <t>Equipment Connections</t>
  </si>
  <si>
    <t>700kW Generator</t>
  </si>
  <si>
    <t>Comissioning</t>
  </si>
  <si>
    <t>Sub-Total</t>
  </si>
  <si>
    <t>Overhead</t>
  </si>
  <si>
    <t>Profit</t>
  </si>
  <si>
    <t>Contingency</t>
  </si>
  <si>
    <t>Total</t>
  </si>
  <si>
    <t>Full Build Out</t>
  </si>
  <si>
    <t>Item</t>
  </si>
  <si>
    <t>Opinion of Cost</t>
  </si>
  <si>
    <t>Central Plant</t>
  </si>
  <si>
    <t xml:space="preserve">Distribution Piping </t>
  </si>
  <si>
    <t>Construction Subtotal</t>
  </si>
  <si>
    <t>Construction Contingency</t>
  </si>
  <si>
    <t>Engineering Design and Planning</t>
  </si>
  <si>
    <t>Total Project Cost</t>
  </si>
  <si>
    <t>Initial Build Out (Phase C - Inner Harbor)</t>
  </si>
  <si>
    <t>12 Buildings</t>
  </si>
  <si>
    <t>Phase A - Fayette Street</t>
  </si>
  <si>
    <t>11 Buildings</t>
  </si>
  <si>
    <t>Phase B - Branches off Fayette Street</t>
  </si>
  <si>
    <t>26 Buildings</t>
  </si>
  <si>
    <t>Phase A</t>
  </si>
  <si>
    <t>Phase B</t>
  </si>
  <si>
    <t>Phase C</t>
  </si>
  <si>
    <t>Item Description</t>
  </si>
  <si>
    <t>Unit</t>
  </si>
  <si>
    <t>QTY</t>
  </si>
  <si>
    <t>Cost/Unit</t>
  </si>
  <si>
    <t>Item Total</t>
  </si>
  <si>
    <t>Pipe Runs in Grass Areas</t>
  </si>
  <si>
    <t>Pipe Runs in Roadway Areas</t>
  </si>
  <si>
    <t>Bore Locations</t>
  </si>
  <si>
    <t>Mobilization</t>
  </si>
  <si>
    <t>M&amp;P of Traffic</t>
  </si>
  <si>
    <t>Allowance</t>
  </si>
  <si>
    <t>Erosion Control</t>
  </si>
  <si>
    <t>Construction Sub Total</t>
  </si>
  <si>
    <t>Construction Total</t>
  </si>
  <si>
    <t>Line route from Lake, along R&amp;R/Erie/LaFayette/State St.</t>
  </si>
  <si>
    <t>LaFayette St all bored, no open cut other than pits</t>
  </si>
  <si>
    <t>Syracuse District Loop Costs</t>
  </si>
  <si>
    <t>Probable Costs</t>
  </si>
  <si>
    <t>Central Plant Cost Estimate</t>
  </si>
  <si>
    <t>Summary Table - Total Summary</t>
  </si>
  <si>
    <t>Summary Table - Total Summary (No Category C)</t>
  </si>
  <si>
    <t>Summary Table - Phase C</t>
  </si>
  <si>
    <t>Summary Table - Phase C (No Category C)</t>
  </si>
  <si>
    <t>Summary Table - Phase A</t>
  </si>
  <si>
    <t>Summary Table - Phase A (No Category C)</t>
  </si>
  <si>
    <t>Summary Table - Phase B</t>
  </si>
  <si>
    <t>Summary Table - Phase B (No Category 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</si>
</sst>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General_)"/>
    <numFmt numFmtId="167" formatCode="[$-409]mmmm\ d\,\ yyyy;@"/>
    <numFmt numFmtId="168" formatCode="_(&quot;$&quot;* #,##0.0_);_(&quot;$&quot;* \(#,##0.0\);_(&quot;$&quot;* &quot;-&quot;??_);_(@_)"/>
    <numFmt numFmtId="169" formatCode="0.0"/>
    <numFmt numFmtId="170" formatCode="0.0%"/>
    <numFmt numFmtId="171" formatCode="&quot;$&quot;#,##0.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0"/>
      <name val="MS Serif"/>
    </font>
    <font>
      <b/>
      <sz val="10"/>
      <name val="Gill Sans MT"/>
      <family val="2"/>
    </font>
    <font>
      <b/>
      <sz val="12"/>
      <name val="Times New Roman"/>
      <family val="1"/>
    </font>
    <font>
      <u/>
      <sz val="12"/>
      <name val="Times New Roman"/>
      <family val="1"/>
    </font>
    <font>
      <sz val="10"/>
      <name val="MS Sans Serif"/>
      <family val="2"/>
    </font>
    <font>
      <sz val="10"/>
      <name val="Gill Sans MT"/>
      <family val="2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Gill Sans MT"/>
      <family val="2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u val="double"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8" fillId="0" borderId="0"/>
    <xf numFmtId="40" fontId="12" fillId="0" borderId="0" applyFont="0" applyFill="0" applyBorder="0" applyAlignment="0" applyProtection="0"/>
    <xf numFmtId="0" fontId="14" fillId="0" borderId="0"/>
    <xf numFmtId="9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231">
    <xf numFmtId="0" fontId="0" fillId="0" borderId="0" xfId="0"/>
    <xf numFmtId="164" fontId="0" fillId="0" borderId="0" xfId="0" applyNumberFormat="1"/>
    <xf numFmtId="165" fontId="0" fillId="0" borderId="0" xfId="1" applyNumberFormat="1" applyFont="1"/>
    <xf numFmtId="164" fontId="0" fillId="0" borderId="0" xfId="1" applyNumberFormat="1" applyFont="1"/>
    <xf numFmtId="0" fontId="2" fillId="0" borderId="5" xfId="0" applyFont="1" applyBorder="1"/>
    <xf numFmtId="164" fontId="0" fillId="0" borderId="6" xfId="0" applyNumberFormat="1" applyBorder="1"/>
    <xf numFmtId="164" fontId="2" fillId="0" borderId="6" xfId="0" applyNumberFormat="1" applyFont="1" applyBorder="1"/>
    <xf numFmtId="0" fontId="0" fillId="0" borderId="5" xfId="0" applyBorder="1"/>
    <xf numFmtId="0" fontId="0" fillId="0" borderId="7" xfId="0" applyBorder="1"/>
    <xf numFmtId="0" fontId="0" fillId="0" borderId="1" xfId="0" applyBorder="1"/>
    <xf numFmtId="0" fontId="4" fillId="0" borderId="0" xfId="0" applyFont="1"/>
    <xf numFmtId="9" fontId="0" fillId="0" borderId="1" xfId="0" applyNumberFormat="1" applyBorder="1"/>
    <xf numFmtId="0" fontId="2" fillId="0" borderId="0" xfId="0" applyFont="1" applyAlignment="1">
      <alignment horizontal="left"/>
    </xf>
    <xf numFmtId="0" fontId="2" fillId="0" borderId="0" xfId="0" applyFont="1"/>
    <xf numFmtId="10" fontId="0" fillId="0" borderId="1" xfId="0" applyNumberFormat="1" applyBorder="1"/>
    <xf numFmtId="164" fontId="2" fillId="0" borderId="0" xfId="1" applyNumberFormat="1" applyFont="1"/>
    <xf numFmtId="0" fontId="5" fillId="0" borderId="0" xfId="0" applyFont="1"/>
    <xf numFmtId="10" fontId="5" fillId="0" borderId="6" xfId="2" applyNumberFormat="1" applyFont="1" applyBorder="1"/>
    <xf numFmtId="0" fontId="6" fillId="0" borderId="0" xfId="0" applyFont="1"/>
    <xf numFmtId="0" fontId="5" fillId="0" borderId="8" xfId="0" applyFont="1" applyBorder="1"/>
    <xf numFmtId="2" fontId="5" fillId="0" borderId="9" xfId="2" applyNumberFormat="1" applyFont="1" applyBorder="1"/>
    <xf numFmtId="0" fontId="2" fillId="0" borderId="8" xfId="0" applyFont="1" applyBorder="1"/>
    <xf numFmtId="166" fontId="9" fillId="0" borderId="0" xfId="3" applyFont="1"/>
    <xf numFmtId="166" fontId="10" fillId="0" borderId="0" xfId="3" applyFont="1" applyAlignment="1">
      <alignment horizontal="right"/>
    </xf>
    <xf numFmtId="166" fontId="11" fillId="0" borderId="0" xfId="3" applyFont="1" applyAlignment="1">
      <alignment horizontal="left"/>
    </xf>
    <xf numFmtId="44" fontId="13" fillId="0" borderId="0" xfId="4" applyNumberFormat="1" applyFont="1" applyFill="1" applyBorder="1" applyAlignment="1">
      <alignment horizontal="right"/>
    </xf>
    <xf numFmtId="44" fontId="13" fillId="0" borderId="0" xfId="3" applyNumberFormat="1" applyFont="1" applyAlignment="1">
      <alignment horizontal="right"/>
    </xf>
    <xf numFmtId="166" fontId="11" fillId="0" borderId="0" xfId="3" applyFont="1" applyAlignment="1">
      <alignment horizontal="center"/>
    </xf>
    <xf numFmtId="42" fontId="13" fillId="0" borderId="0" xfId="5" applyNumberFormat="1" applyFont="1"/>
    <xf numFmtId="0" fontId="13" fillId="0" borderId="0" xfId="5" applyFont="1"/>
    <xf numFmtId="167" fontId="11" fillId="0" borderId="0" xfId="3" applyNumberFormat="1" applyFont="1" applyAlignment="1">
      <alignment horizontal="center"/>
    </xf>
    <xf numFmtId="44" fontId="13" fillId="0" borderId="10" xfId="3" applyNumberFormat="1" applyFont="1" applyBorder="1" applyAlignment="1">
      <alignment horizontal="right"/>
    </xf>
    <xf numFmtId="44" fontId="13" fillId="0" borderId="11" xfId="4" applyNumberFormat="1" applyFont="1" applyFill="1" applyBorder="1" applyAlignment="1">
      <alignment horizontal="right"/>
    </xf>
    <xf numFmtId="9" fontId="13" fillId="0" borderId="12" xfId="6" applyFont="1" applyFill="1" applyBorder="1" applyAlignment="1">
      <alignment horizontal="center"/>
    </xf>
    <xf numFmtId="168" fontId="13" fillId="0" borderId="13" xfId="7" applyNumberFormat="1" applyFont="1" applyFill="1" applyBorder="1" applyAlignment="1">
      <alignment horizontal="center"/>
    </xf>
    <xf numFmtId="166" fontId="10" fillId="0" borderId="0" xfId="3" applyFont="1" applyAlignment="1">
      <alignment horizontal="left"/>
    </xf>
    <xf numFmtId="166" fontId="10" fillId="0" borderId="0" xfId="3" applyFont="1" applyAlignment="1">
      <alignment horizontal="centerContinuous"/>
    </xf>
    <xf numFmtId="166" fontId="11" fillId="0" borderId="0" xfId="3" quotePrefix="1" applyFont="1" applyAlignment="1">
      <alignment horizontal="center"/>
    </xf>
    <xf numFmtId="166" fontId="10" fillId="0" borderId="0" xfId="3" quotePrefix="1" applyFont="1" applyAlignment="1">
      <alignment horizontal="left"/>
    </xf>
    <xf numFmtId="166" fontId="10" fillId="0" borderId="0" xfId="3" quotePrefix="1" applyFont="1" applyAlignment="1">
      <alignment horizontal="centerContinuous"/>
    </xf>
    <xf numFmtId="38" fontId="9" fillId="0" borderId="0" xfId="4" applyNumberFormat="1" applyFont="1" applyFill="1" applyBorder="1" applyAlignment="1">
      <alignment horizontal="center"/>
    </xf>
    <xf numFmtId="38" fontId="13" fillId="0" borderId="0" xfId="4" applyNumberFormat="1" applyFont="1" applyFill="1" applyBorder="1" applyAlignment="1">
      <alignment horizontal="left"/>
    </xf>
    <xf numFmtId="166" fontId="13" fillId="0" borderId="0" xfId="3" applyFont="1" applyAlignment="1">
      <alignment horizontal="center"/>
    </xf>
    <xf numFmtId="44" fontId="13" fillId="0" borderId="0" xfId="4" applyNumberFormat="1" applyFont="1" applyFill="1" applyBorder="1" applyAlignment="1">
      <alignment horizontal="center"/>
    </xf>
    <xf numFmtId="42" fontId="9" fillId="0" borderId="0" xfId="4" quotePrefix="1" applyNumberFormat="1" applyFont="1" applyFill="1" applyBorder="1" applyAlignment="1">
      <alignment horizontal="right" indent="1"/>
    </xf>
    <xf numFmtId="42" fontId="9" fillId="2" borderId="19" xfId="5" applyNumberFormat="1" applyFont="1" applyFill="1" applyBorder="1" applyAlignment="1">
      <alignment horizontal="center"/>
    </xf>
    <xf numFmtId="42" fontId="9" fillId="2" borderId="22" xfId="5" applyNumberFormat="1" applyFont="1" applyFill="1" applyBorder="1" applyAlignment="1">
      <alignment horizontal="center"/>
    </xf>
    <xf numFmtId="42" fontId="9" fillId="2" borderId="23" xfId="5" applyNumberFormat="1" applyFont="1" applyFill="1" applyBorder="1" applyAlignment="1">
      <alignment horizontal="center"/>
    </xf>
    <xf numFmtId="42" fontId="9" fillId="2" borderId="24" xfId="5" applyNumberFormat="1" applyFont="1" applyFill="1" applyBorder="1" applyAlignment="1">
      <alignment horizontal="center"/>
    </xf>
    <xf numFmtId="42" fontId="9" fillId="2" borderId="25" xfId="5" applyNumberFormat="1" applyFont="1" applyFill="1" applyBorder="1" applyAlignment="1">
      <alignment horizontal="center"/>
    </xf>
    <xf numFmtId="0" fontId="13" fillId="0" borderId="26" xfId="5" applyFont="1" applyBorder="1" applyAlignment="1">
      <alignment horizontal="center"/>
    </xf>
    <xf numFmtId="0" fontId="13" fillId="0" borderId="27" xfId="5" applyFont="1" applyBorder="1" applyAlignment="1">
      <alignment horizontal="left"/>
    </xf>
    <xf numFmtId="0" fontId="13" fillId="0" borderId="28" xfId="8" applyNumberFormat="1" applyFont="1" applyBorder="1" applyAlignment="1">
      <alignment horizontal="center"/>
    </xf>
    <xf numFmtId="0" fontId="13" fillId="0" borderId="28" xfId="5" applyFont="1" applyBorder="1" applyAlignment="1">
      <alignment horizontal="center"/>
    </xf>
    <xf numFmtId="44" fontId="13" fillId="0" borderId="26" xfId="8" applyNumberFormat="1" applyFont="1" applyBorder="1"/>
    <xf numFmtId="44" fontId="13" fillId="0" borderId="29" xfId="5" applyNumberFormat="1" applyFont="1" applyBorder="1"/>
    <xf numFmtId="42" fontId="13" fillId="0" borderId="30" xfId="5" applyNumberFormat="1" applyFont="1" applyBorder="1"/>
    <xf numFmtId="165" fontId="13" fillId="0" borderId="31" xfId="8" applyNumberFormat="1" applyFont="1" applyBorder="1"/>
    <xf numFmtId="42" fontId="13" fillId="0" borderId="32" xfId="8" applyNumberFormat="1" applyFont="1" applyBorder="1"/>
    <xf numFmtId="44" fontId="13" fillId="0" borderId="33" xfId="5" applyNumberFormat="1" applyFont="1" applyBorder="1"/>
    <xf numFmtId="0" fontId="13" fillId="0" borderId="27" xfId="5" applyFont="1" applyBorder="1"/>
    <xf numFmtId="44" fontId="13" fillId="0" borderId="26" xfId="4" applyNumberFormat="1" applyFont="1" applyFill="1" applyBorder="1" applyAlignment="1">
      <alignment horizontal="center" vertical="center"/>
    </xf>
    <xf numFmtId="169" fontId="13" fillId="0" borderId="29" xfId="4" applyNumberFormat="1" applyFont="1" applyFill="1" applyBorder="1" applyAlignment="1">
      <alignment horizontal="right" vertical="center"/>
    </xf>
    <xf numFmtId="9" fontId="13" fillId="0" borderId="28" xfId="6" applyFont="1" applyBorder="1" applyAlignment="1">
      <alignment horizontal="center"/>
    </xf>
    <xf numFmtId="0" fontId="13" fillId="0" borderId="26" xfId="5" applyFont="1" applyBorder="1"/>
    <xf numFmtId="0" fontId="13" fillId="0" borderId="34" xfId="5" applyFont="1" applyBorder="1"/>
    <xf numFmtId="0" fontId="13" fillId="0" borderId="35" xfId="5" applyFont="1" applyBorder="1"/>
    <xf numFmtId="0" fontId="13" fillId="0" borderId="36" xfId="5" applyFont="1" applyBorder="1" applyAlignment="1">
      <alignment horizontal="center"/>
    </xf>
    <xf numFmtId="0" fontId="13" fillId="0" borderId="36" xfId="5" applyFont="1" applyBorder="1" applyAlignment="1">
      <alignment horizontal="center" vertical="center"/>
    </xf>
    <xf numFmtId="44" fontId="13" fillId="0" borderId="0" xfId="5" applyNumberFormat="1" applyFont="1"/>
    <xf numFmtId="165" fontId="13" fillId="0" borderId="31" xfId="8" applyNumberFormat="1" applyFont="1" applyBorder="1" applyAlignment="1">
      <alignment horizontal="right" vertical="center"/>
    </xf>
    <xf numFmtId="38" fontId="13" fillId="0" borderId="28" xfId="4" applyNumberFormat="1" applyFont="1" applyBorder="1" applyAlignment="1">
      <alignment horizontal="center"/>
    </xf>
    <xf numFmtId="0" fontId="13" fillId="0" borderId="28" xfId="5" applyFont="1" applyBorder="1" applyAlignment="1">
      <alignment horizontal="center" vertical="center"/>
    </xf>
    <xf numFmtId="44" fontId="13" fillId="0" borderId="34" xfId="4" applyNumberFormat="1" applyFont="1" applyFill="1" applyBorder="1" applyAlignment="1">
      <alignment horizontal="center" vertical="center"/>
    </xf>
    <xf numFmtId="169" fontId="13" fillId="0" borderId="37" xfId="4" applyNumberFormat="1" applyFont="1" applyFill="1" applyBorder="1" applyAlignment="1">
      <alignment horizontal="right" vertical="center"/>
    </xf>
    <xf numFmtId="44" fontId="13" fillId="0" borderId="38" xfId="3" applyNumberFormat="1" applyFont="1" applyBorder="1" applyAlignment="1">
      <alignment horizontal="right" vertical="center"/>
    </xf>
    <xf numFmtId="42" fontId="13" fillId="0" borderId="39" xfId="5" applyNumberFormat="1" applyFont="1" applyBorder="1"/>
    <xf numFmtId="165" fontId="13" fillId="0" borderId="40" xfId="8" applyNumberFormat="1" applyFont="1" applyBorder="1"/>
    <xf numFmtId="42" fontId="13" fillId="0" borderId="38" xfId="8" applyNumberFormat="1" applyFont="1" applyBorder="1"/>
    <xf numFmtId="44" fontId="13" fillId="0" borderId="37" xfId="4" applyNumberFormat="1" applyFont="1" applyFill="1" applyBorder="1" applyAlignment="1">
      <alignment horizontal="right" vertical="center"/>
    </xf>
    <xf numFmtId="0" fontId="9" fillId="0" borderId="41" xfId="5" applyFont="1" applyBorder="1"/>
    <xf numFmtId="0" fontId="13" fillId="0" borderId="42" xfId="5" applyFont="1" applyBorder="1"/>
    <xf numFmtId="0" fontId="13" fillId="0" borderId="43" xfId="5" applyFont="1" applyBorder="1" applyAlignment="1">
      <alignment horizontal="center"/>
    </xf>
    <xf numFmtId="0" fontId="13" fillId="0" borderId="43" xfId="5" applyFont="1" applyBorder="1" applyAlignment="1">
      <alignment horizontal="center" vertical="center"/>
    </xf>
    <xf numFmtId="44" fontId="13" fillId="0" borderId="41" xfId="4" applyNumberFormat="1" applyFont="1" applyFill="1" applyBorder="1" applyAlignment="1">
      <alignment horizontal="center" vertical="center"/>
    </xf>
    <xf numFmtId="44" fontId="13" fillId="0" borderId="44" xfId="4" applyNumberFormat="1" applyFont="1" applyFill="1" applyBorder="1" applyAlignment="1">
      <alignment horizontal="right" vertical="center"/>
    </xf>
    <xf numFmtId="42" fontId="13" fillId="0" borderId="46" xfId="5" applyNumberFormat="1" applyFont="1" applyBorder="1"/>
    <xf numFmtId="42" fontId="13" fillId="0" borderId="45" xfId="8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4" fontId="9" fillId="0" borderId="0" xfId="5" applyNumberFormat="1" applyFont="1"/>
    <xf numFmtId="42" fontId="9" fillId="0" borderId="0" xfId="5" applyNumberFormat="1" applyFont="1"/>
    <xf numFmtId="42" fontId="9" fillId="0" borderId="47" xfId="5" applyNumberFormat="1" applyFont="1" applyBorder="1"/>
    <xf numFmtId="42" fontId="9" fillId="0" borderId="48" xfId="5" applyNumberFormat="1" applyFont="1" applyBorder="1"/>
    <xf numFmtId="42" fontId="9" fillId="0" borderId="49" xfId="5" applyNumberFormat="1" applyFont="1" applyBorder="1"/>
    <xf numFmtId="0" fontId="13" fillId="0" borderId="0" xfId="5" applyFont="1" applyAlignment="1">
      <alignment horizontal="center"/>
    </xf>
    <xf numFmtId="0" fontId="13" fillId="0" borderId="16" xfId="5" applyFont="1" applyBorder="1"/>
    <xf numFmtId="9" fontId="13" fillId="0" borderId="50" xfId="5" applyNumberFormat="1" applyFont="1" applyBorder="1"/>
    <xf numFmtId="165" fontId="13" fillId="0" borderId="51" xfId="5" applyNumberFormat="1" applyFont="1" applyBorder="1"/>
    <xf numFmtId="0" fontId="13" fillId="0" borderId="52" xfId="5" applyFont="1" applyBorder="1"/>
    <xf numFmtId="9" fontId="13" fillId="0" borderId="53" xfId="5" applyNumberFormat="1" applyFont="1" applyBorder="1"/>
    <xf numFmtId="165" fontId="13" fillId="0" borderId="54" xfId="5" applyNumberFormat="1" applyFont="1" applyBorder="1"/>
    <xf numFmtId="0" fontId="13" fillId="0" borderId="22" xfId="5" applyFont="1" applyBorder="1"/>
    <xf numFmtId="9" fontId="13" fillId="0" borderId="55" xfId="5" applyNumberFormat="1" applyFont="1" applyBorder="1"/>
    <xf numFmtId="165" fontId="13" fillId="0" borderId="56" xfId="5" applyNumberFormat="1" applyFont="1" applyBorder="1"/>
    <xf numFmtId="0" fontId="13" fillId="0" borderId="47" xfId="5" applyFont="1" applyBorder="1"/>
    <xf numFmtId="44" fontId="13" fillId="0" borderId="12" xfId="5" applyNumberFormat="1" applyFont="1" applyBorder="1"/>
    <xf numFmtId="42" fontId="13" fillId="0" borderId="13" xfId="5" applyNumberFormat="1" applyFont="1" applyBorder="1"/>
    <xf numFmtId="42" fontId="13" fillId="0" borderId="0" xfId="5" applyNumberFormat="1" applyFont="1" applyAlignment="1">
      <alignment horizontal="left"/>
    </xf>
    <xf numFmtId="166" fontId="11" fillId="0" borderId="0" xfId="3" quotePrefix="1" applyFont="1" applyAlignment="1">
      <alignment horizontal="left"/>
    </xf>
    <xf numFmtId="10" fontId="0" fillId="0" borderId="0" xfId="0" applyNumberFormat="1"/>
    <xf numFmtId="0" fontId="15" fillId="0" borderId="0" xfId="0" applyFont="1"/>
    <xf numFmtId="0" fontId="15" fillId="0" borderId="0" xfId="0" applyFont="1" applyAlignment="1">
      <alignment horizontal="center"/>
    </xf>
    <xf numFmtId="44" fontId="15" fillId="0" borderId="0" xfId="1" applyFont="1" applyAlignment="1">
      <alignment horizontal="center"/>
    </xf>
    <xf numFmtId="0" fontId="16" fillId="0" borderId="0" xfId="0" applyFont="1"/>
    <xf numFmtId="44" fontId="16" fillId="0" borderId="0" xfId="1" applyFont="1" applyAlignment="1">
      <alignment horizontal="center"/>
    </xf>
    <xf numFmtId="0" fontId="0" fillId="0" borderId="0" xfId="0" applyAlignment="1">
      <alignment horizontal="center"/>
    </xf>
    <xf numFmtId="44" fontId="0" fillId="0" borderId="0" xfId="1" applyFont="1" applyAlignment="1">
      <alignment horizontal="center"/>
    </xf>
    <xf numFmtId="44" fontId="0" fillId="0" borderId="0" xfId="0" applyNumberFormat="1"/>
    <xf numFmtId="0" fontId="2" fillId="0" borderId="0" xfId="0" applyFont="1" applyAlignment="1">
      <alignment horizontal="center"/>
    </xf>
    <xf numFmtId="9" fontId="0" fillId="0" borderId="0" xfId="2" applyFont="1" applyFill="1" applyAlignment="1">
      <alignment horizontal="center"/>
    </xf>
    <xf numFmtId="44" fontId="0" fillId="0" borderId="0" xfId="1" applyFont="1" applyFill="1" applyAlignment="1">
      <alignment horizontal="center"/>
    </xf>
    <xf numFmtId="0" fontId="0" fillId="0" borderId="0" xfId="1" applyNumberFormat="1" applyFont="1" applyAlignment="1">
      <alignment horizontal="center"/>
    </xf>
    <xf numFmtId="0" fontId="3" fillId="0" borderId="0" xfId="0" applyFont="1" applyAlignment="1">
      <alignment horizontal="center"/>
    </xf>
    <xf numFmtId="164" fontId="0" fillId="0" borderId="1" xfId="1" applyNumberFormat="1" applyFont="1" applyBorder="1"/>
    <xf numFmtId="164" fontId="2" fillId="0" borderId="1" xfId="1" applyNumberFormat="1" applyFont="1" applyBorder="1"/>
    <xf numFmtId="164" fontId="2" fillId="0" borderId="1" xfId="1" applyNumberFormat="1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44" fontId="17" fillId="0" borderId="0" xfId="3" applyNumberFormat="1" applyFont="1" applyAlignment="1">
      <alignment horizontal="left"/>
    </xf>
    <xf numFmtId="165" fontId="13" fillId="0" borderId="38" xfId="0" applyNumberFormat="1" applyFont="1" applyBorder="1" applyAlignment="1">
      <alignment horizontal="right" vertical="center"/>
    </xf>
    <xf numFmtId="165" fontId="13" fillId="0" borderId="37" xfId="7" applyNumberFormat="1" applyFont="1" applyFill="1" applyBorder="1" applyAlignment="1">
      <alignment horizontal="right" vertical="center"/>
    </xf>
    <xf numFmtId="44" fontId="13" fillId="0" borderId="38" xfId="0" applyNumberFormat="1" applyFont="1" applyBorder="1" applyAlignment="1">
      <alignment horizontal="right" vertical="center"/>
    </xf>
    <xf numFmtId="44" fontId="13" fillId="0" borderId="32" xfId="0" applyNumberFormat="1" applyFont="1" applyBorder="1" applyAlignment="1">
      <alignment horizontal="right" vertical="center"/>
    </xf>
    <xf numFmtId="44" fontId="13" fillId="0" borderId="45" xfId="0" applyNumberFormat="1" applyFont="1" applyBorder="1" applyAlignment="1">
      <alignment horizontal="right" vertical="center"/>
    </xf>
    <xf numFmtId="165" fontId="13" fillId="0" borderId="13" xfId="8" applyNumberFormat="1" applyFont="1" applyBorder="1"/>
    <xf numFmtId="0" fontId="13" fillId="3" borderId="35" xfId="5" applyFont="1" applyFill="1" applyBorder="1"/>
    <xf numFmtId="0" fontId="13" fillId="3" borderId="36" xfId="5" applyFont="1" applyFill="1" applyBorder="1" applyAlignment="1">
      <alignment horizontal="center"/>
    </xf>
    <xf numFmtId="0" fontId="13" fillId="3" borderId="36" xfId="5" applyFont="1" applyFill="1" applyBorder="1" applyAlignment="1">
      <alignment horizontal="center" vertical="center"/>
    </xf>
    <xf numFmtId="44" fontId="13" fillId="3" borderId="34" xfId="4" applyNumberFormat="1" applyFont="1" applyFill="1" applyBorder="1" applyAlignment="1">
      <alignment horizontal="center" vertical="center"/>
    </xf>
    <xf numFmtId="169" fontId="13" fillId="3" borderId="37" xfId="4" applyNumberFormat="1" applyFont="1" applyFill="1" applyBorder="1" applyAlignment="1">
      <alignment horizontal="right" vertical="center"/>
    </xf>
    <xf numFmtId="44" fontId="13" fillId="3" borderId="38" xfId="3" applyNumberFormat="1" applyFont="1" applyFill="1" applyBorder="1" applyAlignment="1">
      <alignment horizontal="right" vertical="center"/>
    </xf>
    <xf numFmtId="42" fontId="13" fillId="3" borderId="39" xfId="5" applyNumberFormat="1" applyFont="1" applyFill="1" applyBorder="1"/>
    <xf numFmtId="165" fontId="13" fillId="3" borderId="40" xfId="8" applyNumberFormat="1" applyFont="1" applyFill="1" applyBorder="1"/>
    <xf numFmtId="42" fontId="13" fillId="3" borderId="38" xfId="8" applyNumberFormat="1" applyFont="1" applyFill="1" applyBorder="1"/>
    <xf numFmtId="165" fontId="13" fillId="0" borderId="26" xfId="4" applyNumberFormat="1" applyFont="1" applyFill="1" applyBorder="1" applyAlignment="1">
      <alignment horizontal="center" vertical="center"/>
    </xf>
    <xf numFmtId="0" fontId="9" fillId="3" borderId="58" xfId="5" applyFont="1" applyFill="1" applyBorder="1"/>
    <xf numFmtId="0" fontId="0" fillId="3" borderId="15" xfId="0" applyFill="1" applyBorder="1" applyAlignment="1">
      <alignment horizontal="center" vertical="center"/>
    </xf>
    <xf numFmtId="42" fontId="9" fillId="3" borderId="59" xfId="5" applyNumberFormat="1" applyFont="1" applyFill="1" applyBorder="1" applyAlignment="1">
      <alignment horizontal="center"/>
    </xf>
    <xf numFmtId="42" fontId="9" fillId="3" borderId="60" xfId="5" applyNumberFormat="1" applyFont="1" applyFill="1" applyBorder="1" applyAlignment="1">
      <alignment horizontal="center"/>
    </xf>
    <xf numFmtId="42" fontId="9" fillId="3" borderId="61" xfId="5" applyNumberFormat="1" applyFont="1" applyFill="1" applyBorder="1" applyAlignment="1">
      <alignment horizontal="center"/>
    </xf>
    <xf numFmtId="42" fontId="9" fillId="3" borderId="62" xfId="5" applyNumberFormat="1" applyFont="1" applyFill="1" applyBorder="1" applyAlignment="1">
      <alignment horizontal="center"/>
    </xf>
    <xf numFmtId="42" fontId="9" fillId="3" borderId="19" xfId="5" applyNumberFormat="1" applyFont="1" applyFill="1" applyBorder="1" applyAlignment="1">
      <alignment horizontal="center"/>
    </xf>
    <xf numFmtId="0" fontId="9" fillId="3" borderId="27" xfId="5" applyFont="1" applyFill="1" applyBorder="1" applyAlignment="1">
      <alignment horizontal="left"/>
    </xf>
    <xf numFmtId="0" fontId="13" fillId="3" borderId="28" xfId="8" applyNumberFormat="1" applyFont="1" applyFill="1" applyBorder="1" applyAlignment="1">
      <alignment horizontal="center"/>
    </xf>
    <xf numFmtId="0" fontId="13" fillId="3" borderId="28" xfId="5" applyFont="1" applyFill="1" applyBorder="1" applyAlignment="1">
      <alignment horizontal="center"/>
    </xf>
    <xf numFmtId="44" fontId="13" fillId="3" borderId="26" xfId="8" applyNumberFormat="1" applyFont="1" applyFill="1" applyBorder="1"/>
    <xf numFmtId="44" fontId="13" fillId="3" borderId="29" xfId="5" applyNumberFormat="1" applyFont="1" applyFill="1" applyBorder="1"/>
    <xf numFmtId="44" fontId="13" fillId="3" borderId="33" xfId="5" applyNumberFormat="1" applyFont="1" applyFill="1" applyBorder="1"/>
    <xf numFmtId="42" fontId="13" fillId="3" borderId="30" xfId="5" applyNumberFormat="1" applyFont="1" applyFill="1" applyBorder="1"/>
    <xf numFmtId="165" fontId="13" fillId="3" borderId="31" xfId="8" applyNumberFormat="1" applyFont="1" applyFill="1" applyBorder="1"/>
    <xf numFmtId="42" fontId="13" fillId="3" borderId="32" xfId="8" applyNumberFormat="1" applyFont="1" applyFill="1" applyBorder="1"/>
    <xf numFmtId="166" fontId="8" fillId="0" borderId="57" xfId="3" applyBorder="1" applyAlignment="1">
      <alignment horizontal="center" vertical="center"/>
    </xf>
    <xf numFmtId="164" fontId="2" fillId="0" borderId="64" xfId="1" applyNumberFormat="1" applyFont="1" applyBorder="1"/>
    <xf numFmtId="164" fontId="0" fillId="0" borderId="66" xfId="1" applyNumberFormat="1" applyFont="1" applyBorder="1"/>
    <xf numFmtId="0" fontId="2" fillId="5" borderId="1" xfId="0" applyFont="1" applyFill="1" applyBorder="1"/>
    <xf numFmtId="164" fontId="19" fillId="5" borderId="1" xfId="1" applyNumberFormat="1" applyFont="1" applyFill="1" applyBorder="1" applyAlignment="1">
      <alignment horizontal="center"/>
    </xf>
    <xf numFmtId="164" fontId="19" fillId="5" borderId="1" xfId="0" applyNumberFormat="1" applyFont="1" applyFill="1" applyBorder="1" applyAlignment="1">
      <alignment horizontal="center"/>
    </xf>
    <xf numFmtId="164" fontId="19" fillId="5" borderId="65" xfId="1" applyNumberFormat="1" applyFont="1" applyFill="1" applyBorder="1" applyAlignment="1">
      <alignment horizontal="center"/>
    </xf>
    <xf numFmtId="164" fontId="18" fillId="4" borderId="63" xfId="1" applyNumberFormat="1" applyFont="1" applyFill="1" applyBorder="1" applyAlignment="1">
      <alignment horizontal="center"/>
    </xf>
    <xf numFmtId="0" fontId="0" fillId="0" borderId="1" xfId="0" applyBorder="1" applyAlignment="1">
      <alignment wrapText="1"/>
    </xf>
    <xf numFmtId="0" fontId="2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164" fontId="3" fillId="0" borderId="4" xfId="0" applyNumberFormat="1" applyFont="1" applyBorder="1" applyAlignment="1">
      <alignment horizontal="right" wrapText="1"/>
    </xf>
    <xf numFmtId="0" fontId="0" fillId="0" borderId="0" xfId="0" applyAlignment="1">
      <alignment wrapText="1"/>
    </xf>
    <xf numFmtId="0" fontId="7" fillId="0" borderId="0" xfId="0" applyFont="1" applyAlignment="1">
      <alignment wrapText="1"/>
    </xf>
    <xf numFmtId="0" fontId="2" fillId="5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164" fontId="0" fillId="0" borderId="0" xfId="1" applyNumberFormat="1" applyFont="1" applyBorder="1"/>
    <xf numFmtId="171" fontId="0" fillId="0" borderId="0" xfId="0" applyNumberFormat="1"/>
    <xf numFmtId="164" fontId="22" fillId="0" borderId="0" xfId="0" applyNumberFormat="1" applyFont="1"/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2" fillId="0" borderId="0" xfId="0" applyNumberFormat="1" applyFont="1" applyAlignment="1">
      <alignment horizontal="center"/>
    </xf>
    <xf numFmtId="10" fontId="0" fillId="0" borderId="64" xfId="0" applyNumberFormat="1" applyBorder="1"/>
    <xf numFmtId="0" fontId="0" fillId="0" borderId="65" xfId="0" applyBorder="1"/>
    <xf numFmtId="0" fontId="0" fillId="0" borderId="66" xfId="0" applyBorder="1"/>
    <xf numFmtId="0" fontId="0" fillId="0" borderId="3" xfId="0" applyBorder="1"/>
    <xf numFmtId="0" fontId="3" fillId="0" borderId="0" xfId="0" applyFont="1"/>
    <xf numFmtId="164" fontId="23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left" indent="1"/>
    </xf>
    <xf numFmtId="164" fontId="22" fillId="0" borderId="8" xfId="0" applyNumberFormat="1" applyFont="1" applyBorder="1"/>
    <xf numFmtId="0" fontId="2" fillId="0" borderId="3" xfId="0" applyFont="1" applyBorder="1"/>
    <xf numFmtId="0" fontId="3" fillId="0" borderId="0" xfId="0" applyFont="1" applyAlignment="1">
      <alignment horizontal="right"/>
    </xf>
    <xf numFmtId="164" fontId="21" fillId="0" borderId="0" xfId="0" applyNumberFormat="1" applyFont="1"/>
    <xf numFmtId="164" fontId="2" fillId="0" borderId="0" xfId="1" applyNumberFormat="1" applyFont="1" applyAlignment="1">
      <alignment textRotation="90"/>
    </xf>
    <xf numFmtId="164" fontId="2" fillId="0" borderId="2" xfId="1" applyNumberFormat="1" applyFont="1" applyBorder="1" applyAlignment="1">
      <alignment textRotation="90"/>
    </xf>
    <xf numFmtId="164" fontId="2" fillId="0" borderId="3" xfId="1" applyNumberFormat="1" applyFont="1" applyBorder="1" applyAlignment="1">
      <alignment horizontal="right"/>
    </xf>
    <xf numFmtId="164" fontId="0" fillId="0" borderId="3" xfId="1" applyNumberFormat="1" applyFont="1" applyBorder="1"/>
    <xf numFmtId="164" fontId="0" fillId="0" borderId="4" xfId="1" applyNumberFormat="1" applyFont="1" applyBorder="1"/>
    <xf numFmtId="164" fontId="2" fillId="0" borderId="5" xfId="1" applyNumberFormat="1" applyFont="1" applyBorder="1" applyAlignment="1">
      <alignment textRotation="90"/>
    </xf>
    <xf numFmtId="164" fontId="20" fillId="0" borderId="0" xfId="0" applyNumberFormat="1" applyFont="1"/>
    <xf numFmtId="9" fontId="0" fillId="0" borderId="0" xfId="0" applyNumberFormat="1" applyAlignment="1">
      <alignment horizontal="center"/>
    </xf>
    <xf numFmtId="9" fontId="0" fillId="0" borderId="6" xfId="0" applyNumberFormat="1" applyBorder="1" applyAlignment="1">
      <alignment horizontal="center"/>
    </xf>
    <xf numFmtId="170" fontId="0" fillId="0" borderId="0" xfId="0" applyNumberFormat="1"/>
    <xf numFmtId="164" fontId="0" fillId="0" borderId="6" xfId="1" applyNumberFormat="1" applyFont="1" applyBorder="1"/>
    <xf numFmtId="170" fontId="0" fillId="0" borderId="8" xfId="0" applyNumberFormat="1" applyBorder="1"/>
    <xf numFmtId="164" fontId="0" fillId="0" borderId="8" xfId="0" applyNumberFormat="1" applyBorder="1"/>
    <xf numFmtId="164" fontId="0" fillId="0" borderId="8" xfId="1" applyNumberFormat="1" applyFont="1" applyBorder="1"/>
    <xf numFmtId="164" fontId="0" fillId="0" borderId="9" xfId="1" applyNumberFormat="1" applyFont="1" applyBorder="1"/>
    <xf numFmtId="9" fontId="0" fillId="0" borderId="0" xfId="0" applyNumberFormat="1"/>
    <xf numFmtId="9" fontId="0" fillId="0" borderId="8" xfId="0" applyNumberFormat="1" applyBorder="1"/>
    <xf numFmtId="0" fontId="2" fillId="0" borderId="2" xfId="0" applyFont="1" applyBorder="1"/>
    <xf numFmtId="164" fontId="0" fillId="0" borderId="4" xfId="0" applyNumberFormat="1" applyBorder="1"/>
    <xf numFmtId="0" fontId="16" fillId="0" borderId="0" xfId="0" applyFont="1" applyAlignment="1">
      <alignment horizontal="center"/>
    </xf>
    <xf numFmtId="44" fontId="2" fillId="0" borderId="0" xfId="1" applyFont="1" applyAlignment="1">
      <alignment horizontal="center"/>
    </xf>
    <xf numFmtId="10" fontId="5" fillId="6" borderId="6" xfId="2" applyNumberFormat="1" applyFont="1" applyFill="1" applyBorder="1"/>
    <xf numFmtId="167" fontId="11" fillId="0" borderId="0" xfId="3" applyNumberFormat="1" applyFont="1" applyAlignment="1">
      <alignment horizontal="left"/>
    </xf>
    <xf numFmtId="164" fontId="2" fillId="0" borderId="2" xfId="1" applyNumberFormat="1" applyFont="1" applyBorder="1" applyAlignment="1">
      <alignment horizontal="center" textRotation="90"/>
    </xf>
    <xf numFmtId="164" fontId="2" fillId="0" borderId="5" xfId="1" applyNumberFormat="1" applyFont="1" applyBorder="1" applyAlignment="1">
      <alignment horizontal="center" textRotation="90"/>
    </xf>
    <xf numFmtId="164" fontId="2" fillId="0" borderId="7" xfId="1" applyNumberFormat="1" applyFont="1" applyBorder="1" applyAlignment="1">
      <alignment horizontal="center" textRotation="90"/>
    </xf>
    <xf numFmtId="42" fontId="9" fillId="2" borderId="16" xfId="5" applyNumberFormat="1" applyFont="1" applyFill="1" applyBorder="1" applyAlignment="1">
      <alignment horizontal="center"/>
    </xf>
    <xf numFmtId="166" fontId="8" fillId="0" borderId="17" xfId="3" applyBorder="1" applyAlignment="1">
      <alignment horizontal="center"/>
    </xf>
    <xf numFmtId="166" fontId="8" fillId="0" borderId="18" xfId="3" applyBorder="1" applyAlignment="1">
      <alignment horizontal="center"/>
    </xf>
    <xf numFmtId="0" fontId="9" fillId="2" borderId="15" xfId="5" applyFont="1" applyFill="1" applyBorder="1" applyAlignment="1">
      <alignment horizontal="center" vertical="center"/>
    </xf>
    <xf numFmtId="166" fontId="8" fillId="0" borderId="21" xfId="3" applyBorder="1" applyAlignment="1">
      <alignment horizontal="center" vertical="center"/>
    </xf>
    <xf numFmtId="0" fontId="9" fillId="2" borderId="14" xfId="5" applyFont="1" applyFill="1" applyBorder="1" applyAlignment="1">
      <alignment horizontal="center" vertical="center"/>
    </xf>
    <xf numFmtId="166" fontId="8" fillId="0" borderId="20" xfId="3" applyBorder="1" applyAlignment="1">
      <alignment horizontal="center" vertical="center"/>
    </xf>
    <xf numFmtId="0" fontId="16" fillId="0" borderId="0" xfId="0" applyFont="1" applyAlignment="1">
      <alignment horizontal="center"/>
    </xf>
    <xf numFmtId="9" fontId="16" fillId="0" borderId="0" xfId="0" applyNumberFormat="1" applyFont="1" applyAlignment="1">
      <alignment horizontal="center"/>
    </xf>
  </cellXfs>
  <cellStyles count="9">
    <cellStyle name="Comma 2" xfId="4" xr:uid="{74BDFBCB-A8D1-4414-A31D-8CAC1F67418D}"/>
    <cellStyle name="Comma 3" xfId="8" xr:uid="{654AD0C3-E31F-4FE1-B379-670172EE5FDB}"/>
    <cellStyle name="Currency" xfId="1" builtinId="4"/>
    <cellStyle name="Currency 2" xfId="7" xr:uid="{4D8DF1BA-C780-46DA-8A94-D047E013B89A}"/>
    <cellStyle name="Normal" xfId="0" builtinId="0"/>
    <cellStyle name="Normal 2" xfId="3" xr:uid="{AD65AD82-65C9-4703-B45D-C0F36E4C0989}"/>
    <cellStyle name="Normal 5" xfId="5" xr:uid="{CBFE24E0-BA38-4C52-BA6A-C2E3B064C826}"/>
    <cellStyle name="Percent" xfId="2" builtinId="5"/>
    <cellStyle name="Percent 2" xfId="6" xr:uid="{F20CAFFD-CF2A-4C0B-9761-993B0CFE5D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EC5073F2-ECAA-442A-9094-4040E43F8E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0020" y="0"/>
          <a:ext cx="1722120" cy="671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0F3323EF-3D10-4A8C-A2E8-54D6A1264A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2561EB82-584D-42FB-8EDD-FE94530E00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D5299DB4-7A01-4A01-934C-689FE1BEC1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EE7653C9-B9DA-4211-87F8-60AF921D0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C07C7232-4D88-49DD-8F7A-2BD28FC1A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6417828B-CE8A-4445-A364-4AEEB81A32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1356360</xdr:colOff>
      <xdr:row>3</xdr:row>
      <xdr:rowOff>8918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B8955492-5C1D-4AD4-8952-8BE0BBA0E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0"/>
          <a:ext cx="1708785" cy="637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</xdr:col>
      <xdr:colOff>1333500</xdr:colOff>
      <xdr:row>3</xdr:row>
      <xdr:rowOff>0</xdr:rowOff>
    </xdr:to>
    <xdr:pic>
      <xdr:nvPicPr>
        <xdr:cNvPr id="2" name="Picture 64" descr="CHAsymbol2925">
          <a:extLst>
            <a:ext uri="{FF2B5EF4-FFF2-40B4-BE49-F238E27FC236}">
              <a16:creationId xmlns:a16="http://schemas.microsoft.com/office/drawing/2014/main" id="{77198B45-D622-449B-A7B6-0D48810B83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0"/>
          <a:ext cx="2238375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quarter\1999_PROJECTS\STVschool2\PS36859%2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quarter\1999_PROJECTS\College\CUNY%20Law%20School%20REV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quarter\2002_PROJECTS\DOCUME~1\vijay\LOCALS~1\Temp\coned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eadquarter\1999_PROJECTS\RailSubway\179THSTREET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chaconsulting.sharepoint.com/sites/x67523-SyracuseDESNYSERDA/Shared%20Documents/General/11_Cost_Estimates/Syracuse%20District%20Cooling%20-%20Feasability%201.10.2022.xlsx" TargetMode="External"/><Relationship Id="rId1" Type="http://schemas.openxmlformats.org/officeDocument/2006/relationships/externalLinkPath" Target="https://chaconsulting.sharepoint.com/sites/x67523-SyracuseDESNYSERDA/Shared%20Documents/General/11_Cost_Estimates/Syracuse%20District%20Cooling%20-%20Feasability%201.10.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T"/>
      <sheetName val="Back up"/>
      <sheetName val="TITLE"/>
      <sheetName val="QUALIFICATION"/>
      <sheetName val="SUM"/>
      <sheetName val="TRADE"/>
      <sheetName val="ESTIMATE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QUAL"/>
      <sheetName val="PS-1"/>
      <sheetName val="PS-3"/>
      <sheetName val="S-6"/>
      <sheetName val="EST"/>
      <sheetName val="ALT A"/>
      <sheetName val="ALT B"/>
      <sheetName val="ALT D"/>
      <sheetName val="MEPsch (2)"/>
      <sheetName val="SUM"/>
      <sheetName val="ALT"/>
      <sheetName val="MEPs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QUAL"/>
      <sheetName val="SUM"/>
      <sheetName val="BREAKDOWN"/>
      <sheetName val="TRADE MB"/>
      <sheetName val="EST"/>
      <sheetName val="SEP"/>
      <sheetName val="TRADE STOR"/>
      <sheetName val="STOR"/>
      <sheetName val="SITE"/>
      <sheetName val="TRADE EXIST"/>
      <sheetName val="EXIST"/>
    </sheetNames>
    <sheetDataSet>
      <sheetData sheetId="0"/>
      <sheetData sheetId="1"/>
      <sheetData sheetId="2" refreshError="1"/>
      <sheetData sheetId="3" refreshError="1"/>
      <sheetData sheetId="4"/>
      <sheetData sheetId="5"/>
      <sheetData sheetId="6" refreshError="1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LE"/>
      <sheetName val="QUAL"/>
      <sheetName val="SUM"/>
      <sheetName val="ARCH"/>
      <sheetName val="STR"/>
      <sheetName val="MECH"/>
      <sheetName val="ELE"/>
      <sheetName val="QUAN (2)"/>
      <sheetName val="rate"/>
      <sheetName val="mik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0BKA7Mg0HkCEsd8UoXhh8jrmIjY32DhLk8Zt0n_NnVBKQTtctUI-T7wV6Y6t2Y5_" itemId="01IOUJAPHTNOGAP3LO2BDI6472VTXIBXIH">
      <xxl21:absoluteUrl r:id="rId2"/>
    </xxl21:alternateUrls>
    <sheetNames>
      <sheetName val="Summary"/>
      <sheetName val="Pipe Runs"/>
      <sheetName val="Pipe Runs - Option 2"/>
      <sheetName val="Bore Locations"/>
      <sheetName val="Bore Locations - Option 2"/>
    </sheetNames>
    <sheetDataSet>
      <sheetData sheetId="0"/>
      <sheetData sheetId="1"/>
      <sheetData sheetId="2"/>
      <sheetData sheetId="3">
        <row r="38">
          <cell r="G38">
            <v>2558.3126550868487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3D6AC-B772-474D-93CC-9CB25C106FFD}">
  <dimension ref="B1:AX60"/>
  <sheetViews>
    <sheetView tabSelected="1" zoomScale="85" zoomScaleNormal="85" workbookViewId="0">
      <selection activeCell="C12" sqref="C12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66.140625" bestFit="1" customWidth="1"/>
    <col min="7" max="7" width="23.14062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</row>
    <row r="8" spans="2:50" s="29" customFormat="1" ht="16.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</row>
    <row r="9" spans="2:50" x14ac:dyDescent="0.25">
      <c r="G9" s="169" t="s">
        <v>23</v>
      </c>
      <c r="H9" s="11">
        <v>0.03</v>
      </c>
    </row>
    <row r="10" spans="2:50" x14ac:dyDescent="0.25">
      <c r="G10" s="185" t="s">
        <v>24</v>
      </c>
      <c r="H10" s="11">
        <v>7.0000000000000007E-2</v>
      </c>
    </row>
    <row r="11" spans="2:50" x14ac:dyDescent="0.25">
      <c r="G11" s="9" t="s">
        <v>25</v>
      </c>
      <c r="H11" s="184">
        <v>-9.5000000000000001E-2</v>
      </c>
    </row>
    <row r="12" spans="2:50" x14ac:dyDescent="0.25">
      <c r="C12" s="123" t="s">
        <v>161</v>
      </c>
      <c r="G12" s="186" t="s">
        <v>26</v>
      </c>
      <c r="H12" s="14">
        <v>0.03</v>
      </c>
      <c r="I12" s="9">
        <v>40</v>
      </c>
      <c r="J12" s="9" t="s">
        <v>27</v>
      </c>
    </row>
    <row r="13" spans="2:50" x14ac:dyDescent="0.25">
      <c r="H13" s="110"/>
      <c r="AQ13" s="12" t="s">
        <v>28</v>
      </c>
      <c r="AR13" s="3"/>
      <c r="AS13" s="3"/>
      <c r="AT13" s="3"/>
      <c r="AU13" s="3"/>
      <c r="AV13" s="3"/>
      <c r="AW13" s="3"/>
      <c r="AX13" s="3"/>
    </row>
    <row r="14" spans="2:50" s="173" customFormat="1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19" t="s">
        <v>34</v>
      </c>
      <c r="AP15" s="187"/>
      <c r="AQ15" s="193" t="s">
        <v>24</v>
      </c>
      <c r="AR15" s="199"/>
      <c r="AS15" s="199"/>
      <c r="AT15" s="199"/>
      <c r="AU15" s="199"/>
      <c r="AV15" s="199"/>
      <c r="AW15" s="199"/>
      <c r="AX15" s="200"/>
    </row>
    <row r="16" spans="2:50" x14ac:dyDescent="0.25">
      <c r="B16" s="4"/>
      <c r="C16" t="s">
        <v>35</v>
      </c>
      <c r="D16" s="5">
        <f>ROUND(H16+NPV($H$10,I16:AG16),-5)</f>
        <v>7700000</v>
      </c>
      <c r="F16" s="10" t="s">
        <v>36</v>
      </c>
      <c r="G16" s="165">
        <f>ROUND(SUM(G17:G18)*0.1,-5)</f>
        <v>7700000</v>
      </c>
      <c r="H16" s="124">
        <f>G16</f>
        <v>7700000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02">
        <f>D30/1000</f>
        <v>7900</v>
      </c>
      <c r="AQ16" s="203">
        <v>0.03</v>
      </c>
      <c r="AR16" s="203">
        <v>0.04</v>
      </c>
      <c r="AS16" s="203">
        <v>0.05</v>
      </c>
      <c r="AT16" s="203">
        <v>0.06</v>
      </c>
      <c r="AU16" s="203">
        <v>7.0000000000000007E-2</v>
      </c>
      <c r="AV16" s="203">
        <v>0.08</v>
      </c>
      <c r="AW16" s="203">
        <v>0.09</v>
      </c>
      <c r="AX16" s="204">
        <v>0.1</v>
      </c>
    </row>
    <row r="17" spans="2:50" x14ac:dyDescent="0.25">
      <c r="B17" s="4"/>
      <c r="C17" t="s">
        <v>37</v>
      </c>
      <c r="D17" s="5">
        <f>ROUND(H17+NPV($H$10,I17:AG17),-5)</f>
        <v>13300000</v>
      </c>
      <c r="F17" s="10" t="s">
        <v>38</v>
      </c>
      <c r="G17" s="165">
        <f>'Central Plant'!L43</f>
        <v>24500000</v>
      </c>
      <c r="H17" s="124">
        <f>-PMT($H$12/12,$I$12*12,$G$17)*12</f>
        <v>1052474.2007644749</v>
      </c>
      <c r="I17" s="124">
        <f>-PMT($H$12/12,$I$12*12,$G$17)*12</f>
        <v>1052474.2007644749</v>
      </c>
      <c r="J17" s="124">
        <f t="shared" ref="J17:AG17" si="0">-PMT($H$12/12,$I$12*12,$G$17)*12</f>
        <v>1052474.2007644749</v>
      </c>
      <c r="K17" s="124">
        <f t="shared" si="0"/>
        <v>1052474.2007644749</v>
      </c>
      <c r="L17" s="124">
        <f t="shared" si="0"/>
        <v>1052474.2007644749</v>
      </c>
      <c r="M17" s="124">
        <f t="shared" si="0"/>
        <v>1052474.2007644749</v>
      </c>
      <c r="N17" s="124">
        <f t="shared" si="0"/>
        <v>1052474.2007644749</v>
      </c>
      <c r="O17" s="124">
        <f t="shared" si="0"/>
        <v>1052474.2007644749</v>
      </c>
      <c r="P17" s="124">
        <f t="shared" si="0"/>
        <v>1052474.2007644749</v>
      </c>
      <c r="Q17" s="124">
        <f t="shared" si="0"/>
        <v>1052474.2007644749</v>
      </c>
      <c r="R17" s="124">
        <f t="shared" si="0"/>
        <v>1052474.2007644749</v>
      </c>
      <c r="S17" s="124">
        <f t="shared" si="0"/>
        <v>1052474.2007644749</v>
      </c>
      <c r="T17" s="124">
        <f t="shared" si="0"/>
        <v>1052474.2007644749</v>
      </c>
      <c r="U17" s="124">
        <f t="shared" si="0"/>
        <v>1052474.2007644749</v>
      </c>
      <c r="V17" s="124">
        <f t="shared" si="0"/>
        <v>1052474.2007644749</v>
      </c>
      <c r="W17" s="124">
        <f t="shared" si="0"/>
        <v>1052474.2007644749</v>
      </c>
      <c r="X17" s="124">
        <f t="shared" si="0"/>
        <v>1052474.2007644749</v>
      </c>
      <c r="Y17" s="124">
        <f t="shared" si="0"/>
        <v>1052474.2007644749</v>
      </c>
      <c r="Z17" s="124">
        <f t="shared" si="0"/>
        <v>1052474.2007644749</v>
      </c>
      <c r="AA17" s="124">
        <f t="shared" si="0"/>
        <v>1052474.2007644749</v>
      </c>
      <c r="AB17" s="124">
        <f t="shared" si="0"/>
        <v>1052474.2007644749</v>
      </c>
      <c r="AC17" s="124">
        <f t="shared" si="0"/>
        <v>1052474.2007644749</v>
      </c>
      <c r="AD17" s="124">
        <f t="shared" si="0"/>
        <v>1052474.2007644749</v>
      </c>
      <c r="AE17" s="124">
        <f t="shared" si="0"/>
        <v>1052474.2007644749</v>
      </c>
      <c r="AF17" s="124">
        <f t="shared" si="0"/>
        <v>1052474.2007644749</v>
      </c>
      <c r="AG17" s="124">
        <f t="shared" si="0"/>
        <v>1052474.2007644749</v>
      </c>
      <c r="AH17" s="3"/>
      <c r="AI17" s="3"/>
      <c r="AJ17" s="3"/>
      <c r="AK17" s="3"/>
      <c r="AO17" s="220"/>
      <c r="AP17" s="211">
        <v>0.01</v>
      </c>
      <c r="AQ17" s="178">
        <f t="dataTable" ref="AQ17:AX24" dt2D="1" dtr="1" r1="H10" r2="H8" ca="1"/>
        <v>-2900</v>
      </c>
      <c r="AR17" s="178">
        <v>-3900</v>
      </c>
      <c r="AS17" s="178">
        <v>-4500</v>
      </c>
      <c r="AT17" s="178">
        <v>-5100</v>
      </c>
      <c r="AU17" s="178">
        <v>-5900</v>
      </c>
      <c r="AV17" s="178">
        <v>-6500</v>
      </c>
      <c r="AW17" s="178">
        <v>-6700</v>
      </c>
      <c r="AX17" s="206">
        <v>-7200</v>
      </c>
    </row>
    <row r="18" spans="2:50" x14ac:dyDescent="0.25">
      <c r="B18" s="4"/>
      <c r="C18" t="s">
        <v>39</v>
      </c>
      <c r="D18" s="5">
        <f t="shared" ref="D18:D20" si="1">ROUND(H18+NPV($H$10,I18:AG18),-5)</f>
        <v>28700000</v>
      </c>
      <c r="F18" s="10" t="s">
        <v>40</v>
      </c>
      <c r="G18" s="166">
        <f>Loop!F25</f>
        <v>52740000</v>
      </c>
      <c r="H18" s="124">
        <f>-PMT($H$12/12,$I$12*12,$G$18)*12</f>
        <v>2265611.8101354456</v>
      </c>
      <c r="I18" s="124">
        <f t="shared" ref="I18:AK18" si="2">-PMT($H$12/12,$I$12*12,$G$18)*12</f>
        <v>2265611.8101354456</v>
      </c>
      <c r="J18" s="124">
        <f t="shared" si="2"/>
        <v>2265611.8101354456</v>
      </c>
      <c r="K18" s="124">
        <f t="shared" si="2"/>
        <v>2265611.8101354456</v>
      </c>
      <c r="L18" s="124">
        <f t="shared" si="2"/>
        <v>2265611.8101354456</v>
      </c>
      <c r="M18" s="124">
        <f t="shared" si="2"/>
        <v>2265611.8101354456</v>
      </c>
      <c r="N18" s="124">
        <f t="shared" si="2"/>
        <v>2265611.8101354456</v>
      </c>
      <c r="O18" s="124">
        <f t="shared" si="2"/>
        <v>2265611.8101354456</v>
      </c>
      <c r="P18" s="124">
        <f t="shared" si="2"/>
        <v>2265611.8101354456</v>
      </c>
      <c r="Q18" s="124">
        <f t="shared" si="2"/>
        <v>2265611.8101354456</v>
      </c>
      <c r="R18" s="124">
        <f t="shared" si="2"/>
        <v>2265611.8101354456</v>
      </c>
      <c r="S18" s="124">
        <f t="shared" si="2"/>
        <v>2265611.8101354456</v>
      </c>
      <c r="T18" s="124">
        <f t="shared" si="2"/>
        <v>2265611.8101354456</v>
      </c>
      <c r="U18" s="124">
        <f t="shared" si="2"/>
        <v>2265611.8101354456</v>
      </c>
      <c r="V18" s="124">
        <f t="shared" si="2"/>
        <v>2265611.8101354456</v>
      </c>
      <c r="W18" s="124">
        <f t="shared" si="2"/>
        <v>2265611.8101354456</v>
      </c>
      <c r="X18" s="124">
        <f t="shared" si="2"/>
        <v>2265611.8101354456</v>
      </c>
      <c r="Y18" s="124">
        <f t="shared" si="2"/>
        <v>2265611.8101354456</v>
      </c>
      <c r="Z18" s="124">
        <f t="shared" si="2"/>
        <v>2265611.8101354456</v>
      </c>
      <c r="AA18" s="124">
        <f t="shared" si="2"/>
        <v>2265611.8101354456</v>
      </c>
      <c r="AB18" s="124">
        <f t="shared" si="2"/>
        <v>2265611.8101354456</v>
      </c>
      <c r="AC18" s="124">
        <f t="shared" si="2"/>
        <v>2265611.8101354456</v>
      </c>
      <c r="AD18" s="124">
        <f t="shared" si="2"/>
        <v>2265611.8101354456</v>
      </c>
      <c r="AE18" s="124">
        <f t="shared" si="2"/>
        <v>2265611.8101354456</v>
      </c>
      <c r="AF18" s="124">
        <f t="shared" si="2"/>
        <v>2265611.8101354456</v>
      </c>
      <c r="AG18" s="124">
        <f t="shared" si="2"/>
        <v>2265611.8101354456</v>
      </c>
      <c r="AH18" s="3">
        <f t="shared" si="2"/>
        <v>2265611.8101354456</v>
      </c>
      <c r="AI18" s="3">
        <f t="shared" si="2"/>
        <v>2265611.8101354456</v>
      </c>
      <c r="AJ18" s="3">
        <f t="shared" si="2"/>
        <v>2265611.8101354456</v>
      </c>
      <c r="AK18" s="3">
        <f t="shared" si="2"/>
        <v>2265611.8101354456</v>
      </c>
      <c r="AO18" s="220"/>
      <c r="AP18" s="211">
        <v>0.02</v>
      </c>
      <c r="AQ18" s="178">
        <v>1800</v>
      </c>
      <c r="AR18" s="178">
        <v>200</v>
      </c>
      <c r="AS18" s="178">
        <v>-1000</v>
      </c>
      <c r="AT18" s="178">
        <v>-2000</v>
      </c>
      <c r="AU18" s="178">
        <v>-3200</v>
      </c>
      <c r="AV18" s="178">
        <v>-4100</v>
      </c>
      <c r="AW18" s="178">
        <v>-4600</v>
      </c>
      <c r="AX18" s="206">
        <v>-5300</v>
      </c>
    </row>
    <row r="19" spans="2:50" x14ac:dyDescent="0.25">
      <c r="B19" s="4"/>
      <c r="C19" t="s">
        <v>41</v>
      </c>
      <c r="D19" s="5">
        <f t="shared" si="1"/>
        <v>3900000</v>
      </c>
      <c r="F19" s="10" t="s">
        <v>42</v>
      </c>
      <c r="G19" s="165">
        <f>(30+188+14+30)*1000</f>
        <v>262000</v>
      </c>
      <c r="H19" s="124"/>
      <c r="I19" s="124"/>
      <c r="J19" s="124">
        <f>G19</f>
        <v>262000</v>
      </c>
      <c r="K19" s="124">
        <f t="shared" ref="K19:AK19" si="3">J19*(1+$H$9)</f>
        <v>269860</v>
      </c>
      <c r="L19" s="124">
        <f t="shared" si="3"/>
        <v>277955.8</v>
      </c>
      <c r="M19" s="124">
        <f t="shared" si="3"/>
        <v>286294.47399999999</v>
      </c>
      <c r="N19" s="124">
        <f t="shared" si="3"/>
        <v>294883.30822000001</v>
      </c>
      <c r="O19" s="124">
        <f t="shared" si="3"/>
        <v>303729.80746660003</v>
      </c>
      <c r="P19" s="124">
        <f t="shared" si="3"/>
        <v>312841.70169059804</v>
      </c>
      <c r="Q19" s="124">
        <f t="shared" si="3"/>
        <v>322226.952741316</v>
      </c>
      <c r="R19" s="124">
        <f t="shared" si="3"/>
        <v>331893.76132355549</v>
      </c>
      <c r="S19" s="124">
        <f t="shared" si="3"/>
        <v>341850.57416326215</v>
      </c>
      <c r="T19" s="124">
        <f t="shared" si="3"/>
        <v>352106.09138816001</v>
      </c>
      <c r="U19" s="124">
        <f t="shared" si="3"/>
        <v>362669.27412980481</v>
      </c>
      <c r="V19" s="124">
        <f t="shared" si="3"/>
        <v>373549.35235369898</v>
      </c>
      <c r="W19" s="124">
        <f t="shared" si="3"/>
        <v>384755.83292430994</v>
      </c>
      <c r="X19" s="124">
        <f t="shared" si="3"/>
        <v>396298.50791203923</v>
      </c>
      <c r="Y19" s="124">
        <f t="shared" si="3"/>
        <v>408187.46314940043</v>
      </c>
      <c r="Z19" s="124">
        <f t="shared" si="3"/>
        <v>420433.08704388246</v>
      </c>
      <c r="AA19" s="124">
        <f t="shared" si="3"/>
        <v>433046.07965519896</v>
      </c>
      <c r="AB19" s="124">
        <f t="shared" si="3"/>
        <v>446037.46204485494</v>
      </c>
      <c r="AC19" s="124">
        <f t="shared" si="3"/>
        <v>459418.58590620058</v>
      </c>
      <c r="AD19" s="124">
        <f t="shared" si="3"/>
        <v>473201.14348338661</v>
      </c>
      <c r="AE19" s="124">
        <f t="shared" si="3"/>
        <v>487397.17778788821</v>
      </c>
      <c r="AF19" s="124">
        <f t="shared" si="3"/>
        <v>502019.0931215249</v>
      </c>
      <c r="AG19" s="124">
        <f t="shared" si="3"/>
        <v>517079.66591517068</v>
      </c>
      <c r="AH19" s="3">
        <f t="shared" si="3"/>
        <v>532592.05589262582</v>
      </c>
      <c r="AI19" s="3">
        <f t="shared" si="3"/>
        <v>548569.81756940461</v>
      </c>
      <c r="AJ19" s="3">
        <f t="shared" si="3"/>
        <v>565026.91209648678</v>
      </c>
      <c r="AK19" s="3">
        <f t="shared" si="3"/>
        <v>581977.71945938142</v>
      </c>
      <c r="AO19" s="220"/>
      <c r="AP19" s="211">
        <v>0.03</v>
      </c>
      <c r="AQ19" s="178">
        <v>7400</v>
      </c>
      <c r="AR19" s="178">
        <v>5000</v>
      </c>
      <c r="AS19" s="178">
        <v>3200</v>
      </c>
      <c r="AT19" s="178">
        <v>1600</v>
      </c>
      <c r="AU19" s="178">
        <v>0</v>
      </c>
      <c r="AV19" s="178">
        <v>-1300</v>
      </c>
      <c r="AW19" s="178">
        <v>-2100</v>
      </c>
      <c r="AX19" s="206">
        <v>-3200</v>
      </c>
    </row>
    <row r="20" spans="2:50" x14ac:dyDescent="0.25">
      <c r="B20" s="4"/>
      <c r="C20" t="s">
        <v>43</v>
      </c>
      <c r="D20" s="5">
        <f t="shared" si="1"/>
        <v>700000</v>
      </c>
      <c r="F20" s="10" t="s">
        <v>44</v>
      </c>
      <c r="G20" s="167">
        <f>15000*50</f>
        <v>750000</v>
      </c>
      <c r="H20" s="124"/>
      <c r="I20" s="124"/>
      <c r="J20" s="124">
        <f>G20/3*(1+$H$9)*(1+$H$9)</f>
        <v>265225</v>
      </c>
      <c r="K20" s="124">
        <f>G20/3*(1+$H$9)*(1+$H$9)*(1+$H$9)</f>
        <v>273181.75</v>
      </c>
      <c r="L20" s="124">
        <f>G20/3*(1+$H$9)*(1+$H$9)*(1+$H$9)</f>
        <v>273181.75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220"/>
      <c r="AP20" s="211">
        <v>0.04</v>
      </c>
      <c r="AQ20" s="1">
        <v>14000</v>
      </c>
      <c r="AR20" s="178">
        <v>10600</v>
      </c>
      <c r="AS20" s="178">
        <v>8000</v>
      </c>
      <c r="AT20" s="178">
        <v>5800</v>
      </c>
      <c r="AU20" s="178">
        <v>3600</v>
      </c>
      <c r="AV20" s="178">
        <v>1900</v>
      </c>
      <c r="AW20" s="178">
        <v>700</v>
      </c>
      <c r="AX20" s="206">
        <v>-700</v>
      </c>
    </row>
    <row r="21" spans="2:50" ht="15.75" thickBot="1" x14ac:dyDescent="0.3">
      <c r="B21" s="4"/>
      <c r="C21" t="s">
        <v>45</v>
      </c>
      <c r="D21" s="5">
        <f>ROUND(H21+NPV($H$10,I21:AG21),-5)</f>
        <v>-4200000</v>
      </c>
      <c r="F21" s="10" t="s">
        <v>46</v>
      </c>
      <c r="G21" s="167">
        <v>-4500000</v>
      </c>
      <c r="H21" s="124">
        <v>-500000</v>
      </c>
      <c r="I21" s="124"/>
      <c r="J21" s="124"/>
      <c r="K21" s="124">
        <v>-4000000</v>
      </c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220"/>
      <c r="AP21" s="211">
        <v>0.05</v>
      </c>
      <c r="AQ21" s="1">
        <v>21700</v>
      </c>
      <c r="AR21" s="178">
        <v>17200</v>
      </c>
      <c r="AS21" s="178">
        <v>13700</v>
      </c>
      <c r="AT21" s="178">
        <v>10700</v>
      </c>
      <c r="AU21" s="178">
        <v>7900</v>
      </c>
      <c r="AV21" s="178">
        <v>5600</v>
      </c>
      <c r="AW21" s="178">
        <v>3900</v>
      </c>
      <c r="AX21" s="206">
        <v>2100</v>
      </c>
    </row>
    <row r="22" spans="2:50" ht="15.75" thickBot="1" x14ac:dyDescent="0.3">
      <c r="B22" s="4"/>
      <c r="C22" s="13" t="s">
        <v>47</v>
      </c>
      <c r="D22" s="6">
        <f>SUM(D16:D21)</f>
        <v>50100000</v>
      </c>
      <c r="F22" s="10"/>
      <c r="G22" s="168">
        <f>SUM(G16:G21)</f>
        <v>81452000</v>
      </c>
      <c r="H22" s="162">
        <f>SUM(H16:H21)</f>
        <v>10518086.01089992</v>
      </c>
      <c r="I22" s="125">
        <f>SUM(I16:I21)</f>
        <v>3318086.0108999205</v>
      </c>
      <c r="J22" s="125">
        <f t="shared" ref="J22" si="4">SUM(J16:J21)</f>
        <v>3845311.0108999205</v>
      </c>
      <c r="K22" s="125">
        <f>SUM(K16:K21)</f>
        <v>-138872.23910007952</v>
      </c>
      <c r="L22" s="125">
        <f t="shared" ref="L22:AG22" si="5">SUM(L16:L21)</f>
        <v>3869223.5608999203</v>
      </c>
      <c r="M22" s="125">
        <f t="shared" si="5"/>
        <v>3604380.4848999204</v>
      </c>
      <c r="N22" s="125">
        <f t="shared" si="5"/>
        <v>3612969.3191199205</v>
      </c>
      <c r="O22" s="125">
        <f t="shared" si="5"/>
        <v>3621815.8183665206</v>
      </c>
      <c r="P22" s="125">
        <f t="shared" si="5"/>
        <v>3630927.7125905184</v>
      </c>
      <c r="Q22" s="125">
        <f t="shared" si="5"/>
        <v>3640312.9636412365</v>
      </c>
      <c r="R22" s="125">
        <f t="shared" si="5"/>
        <v>3649979.7722234759</v>
      </c>
      <c r="S22" s="125">
        <f t="shared" si="5"/>
        <v>3659936.5850631827</v>
      </c>
      <c r="T22" s="125">
        <f t="shared" si="5"/>
        <v>3670192.1022880804</v>
      </c>
      <c r="U22" s="125">
        <f t="shared" si="5"/>
        <v>3680755.2850297252</v>
      </c>
      <c r="V22" s="125">
        <f t="shared" si="5"/>
        <v>3691635.3632536195</v>
      </c>
      <c r="W22" s="125">
        <f t="shared" si="5"/>
        <v>3702841.8438242306</v>
      </c>
      <c r="X22" s="125">
        <f t="shared" si="5"/>
        <v>3714384.5188119598</v>
      </c>
      <c r="Y22" s="125">
        <f t="shared" si="5"/>
        <v>3726273.4740493209</v>
      </c>
      <c r="Z22" s="125">
        <f t="shared" si="5"/>
        <v>3738519.0979438028</v>
      </c>
      <c r="AA22" s="125">
        <f t="shared" si="5"/>
        <v>3751132.0905551193</v>
      </c>
      <c r="AB22" s="125">
        <f t="shared" si="5"/>
        <v>3764123.4729447756</v>
      </c>
      <c r="AC22" s="125">
        <f t="shared" si="5"/>
        <v>3777504.5968061211</v>
      </c>
      <c r="AD22" s="125">
        <f t="shared" si="5"/>
        <v>3791287.1543833073</v>
      </c>
      <c r="AE22" s="125">
        <f t="shared" si="5"/>
        <v>3805483.1886878088</v>
      </c>
      <c r="AF22" s="125">
        <f t="shared" si="5"/>
        <v>3820105.1040214454</v>
      </c>
      <c r="AG22" s="125">
        <f t="shared" si="5"/>
        <v>3835165.6768150912</v>
      </c>
      <c r="AH22" s="15">
        <f>SUM(AH16:AH20)</f>
        <v>2798203.8660280714</v>
      </c>
      <c r="AI22" s="15">
        <f>SUM(AI16:AI20)</f>
        <v>2814181.6277048504</v>
      </c>
      <c r="AJ22" s="15">
        <f>SUM(AJ16:AJ20)</f>
        <v>2830638.7222319325</v>
      </c>
      <c r="AK22" s="15">
        <f>SUM(AK16:AK20)</f>
        <v>2847589.529594827</v>
      </c>
      <c r="AO22" s="220"/>
      <c r="AP22" s="211">
        <v>0.06</v>
      </c>
      <c r="AQ22" s="1">
        <v>30900</v>
      </c>
      <c r="AR22" s="178">
        <v>25000</v>
      </c>
      <c r="AS22" s="178">
        <v>20400</v>
      </c>
      <c r="AT22" s="178">
        <v>16400</v>
      </c>
      <c r="AU22" s="178">
        <v>12800</v>
      </c>
      <c r="AV22" s="178">
        <v>9900</v>
      </c>
      <c r="AW22" s="178">
        <v>7600</v>
      </c>
      <c r="AX22" s="206">
        <v>5400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/>
      <c r="AP23" s="211">
        <v>7.0000000000000007E-2</v>
      </c>
      <c r="AQ23" s="1">
        <v>41700</v>
      </c>
      <c r="AR23" s="178">
        <v>34200</v>
      </c>
      <c r="AS23" s="178">
        <v>28200</v>
      </c>
      <c r="AT23" s="178">
        <v>23200</v>
      </c>
      <c r="AU23" s="178">
        <v>18600</v>
      </c>
      <c r="AV23" s="178">
        <v>14900</v>
      </c>
      <c r="AW23" s="178">
        <v>12000</v>
      </c>
      <c r="AX23" s="206">
        <v>9200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1"/>
      <c r="AP24" s="212">
        <v>0.08</v>
      </c>
      <c r="AQ24" s="208">
        <v>54600</v>
      </c>
      <c r="AR24" s="209">
        <v>45100</v>
      </c>
      <c r="AS24" s="209">
        <v>37500</v>
      </c>
      <c r="AT24" s="209">
        <v>31100</v>
      </c>
      <c r="AU24" s="209">
        <v>25400</v>
      </c>
      <c r="AV24" s="209">
        <v>20800</v>
      </c>
      <c r="AW24" s="209">
        <v>17100</v>
      </c>
      <c r="AX24" s="210">
        <v>13600</v>
      </c>
    </row>
    <row r="25" spans="2:50" x14ac:dyDescent="0.25">
      <c r="B25" s="4"/>
      <c r="C25" t="s">
        <v>50</v>
      </c>
      <c r="D25" s="5">
        <f>ROUND(H25+NPV($H$10,I25:AG25),-5)</f>
        <v>10300000</v>
      </c>
      <c r="F25" s="10" t="s">
        <v>51</v>
      </c>
      <c r="G25" s="124">
        <v>650000</v>
      </c>
      <c r="H25" s="124"/>
      <c r="I25" s="124"/>
      <c r="J25" s="124">
        <f>G25/2*(1+$H$9)*(1+$H$9)*(1+$H$9)</f>
        <v>355136.27500000002</v>
      </c>
      <c r="K25" s="124">
        <f>G25*(1+$H$9)*(1+$H$9)*(1+$H$9)*(1+$H$9)</f>
        <v>731580.72650000011</v>
      </c>
      <c r="L25" s="124">
        <f t="shared" ref="L25:AK25" si="6">K25*(1+$H$9)</f>
        <v>753528.14829500008</v>
      </c>
      <c r="M25" s="124">
        <f t="shared" si="6"/>
        <v>776133.9927438501</v>
      </c>
      <c r="N25" s="124">
        <f t="shared" si="6"/>
        <v>799418.01252616558</v>
      </c>
      <c r="O25" s="124">
        <f t="shared" si="6"/>
        <v>823400.55290195055</v>
      </c>
      <c r="P25" s="124">
        <f t="shared" si="6"/>
        <v>848102.5694890091</v>
      </c>
      <c r="Q25" s="124">
        <f t="shared" si="6"/>
        <v>873545.64657367941</v>
      </c>
      <c r="R25" s="124">
        <f t="shared" si="6"/>
        <v>899752.01597088983</v>
      </c>
      <c r="S25" s="124">
        <f t="shared" si="6"/>
        <v>926744.57645001658</v>
      </c>
      <c r="T25" s="124">
        <f t="shared" si="6"/>
        <v>954546.91374351713</v>
      </c>
      <c r="U25" s="124">
        <f t="shared" si="6"/>
        <v>983183.32115582272</v>
      </c>
      <c r="V25" s="124">
        <f t="shared" si="6"/>
        <v>1012678.8207904975</v>
      </c>
      <c r="W25" s="124">
        <f t="shared" si="6"/>
        <v>1043059.1854142124</v>
      </c>
      <c r="X25" s="124">
        <f t="shared" si="6"/>
        <v>1074350.9609766388</v>
      </c>
      <c r="Y25" s="124">
        <f t="shared" si="6"/>
        <v>1106581.489805938</v>
      </c>
      <c r="Z25" s="124">
        <f t="shared" si="6"/>
        <v>1139778.9345001162</v>
      </c>
      <c r="AA25" s="124">
        <f t="shared" si="6"/>
        <v>1173972.3025351197</v>
      </c>
      <c r="AB25" s="124">
        <f t="shared" si="6"/>
        <v>1209191.4716111734</v>
      </c>
      <c r="AC25" s="124">
        <f t="shared" si="6"/>
        <v>1245467.2157595085</v>
      </c>
      <c r="AD25" s="124">
        <f t="shared" si="6"/>
        <v>1282831.2322322938</v>
      </c>
      <c r="AE25" s="124">
        <f t="shared" si="6"/>
        <v>1321316.1691992627</v>
      </c>
      <c r="AF25" s="124">
        <f t="shared" si="6"/>
        <v>1360955.6542752406</v>
      </c>
      <c r="AG25" s="124">
        <f t="shared" si="6"/>
        <v>1401784.3239034978</v>
      </c>
      <c r="AH25" s="3">
        <f t="shared" si="6"/>
        <v>1443837.8536206027</v>
      </c>
      <c r="AI25" s="3">
        <f t="shared" si="6"/>
        <v>1487152.9892292209</v>
      </c>
      <c r="AJ25" s="3">
        <f t="shared" si="6"/>
        <v>1531767.5789060974</v>
      </c>
      <c r="AK25" s="3">
        <f t="shared" si="6"/>
        <v>1577720.6062732805</v>
      </c>
      <c r="AO25" s="196"/>
    </row>
    <row r="26" spans="2:50" x14ac:dyDescent="0.25">
      <c r="B26" s="4"/>
      <c r="C26" t="s">
        <v>52</v>
      </c>
      <c r="D26" s="5">
        <f>ROUND(H26+NPV($H$10,I26:AG26),-5)</f>
        <v>12800000</v>
      </c>
      <c r="F26" s="10" t="s">
        <v>53</v>
      </c>
      <c r="G26" s="124">
        <v>807000</v>
      </c>
      <c r="H26" s="124"/>
      <c r="I26" s="124"/>
      <c r="J26" s="124">
        <f>G26/2*(1+$H$9)*(1+$H$9)*(1+$H$9)</f>
        <v>440915.34450000001</v>
      </c>
      <c r="K26" s="124">
        <f>G26*(1+$H$9)*(1+$H$9)*(1+$H$9)*(1+$H$9)</f>
        <v>908285.60967000003</v>
      </c>
      <c r="L26" s="124">
        <f t="shared" ref="L26:AK26" si="7">K26*(1+$H$9)</f>
        <v>935534.1779601</v>
      </c>
      <c r="M26" s="124">
        <f t="shared" si="7"/>
        <v>963600.20329890307</v>
      </c>
      <c r="N26" s="124">
        <f t="shared" si="7"/>
        <v>992508.20939787023</v>
      </c>
      <c r="O26" s="124">
        <f t="shared" si="7"/>
        <v>1022283.4556798064</v>
      </c>
      <c r="P26" s="124">
        <f t="shared" si="7"/>
        <v>1052951.9593502006</v>
      </c>
      <c r="Q26" s="124">
        <f t="shared" si="7"/>
        <v>1084540.5181307066</v>
      </c>
      <c r="R26" s="124">
        <f t="shared" si="7"/>
        <v>1117076.733674628</v>
      </c>
      <c r="S26" s="124">
        <f t="shared" si="7"/>
        <v>1150589.0356848668</v>
      </c>
      <c r="T26" s="124">
        <f t="shared" si="7"/>
        <v>1185106.706755413</v>
      </c>
      <c r="U26" s="124">
        <f t="shared" si="7"/>
        <v>1220659.9079580754</v>
      </c>
      <c r="V26" s="124">
        <f t="shared" si="7"/>
        <v>1257279.7051968176</v>
      </c>
      <c r="W26" s="124">
        <f t="shared" si="7"/>
        <v>1294998.0963527223</v>
      </c>
      <c r="X26" s="124">
        <f t="shared" si="7"/>
        <v>1333848.0392433039</v>
      </c>
      <c r="Y26" s="124">
        <f t="shared" si="7"/>
        <v>1373863.4804206032</v>
      </c>
      <c r="Z26" s="124">
        <f t="shared" si="7"/>
        <v>1415079.3848332213</v>
      </c>
      <c r="AA26" s="124">
        <f t="shared" si="7"/>
        <v>1457531.7663782181</v>
      </c>
      <c r="AB26" s="124">
        <f t="shared" si="7"/>
        <v>1501257.7193695647</v>
      </c>
      <c r="AC26" s="124">
        <f t="shared" si="7"/>
        <v>1546295.4509506517</v>
      </c>
      <c r="AD26" s="124">
        <f t="shared" si="7"/>
        <v>1592684.3144791713</v>
      </c>
      <c r="AE26" s="124">
        <f t="shared" si="7"/>
        <v>1640464.8439135465</v>
      </c>
      <c r="AF26" s="124">
        <f t="shared" si="7"/>
        <v>1689678.789230953</v>
      </c>
      <c r="AG26" s="124">
        <f t="shared" si="7"/>
        <v>1740369.1529078817</v>
      </c>
      <c r="AH26" s="3">
        <f t="shared" si="7"/>
        <v>1792580.227495118</v>
      </c>
      <c r="AI26" s="3">
        <f t="shared" si="7"/>
        <v>1846357.6343199715</v>
      </c>
      <c r="AJ26" s="3">
        <f t="shared" si="7"/>
        <v>1901748.3633495707</v>
      </c>
      <c r="AK26" s="3">
        <f t="shared" si="7"/>
        <v>1958800.8142500578</v>
      </c>
      <c r="AO26" s="197"/>
      <c r="AP26" s="198"/>
      <c r="AQ26" s="193" t="s">
        <v>54</v>
      </c>
      <c r="AR26" s="199"/>
      <c r="AS26" s="199"/>
      <c r="AT26" s="199"/>
      <c r="AU26" s="199"/>
      <c r="AV26" s="199"/>
      <c r="AW26" s="199"/>
      <c r="AX26" s="200"/>
    </row>
    <row r="27" spans="2:50" x14ac:dyDescent="0.25">
      <c r="B27" s="4"/>
      <c r="C27" t="s">
        <v>55</v>
      </c>
      <c r="D27" s="5">
        <f>ROUND(H27+NPV($H$10,I27:AG27),-5)</f>
        <v>34900000</v>
      </c>
      <c r="F27" s="10" t="s">
        <v>56</v>
      </c>
      <c r="G27" s="124">
        <f>ROUND(749370+950648,-2)</f>
        <v>1700000</v>
      </c>
      <c r="H27" s="124"/>
      <c r="I27" s="124"/>
      <c r="J27" s="124">
        <f>G27/2*(1+$H$9)*(1+$H$9)*(1+$H$9)</f>
        <v>928817.95000000007</v>
      </c>
      <c r="K27" s="124">
        <f>G27*(1+$H$8)*(1+$H$8)*(1+$H$8)*(1+$H$8)</f>
        <v>2066360.625</v>
      </c>
      <c r="L27" s="124">
        <f>K27*(1+$H$8)</f>
        <v>2169678.65625</v>
      </c>
      <c r="M27" s="124">
        <f>L27*(1+$H$8)</f>
        <v>2278162.5890625003</v>
      </c>
      <c r="N27" s="124">
        <f t="shared" ref="N27:AK27" si="8">M27*(1+$H$8)</f>
        <v>2392070.7185156252</v>
      </c>
      <c r="O27" s="124">
        <f t="shared" si="8"/>
        <v>2511674.2544414066</v>
      </c>
      <c r="P27" s="124">
        <f t="shared" si="8"/>
        <v>2637257.9671634771</v>
      </c>
      <c r="Q27" s="124">
        <f t="shared" si="8"/>
        <v>2769120.8655216512</v>
      </c>
      <c r="R27" s="124">
        <f t="shared" si="8"/>
        <v>2907576.908797734</v>
      </c>
      <c r="S27" s="124">
        <f t="shared" si="8"/>
        <v>3052955.7542376206</v>
      </c>
      <c r="T27" s="124">
        <f t="shared" si="8"/>
        <v>3205603.5419495017</v>
      </c>
      <c r="U27" s="124">
        <f t="shared" si="8"/>
        <v>3365883.7190469769</v>
      </c>
      <c r="V27" s="124">
        <f t="shared" si="8"/>
        <v>3534177.904999326</v>
      </c>
      <c r="W27" s="124">
        <f t="shared" si="8"/>
        <v>3710886.8002492925</v>
      </c>
      <c r="X27" s="124">
        <f t="shared" si="8"/>
        <v>3896431.1402617572</v>
      </c>
      <c r="Y27" s="124">
        <f t="shared" si="8"/>
        <v>4091252.6972748451</v>
      </c>
      <c r="Z27" s="124">
        <f t="shared" si="8"/>
        <v>4295815.3321385877</v>
      </c>
      <c r="AA27" s="124">
        <f t="shared" si="8"/>
        <v>4510606.0987455174</v>
      </c>
      <c r="AB27" s="124">
        <f t="shared" si="8"/>
        <v>4736136.4036827935</v>
      </c>
      <c r="AC27" s="124">
        <f t="shared" si="8"/>
        <v>4972943.223866933</v>
      </c>
      <c r="AD27" s="124">
        <f t="shared" si="8"/>
        <v>5221590.3850602796</v>
      </c>
      <c r="AE27" s="124">
        <f t="shared" si="8"/>
        <v>5482669.9043132942</v>
      </c>
      <c r="AF27" s="124">
        <f t="shared" si="8"/>
        <v>5756803.3995289588</v>
      </c>
      <c r="AG27" s="124">
        <f t="shared" si="8"/>
        <v>6044643.5695054075</v>
      </c>
      <c r="AH27" s="3">
        <f t="shared" si="8"/>
        <v>6346875.7479806785</v>
      </c>
      <c r="AI27" s="3">
        <f t="shared" si="8"/>
        <v>6664219.5353797125</v>
      </c>
      <c r="AJ27" s="3">
        <f t="shared" si="8"/>
        <v>6997430.5121486988</v>
      </c>
      <c r="AK27" s="3">
        <f t="shared" si="8"/>
        <v>7347302.0377561338</v>
      </c>
      <c r="AO27" s="201"/>
      <c r="AP27" s="202">
        <f>D30/1000</f>
        <v>7900</v>
      </c>
      <c r="AQ27" s="203">
        <v>0.03</v>
      </c>
      <c r="AR27" s="203">
        <v>0.04</v>
      </c>
      <c r="AS27" s="203">
        <v>0.05</v>
      </c>
      <c r="AT27" s="203">
        <v>0.06</v>
      </c>
      <c r="AU27" s="203">
        <v>7.0000000000000007E-2</v>
      </c>
      <c r="AV27" s="203">
        <v>0.08</v>
      </c>
      <c r="AW27" s="203">
        <v>0.09</v>
      </c>
      <c r="AX27" s="204">
        <v>0.1</v>
      </c>
    </row>
    <row r="28" spans="2:50" x14ac:dyDescent="0.25">
      <c r="B28" s="7"/>
      <c r="C28" s="13" t="s">
        <v>57</v>
      </c>
      <c r="D28" s="6">
        <f>SUM(D25:D27)</f>
        <v>58000000</v>
      </c>
      <c r="F28" s="10"/>
      <c r="G28" s="125">
        <f t="shared" ref="G28:AK28" si="9">SUM(G25:G27)</f>
        <v>3157000</v>
      </c>
      <c r="H28" s="125">
        <f t="shared" si="9"/>
        <v>0</v>
      </c>
      <c r="I28" s="125">
        <f t="shared" si="9"/>
        <v>0</v>
      </c>
      <c r="J28" s="125">
        <f t="shared" si="9"/>
        <v>1724869.5695000002</v>
      </c>
      <c r="K28" s="125">
        <f t="shared" si="9"/>
        <v>3706226.96117</v>
      </c>
      <c r="L28" s="125">
        <f t="shared" si="9"/>
        <v>3858740.9825050998</v>
      </c>
      <c r="M28" s="125">
        <f t="shared" si="9"/>
        <v>4017896.7851052536</v>
      </c>
      <c r="N28" s="125">
        <f t="shared" si="9"/>
        <v>4183996.940439661</v>
      </c>
      <c r="O28" s="125">
        <f t="shared" si="9"/>
        <v>4357358.2630231641</v>
      </c>
      <c r="P28" s="125">
        <f t="shared" si="9"/>
        <v>4538312.4960026871</v>
      </c>
      <c r="Q28" s="125">
        <f t="shared" si="9"/>
        <v>4727207.0302260369</v>
      </c>
      <c r="R28" s="125">
        <f t="shared" si="9"/>
        <v>4924405.6584432516</v>
      </c>
      <c r="S28" s="125">
        <f t="shared" si="9"/>
        <v>5130289.3663725043</v>
      </c>
      <c r="T28" s="125">
        <f t="shared" si="9"/>
        <v>5345257.1624484323</v>
      </c>
      <c r="U28" s="125">
        <f t="shared" si="9"/>
        <v>5569726.9481608756</v>
      </c>
      <c r="V28" s="125">
        <f t="shared" si="9"/>
        <v>5804136.430986641</v>
      </c>
      <c r="W28" s="125">
        <f t="shared" si="9"/>
        <v>6048944.0820162278</v>
      </c>
      <c r="X28" s="125">
        <f t="shared" si="9"/>
        <v>6304630.1404817002</v>
      </c>
      <c r="Y28" s="125">
        <f t="shared" si="9"/>
        <v>6571697.6675013863</v>
      </c>
      <c r="Z28" s="125">
        <f t="shared" si="9"/>
        <v>6850673.651471925</v>
      </c>
      <c r="AA28" s="125">
        <f t="shared" si="9"/>
        <v>7142110.1676588552</v>
      </c>
      <c r="AB28" s="125">
        <f t="shared" si="9"/>
        <v>7446585.5946635315</v>
      </c>
      <c r="AC28" s="125">
        <f t="shared" si="9"/>
        <v>7764705.8905770928</v>
      </c>
      <c r="AD28" s="125">
        <f t="shared" si="9"/>
        <v>8097105.931771745</v>
      </c>
      <c r="AE28" s="125">
        <f t="shared" si="9"/>
        <v>8444450.9174261037</v>
      </c>
      <c r="AF28" s="125">
        <f t="shared" si="9"/>
        <v>8807437.8430351522</v>
      </c>
      <c r="AG28" s="125">
        <f t="shared" si="9"/>
        <v>9186797.0463167876</v>
      </c>
      <c r="AH28" s="13">
        <f t="shared" si="9"/>
        <v>9583293.8290963992</v>
      </c>
      <c r="AI28" s="13">
        <f t="shared" si="9"/>
        <v>9997730.1589289047</v>
      </c>
      <c r="AJ28" s="13">
        <f t="shared" si="9"/>
        <v>10430946.454404367</v>
      </c>
      <c r="AK28" s="13">
        <f t="shared" si="9"/>
        <v>10883823.458279472</v>
      </c>
      <c r="AO28" s="220" t="s">
        <v>26</v>
      </c>
      <c r="AP28" s="205">
        <v>0.02</v>
      </c>
      <c r="AQ28" s="178">
        <f t="dataTable" ref="AQ28:AX34" dt2D="1" dtr="1" r1="H10" r2="H12"/>
        <v>31100</v>
      </c>
      <c r="AR28" s="178">
        <v>25700</v>
      </c>
      <c r="AS28" s="178">
        <v>21500</v>
      </c>
      <c r="AT28" s="178">
        <v>17700</v>
      </c>
      <c r="AU28" s="178">
        <v>14300</v>
      </c>
      <c r="AV28" s="178">
        <v>11600</v>
      </c>
      <c r="AW28" s="178">
        <v>9500</v>
      </c>
      <c r="AX28" s="206">
        <v>7200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0"/>
      <c r="AP29" s="205">
        <v>2.5000000000000001E-2</v>
      </c>
      <c r="AQ29" s="178">
        <v>26500</v>
      </c>
      <c r="AR29" s="178">
        <v>21600</v>
      </c>
      <c r="AS29" s="178">
        <v>17700</v>
      </c>
      <c r="AT29" s="178">
        <v>14200</v>
      </c>
      <c r="AU29" s="178">
        <v>11200</v>
      </c>
      <c r="AV29" s="178">
        <v>8700</v>
      </c>
      <c r="AW29" s="178">
        <v>6700</v>
      </c>
      <c r="AX29" s="206">
        <v>4700</v>
      </c>
    </row>
    <row r="30" spans="2:50" x14ac:dyDescent="0.25">
      <c r="B30" s="7"/>
      <c r="C30" s="13" t="s">
        <v>58</v>
      </c>
      <c r="D30" s="6">
        <f>D28-D22</f>
        <v>7900000</v>
      </c>
      <c r="F30" s="10"/>
      <c r="G30" s="124"/>
      <c r="H30" s="125">
        <f>H28-H22</f>
        <v>-10518086.01089992</v>
      </c>
      <c r="I30" s="125">
        <f t="shared" ref="I30:AK30" si="10">I28-I22</f>
        <v>-3318086.0108999205</v>
      </c>
      <c r="J30" s="125">
        <f t="shared" si="10"/>
        <v>-2120441.4413999203</v>
      </c>
      <c r="K30" s="125">
        <f t="shared" si="10"/>
        <v>3845099.2002700795</v>
      </c>
      <c r="L30" s="125">
        <f t="shared" si="10"/>
        <v>-10482.578394820448</v>
      </c>
      <c r="M30" s="125">
        <f t="shared" si="10"/>
        <v>413516.30020533316</v>
      </c>
      <c r="N30" s="125">
        <f t="shared" si="10"/>
        <v>571027.62131974055</v>
      </c>
      <c r="O30" s="125">
        <f t="shared" si="10"/>
        <v>735542.44465664355</v>
      </c>
      <c r="P30" s="125">
        <f t="shared" si="10"/>
        <v>907384.78341216873</v>
      </c>
      <c r="Q30" s="125">
        <f t="shared" si="10"/>
        <v>1086894.0665848004</v>
      </c>
      <c r="R30" s="125">
        <f t="shared" si="10"/>
        <v>1274425.8862197758</v>
      </c>
      <c r="S30" s="125">
        <f t="shared" si="10"/>
        <v>1470352.7813093215</v>
      </c>
      <c r="T30" s="125">
        <f t="shared" si="10"/>
        <v>1675065.0601603519</v>
      </c>
      <c r="U30" s="125">
        <f t="shared" si="10"/>
        <v>1888971.6631311504</v>
      </c>
      <c r="V30" s="125">
        <f t="shared" si="10"/>
        <v>2112501.0677330215</v>
      </c>
      <c r="W30" s="125">
        <f t="shared" si="10"/>
        <v>2346102.2381919972</v>
      </c>
      <c r="X30" s="125">
        <f t="shared" si="10"/>
        <v>2590245.6216697404</v>
      </c>
      <c r="Y30" s="125">
        <f t="shared" si="10"/>
        <v>2845424.1934520653</v>
      </c>
      <c r="Z30" s="125">
        <f t="shared" si="10"/>
        <v>3112154.5535281221</v>
      </c>
      <c r="AA30" s="125">
        <f t="shared" si="10"/>
        <v>3390978.0771037359</v>
      </c>
      <c r="AB30" s="125">
        <f t="shared" si="10"/>
        <v>3682462.1217187559</v>
      </c>
      <c r="AC30" s="125">
        <f t="shared" si="10"/>
        <v>3987201.2937709717</v>
      </c>
      <c r="AD30" s="125">
        <f t="shared" si="10"/>
        <v>4305818.7773884377</v>
      </c>
      <c r="AE30" s="125">
        <f t="shared" si="10"/>
        <v>4638967.7287382949</v>
      </c>
      <c r="AF30" s="125">
        <f t="shared" si="10"/>
        <v>4987332.7390137073</v>
      </c>
      <c r="AG30" s="125">
        <f t="shared" si="10"/>
        <v>5351631.3695016969</v>
      </c>
      <c r="AH30" s="15">
        <f t="shared" si="10"/>
        <v>6785089.9630683279</v>
      </c>
      <c r="AI30" s="15">
        <f t="shared" si="10"/>
        <v>7183548.5312240543</v>
      </c>
      <c r="AJ30" s="15">
        <f t="shared" si="10"/>
        <v>7600307.7321724351</v>
      </c>
      <c r="AK30" s="15">
        <f t="shared" si="10"/>
        <v>8036233.9286846444</v>
      </c>
      <c r="AO30" s="220"/>
      <c r="AP30" s="205">
        <v>0.03</v>
      </c>
      <c r="AQ30" s="178">
        <v>21700</v>
      </c>
      <c r="AR30" s="178">
        <v>17200</v>
      </c>
      <c r="AS30" s="178">
        <v>13700</v>
      </c>
      <c r="AT30" s="178">
        <v>10700</v>
      </c>
      <c r="AU30" s="178">
        <v>7900</v>
      </c>
      <c r="AV30" s="178">
        <v>5600</v>
      </c>
      <c r="AW30" s="178">
        <v>3900</v>
      </c>
      <c r="AX30" s="206">
        <v>2100</v>
      </c>
    </row>
    <row r="31" spans="2:50" x14ac:dyDescent="0.25">
      <c r="B31" s="7"/>
      <c r="C31" s="16" t="s">
        <v>59</v>
      </c>
      <c r="D31" s="17">
        <f>IRR(H30:AG30)</f>
        <v>8.8091981832906452E-2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  <c r="AO31" s="220"/>
      <c r="AP31" s="205">
        <v>3.5000000000000003E-2</v>
      </c>
      <c r="AQ31" s="1">
        <v>16700</v>
      </c>
      <c r="AR31" s="178">
        <v>12700</v>
      </c>
      <c r="AS31" s="178">
        <v>9600</v>
      </c>
      <c r="AT31" s="178">
        <v>6900</v>
      </c>
      <c r="AU31" s="178">
        <v>4500</v>
      </c>
      <c r="AV31" s="178">
        <v>2500</v>
      </c>
      <c r="AW31" s="178">
        <v>1000</v>
      </c>
      <c r="AX31" s="206">
        <v>-700</v>
      </c>
    </row>
    <row r="32" spans="2:50" x14ac:dyDescent="0.25">
      <c r="B32" s="8"/>
      <c r="C32" s="19" t="s">
        <v>60</v>
      </c>
      <c r="D32" s="20">
        <f>D28/D22</f>
        <v>1.1576846307385229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  <c r="AO32" s="220"/>
      <c r="AP32" s="205">
        <v>0.04</v>
      </c>
      <c r="AQ32" s="1">
        <v>11500</v>
      </c>
      <c r="AR32" s="178">
        <v>8000</v>
      </c>
      <c r="AS32" s="178">
        <v>5400</v>
      </c>
      <c r="AT32" s="178">
        <v>3000</v>
      </c>
      <c r="AU32" s="178">
        <v>900</v>
      </c>
      <c r="AV32" s="178">
        <v>-800</v>
      </c>
      <c r="AW32" s="178">
        <v>-2100</v>
      </c>
      <c r="AX32" s="206">
        <v>-3600</v>
      </c>
    </row>
    <row r="33" spans="2:50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  <c r="AO33" s="220"/>
      <c r="AP33" s="205">
        <v>4.4999999999999998E-2</v>
      </c>
      <c r="AQ33" s="1">
        <v>6100</v>
      </c>
      <c r="AR33" s="178">
        <v>3100</v>
      </c>
      <c r="AS33" s="178">
        <v>1000</v>
      </c>
      <c r="AT33" s="178">
        <v>-1000</v>
      </c>
      <c r="AU33" s="178">
        <v>-2800</v>
      </c>
      <c r="AV33" s="178">
        <v>-4200</v>
      </c>
      <c r="AW33" s="178">
        <v>-5300</v>
      </c>
      <c r="AX33" s="206">
        <v>-6500</v>
      </c>
    </row>
    <row r="34" spans="2:50" x14ac:dyDescent="0.25">
      <c r="B34" s="4"/>
      <c r="C34" t="s">
        <v>62</v>
      </c>
      <c r="D34" s="5">
        <f>ROUND(H34+NPV($H$10,I34:AG34),-5)</f>
        <v>8800000</v>
      </c>
      <c r="F34" s="18" t="s">
        <v>63</v>
      </c>
      <c r="G34" s="124">
        <v>1550000</v>
      </c>
      <c r="H34" s="124"/>
      <c r="I34" s="124"/>
      <c r="J34" s="124">
        <f>G34/2*(1+$H$9)*(1+$H$9)*(1+$H$9)*(1+$H$11)*(1+$H$11)*(1+$H$11)</f>
        <v>627710.09657786565</v>
      </c>
      <c r="K34" s="124">
        <f>G34*(1+$H$8)*(1+$H$8)*(1+$H$8)*(1+$H$8)*(1+$H$11)*(1+$H$11)*(1+$H$11)*(1+$H$11)</f>
        <v>1263814.1434201626</v>
      </c>
      <c r="L34" s="124">
        <f t="shared" ref="L34:AG34" si="11">K34*(1+$H$9)*(1+$H$11)</f>
        <v>1178064.3537891046</v>
      </c>
      <c r="M34" s="124">
        <f t="shared" si="11"/>
        <v>1098132.6873845139</v>
      </c>
      <c r="N34" s="124">
        <f t="shared" si="11"/>
        <v>1023624.3845454745</v>
      </c>
      <c r="O34" s="124">
        <f t="shared" si="11"/>
        <v>954171.47005406406</v>
      </c>
      <c r="P34" s="124">
        <f t="shared" si="11"/>
        <v>889430.93581089587</v>
      </c>
      <c r="Q34" s="124">
        <f t="shared" si="11"/>
        <v>829083.04681612668</v>
      </c>
      <c r="R34" s="124">
        <f t="shared" si="11"/>
        <v>772829.76208965247</v>
      </c>
      <c r="S34" s="124">
        <f t="shared" si="11"/>
        <v>720393.26273186959</v>
      </c>
      <c r="T34" s="124">
        <f t="shared" si="11"/>
        <v>671514.57985551225</v>
      </c>
      <c r="U34" s="124">
        <f t="shared" si="11"/>
        <v>625952.31561231567</v>
      </c>
      <c r="V34" s="124">
        <f t="shared" si="11"/>
        <v>583481.45099802013</v>
      </c>
      <c r="W34" s="124">
        <f t="shared" si="11"/>
        <v>543892.23454780458</v>
      </c>
      <c r="X34" s="124">
        <f t="shared" si="11"/>
        <v>506989.14643373608</v>
      </c>
      <c r="Y34" s="124">
        <f t="shared" si="11"/>
        <v>472589.93284820707</v>
      </c>
      <c r="Z34" s="124">
        <f t="shared" si="11"/>
        <v>440524.7059044562</v>
      </c>
      <c r="AA34" s="124">
        <f t="shared" si="11"/>
        <v>410635.10460883885</v>
      </c>
      <c r="AB34" s="124">
        <f t="shared" si="11"/>
        <v>382773.51276112912</v>
      </c>
      <c r="AC34" s="124">
        <f t="shared" si="11"/>
        <v>356802.32992028655</v>
      </c>
      <c r="AD34" s="124">
        <f t="shared" si="11"/>
        <v>332593.29183519509</v>
      </c>
      <c r="AE34" s="124">
        <f t="shared" si="11"/>
        <v>310026.83698417712</v>
      </c>
      <c r="AF34" s="124">
        <f t="shared" si="11"/>
        <v>288991.51609480073</v>
      </c>
      <c r="AG34" s="124">
        <f t="shared" si="11"/>
        <v>269383.44172776851</v>
      </c>
      <c r="AH34" s="3">
        <v>1000000</v>
      </c>
      <c r="AI34" s="3">
        <v>1000000</v>
      </c>
      <c r="AJ34" s="3">
        <v>1000000</v>
      </c>
      <c r="AK34" s="3">
        <v>1000000</v>
      </c>
      <c r="AO34" s="221"/>
      <c r="AP34" s="207">
        <v>0.05</v>
      </c>
      <c r="AQ34" s="208">
        <v>500</v>
      </c>
      <c r="AR34" s="209">
        <v>-1900</v>
      </c>
      <c r="AS34" s="209">
        <v>-3700</v>
      </c>
      <c r="AT34" s="209">
        <v>-5200</v>
      </c>
      <c r="AU34" s="209">
        <v>-6600</v>
      </c>
      <c r="AV34" s="209">
        <v>-7800</v>
      </c>
      <c r="AW34" s="209">
        <v>-8500</v>
      </c>
      <c r="AX34" s="210">
        <v>-9600</v>
      </c>
    </row>
    <row r="35" spans="2:50" x14ac:dyDescent="0.25">
      <c r="B35" s="4"/>
      <c r="C35" t="s">
        <v>64</v>
      </c>
      <c r="D35" s="5">
        <f t="shared" ref="D35" si="12">ROUND(H35+NPV($H$10,I35:AG35),-5)</f>
        <v>12600000</v>
      </c>
      <c r="G35" s="124">
        <f>10000000*(1+H9)^10</f>
        <v>13439163.793441217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13439163.793441217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50" x14ac:dyDescent="0.25">
      <c r="B36" s="4"/>
      <c r="C36" s="13" t="s">
        <v>65</v>
      </c>
      <c r="D36" s="6">
        <f>SUM(D34:D35)</f>
        <v>21400000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50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50" x14ac:dyDescent="0.25">
      <c r="B38" s="4"/>
      <c r="C38" s="13" t="s">
        <v>66</v>
      </c>
      <c r="D38" s="6">
        <f>D36+D30</f>
        <v>29300000</v>
      </c>
      <c r="H38" s="190">
        <f>H35+H34+H30</f>
        <v>-10518086.01089992</v>
      </c>
      <c r="I38" s="190">
        <f t="shared" ref="I38:AF38" si="13">I35+I34+I30</f>
        <v>-3318086.0108999205</v>
      </c>
      <c r="J38" s="190">
        <f t="shared" si="13"/>
        <v>-1492731.3448220547</v>
      </c>
      <c r="K38" s="190">
        <f t="shared" si="13"/>
        <v>5108913.3436902426</v>
      </c>
      <c r="L38" s="190">
        <f t="shared" si="13"/>
        <v>1167581.7753942842</v>
      </c>
      <c r="M38" s="190">
        <f t="shared" si="13"/>
        <v>1511648.9875898471</v>
      </c>
      <c r="N38" s="190">
        <f t="shared" si="13"/>
        <v>1594652.0058652151</v>
      </c>
      <c r="O38" s="190">
        <f t="shared" si="13"/>
        <v>1689713.9147107075</v>
      </c>
      <c r="P38" s="190">
        <f t="shared" si="13"/>
        <v>1796815.7192230646</v>
      </c>
      <c r="Q38" s="190">
        <f t="shared" si="13"/>
        <v>1915977.113400927</v>
      </c>
      <c r="R38" s="190">
        <f t="shared" si="13"/>
        <v>15486419.441750646</v>
      </c>
      <c r="S38" s="190">
        <f t="shared" si="13"/>
        <v>2190746.0440411912</v>
      </c>
      <c r="T38" s="190">
        <f t="shared" si="13"/>
        <v>2346579.6400158643</v>
      </c>
      <c r="U38" s="190">
        <f t="shared" si="13"/>
        <v>2514923.9787434661</v>
      </c>
      <c r="V38" s="190">
        <f t="shared" si="13"/>
        <v>2695982.5187310418</v>
      </c>
      <c r="W38" s="190">
        <f t="shared" si="13"/>
        <v>2889994.4727398017</v>
      </c>
      <c r="X38" s="190">
        <f t="shared" si="13"/>
        <v>3097234.7681034766</v>
      </c>
      <c r="Y38" s="190">
        <f t="shared" si="13"/>
        <v>3318014.1263002725</v>
      </c>
      <c r="Z38" s="190">
        <f t="shared" si="13"/>
        <v>3552679.2594325785</v>
      </c>
      <c r="AA38" s="190">
        <f t="shared" si="13"/>
        <v>3801613.1817125748</v>
      </c>
      <c r="AB38" s="190">
        <f t="shared" si="13"/>
        <v>4065235.634479885</v>
      </c>
      <c r="AC38" s="190">
        <f t="shared" si="13"/>
        <v>4344003.623691258</v>
      </c>
      <c r="AD38" s="190">
        <f t="shared" si="13"/>
        <v>4638412.069223633</v>
      </c>
      <c r="AE38" s="190">
        <f t="shared" si="13"/>
        <v>4948994.565722472</v>
      </c>
      <c r="AF38" s="190">
        <f t="shared" si="13"/>
        <v>5276324.2551085083</v>
      </c>
      <c r="AG38" s="190">
        <f>AG35+AG34+AG30</f>
        <v>5621014.8112294655</v>
      </c>
    </row>
    <row r="39" spans="2:50" x14ac:dyDescent="0.25">
      <c r="B39" s="7"/>
      <c r="C39" s="16" t="s">
        <v>59</v>
      </c>
      <c r="D39" s="17">
        <f>IRR(H38:AG38)</f>
        <v>0.15871579837235728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50" x14ac:dyDescent="0.25">
      <c r="B40" s="8"/>
      <c r="C40" s="19" t="s">
        <v>60</v>
      </c>
      <c r="D40" s="20">
        <f>(D36+D28)/D22</f>
        <v>1.5848303393213572</v>
      </c>
    </row>
    <row r="50" spans="5:5" ht="14.45" customHeight="1" x14ac:dyDescent="0.25"/>
    <row r="53" spans="5:5" ht="14.45" customHeight="1" x14ac:dyDescent="0.25"/>
    <row r="60" spans="5:5" x14ac:dyDescent="0.25">
      <c r="E60" s="196"/>
    </row>
  </sheetData>
  <sheetProtection algorithmName="SHA-512" hashValue="f/bcMAQGIUu1Iz0V3rcw45+XwT51rGedIj0F9pQREUpiBy4qZY6elxDjQePf5aawSezk+yT0JshXkHTTs+pzjg==" saltValue="PxoQEaULkU1aMiFcvQ+vVw==" spinCount="100000" sheet="1" objects="1" scenarios="1"/>
  <mergeCells count="3">
    <mergeCell ref="L2:M2"/>
    <mergeCell ref="AO15:AO24"/>
    <mergeCell ref="AO28:AO34"/>
  </mergeCells>
  <conditionalFormatting sqref="AQ17:AX24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8:AX34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5DA2-587C-4019-8D0B-FD92C6F2226C}">
  <dimension ref="A1:C48"/>
  <sheetViews>
    <sheetView zoomScale="85" zoomScaleNormal="85" workbookViewId="0">
      <selection activeCell="H14" sqref="H14"/>
    </sheetView>
  </sheetViews>
  <sheetFormatPr defaultRowHeight="15" x14ac:dyDescent="0.25"/>
  <cols>
    <col min="1" max="1" width="35.28515625" customWidth="1"/>
    <col min="2" max="2" width="16.7109375" customWidth="1"/>
    <col min="3" max="3" width="12.7109375" bestFit="1" customWidth="1"/>
  </cols>
  <sheetData>
    <row r="1" spans="1:3" x14ac:dyDescent="0.25">
      <c r="A1" s="13" t="s">
        <v>159</v>
      </c>
    </row>
    <row r="3" spans="1:3" x14ac:dyDescent="0.25">
      <c r="A3" s="193" t="s">
        <v>124</v>
      </c>
      <c r="B3" s="187"/>
    </row>
    <row r="5" spans="1:3" x14ac:dyDescent="0.25">
      <c r="A5" s="188" t="s">
        <v>125</v>
      </c>
      <c r="B5" s="194" t="s">
        <v>126</v>
      </c>
    </row>
    <row r="6" spans="1:3" x14ac:dyDescent="0.25">
      <c r="A6" t="s">
        <v>127</v>
      </c>
      <c r="B6" s="1">
        <f>Summary!G17-'Central Plant'!L42</f>
        <v>20400000</v>
      </c>
    </row>
    <row r="7" spans="1:3" x14ac:dyDescent="0.25">
      <c r="A7" t="s">
        <v>128</v>
      </c>
      <c r="B7" s="195">
        <f>Summary!G18-Loop!F21</f>
        <v>43950000</v>
      </c>
    </row>
    <row r="8" spans="1:3" x14ac:dyDescent="0.25">
      <c r="A8" t="s">
        <v>43</v>
      </c>
      <c r="B8" s="189">
        <f>Summary!G20</f>
        <v>750000</v>
      </c>
    </row>
    <row r="9" spans="1:3" x14ac:dyDescent="0.25">
      <c r="A9" s="12" t="s">
        <v>129</v>
      </c>
      <c r="B9" s="190">
        <f>SUM(B6:B8)</f>
        <v>65100000</v>
      </c>
    </row>
    <row r="10" spans="1:3" x14ac:dyDescent="0.25">
      <c r="A10" s="191" t="s">
        <v>130</v>
      </c>
      <c r="B10" s="1">
        <f>Loop!F21+'Central Plant'!L42</f>
        <v>12890000</v>
      </c>
      <c r="C10" s="179"/>
    </row>
    <row r="11" spans="1:3" x14ac:dyDescent="0.25">
      <c r="A11" s="191" t="s">
        <v>131</v>
      </c>
      <c r="B11" s="189">
        <f>Summary!G16</f>
        <v>7700000</v>
      </c>
    </row>
    <row r="12" spans="1:3" x14ac:dyDescent="0.25">
      <c r="A12" s="21" t="s">
        <v>132</v>
      </c>
      <c r="B12" s="192">
        <f>SUM(B9:B11)</f>
        <v>85690000</v>
      </c>
    </row>
    <row r="13" spans="1:3" x14ac:dyDescent="0.25">
      <c r="A13" s="13"/>
      <c r="B13" s="180"/>
    </row>
    <row r="15" spans="1:3" x14ac:dyDescent="0.25">
      <c r="A15" s="193" t="s">
        <v>133</v>
      </c>
      <c r="B15" s="187" t="s">
        <v>134</v>
      </c>
    </row>
    <row r="16" spans="1:3" x14ac:dyDescent="0.25">
      <c r="A16" s="13"/>
    </row>
    <row r="17" spans="1:2" x14ac:dyDescent="0.25">
      <c r="A17" s="188" t="s">
        <v>125</v>
      </c>
      <c r="B17" s="194" t="s">
        <v>126</v>
      </c>
    </row>
    <row r="18" spans="1:2" x14ac:dyDescent="0.25">
      <c r="A18" t="s">
        <v>127</v>
      </c>
      <c r="B18" s="1">
        <f>B6</f>
        <v>20400000</v>
      </c>
    </row>
    <row r="19" spans="1:2" x14ac:dyDescent="0.25">
      <c r="A19" t="s">
        <v>128</v>
      </c>
      <c r="B19" s="1">
        <f>Loop!N19</f>
        <v>3990000</v>
      </c>
    </row>
    <row r="20" spans="1:2" x14ac:dyDescent="0.25">
      <c r="A20" t="s">
        <v>43</v>
      </c>
      <c r="B20" s="189">
        <f>15000*12</f>
        <v>180000</v>
      </c>
    </row>
    <row r="21" spans="1:2" x14ac:dyDescent="0.25">
      <c r="A21" s="12" t="s">
        <v>129</v>
      </c>
      <c r="B21" s="190">
        <f>SUM(B18:B20)</f>
        <v>24570000</v>
      </c>
    </row>
    <row r="22" spans="1:2" x14ac:dyDescent="0.25">
      <c r="A22" s="191" t="s">
        <v>130</v>
      </c>
      <c r="B22" s="1">
        <f>Loop!N21+'Central Plant'!L42</f>
        <v>4900000</v>
      </c>
    </row>
    <row r="23" spans="1:2" x14ac:dyDescent="0.25">
      <c r="A23" s="191" t="s">
        <v>131</v>
      </c>
      <c r="B23" s="189">
        <f>ROUND(0.1*(B18+B19+B22),-4)</f>
        <v>2930000</v>
      </c>
    </row>
    <row r="24" spans="1:2" x14ac:dyDescent="0.25">
      <c r="A24" s="21" t="s">
        <v>132</v>
      </c>
      <c r="B24" s="192">
        <f>SUM(B21:B23)</f>
        <v>32400000</v>
      </c>
    </row>
    <row r="25" spans="1:2" x14ac:dyDescent="0.25">
      <c r="A25" s="13"/>
      <c r="B25" s="180"/>
    </row>
    <row r="27" spans="1:2" x14ac:dyDescent="0.25">
      <c r="A27" s="193" t="s">
        <v>135</v>
      </c>
      <c r="B27" s="187" t="s">
        <v>136</v>
      </c>
    </row>
    <row r="28" spans="1:2" x14ac:dyDescent="0.25">
      <c r="A28" s="13"/>
    </row>
    <row r="29" spans="1:2" x14ac:dyDescent="0.25">
      <c r="A29" s="188" t="s">
        <v>125</v>
      </c>
      <c r="B29" s="194" t="s">
        <v>126</v>
      </c>
    </row>
    <row r="30" spans="1:2" x14ac:dyDescent="0.25">
      <c r="A30" t="s">
        <v>127</v>
      </c>
      <c r="B30" s="1">
        <v>0</v>
      </c>
    </row>
    <row r="31" spans="1:2" x14ac:dyDescent="0.25">
      <c r="A31" t="s">
        <v>128</v>
      </c>
      <c r="B31" s="1">
        <f>Loop!J19</f>
        <v>29270000</v>
      </c>
    </row>
    <row r="32" spans="1:2" x14ac:dyDescent="0.25">
      <c r="A32" t="s">
        <v>43</v>
      </c>
      <c r="B32" s="189">
        <f>ROUND(15000*11,-4)</f>
        <v>170000</v>
      </c>
    </row>
    <row r="33" spans="1:2" x14ac:dyDescent="0.25">
      <c r="A33" s="12" t="s">
        <v>129</v>
      </c>
      <c r="B33" s="190">
        <f>SUM(B30:B32)</f>
        <v>29440000</v>
      </c>
    </row>
    <row r="34" spans="1:2" x14ac:dyDescent="0.25">
      <c r="A34" s="191" t="s">
        <v>130</v>
      </c>
      <c r="B34" s="1">
        <f>Loop!J21</f>
        <v>5850000</v>
      </c>
    </row>
    <row r="35" spans="1:2" x14ac:dyDescent="0.25">
      <c r="A35" s="191" t="s">
        <v>131</v>
      </c>
      <c r="B35" s="189">
        <f>ROUND(0.1*(B30+B31+B34),-4)</f>
        <v>3510000</v>
      </c>
    </row>
    <row r="36" spans="1:2" x14ac:dyDescent="0.25">
      <c r="A36" s="21" t="s">
        <v>132</v>
      </c>
      <c r="B36" s="192">
        <f>SUM(B33:B35)</f>
        <v>38800000</v>
      </c>
    </row>
    <row r="37" spans="1:2" x14ac:dyDescent="0.25">
      <c r="A37" s="13"/>
      <c r="B37" s="180"/>
    </row>
    <row r="39" spans="1:2" x14ac:dyDescent="0.25">
      <c r="A39" s="193" t="s">
        <v>137</v>
      </c>
      <c r="B39" s="187" t="s">
        <v>138</v>
      </c>
    </row>
    <row r="40" spans="1:2" x14ac:dyDescent="0.25">
      <c r="A40" s="13"/>
    </row>
    <row r="41" spans="1:2" x14ac:dyDescent="0.25">
      <c r="A41" s="188" t="s">
        <v>125</v>
      </c>
      <c r="B41" s="194" t="s">
        <v>126</v>
      </c>
    </row>
    <row r="42" spans="1:2" x14ac:dyDescent="0.25">
      <c r="A42" t="s">
        <v>127</v>
      </c>
      <c r="B42" s="1">
        <v>0</v>
      </c>
    </row>
    <row r="43" spans="1:2" x14ac:dyDescent="0.25">
      <c r="A43" t="s">
        <v>128</v>
      </c>
      <c r="B43" s="1">
        <f>Loop!L19</f>
        <v>11090000</v>
      </c>
    </row>
    <row r="44" spans="1:2" x14ac:dyDescent="0.25">
      <c r="A44" t="s">
        <v>43</v>
      </c>
      <c r="B44" s="189">
        <f>15000*26</f>
        <v>390000</v>
      </c>
    </row>
    <row r="45" spans="1:2" x14ac:dyDescent="0.25">
      <c r="A45" s="12" t="s">
        <v>129</v>
      </c>
      <c r="B45" s="190">
        <f>SUM(B42:B44)</f>
        <v>11480000</v>
      </c>
    </row>
    <row r="46" spans="1:2" x14ac:dyDescent="0.25">
      <c r="A46" s="191" t="s">
        <v>130</v>
      </c>
      <c r="B46" s="1">
        <f>Loop!L21</f>
        <v>2220000</v>
      </c>
    </row>
    <row r="47" spans="1:2" x14ac:dyDescent="0.25">
      <c r="A47" s="191" t="s">
        <v>131</v>
      </c>
      <c r="B47" s="189">
        <f>ROUND(0.1*(B42+B43+B46),-4)</f>
        <v>1330000</v>
      </c>
    </row>
    <row r="48" spans="1:2" x14ac:dyDescent="0.25">
      <c r="A48" s="21" t="s">
        <v>132</v>
      </c>
      <c r="B48" s="192">
        <f>SUM(B45:B47)</f>
        <v>15030000</v>
      </c>
    </row>
  </sheetData>
  <sheetProtection algorithmName="SHA-512" hashValue="8T/XMrWKXq8biLnZHVzaRIttm6tm67NMpekXStXjQX8lj6vpauEplCXCi4Ov6q/kZO/tfvIVyCBAawaJs9ZN+g==" saltValue="ymrpegajjCZEMR3aBFJ5ew==" spinCount="100000" sheet="1" objects="1" scenarios="1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FC705-B1FA-44AF-95CA-BBA7EAEC8D03}">
  <dimension ref="A1:N39"/>
  <sheetViews>
    <sheetView workbookViewId="0">
      <selection activeCell="H31" sqref="H31"/>
    </sheetView>
  </sheetViews>
  <sheetFormatPr defaultRowHeight="15" x14ac:dyDescent="0.25"/>
  <cols>
    <col min="1" max="1" width="5.5703125" customWidth="1"/>
    <col min="2" max="2" width="48.28515625" customWidth="1"/>
    <col min="3" max="3" width="10.28515625" style="116" customWidth="1"/>
    <col min="4" max="4" width="10.7109375" style="116" customWidth="1"/>
    <col min="5" max="5" width="15.28515625" style="117" customWidth="1"/>
    <col min="6" max="6" width="23.28515625" customWidth="1"/>
    <col min="10" max="10" width="12.5703125" bestFit="1" customWidth="1"/>
    <col min="12" max="12" width="13.42578125" customWidth="1"/>
    <col min="14" max="14" width="12.140625" bestFit="1" customWidth="1"/>
  </cols>
  <sheetData>
    <row r="1" spans="1:14" s="111" customFormat="1" ht="18.75" x14ac:dyDescent="0.3">
      <c r="B1" s="111" t="s">
        <v>158</v>
      </c>
      <c r="C1" s="112"/>
      <c r="D1" s="112"/>
      <c r="E1" s="113"/>
    </row>
    <row r="4" spans="1:14" ht="15.75" x14ac:dyDescent="0.25">
      <c r="A4" s="116"/>
      <c r="B4" s="116"/>
      <c r="F4" s="116"/>
      <c r="G4" s="116"/>
      <c r="H4" s="116"/>
      <c r="I4" s="229" t="s">
        <v>139</v>
      </c>
      <c r="J4" s="229"/>
      <c r="K4" s="229" t="s">
        <v>140</v>
      </c>
      <c r="L4" s="229"/>
      <c r="M4" s="229" t="s">
        <v>141</v>
      </c>
      <c r="N4" s="229"/>
    </row>
    <row r="5" spans="1:14" s="114" customFormat="1" ht="15.75" x14ac:dyDescent="0.25">
      <c r="A5" s="215"/>
      <c r="B5" s="215" t="s">
        <v>142</v>
      </c>
      <c r="C5" s="215" t="s">
        <v>143</v>
      </c>
      <c r="D5" s="215" t="s">
        <v>144</v>
      </c>
      <c r="E5" s="115" t="s">
        <v>145</v>
      </c>
      <c r="F5" s="215" t="s">
        <v>146</v>
      </c>
      <c r="G5" s="215"/>
      <c r="H5" s="215"/>
      <c r="I5" s="230">
        <f>(I7+I9)/(I7+I9+K9+M7)</f>
        <v>0.59056109600080586</v>
      </c>
      <c r="J5" s="230"/>
      <c r="K5" s="230">
        <f>(K9)/(I7+I9+K9+M7)</f>
        <v>0.24589503374634833</v>
      </c>
      <c r="L5" s="230"/>
      <c r="M5" s="230">
        <f>(M7)/(I7+I9+K9+M7)</f>
        <v>0.16354387025284578</v>
      </c>
      <c r="N5" s="230"/>
    </row>
    <row r="6" spans="1:14" x14ac:dyDescent="0.25">
      <c r="A6" s="116"/>
      <c r="B6" s="116"/>
      <c r="F6" s="116"/>
      <c r="G6" s="116"/>
      <c r="H6" s="116"/>
      <c r="I6" s="116"/>
      <c r="J6" s="116"/>
      <c r="K6" s="116"/>
      <c r="L6" s="116"/>
      <c r="M6" s="116"/>
      <c r="N6" s="116"/>
    </row>
    <row r="7" spans="1:14" x14ac:dyDescent="0.25">
      <c r="A7" s="116">
        <v>1</v>
      </c>
      <c r="B7" s="116" t="s">
        <v>147</v>
      </c>
      <c r="C7" s="116" t="s">
        <v>97</v>
      </c>
      <c r="D7" s="181">
        <v>8447.2000000000007</v>
      </c>
      <c r="E7" s="117">
        <v>932.33</v>
      </c>
      <c r="F7" s="182">
        <f>ROUND(D7*E7,-4)</f>
        <v>7880000</v>
      </c>
      <c r="G7" s="116"/>
      <c r="H7" s="116"/>
      <c r="I7" s="181">
        <v>5200</v>
      </c>
      <c r="J7" s="182">
        <f>ROUND(I7*$E$7,-4)</f>
        <v>4850000</v>
      </c>
      <c r="K7" s="181">
        <v>0</v>
      </c>
      <c r="L7" s="182">
        <f>ROUND(K7*$E$7,-4)</f>
        <v>0</v>
      </c>
      <c r="M7" s="181">
        <v>3247</v>
      </c>
      <c r="N7" s="182">
        <f>ROUND(M7*$E$7,-4)</f>
        <v>3030000</v>
      </c>
    </row>
    <row r="8" spans="1:14" x14ac:dyDescent="0.25">
      <c r="A8" s="116"/>
      <c r="B8" s="116"/>
      <c r="D8" s="181"/>
      <c r="F8" s="182"/>
      <c r="G8" s="116"/>
      <c r="H8" s="116"/>
      <c r="I8" s="181"/>
      <c r="J8" s="116"/>
      <c r="K8" s="181"/>
      <c r="L8" s="116"/>
      <c r="M8" s="181"/>
      <c r="N8" s="116"/>
    </row>
    <row r="9" spans="1:14" x14ac:dyDescent="0.25">
      <c r="A9" s="116">
        <v>2</v>
      </c>
      <c r="B9" s="116" t="s">
        <v>148</v>
      </c>
      <c r="C9" s="116" t="s">
        <v>97</v>
      </c>
      <c r="D9" s="181">
        <v>11407.2</v>
      </c>
      <c r="E9" s="117">
        <v>2095.36</v>
      </c>
      <c r="F9" s="182">
        <f>ROUND(D9*E9,-4)</f>
        <v>23900000</v>
      </c>
      <c r="G9" s="116"/>
      <c r="H9" s="116"/>
      <c r="I9" s="181">
        <v>6525</v>
      </c>
      <c r="J9" s="182">
        <f>ROUND(I9*$E$9,-4)</f>
        <v>13670000</v>
      </c>
      <c r="K9" s="181">
        <v>4882</v>
      </c>
      <c r="L9" s="182">
        <f>ROUND(K9*$E$9,-4)</f>
        <v>10230000</v>
      </c>
      <c r="M9" s="181"/>
      <c r="N9" s="182">
        <f>ROUND(M9*$E$9,-4)</f>
        <v>0</v>
      </c>
    </row>
    <row r="10" spans="1:14" x14ac:dyDescent="0.25">
      <c r="A10" s="116"/>
      <c r="B10" s="116"/>
      <c r="D10" s="181"/>
      <c r="F10" s="182">
        <f t="shared" ref="F10:F16" si="0">D10*E10</f>
        <v>0</v>
      </c>
      <c r="G10" s="116"/>
      <c r="H10" s="116"/>
      <c r="I10" s="181"/>
      <c r="J10" s="116"/>
      <c r="K10" s="181"/>
      <c r="L10" s="116"/>
      <c r="M10" s="181"/>
      <c r="N10" s="116"/>
    </row>
    <row r="11" spans="1:14" x14ac:dyDescent="0.25">
      <c r="A11" s="116">
        <v>3</v>
      </c>
      <c r="B11" s="116" t="s">
        <v>149</v>
      </c>
      <c r="C11" s="116" t="s">
        <v>97</v>
      </c>
      <c r="D11" s="181">
        <v>3390</v>
      </c>
      <c r="E11" s="117">
        <f>'[5]Bore Locations'!G38</f>
        <v>2558.3126550868487</v>
      </c>
      <c r="F11" s="182">
        <f>ROUND(D11*E11,-4)</f>
        <v>8670000</v>
      </c>
      <c r="G11" s="116"/>
      <c r="H11" s="116"/>
      <c r="I11" s="181">
        <v>3390</v>
      </c>
      <c r="J11" s="182">
        <f>ROUND(I11*$E$11,-4)</f>
        <v>8670000</v>
      </c>
      <c r="K11" s="181">
        <v>0</v>
      </c>
      <c r="L11" s="116"/>
      <c r="M11" s="181">
        <v>150</v>
      </c>
      <c r="N11" s="182">
        <f>ROUND(M11*$E$11,-4)</f>
        <v>380000</v>
      </c>
    </row>
    <row r="12" spans="1:14" x14ac:dyDescent="0.25">
      <c r="A12" s="116"/>
      <c r="B12" s="116"/>
      <c r="D12" s="181"/>
      <c r="F12" s="182">
        <f t="shared" si="0"/>
        <v>0</v>
      </c>
      <c r="G12" s="116"/>
      <c r="H12" s="116"/>
      <c r="I12" s="181"/>
      <c r="J12" s="116"/>
      <c r="K12" s="181"/>
      <c r="L12" s="116"/>
      <c r="M12" s="181"/>
      <c r="N12" s="116"/>
    </row>
    <row r="13" spans="1:14" x14ac:dyDescent="0.25">
      <c r="A13" s="116">
        <v>4</v>
      </c>
      <c r="B13" s="116" t="s">
        <v>150</v>
      </c>
      <c r="C13" s="116" t="s">
        <v>103</v>
      </c>
      <c r="D13" s="181">
        <v>1</v>
      </c>
      <c r="E13" s="117">
        <v>1500000</v>
      </c>
      <c r="F13" s="182">
        <f>ROUND(D13*E13,-4)</f>
        <v>1500000</v>
      </c>
      <c r="G13" s="116"/>
      <c r="H13" s="116"/>
      <c r="I13" s="181"/>
      <c r="J13" s="182">
        <f>ROUND($F$13*I5,-4)</f>
        <v>890000</v>
      </c>
      <c r="K13" s="182"/>
      <c r="L13" s="182">
        <f>ROUND($F$13*K5,-4)</f>
        <v>370000</v>
      </c>
      <c r="M13" s="182"/>
      <c r="N13" s="182">
        <f>ROUND($F$13*M5,-4)</f>
        <v>250000</v>
      </c>
    </row>
    <row r="14" spans="1:14" x14ac:dyDescent="0.25">
      <c r="A14" s="116"/>
      <c r="B14" s="116"/>
      <c r="D14" s="181"/>
      <c r="F14" s="182">
        <f t="shared" si="0"/>
        <v>0</v>
      </c>
      <c r="G14" s="116"/>
      <c r="H14" s="116"/>
      <c r="I14" s="181"/>
      <c r="J14" s="116"/>
      <c r="K14" s="181"/>
      <c r="L14" s="116"/>
      <c r="M14" s="181"/>
      <c r="N14" s="116"/>
    </row>
    <row r="15" spans="1:14" x14ac:dyDescent="0.25">
      <c r="A15" s="116">
        <v>5</v>
      </c>
      <c r="B15" s="116" t="s">
        <v>151</v>
      </c>
      <c r="C15" s="116" t="s">
        <v>152</v>
      </c>
      <c r="D15" s="181">
        <v>1</v>
      </c>
      <c r="E15" s="117">
        <v>1500000</v>
      </c>
      <c r="F15" s="182">
        <f>ROUND(D15*E15,-4)</f>
        <v>1500000</v>
      </c>
      <c r="G15" s="116"/>
      <c r="H15" s="116"/>
      <c r="I15" s="181"/>
      <c r="J15" s="182">
        <f>ROUND($F$15*I5,-4)</f>
        <v>890000</v>
      </c>
      <c r="K15" s="182"/>
      <c r="L15" s="182">
        <f>ROUND($F$15*K5,-4)</f>
        <v>370000</v>
      </c>
      <c r="M15" s="182"/>
      <c r="N15" s="182">
        <f>ROUND($F$15*M5,-4)</f>
        <v>250000</v>
      </c>
    </row>
    <row r="16" spans="1:14" x14ac:dyDescent="0.25">
      <c r="A16" s="116"/>
      <c r="B16" s="116"/>
      <c r="D16" s="181"/>
      <c r="F16" s="182">
        <f t="shared" si="0"/>
        <v>0</v>
      </c>
      <c r="G16" s="116"/>
      <c r="H16" s="116"/>
      <c r="I16" s="181"/>
      <c r="J16" s="116"/>
      <c r="K16" s="181"/>
      <c r="L16" s="116"/>
      <c r="M16" s="181"/>
      <c r="N16" s="116"/>
    </row>
    <row r="17" spans="1:14" x14ac:dyDescent="0.25">
      <c r="A17" s="116">
        <v>6</v>
      </c>
      <c r="B17" s="116" t="s">
        <v>153</v>
      </c>
      <c r="C17" s="116" t="s">
        <v>103</v>
      </c>
      <c r="D17" s="181">
        <v>1</v>
      </c>
      <c r="E17" s="117">
        <v>500000</v>
      </c>
      <c r="F17" s="182">
        <f>ROUND(D17*E17,-4)</f>
        <v>500000</v>
      </c>
      <c r="G17" s="116"/>
      <c r="H17" s="116"/>
      <c r="I17" s="181"/>
      <c r="J17" s="182">
        <f>ROUND($F$17*I5,-4)</f>
        <v>300000</v>
      </c>
      <c r="K17" s="182"/>
      <c r="L17" s="182">
        <f>ROUND($F$17*K5,-4)</f>
        <v>120000</v>
      </c>
      <c r="M17" s="182"/>
      <c r="N17" s="182">
        <f>ROUND($F$17*M5,-4)</f>
        <v>80000</v>
      </c>
    </row>
    <row r="18" spans="1:14" x14ac:dyDescent="0.25">
      <c r="A18" s="116"/>
      <c r="B18" s="116"/>
      <c r="F18" s="182"/>
      <c r="G18" s="116"/>
      <c r="H18" s="116"/>
      <c r="I18" s="116"/>
      <c r="J18" s="116"/>
      <c r="K18" s="116"/>
      <c r="L18" s="116"/>
      <c r="M18" s="181"/>
      <c r="N18" s="116"/>
    </row>
    <row r="19" spans="1:14" x14ac:dyDescent="0.25">
      <c r="A19" s="116"/>
      <c r="B19" s="116"/>
      <c r="D19" s="119"/>
      <c r="E19" s="216" t="s">
        <v>154</v>
      </c>
      <c r="F19" s="183">
        <f>SUM(F7:F18)</f>
        <v>43950000</v>
      </c>
      <c r="G19" s="116"/>
      <c r="H19" s="116"/>
      <c r="I19" s="116"/>
      <c r="J19" s="183">
        <f>SUM(J7:J17)</f>
        <v>29270000</v>
      </c>
      <c r="K19" s="119"/>
      <c r="L19" s="183">
        <f>SUM(L7:L17)</f>
        <v>11090000</v>
      </c>
      <c r="M19" s="119"/>
      <c r="N19" s="183">
        <f>SUM(N7:N17)</f>
        <v>3990000</v>
      </c>
    </row>
    <row r="20" spans="1:14" x14ac:dyDescent="0.25">
      <c r="A20" s="116"/>
      <c r="B20" s="116"/>
      <c r="F20" s="182"/>
      <c r="G20" s="116"/>
      <c r="H20" s="116"/>
      <c r="I20" s="116"/>
      <c r="J20" s="116"/>
      <c r="K20" s="116"/>
      <c r="L20" s="116"/>
      <c r="M20" s="116"/>
      <c r="N20" s="116"/>
    </row>
    <row r="21" spans="1:14" x14ac:dyDescent="0.25">
      <c r="A21" s="116">
        <v>7</v>
      </c>
      <c r="B21" s="116" t="s">
        <v>122</v>
      </c>
      <c r="D21" s="120">
        <v>0.2</v>
      </c>
      <c r="E21" s="121"/>
      <c r="F21" s="182">
        <f>ROUND(F19*D21,-4)</f>
        <v>8790000</v>
      </c>
      <c r="G21" s="116"/>
      <c r="H21" s="116"/>
      <c r="I21" s="116"/>
      <c r="J21" s="182">
        <f>ROUND(J19*$D$21,-4)</f>
        <v>5850000</v>
      </c>
      <c r="K21" s="116"/>
      <c r="L21" s="182">
        <f>ROUND(L19*$D$21,-4)</f>
        <v>2220000</v>
      </c>
      <c r="M21" s="116"/>
      <c r="N21" s="182">
        <f>ROUND(N19*$D$21,-4)</f>
        <v>800000</v>
      </c>
    </row>
    <row r="22" spans="1:14" x14ac:dyDescent="0.25">
      <c r="A22" s="116"/>
      <c r="B22" s="116"/>
      <c r="F22" s="182"/>
      <c r="G22" s="116"/>
      <c r="H22" s="116"/>
      <c r="I22" s="116"/>
      <c r="J22" s="116"/>
      <c r="K22" s="116"/>
      <c r="L22" s="116"/>
      <c r="M22" s="116"/>
      <c r="N22" s="116"/>
    </row>
    <row r="23" spans="1:14" x14ac:dyDescent="0.25">
      <c r="A23" s="116"/>
      <c r="B23" s="116"/>
      <c r="F23" s="182"/>
      <c r="G23" s="116"/>
      <c r="H23" s="116"/>
      <c r="I23" s="116"/>
      <c r="J23" s="116"/>
      <c r="K23" s="116"/>
      <c r="L23" s="116"/>
      <c r="M23" s="116"/>
      <c r="N23" s="116"/>
    </row>
    <row r="24" spans="1:14" x14ac:dyDescent="0.25">
      <c r="A24" s="116"/>
      <c r="B24" s="116"/>
      <c r="F24" s="182"/>
      <c r="G24" s="116"/>
      <c r="H24" s="116"/>
      <c r="I24" s="116"/>
      <c r="J24" s="116"/>
      <c r="K24" s="116"/>
      <c r="L24" s="116"/>
      <c r="M24" s="116"/>
      <c r="N24" s="116"/>
    </row>
    <row r="25" spans="1:14" x14ac:dyDescent="0.25">
      <c r="A25" s="116"/>
      <c r="B25" s="116"/>
      <c r="E25" s="216" t="s">
        <v>155</v>
      </c>
      <c r="F25" s="183">
        <f>SUM(F19:F23)</f>
        <v>52740000</v>
      </c>
      <c r="G25" s="116"/>
      <c r="H25" s="116"/>
      <c r="I25" s="116"/>
      <c r="J25" s="182">
        <f>SUM(J19:J21)</f>
        <v>35120000</v>
      </c>
      <c r="K25" s="116"/>
      <c r="L25" s="182">
        <f>SUM(L19:L21)</f>
        <v>13310000</v>
      </c>
      <c r="M25" s="116"/>
      <c r="N25" s="182">
        <f>SUM(N19:N21)</f>
        <v>4790000</v>
      </c>
    </row>
    <row r="29" spans="1:14" x14ac:dyDescent="0.25">
      <c r="B29" t="s">
        <v>156</v>
      </c>
    </row>
    <row r="30" spans="1:14" x14ac:dyDescent="0.25">
      <c r="B30" t="s">
        <v>157</v>
      </c>
    </row>
    <row r="39" spans="5:6" x14ac:dyDescent="0.25">
      <c r="E39" s="122">
        <f>D7+D9+D11</f>
        <v>23244.400000000001</v>
      </c>
      <c r="F39" s="118">
        <f>F25/E39</f>
        <v>2268.9335926072513</v>
      </c>
    </row>
  </sheetData>
  <sheetProtection algorithmName="SHA-512" hashValue="MqH009FS44CvrZOMzPlCyJETQjyXLNAf+0pHw+y8WPkozhZBOF7P3ViSxqRWMbmNt/4AWXYGUxvJqwPi2FGktQ==" saltValue="8qmVHzdIsDbtAMiz8U4g8Q==" spinCount="100000" sheet="1" objects="1" scenarios="1"/>
  <mergeCells count="6">
    <mergeCell ref="I4:J4"/>
    <mergeCell ref="K4:L4"/>
    <mergeCell ref="M4:N4"/>
    <mergeCell ref="I5:J5"/>
    <mergeCell ref="K5:L5"/>
    <mergeCell ref="M5:N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F7BF6-11C2-429B-9441-AA2F57C840AA}">
  <dimension ref="B1:AX60"/>
  <sheetViews>
    <sheetView topLeftCell="A8" zoomScale="85" zoomScaleNormal="85" workbookViewId="0">
      <selection activeCell="C12" sqref="C12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63.5703125" customWidth="1"/>
    <col min="7" max="7" width="16.8554687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</row>
    <row r="8" spans="2:50" s="29" customFormat="1" ht="45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</row>
    <row r="9" spans="2:50" ht="30" x14ac:dyDescent="0.25">
      <c r="G9" s="169" t="s">
        <v>23</v>
      </c>
      <c r="H9" s="11">
        <v>0.03</v>
      </c>
    </row>
    <row r="10" spans="2:50" x14ac:dyDescent="0.25">
      <c r="G10" s="185" t="s">
        <v>24</v>
      </c>
      <c r="H10" s="11">
        <v>7.0000000000000007E-2</v>
      </c>
    </row>
    <row r="11" spans="2:50" x14ac:dyDescent="0.25">
      <c r="G11" s="9" t="s">
        <v>25</v>
      </c>
      <c r="H11" s="184">
        <v>-9.5000000000000001E-2</v>
      </c>
    </row>
    <row r="12" spans="2:50" x14ac:dyDescent="0.25">
      <c r="C12" s="123" t="s">
        <v>162</v>
      </c>
      <c r="G12" s="186" t="s">
        <v>26</v>
      </c>
      <c r="H12" s="14">
        <v>0.03</v>
      </c>
      <c r="I12" s="9">
        <v>40</v>
      </c>
      <c r="J12" s="9" t="s">
        <v>27</v>
      </c>
    </row>
    <row r="13" spans="2:50" x14ac:dyDescent="0.25">
      <c r="H13" s="110"/>
      <c r="AQ13" s="12" t="s">
        <v>28</v>
      </c>
      <c r="AR13" s="3"/>
      <c r="AS13" s="3"/>
      <c r="AT13" s="3"/>
      <c r="AU13" s="3"/>
      <c r="AV13" s="3"/>
      <c r="AW13" s="3"/>
      <c r="AX13" s="3"/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19" t="s">
        <v>34</v>
      </c>
      <c r="AP15" s="187"/>
      <c r="AQ15" s="193" t="s">
        <v>24</v>
      </c>
      <c r="AR15" s="199"/>
      <c r="AS15" s="199"/>
      <c r="AT15" s="199"/>
      <c r="AU15" s="199"/>
      <c r="AV15" s="199"/>
      <c r="AW15" s="199"/>
      <c r="AX15" s="200"/>
    </row>
    <row r="16" spans="2:50" x14ac:dyDescent="0.25">
      <c r="B16" s="4"/>
      <c r="C16" t="s">
        <v>35</v>
      </c>
      <c r="D16" s="5">
        <f>ROUND(H16+NPV($H$10,I16:AG16),-5)</f>
        <v>7700000</v>
      </c>
      <c r="F16" s="10" t="s">
        <v>36</v>
      </c>
      <c r="G16" s="165">
        <f>ROUND(SUM(G17:G18)*0.1,-5)</f>
        <v>7700000</v>
      </c>
      <c r="H16" s="124">
        <f>G16</f>
        <v>7700000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02">
        <f>D30/1000</f>
        <v>4200</v>
      </c>
      <c r="AQ16" s="203">
        <v>0.03</v>
      </c>
      <c r="AR16" s="203">
        <v>0.04</v>
      </c>
      <c r="AS16" s="203">
        <v>0.05</v>
      </c>
      <c r="AT16" s="203">
        <v>0.06</v>
      </c>
      <c r="AU16" s="203">
        <v>7.0000000000000007E-2</v>
      </c>
      <c r="AV16" s="203">
        <v>0.08</v>
      </c>
      <c r="AW16" s="203">
        <v>0.09</v>
      </c>
      <c r="AX16" s="204">
        <v>0.1</v>
      </c>
    </row>
    <row r="17" spans="2:50" x14ac:dyDescent="0.25">
      <c r="B17" s="4"/>
      <c r="C17" t="s">
        <v>37</v>
      </c>
      <c r="D17" s="5">
        <f>ROUND(H17+NPV($H$10,I17:AG17),-5)</f>
        <v>13300000</v>
      </c>
      <c r="F17" s="10" t="s">
        <v>38</v>
      </c>
      <c r="G17" s="165">
        <f>'Central Plant'!L43</f>
        <v>24500000</v>
      </c>
      <c r="H17" s="124">
        <f>-PMT($H$12/12,$I$12*12,$G$17)*12</f>
        <v>1052474.2007644749</v>
      </c>
      <c r="I17" s="124">
        <f>-PMT($H$12/12,$I$12*12,$G$17)*12</f>
        <v>1052474.2007644749</v>
      </c>
      <c r="J17" s="124">
        <f t="shared" ref="J17:AG17" si="0">-PMT($H$12/12,$I$12*12,$G$17)*12</f>
        <v>1052474.2007644749</v>
      </c>
      <c r="K17" s="124">
        <f t="shared" si="0"/>
        <v>1052474.2007644749</v>
      </c>
      <c r="L17" s="124">
        <f t="shared" si="0"/>
        <v>1052474.2007644749</v>
      </c>
      <c r="M17" s="124">
        <f t="shared" si="0"/>
        <v>1052474.2007644749</v>
      </c>
      <c r="N17" s="124">
        <f t="shared" si="0"/>
        <v>1052474.2007644749</v>
      </c>
      <c r="O17" s="124">
        <f t="shared" si="0"/>
        <v>1052474.2007644749</v>
      </c>
      <c r="P17" s="124">
        <f t="shared" si="0"/>
        <v>1052474.2007644749</v>
      </c>
      <c r="Q17" s="124">
        <f t="shared" si="0"/>
        <v>1052474.2007644749</v>
      </c>
      <c r="R17" s="124">
        <f t="shared" si="0"/>
        <v>1052474.2007644749</v>
      </c>
      <c r="S17" s="124">
        <f t="shared" si="0"/>
        <v>1052474.2007644749</v>
      </c>
      <c r="T17" s="124">
        <f t="shared" si="0"/>
        <v>1052474.2007644749</v>
      </c>
      <c r="U17" s="124">
        <f t="shared" si="0"/>
        <v>1052474.2007644749</v>
      </c>
      <c r="V17" s="124">
        <f t="shared" si="0"/>
        <v>1052474.2007644749</v>
      </c>
      <c r="W17" s="124">
        <f t="shared" si="0"/>
        <v>1052474.2007644749</v>
      </c>
      <c r="X17" s="124">
        <f t="shared" si="0"/>
        <v>1052474.2007644749</v>
      </c>
      <c r="Y17" s="124">
        <f t="shared" si="0"/>
        <v>1052474.2007644749</v>
      </c>
      <c r="Z17" s="124">
        <f t="shared" si="0"/>
        <v>1052474.2007644749</v>
      </c>
      <c r="AA17" s="124">
        <f t="shared" si="0"/>
        <v>1052474.2007644749</v>
      </c>
      <c r="AB17" s="124">
        <f t="shared" si="0"/>
        <v>1052474.2007644749</v>
      </c>
      <c r="AC17" s="124">
        <f t="shared" si="0"/>
        <v>1052474.2007644749</v>
      </c>
      <c r="AD17" s="124">
        <f t="shared" si="0"/>
        <v>1052474.2007644749</v>
      </c>
      <c r="AE17" s="124">
        <f t="shared" si="0"/>
        <v>1052474.2007644749</v>
      </c>
      <c r="AF17" s="124">
        <f t="shared" si="0"/>
        <v>1052474.2007644749</v>
      </c>
      <c r="AG17" s="124">
        <f t="shared" si="0"/>
        <v>1052474.2007644749</v>
      </c>
      <c r="AH17" s="3"/>
      <c r="AI17" s="3"/>
      <c r="AJ17" s="3"/>
      <c r="AK17" s="3"/>
      <c r="AO17" s="220"/>
      <c r="AP17" s="211">
        <v>0.01</v>
      </c>
      <c r="AQ17" s="178">
        <f t="dataTable" ref="AQ17:AX24" dt2D="1" dtr="1" r1="H10" r2="H8" ca="1"/>
        <v>-6800</v>
      </c>
      <c r="AR17" s="178">
        <v>-7700</v>
      </c>
      <c r="AS17" s="178">
        <v>-8300</v>
      </c>
      <c r="AT17" s="178">
        <v>-8900</v>
      </c>
      <c r="AU17" s="178">
        <v>-9600</v>
      </c>
      <c r="AV17" s="178">
        <v>-10200</v>
      </c>
      <c r="AW17" s="178">
        <v>-10400</v>
      </c>
      <c r="AX17" s="206">
        <v>-10800</v>
      </c>
    </row>
    <row r="18" spans="2:50" x14ac:dyDescent="0.25">
      <c r="B18" s="4"/>
      <c r="C18" t="s">
        <v>39</v>
      </c>
      <c r="D18" s="5">
        <f t="shared" ref="D18:D20" si="1">ROUND(H18+NPV($H$10,I18:AG18),-5)</f>
        <v>28700000</v>
      </c>
      <c r="F18" s="10" t="s">
        <v>40</v>
      </c>
      <c r="G18" s="166">
        <f>Loop!F25</f>
        <v>52740000</v>
      </c>
      <c r="H18" s="124">
        <f>-PMT($H$12/12,$I$12*12,$G$18)*12</f>
        <v>2265611.8101354456</v>
      </c>
      <c r="I18" s="124">
        <f t="shared" ref="I18:AK18" si="2">-PMT($H$12/12,$I$12*12,$G$18)*12</f>
        <v>2265611.8101354456</v>
      </c>
      <c r="J18" s="124">
        <f t="shared" si="2"/>
        <v>2265611.8101354456</v>
      </c>
      <c r="K18" s="124">
        <f t="shared" si="2"/>
        <v>2265611.8101354456</v>
      </c>
      <c r="L18" s="124">
        <f t="shared" si="2"/>
        <v>2265611.8101354456</v>
      </c>
      <c r="M18" s="124">
        <f t="shared" si="2"/>
        <v>2265611.8101354456</v>
      </c>
      <c r="N18" s="124">
        <f t="shared" si="2"/>
        <v>2265611.8101354456</v>
      </c>
      <c r="O18" s="124">
        <f t="shared" si="2"/>
        <v>2265611.8101354456</v>
      </c>
      <c r="P18" s="124">
        <f t="shared" si="2"/>
        <v>2265611.8101354456</v>
      </c>
      <c r="Q18" s="124">
        <f t="shared" si="2"/>
        <v>2265611.8101354456</v>
      </c>
      <c r="R18" s="124">
        <f t="shared" si="2"/>
        <v>2265611.8101354456</v>
      </c>
      <c r="S18" s="124">
        <f t="shared" si="2"/>
        <v>2265611.8101354456</v>
      </c>
      <c r="T18" s="124">
        <f t="shared" si="2"/>
        <v>2265611.8101354456</v>
      </c>
      <c r="U18" s="124">
        <f t="shared" si="2"/>
        <v>2265611.8101354456</v>
      </c>
      <c r="V18" s="124">
        <f t="shared" si="2"/>
        <v>2265611.8101354456</v>
      </c>
      <c r="W18" s="124">
        <f t="shared" si="2"/>
        <v>2265611.8101354456</v>
      </c>
      <c r="X18" s="124">
        <f t="shared" si="2"/>
        <v>2265611.8101354456</v>
      </c>
      <c r="Y18" s="124">
        <f t="shared" si="2"/>
        <v>2265611.8101354456</v>
      </c>
      <c r="Z18" s="124">
        <f t="shared" si="2"/>
        <v>2265611.8101354456</v>
      </c>
      <c r="AA18" s="124">
        <f t="shared" si="2"/>
        <v>2265611.8101354456</v>
      </c>
      <c r="AB18" s="124">
        <f t="shared" si="2"/>
        <v>2265611.8101354456</v>
      </c>
      <c r="AC18" s="124">
        <f t="shared" si="2"/>
        <v>2265611.8101354456</v>
      </c>
      <c r="AD18" s="124">
        <f t="shared" si="2"/>
        <v>2265611.8101354456</v>
      </c>
      <c r="AE18" s="124">
        <f t="shared" si="2"/>
        <v>2265611.8101354456</v>
      </c>
      <c r="AF18" s="124">
        <f t="shared" si="2"/>
        <v>2265611.8101354456</v>
      </c>
      <c r="AG18" s="124">
        <f t="shared" si="2"/>
        <v>2265611.8101354456</v>
      </c>
      <c r="AH18" s="3">
        <f t="shared" si="2"/>
        <v>2265611.8101354456</v>
      </c>
      <c r="AI18" s="3">
        <f t="shared" si="2"/>
        <v>2265611.8101354456</v>
      </c>
      <c r="AJ18" s="3">
        <f t="shared" si="2"/>
        <v>2265611.8101354456</v>
      </c>
      <c r="AK18" s="3">
        <f t="shared" si="2"/>
        <v>2265611.8101354456</v>
      </c>
      <c r="AO18" s="220"/>
      <c r="AP18" s="211">
        <v>0.02</v>
      </c>
      <c r="AQ18" s="178">
        <v>-2100</v>
      </c>
      <c r="AR18" s="178">
        <v>-3600</v>
      </c>
      <c r="AS18" s="178">
        <v>-4800</v>
      </c>
      <c r="AT18" s="178">
        <v>-5800</v>
      </c>
      <c r="AU18" s="178">
        <v>-6900</v>
      </c>
      <c r="AV18" s="178">
        <v>-7800</v>
      </c>
      <c r="AW18" s="178">
        <v>-8300</v>
      </c>
      <c r="AX18" s="206">
        <v>-8900</v>
      </c>
    </row>
    <row r="19" spans="2:50" x14ac:dyDescent="0.25">
      <c r="B19" s="4"/>
      <c r="C19" t="s">
        <v>41</v>
      </c>
      <c r="D19" s="5">
        <f t="shared" si="1"/>
        <v>3900000</v>
      </c>
      <c r="F19" s="10" t="s">
        <v>42</v>
      </c>
      <c r="G19" s="165">
        <f>(30+188+14+30)*1000</f>
        <v>262000</v>
      </c>
      <c r="H19" s="124"/>
      <c r="I19" s="124"/>
      <c r="J19" s="124">
        <f>G19</f>
        <v>262000</v>
      </c>
      <c r="K19" s="124">
        <f t="shared" ref="K19:AK19" si="3">J19*(1+$H$9)</f>
        <v>269860</v>
      </c>
      <c r="L19" s="124">
        <f t="shared" si="3"/>
        <v>277955.8</v>
      </c>
      <c r="M19" s="124">
        <f t="shared" si="3"/>
        <v>286294.47399999999</v>
      </c>
      <c r="N19" s="124">
        <f t="shared" si="3"/>
        <v>294883.30822000001</v>
      </c>
      <c r="O19" s="124">
        <f t="shared" si="3"/>
        <v>303729.80746660003</v>
      </c>
      <c r="P19" s="124">
        <f t="shared" si="3"/>
        <v>312841.70169059804</v>
      </c>
      <c r="Q19" s="124">
        <f t="shared" si="3"/>
        <v>322226.952741316</v>
      </c>
      <c r="R19" s="124">
        <f t="shared" si="3"/>
        <v>331893.76132355549</v>
      </c>
      <c r="S19" s="124">
        <f t="shared" si="3"/>
        <v>341850.57416326215</v>
      </c>
      <c r="T19" s="124">
        <f t="shared" si="3"/>
        <v>352106.09138816001</v>
      </c>
      <c r="U19" s="124">
        <f t="shared" si="3"/>
        <v>362669.27412980481</v>
      </c>
      <c r="V19" s="124">
        <f t="shared" si="3"/>
        <v>373549.35235369898</v>
      </c>
      <c r="W19" s="124">
        <f t="shared" si="3"/>
        <v>384755.83292430994</v>
      </c>
      <c r="X19" s="124">
        <f t="shared" si="3"/>
        <v>396298.50791203923</v>
      </c>
      <c r="Y19" s="124">
        <f t="shared" si="3"/>
        <v>408187.46314940043</v>
      </c>
      <c r="Z19" s="124">
        <f t="shared" si="3"/>
        <v>420433.08704388246</v>
      </c>
      <c r="AA19" s="124">
        <f t="shared" si="3"/>
        <v>433046.07965519896</v>
      </c>
      <c r="AB19" s="124">
        <f t="shared" si="3"/>
        <v>446037.46204485494</v>
      </c>
      <c r="AC19" s="124">
        <f t="shared" si="3"/>
        <v>459418.58590620058</v>
      </c>
      <c r="AD19" s="124">
        <f t="shared" si="3"/>
        <v>473201.14348338661</v>
      </c>
      <c r="AE19" s="124">
        <f t="shared" si="3"/>
        <v>487397.17778788821</v>
      </c>
      <c r="AF19" s="124">
        <f t="shared" si="3"/>
        <v>502019.0931215249</v>
      </c>
      <c r="AG19" s="124">
        <f t="shared" si="3"/>
        <v>517079.66591517068</v>
      </c>
      <c r="AH19" s="3">
        <f t="shared" si="3"/>
        <v>532592.05589262582</v>
      </c>
      <c r="AI19" s="3">
        <f t="shared" si="3"/>
        <v>548569.81756940461</v>
      </c>
      <c r="AJ19" s="3">
        <f t="shared" si="3"/>
        <v>565026.91209648678</v>
      </c>
      <c r="AK19" s="3">
        <f t="shared" si="3"/>
        <v>581977.71945938142</v>
      </c>
      <c r="AO19" s="220"/>
      <c r="AP19" s="211">
        <v>0.03</v>
      </c>
      <c r="AQ19" s="178">
        <v>3500</v>
      </c>
      <c r="AR19" s="178">
        <v>1200</v>
      </c>
      <c r="AS19" s="178">
        <v>-600</v>
      </c>
      <c r="AT19" s="178">
        <v>-2200</v>
      </c>
      <c r="AU19" s="178">
        <v>-3700</v>
      </c>
      <c r="AV19" s="178">
        <v>-5000</v>
      </c>
      <c r="AW19" s="178">
        <v>-5800</v>
      </c>
      <c r="AX19" s="206">
        <v>-6800</v>
      </c>
    </row>
    <row r="20" spans="2:50" x14ac:dyDescent="0.25">
      <c r="B20" s="4"/>
      <c r="C20" t="s">
        <v>43</v>
      </c>
      <c r="D20" s="5">
        <f t="shared" si="1"/>
        <v>700000</v>
      </c>
      <c r="F20" s="10" t="s">
        <v>44</v>
      </c>
      <c r="G20" s="167">
        <f>15000*50</f>
        <v>750000</v>
      </c>
      <c r="H20" s="124"/>
      <c r="I20" s="124"/>
      <c r="J20" s="124">
        <f>G20/3*(1+$H$9)*(1+$H$9)</f>
        <v>265225</v>
      </c>
      <c r="K20" s="124">
        <f>G20/3*(1+$H$9)*(1+$H$9)*(1+$H$9)</f>
        <v>273181.75</v>
      </c>
      <c r="L20" s="124">
        <f>G20/3*(1+$H$9)*(1+$H$9)*(1+$H$9)</f>
        <v>273181.75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220"/>
      <c r="AP20" s="211">
        <v>0.04</v>
      </c>
      <c r="AQ20" s="1">
        <v>10100</v>
      </c>
      <c r="AR20" s="178">
        <v>6800</v>
      </c>
      <c r="AS20" s="178">
        <v>4200</v>
      </c>
      <c r="AT20" s="178">
        <v>2000</v>
      </c>
      <c r="AU20" s="178">
        <v>-100</v>
      </c>
      <c r="AV20" s="178">
        <v>-1800</v>
      </c>
      <c r="AW20" s="178">
        <v>-3000</v>
      </c>
      <c r="AX20" s="206">
        <v>-4300</v>
      </c>
    </row>
    <row r="21" spans="2:50" ht="15.75" thickBot="1" x14ac:dyDescent="0.3">
      <c r="B21" s="4"/>
      <c r="C21" t="s">
        <v>45</v>
      </c>
      <c r="D21" s="5">
        <f>ROUND(H21+NPV($H$10,I21:AG21),-5)</f>
        <v>-500000</v>
      </c>
      <c r="F21" s="10" t="s">
        <v>46</v>
      </c>
      <c r="G21" s="167">
        <v>500000</v>
      </c>
      <c r="H21" s="124">
        <v>-500000</v>
      </c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220"/>
      <c r="AP21" s="211">
        <v>0.05</v>
      </c>
      <c r="AQ21" s="1">
        <v>17800</v>
      </c>
      <c r="AR21" s="178">
        <v>13400</v>
      </c>
      <c r="AS21" s="178">
        <v>9900</v>
      </c>
      <c r="AT21" s="178">
        <v>6900</v>
      </c>
      <c r="AU21" s="178">
        <v>4200</v>
      </c>
      <c r="AV21" s="178">
        <v>1900</v>
      </c>
      <c r="AW21" s="178">
        <v>200</v>
      </c>
      <c r="AX21" s="206">
        <v>-1500</v>
      </c>
    </row>
    <row r="22" spans="2:50" ht="15.75" thickBot="1" x14ac:dyDescent="0.3">
      <c r="B22" s="4"/>
      <c r="C22" s="13" t="s">
        <v>47</v>
      </c>
      <c r="D22" s="6">
        <f>SUM(D16:D21)</f>
        <v>53800000</v>
      </c>
      <c r="F22" s="10"/>
      <c r="G22" s="168">
        <f t="shared" ref="G22:AG22" si="4">SUM(G16:G21)</f>
        <v>86452000</v>
      </c>
      <c r="H22" s="162">
        <f t="shared" si="4"/>
        <v>10518086.01089992</v>
      </c>
      <c r="I22" s="125">
        <f t="shared" si="4"/>
        <v>3318086.0108999205</v>
      </c>
      <c r="J22" s="125">
        <f t="shared" si="4"/>
        <v>3845311.0108999205</v>
      </c>
      <c r="K22" s="125">
        <f t="shared" si="4"/>
        <v>3861127.7608999205</v>
      </c>
      <c r="L22" s="125">
        <f t="shared" si="4"/>
        <v>3869223.5608999203</v>
      </c>
      <c r="M22" s="125">
        <f t="shared" si="4"/>
        <v>3604380.4848999204</v>
      </c>
      <c r="N22" s="125">
        <f t="shared" si="4"/>
        <v>3612969.3191199205</v>
      </c>
      <c r="O22" s="125">
        <f t="shared" si="4"/>
        <v>3621815.8183665206</v>
      </c>
      <c r="P22" s="125">
        <f t="shared" si="4"/>
        <v>3630927.7125905184</v>
      </c>
      <c r="Q22" s="125">
        <f t="shared" si="4"/>
        <v>3640312.9636412365</v>
      </c>
      <c r="R22" s="125">
        <f t="shared" si="4"/>
        <v>3649979.7722234759</v>
      </c>
      <c r="S22" s="125">
        <f t="shared" si="4"/>
        <v>3659936.5850631827</v>
      </c>
      <c r="T22" s="125">
        <f t="shared" si="4"/>
        <v>3670192.1022880804</v>
      </c>
      <c r="U22" s="125">
        <f t="shared" si="4"/>
        <v>3680755.2850297252</v>
      </c>
      <c r="V22" s="125">
        <f t="shared" si="4"/>
        <v>3691635.3632536195</v>
      </c>
      <c r="W22" s="125">
        <f t="shared" si="4"/>
        <v>3702841.8438242306</v>
      </c>
      <c r="X22" s="125">
        <f t="shared" si="4"/>
        <v>3714384.5188119598</v>
      </c>
      <c r="Y22" s="125">
        <f t="shared" si="4"/>
        <v>3726273.4740493209</v>
      </c>
      <c r="Z22" s="125">
        <f t="shared" si="4"/>
        <v>3738519.0979438028</v>
      </c>
      <c r="AA22" s="125">
        <f t="shared" si="4"/>
        <v>3751132.0905551193</v>
      </c>
      <c r="AB22" s="125">
        <f t="shared" si="4"/>
        <v>3764123.4729447756</v>
      </c>
      <c r="AC22" s="125">
        <f t="shared" si="4"/>
        <v>3777504.5968061211</v>
      </c>
      <c r="AD22" s="125">
        <f t="shared" si="4"/>
        <v>3791287.1543833073</v>
      </c>
      <c r="AE22" s="125">
        <f t="shared" si="4"/>
        <v>3805483.1886878088</v>
      </c>
      <c r="AF22" s="125">
        <f t="shared" si="4"/>
        <v>3820105.1040214454</v>
      </c>
      <c r="AG22" s="125">
        <f t="shared" si="4"/>
        <v>3835165.6768150912</v>
      </c>
      <c r="AH22" s="15">
        <f>SUM(AH16:AH20)</f>
        <v>2798203.8660280714</v>
      </c>
      <c r="AI22" s="15">
        <f>SUM(AI16:AI20)</f>
        <v>2814181.6277048504</v>
      </c>
      <c r="AJ22" s="15">
        <f>SUM(AJ16:AJ20)</f>
        <v>2830638.7222319325</v>
      </c>
      <c r="AK22" s="15">
        <f>SUM(AK16:AK20)</f>
        <v>2847589.529594827</v>
      </c>
      <c r="AO22" s="220"/>
      <c r="AP22" s="211">
        <v>0.06</v>
      </c>
      <c r="AQ22" s="1">
        <v>27000</v>
      </c>
      <c r="AR22" s="178">
        <v>21200</v>
      </c>
      <c r="AS22" s="178">
        <v>16600</v>
      </c>
      <c r="AT22" s="178">
        <v>12600</v>
      </c>
      <c r="AU22" s="178">
        <v>9100</v>
      </c>
      <c r="AV22" s="178">
        <v>6200</v>
      </c>
      <c r="AW22" s="178">
        <v>3900</v>
      </c>
      <c r="AX22" s="206">
        <v>1800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/>
      <c r="AP23" s="211">
        <v>7.0000000000000007E-2</v>
      </c>
      <c r="AQ23" s="1">
        <v>37800</v>
      </c>
      <c r="AR23" s="178">
        <v>30400</v>
      </c>
      <c r="AS23" s="178">
        <v>24400</v>
      </c>
      <c r="AT23" s="178">
        <v>19400</v>
      </c>
      <c r="AU23" s="178">
        <v>14900</v>
      </c>
      <c r="AV23" s="178">
        <v>11200</v>
      </c>
      <c r="AW23" s="178">
        <v>8300</v>
      </c>
      <c r="AX23" s="206">
        <v>5600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1"/>
      <c r="AP24" s="212">
        <v>0.08</v>
      </c>
      <c r="AQ24" s="208">
        <v>50700</v>
      </c>
      <c r="AR24" s="209">
        <v>41300</v>
      </c>
      <c r="AS24" s="209">
        <v>33700</v>
      </c>
      <c r="AT24" s="209">
        <v>27300</v>
      </c>
      <c r="AU24" s="209">
        <v>21700</v>
      </c>
      <c r="AV24" s="209">
        <v>17100</v>
      </c>
      <c r="AW24" s="209">
        <v>13400</v>
      </c>
      <c r="AX24" s="210">
        <v>10000</v>
      </c>
    </row>
    <row r="25" spans="2:50" x14ac:dyDescent="0.25">
      <c r="B25" s="4"/>
      <c r="C25" t="s">
        <v>50</v>
      </c>
      <c r="D25" s="5">
        <f>ROUND(H25+NPV($H$10,I25:AG25),-5)</f>
        <v>10300000</v>
      </c>
      <c r="F25" s="10" t="s">
        <v>51</v>
      </c>
      <c r="G25" s="124">
        <v>650000</v>
      </c>
      <c r="H25" s="124"/>
      <c r="I25" s="124"/>
      <c r="J25" s="124">
        <f>G25/2*(1+$H$9)*(1+$H$9)*(1+$H$9)</f>
        <v>355136.27500000002</v>
      </c>
      <c r="K25" s="124">
        <f>G25*(1+$H$9)*(1+$H$9)*(1+$H$9)*(1+$H$9)</f>
        <v>731580.72650000011</v>
      </c>
      <c r="L25" s="124">
        <f t="shared" ref="L25:AK26" si="5">K25*(1+$H$9)</f>
        <v>753528.14829500008</v>
      </c>
      <c r="M25" s="124">
        <f t="shared" si="5"/>
        <v>776133.9927438501</v>
      </c>
      <c r="N25" s="124">
        <f t="shared" si="5"/>
        <v>799418.01252616558</v>
      </c>
      <c r="O25" s="124">
        <f t="shared" si="5"/>
        <v>823400.55290195055</v>
      </c>
      <c r="P25" s="124">
        <f t="shared" si="5"/>
        <v>848102.5694890091</v>
      </c>
      <c r="Q25" s="124">
        <f t="shared" si="5"/>
        <v>873545.64657367941</v>
      </c>
      <c r="R25" s="124">
        <f t="shared" si="5"/>
        <v>899752.01597088983</v>
      </c>
      <c r="S25" s="124">
        <f t="shared" si="5"/>
        <v>926744.57645001658</v>
      </c>
      <c r="T25" s="124">
        <f t="shared" si="5"/>
        <v>954546.91374351713</v>
      </c>
      <c r="U25" s="124">
        <f t="shared" si="5"/>
        <v>983183.32115582272</v>
      </c>
      <c r="V25" s="124">
        <f t="shared" si="5"/>
        <v>1012678.8207904975</v>
      </c>
      <c r="W25" s="124">
        <f t="shared" si="5"/>
        <v>1043059.1854142124</v>
      </c>
      <c r="X25" s="124">
        <f t="shared" si="5"/>
        <v>1074350.9609766388</v>
      </c>
      <c r="Y25" s="124">
        <f t="shared" si="5"/>
        <v>1106581.489805938</v>
      </c>
      <c r="Z25" s="124">
        <f t="shared" si="5"/>
        <v>1139778.9345001162</v>
      </c>
      <c r="AA25" s="124">
        <f t="shared" si="5"/>
        <v>1173972.3025351197</v>
      </c>
      <c r="AB25" s="124">
        <f t="shared" si="5"/>
        <v>1209191.4716111734</v>
      </c>
      <c r="AC25" s="124">
        <f t="shared" si="5"/>
        <v>1245467.2157595085</v>
      </c>
      <c r="AD25" s="124">
        <f t="shared" si="5"/>
        <v>1282831.2322322938</v>
      </c>
      <c r="AE25" s="124">
        <f t="shared" si="5"/>
        <v>1321316.1691992627</v>
      </c>
      <c r="AF25" s="124">
        <f t="shared" si="5"/>
        <v>1360955.6542752406</v>
      </c>
      <c r="AG25" s="124">
        <f t="shared" si="5"/>
        <v>1401784.3239034978</v>
      </c>
      <c r="AH25" s="3">
        <f>AG25*(1+$H$9)</f>
        <v>1443837.8536206027</v>
      </c>
      <c r="AI25" s="3">
        <f t="shared" si="5"/>
        <v>1487152.9892292209</v>
      </c>
      <c r="AJ25" s="3">
        <f t="shared" si="5"/>
        <v>1531767.5789060974</v>
      </c>
      <c r="AK25" s="3">
        <f t="shared" si="5"/>
        <v>1577720.6062732805</v>
      </c>
      <c r="AO25" s="196"/>
    </row>
    <row r="26" spans="2:50" x14ac:dyDescent="0.25">
      <c r="B26" s="4"/>
      <c r="C26" t="s">
        <v>52</v>
      </c>
      <c r="D26" s="5">
        <f>ROUND(H26+NPV($H$10,I26:AG26),-5)</f>
        <v>12800000</v>
      </c>
      <c r="F26" s="10" t="s">
        <v>53</v>
      </c>
      <c r="G26" s="124">
        <v>807000</v>
      </c>
      <c r="H26" s="124"/>
      <c r="I26" s="124"/>
      <c r="J26" s="124">
        <f>G26/2*(1+$H$9)*(1+$H$9)*(1+$H$9)</f>
        <v>440915.34450000001</v>
      </c>
      <c r="K26" s="124">
        <f>G26*(1+$H$9)*(1+$H$9)*(1+$H$9)*(1+$H$9)</f>
        <v>908285.60967000003</v>
      </c>
      <c r="L26" s="124">
        <f t="shared" si="5"/>
        <v>935534.1779601</v>
      </c>
      <c r="M26" s="124">
        <f t="shared" si="5"/>
        <v>963600.20329890307</v>
      </c>
      <c r="N26" s="124">
        <f t="shared" si="5"/>
        <v>992508.20939787023</v>
      </c>
      <c r="O26" s="124">
        <f t="shared" si="5"/>
        <v>1022283.4556798064</v>
      </c>
      <c r="P26" s="124">
        <f t="shared" si="5"/>
        <v>1052951.9593502006</v>
      </c>
      <c r="Q26" s="124">
        <f t="shared" si="5"/>
        <v>1084540.5181307066</v>
      </c>
      <c r="R26" s="124">
        <f t="shared" si="5"/>
        <v>1117076.733674628</v>
      </c>
      <c r="S26" s="124">
        <f t="shared" si="5"/>
        <v>1150589.0356848668</v>
      </c>
      <c r="T26" s="124">
        <f t="shared" si="5"/>
        <v>1185106.706755413</v>
      </c>
      <c r="U26" s="124">
        <f t="shared" si="5"/>
        <v>1220659.9079580754</v>
      </c>
      <c r="V26" s="124">
        <f t="shared" si="5"/>
        <v>1257279.7051968176</v>
      </c>
      <c r="W26" s="124">
        <f t="shared" si="5"/>
        <v>1294998.0963527223</v>
      </c>
      <c r="X26" s="124">
        <f t="shared" si="5"/>
        <v>1333848.0392433039</v>
      </c>
      <c r="Y26" s="124">
        <f t="shared" si="5"/>
        <v>1373863.4804206032</v>
      </c>
      <c r="Z26" s="124">
        <f t="shared" si="5"/>
        <v>1415079.3848332213</v>
      </c>
      <c r="AA26" s="124">
        <f t="shared" si="5"/>
        <v>1457531.7663782181</v>
      </c>
      <c r="AB26" s="124">
        <f t="shared" si="5"/>
        <v>1501257.7193695647</v>
      </c>
      <c r="AC26" s="124">
        <f t="shared" si="5"/>
        <v>1546295.4509506517</v>
      </c>
      <c r="AD26" s="124">
        <f t="shared" si="5"/>
        <v>1592684.3144791713</v>
      </c>
      <c r="AE26" s="124">
        <f t="shared" si="5"/>
        <v>1640464.8439135465</v>
      </c>
      <c r="AF26" s="124">
        <f t="shared" si="5"/>
        <v>1689678.789230953</v>
      </c>
      <c r="AG26" s="124">
        <f t="shared" si="5"/>
        <v>1740369.1529078817</v>
      </c>
      <c r="AH26" s="3">
        <f>AG26*(1+$H$9)</f>
        <v>1792580.227495118</v>
      </c>
      <c r="AI26" s="3">
        <f t="shared" si="5"/>
        <v>1846357.6343199715</v>
      </c>
      <c r="AJ26" s="3">
        <f t="shared" si="5"/>
        <v>1901748.3633495707</v>
      </c>
      <c r="AK26" s="3">
        <f t="shared" si="5"/>
        <v>1958800.8142500578</v>
      </c>
      <c r="AO26" s="197"/>
      <c r="AP26" s="198"/>
      <c r="AQ26" s="193" t="s">
        <v>54</v>
      </c>
      <c r="AR26" s="199"/>
      <c r="AS26" s="199"/>
      <c r="AT26" s="199"/>
      <c r="AU26" s="199"/>
      <c r="AV26" s="199"/>
      <c r="AW26" s="199"/>
      <c r="AX26" s="200"/>
    </row>
    <row r="27" spans="2:50" x14ac:dyDescent="0.25">
      <c r="B27" s="4"/>
      <c r="C27" t="s">
        <v>55</v>
      </c>
      <c r="D27" s="5">
        <f>ROUND(H27+NPV($H$10,I27:AG27),-5)</f>
        <v>34900000</v>
      </c>
      <c r="F27" s="10" t="s">
        <v>56</v>
      </c>
      <c r="G27" s="124">
        <f>ROUND(749370+950648,-2)</f>
        <v>1700000</v>
      </c>
      <c r="H27" s="124"/>
      <c r="I27" s="124"/>
      <c r="J27" s="124">
        <f>G27/2*(1+$H$9)*(1+$H$9)*(1+$H$9)</f>
        <v>928817.95000000007</v>
      </c>
      <c r="K27" s="124">
        <f>G27*(1+$H$8)*(1+$H$8)*(1+$H$8)*(1+$H$8)</f>
        <v>2066360.625</v>
      </c>
      <c r="L27" s="124">
        <f>K27*(1+$H$8)</f>
        <v>2169678.65625</v>
      </c>
      <c r="M27" s="124">
        <f>L27*(1+$H$8)</f>
        <v>2278162.5890625003</v>
      </c>
      <c r="N27" s="124">
        <f t="shared" ref="N27:AK27" si="6">M27*(1+$H$8)</f>
        <v>2392070.7185156252</v>
      </c>
      <c r="O27" s="124">
        <f t="shared" si="6"/>
        <v>2511674.2544414066</v>
      </c>
      <c r="P27" s="124">
        <f t="shared" si="6"/>
        <v>2637257.9671634771</v>
      </c>
      <c r="Q27" s="124">
        <f t="shared" si="6"/>
        <v>2769120.8655216512</v>
      </c>
      <c r="R27" s="124">
        <f t="shared" si="6"/>
        <v>2907576.908797734</v>
      </c>
      <c r="S27" s="124">
        <f t="shared" si="6"/>
        <v>3052955.7542376206</v>
      </c>
      <c r="T27" s="124">
        <f t="shared" si="6"/>
        <v>3205603.5419495017</v>
      </c>
      <c r="U27" s="124">
        <f t="shared" si="6"/>
        <v>3365883.7190469769</v>
      </c>
      <c r="V27" s="124">
        <f t="shared" si="6"/>
        <v>3534177.904999326</v>
      </c>
      <c r="W27" s="124">
        <f t="shared" si="6"/>
        <v>3710886.8002492925</v>
      </c>
      <c r="X27" s="124">
        <f t="shared" si="6"/>
        <v>3896431.1402617572</v>
      </c>
      <c r="Y27" s="124">
        <f t="shared" si="6"/>
        <v>4091252.6972748451</v>
      </c>
      <c r="Z27" s="124">
        <f t="shared" si="6"/>
        <v>4295815.3321385877</v>
      </c>
      <c r="AA27" s="124">
        <f t="shared" si="6"/>
        <v>4510606.0987455174</v>
      </c>
      <c r="AB27" s="124">
        <f t="shared" si="6"/>
        <v>4736136.4036827935</v>
      </c>
      <c r="AC27" s="124">
        <f t="shared" si="6"/>
        <v>4972943.223866933</v>
      </c>
      <c r="AD27" s="124">
        <f t="shared" si="6"/>
        <v>5221590.3850602796</v>
      </c>
      <c r="AE27" s="124">
        <f t="shared" si="6"/>
        <v>5482669.9043132942</v>
      </c>
      <c r="AF27" s="124">
        <f t="shared" si="6"/>
        <v>5756803.3995289588</v>
      </c>
      <c r="AG27" s="124">
        <f t="shared" si="6"/>
        <v>6044643.5695054075</v>
      </c>
      <c r="AH27" s="3">
        <f>AG27*(1+$H$8)</f>
        <v>6346875.7479806785</v>
      </c>
      <c r="AI27" s="3">
        <f t="shared" si="6"/>
        <v>6664219.5353797125</v>
      </c>
      <c r="AJ27" s="3">
        <f t="shared" si="6"/>
        <v>6997430.5121486988</v>
      </c>
      <c r="AK27" s="3">
        <f t="shared" si="6"/>
        <v>7347302.0377561338</v>
      </c>
      <c r="AO27" s="201"/>
      <c r="AP27" s="202">
        <f>D30/1000</f>
        <v>4200</v>
      </c>
      <c r="AQ27" s="203">
        <v>0.03</v>
      </c>
      <c r="AR27" s="203">
        <v>0.04</v>
      </c>
      <c r="AS27" s="203">
        <v>0.05</v>
      </c>
      <c r="AT27" s="203">
        <v>0.06</v>
      </c>
      <c r="AU27" s="203">
        <v>7.0000000000000007E-2</v>
      </c>
      <c r="AV27" s="203">
        <v>0.08</v>
      </c>
      <c r="AW27" s="203">
        <v>0.09</v>
      </c>
      <c r="AX27" s="204">
        <v>0.1</v>
      </c>
    </row>
    <row r="28" spans="2:50" x14ac:dyDescent="0.25">
      <c r="B28" s="7"/>
      <c r="C28" s="13" t="s">
        <v>57</v>
      </c>
      <c r="D28" s="6">
        <f>SUM(D25:D27)</f>
        <v>58000000</v>
      </c>
      <c r="F28" s="10"/>
      <c r="G28" s="125">
        <f t="shared" ref="G28:AK28" si="7">SUM(G25:G27)</f>
        <v>3157000</v>
      </c>
      <c r="H28" s="125">
        <f t="shared" si="7"/>
        <v>0</v>
      </c>
      <c r="I28" s="125">
        <f t="shared" si="7"/>
        <v>0</v>
      </c>
      <c r="J28" s="125">
        <f t="shared" si="7"/>
        <v>1724869.5695000002</v>
      </c>
      <c r="K28" s="125">
        <f t="shared" si="7"/>
        <v>3706226.96117</v>
      </c>
      <c r="L28" s="125">
        <f t="shared" si="7"/>
        <v>3858740.9825050998</v>
      </c>
      <c r="M28" s="125">
        <f t="shared" si="7"/>
        <v>4017896.7851052536</v>
      </c>
      <c r="N28" s="125">
        <f t="shared" si="7"/>
        <v>4183996.940439661</v>
      </c>
      <c r="O28" s="125">
        <f t="shared" si="7"/>
        <v>4357358.2630231641</v>
      </c>
      <c r="P28" s="125">
        <f t="shared" si="7"/>
        <v>4538312.4960026871</v>
      </c>
      <c r="Q28" s="125">
        <f t="shared" si="7"/>
        <v>4727207.0302260369</v>
      </c>
      <c r="R28" s="125">
        <f t="shared" si="7"/>
        <v>4924405.6584432516</v>
      </c>
      <c r="S28" s="125">
        <f t="shared" si="7"/>
        <v>5130289.3663725043</v>
      </c>
      <c r="T28" s="125">
        <f t="shared" si="7"/>
        <v>5345257.1624484323</v>
      </c>
      <c r="U28" s="125">
        <f t="shared" si="7"/>
        <v>5569726.9481608756</v>
      </c>
      <c r="V28" s="125">
        <f t="shared" si="7"/>
        <v>5804136.430986641</v>
      </c>
      <c r="W28" s="125">
        <f t="shared" si="7"/>
        <v>6048944.0820162278</v>
      </c>
      <c r="X28" s="125">
        <f t="shared" si="7"/>
        <v>6304630.1404817002</v>
      </c>
      <c r="Y28" s="125">
        <f t="shared" si="7"/>
        <v>6571697.6675013863</v>
      </c>
      <c r="Z28" s="125">
        <f t="shared" si="7"/>
        <v>6850673.651471925</v>
      </c>
      <c r="AA28" s="125">
        <f t="shared" si="7"/>
        <v>7142110.1676588552</v>
      </c>
      <c r="AB28" s="125">
        <f t="shared" si="7"/>
        <v>7446585.5946635315</v>
      </c>
      <c r="AC28" s="125">
        <f t="shared" si="7"/>
        <v>7764705.8905770928</v>
      </c>
      <c r="AD28" s="125">
        <f t="shared" si="7"/>
        <v>8097105.931771745</v>
      </c>
      <c r="AE28" s="125">
        <f t="shared" si="7"/>
        <v>8444450.9174261037</v>
      </c>
      <c r="AF28" s="125">
        <f t="shared" si="7"/>
        <v>8807437.8430351522</v>
      </c>
      <c r="AG28" s="125">
        <f t="shared" si="7"/>
        <v>9186797.0463167876</v>
      </c>
      <c r="AH28" s="13">
        <f t="shared" si="7"/>
        <v>9583293.8290963992</v>
      </c>
      <c r="AI28" s="13">
        <f t="shared" si="7"/>
        <v>9997730.1589289047</v>
      </c>
      <c r="AJ28" s="13">
        <f t="shared" si="7"/>
        <v>10430946.454404367</v>
      </c>
      <c r="AK28" s="13">
        <f t="shared" si="7"/>
        <v>10883823.458279472</v>
      </c>
      <c r="AO28" s="220" t="s">
        <v>26</v>
      </c>
      <c r="AP28" s="205">
        <v>0.02</v>
      </c>
      <c r="AQ28" s="178">
        <f t="dataTable" ref="AQ28:AX34" dt2D="1" dtr="1" r1="H10" r2="H12"/>
        <v>27200</v>
      </c>
      <c r="AR28" s="178">
        <v>21900</v>
      </c>
      <c r="AS28" s="178">
        <v>17700</v>
      </c>
      <c r="AT28" s="178">
        <v>13900</v>
      </c>
      <c r="AU28" s="178">
        <v>10600</v>
      </c>
      <c r="AV28" s="178">
        <v>7900</v>
      </c>
      <c r="AW28" s="178">
        <v>5800</v>
      </c>
      <c r="AX28" s="206">
        <v>3600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0"/>
      <c r="AP29" s="205">
        <v>2.5000000000000001E-2</v>
      </c>
      <c r="AQ29" s="178">
        <v>22600</v>
      </c>
      <c r="AR29" s="178">
        <v>17800</v>
      </c>
      <c r="AS29" s="178">
        <v>13900</v>
      </c>
      <c r="AT29" s="178">
        <v>10400</v>
      </c>
      <c r="AU29" s="178">
        <v>7500</v>
      </c>
      <c r="AV29" s="178">
        <v>5000</v>
      </c>
      <c r="AW29" s="178">
        <v>3000</v>
      </c>
      <c r="AX29" s="206">
        <v>1100</v>
      </c>
    </row>
    <row r="30" spans="2:50" x14ac:dyDescent="0.25">
      <c r="B30" s="7"/>
      <c r="C30" s="13" t="s">
        <v>58</v>
      </c>
      <c r="D30" s="6">
        <f>D28-D22</f>
        <v>4200000</v>
      </c>
      <c r="F30" s="10"/>
      <c r="G30" s="124"/>
      <c r="H30" s="125">
        <f>H28-H22</f>
        <v>-10518086.01089992</v>
      </c>
      <c r="I30" s="125">
        <f t="shared" ref="I30:AK30" si="8">I28-I22</f>
        <v>-3318086.0108999205</v>
      </c>
      <c r="J30" s="125">
        <f t="shared" si="8"/>
        <v>-2120441.4413999203</v>
      </c>
      <c r="K30" s="125">
        <f t="shared" si="8"/>
        <v>-154900.79972992046</v>
      </c>
      <c r="L30" s="125">
        <f t="shared" si="8"/>
        <v>-10482.578394820448</v>
      </c>
      <c r="M30" s="125">
        <f t="shared" si="8"/>
        <v>413516.30020533316</v>
      </c>
      <c r="N30" s="125">
        <f t="shared" si="8"/>
        <v>571027.62131974055</v>
      </c>
      <c r="O30" s="125">
        <f t="shared" si="8"/>
        <v>735542.44465664355</v>
      </c>
      <c r="P30" s="125">
        <f t="shared" si="8"/>
        <v>907384.78341216873</v>
      </c>
      <c r="Q30" s="125">
        <f t="shared" si="8"/>
        <v>1086894.0665848004</v>
      </c>
      <c r="R30" s="125">
        <f t="shared" si="8"/>
        <v>1274425.8862197758</v>
      </c>
      <c r="S30" s="125">
        <f t="shared" si="8"/>
        <v>1470352.7813093215</v>
      </c>
      <c r="T30" s="125">
        <f t="shared" si="8"/>
        <v>1675065.0601603519</v>
      </c>
      <c r="U30" s="125">
        <f t="shared" si="8"/>
        <v>1888971.6631311504</v>
      </c>
      <c r="V30" s="125">
        <f t="shared" si="8"/>
        <v>2112501.0677330215</v>
      </c>
      <c r="W30" s="125">
        <f t="shared" si="8"/>
        <v>2346102.2381919972</v>
      </c>
      <c r="X30" s="125">
        <f t="shared" si="8"/>
        <v>2590245.6216697404</v>
      </c>
      <c r="Y30" s="125">
        <f t="shared" si="8"/>
        <v>2845424.1934520653</v>
      </c>
      <c r="Z30" s="125">
        <f t="shared" si="8"/>
        <v>3112154.5535281221</v>
      </c>
      <c r="AA30" s="125">
        <f t="shared" si="8"/>
        <v>3390978.0771037359</v>
      </c>
      <c r="AB30" s="125">
        <f t="shared" si="8"/>
        <v>3682462.1217187559</v>
      </c>
      <c r="AC30" s="125">
        <f t="shared" si="8"/>
        <v>3987201.2937709717</v>
      </c>
      <c r="AD30" s="125">
        <f t="shared" si="8"/>
        <v>4305818.7773884377</v>
      </c>
      <c r="AE30" s="125">
        <f t="shared" si="8"/>
        <v>4638967.7287382949</v>
      </c>
      <c r="AF30" s="125">
        <f t="shared" si="8"/>
        <v>4987332.7390137073</v>
      </c>
      <c r="AG30" s="125">
        <f t="shared" si="8"/>
        <v>5351631.3695016969</v>
      </c>
      <c r="AH30" s="15">
        <f t="shared" si="8"/>
        <v>6785089.9630683279</v>
      </c>
      <c r="AI30" s="15">
        <f t="shared" si="8"/>
        <v>7183548.5312240543</v>
      </c>
      <c r="AJ30" s="15">
        <f t="shared" si="8"/>
        <v>7600307.7321724351</v>
      </c>
      <c r="AK30" s="15">
        <f t="shared" si="8"/>
        <v>8036233.9286846444</v>
      </c>
      <c r="AO30" s="220"/>
      <c r="AP30" s="205">
        <v>0.03</v>
      </c>
      <c r="AQ30" s="178">
        <v>17800</v>
      </c>
      <c r="AR30" s="178">
        <v>13400</v>
      </c>
      <c r="AS30" s="178">
        <v>9900</v>
      </c>
      <c r="AT30" s="178">
        <v>6900</v>
      </c>
      <c r="AU30" s="178">
        <v>4200</v>
      </c>
      <c r="AV30" s="178">
        <v>1900</v>
      </c>
      <c r="AW30" s="178">
        <v>200</v>
      </c>
      <c r="AX30" s="206">
        <v>-1500</v>
      </c>
    </row>
    <row r="31" spans="2:50" x14ac:dyDescent="0.25">
      <c r="B31" s="7"/>
      <c r="C31" s="16" t="s">
        <v>59</v>
      </c>
      <c r="D31" s="17">
        <f>IRR(H30:AG30)</f>
        <v>7.277287227470608E-2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  <c r="AO31" s="220"/>
      <c r="AP31" s="205">
        <v>3.5000000000000003E-2</v>
      </c>
      <c r="AQ31" s="1">
        <v>12800</v>
      </c>
      <c r="AR31" s="178">
        <v>8900</v>
      </c>
      <c r="AS31" s="178">
        <v>5800</v>
      </c>
      <c r="AT31" s="178">
        <v>3100</v>
      </c>
      <c r="AU31" s="178">
        <v>800</v>
      </c>
      <c r="AV31" s="178">
        <v>-1200</v>
      </c>
      <c r="AW31" s="178">
        <v>-2700</v>
      </c>
      <c r="AX31" s="206">
        <v>-4300</v>
      </c>
    </row>
    <row r="32" spans="2:50" x14ac:dyDescent="0.25">
      <c r="B32" s="8"/>
      <c r="C32" s="19" t="s">
        <v>60</v>
      </c>
      <c r="D32" s="20">
        <f>D28/D22</f>
        <v>1.0780669144981412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  <c r="AO32" s="220"/>
      <c r="AP32" s="205">
        <v>0.04</v>
      </c>
      <c r="AQ32" s="1">
        <v>7600</v>
      </c>
      <c r="AR32" s="178">
        <v>4200</v>
      </c>
      <c r="AS32" s="178">
        <v>1600</v>
      </c>
      <c r="AT32" s="178">
        <v>-800</v>
      </c>
      <c r="AU32" s="178">
        <v>-2800</v>
      </c>
      <c r="AV32" s="178">
        <v>-4500</v>
      </c>
      <c r="AW32" s="178">
        <v>-5800</v>
      </c>
      <c r="AX32" s="206">
        <v>-7200</v>
      </c>
    </row>
    <row r="33" spans="2:50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  <c r="AO33" s="220"/>
      <c r="AP33" s="205">
        <v>4.4999999999999998E-2</v>
      </c>
      <c r="AQ33" s="1">
        <v>2200</v>
      </c>
      <c r="AR33" s="178">
        <v>-700</v>
      </c>
      <c r="AS33" s="178">
        <v>-2800</v>
      </c>
      <c r="AT33" s="178">
        <v>-4800</v>
      </c>
      <c r="AU33" s="178">
        <v>-6500</v>
      </c>
      <c r="AV33" s="178">
        <v>-7900</v>
      </c>
      <c r="AW33" s="178">
        <v>-9000</v>
      </c>
      <c r="AX33" s="206">
        <v>-10100</v>
      </c>
    </row>
    <row r="34" spans="2:50" x14ac:dyDescent="0.25">
      <c r="B34" s="4"/>
      <c r="C34" t="s">
        <v>62</v>
      </c>
      <c r="D34" s="5">
        <f>ROUND(H34+NPV($H$10,I34:AG34),-5)</f>
        <v>8800000</v>
      </c>
      <c r="F34" s="18" t="s">
        <v>63</v>
      </c>
      <c r="G34" s="124">
        <v>1550000</v>
      </c>
      <c r="H34" s="124"/>
      <c r="I34" s="124"/>
      <c r="J34" s="124">
        <f>G34/2*(1+$H$9)*(1+$H$9)*(1+$H$9)*(1+$H$11)*(1+$H$11)*(1+$H$11)</f>
        <v>627710.09657786565</v>
      </c>
      <c r="K34" s="124">
        <f>G34*(1+$H$8)*(1+$H$8)*(1+$H$8)*(1+$H$8)*(1+$H$11)*(1+$H$11)*(1+$H$11)*(1+$H$11)</f>
        <v>1263814.1434201626</v>
      </c>
      <c r="L34" s="124">
        <f t="shared" ref="L34:AG34" si="9">K34*(1+$H$9)*(1+$H$11)</f>
        <v>1178064.3537891046</v>
      </c>
      <c r="M34" s="124">
        <f t="shared" si="9"/>
        <v>1098132.6873845139</v>
      </c>
      <c r="N34" s="124">
        <f t="shared" si="9"/>
        <v>1023624.3845454745</v>
      </c>
      <c r="O34" s="124">
        <f t="shared" si="9"/>
        <v>954171.47005406406</v>
      </c>
      <c r="P34" s="124">
        <f t="shared" si="9"/>
        <v>889430.93581089587</v>
      </c>
      <c r="Q34" s="124">
        <f t="shared" si="9"/>
        <v>829083.04681612668</v>
      </c>
      <c r="R34" s="124">
        <f t="shared" si="9"/>
        <v>772829.76208965247</v>
      </c>
      <c r="S34" s="124">
        <f t="shared" si="9"/>
        <v>720393.26273186959</v>
      </c>
      <c r="T34" s="124">
        <f t="shared" si="9"/>
        <v>671514.57985551225</v>
      </c>
      <c r="U34" s="124">
        <f t="shared" si="9"/>
        <v>625952.31561231567</v>
      </c>
      <c r="V34" s="124">
        <f t="shared" si="9"/>
        <v>583481.45099802013</v>
      </c>
      <c r="W34" s="124">
        <f t="shared" si="9"/>
        <v>543892.23454780458</v>
      </c>
      <c r="X34" s="124">
        <f t="shared" si="9"/>
        <v>506989.14643373608</v>
      </c>
      <c r="Y34" s="124">
        <f t="shared" si="9"/>
        <v>472589.93284820707</v>
      </c>
      <c r="Z34" s="124">
        <f t="shared" si="9"/>
        <v>440524.7059044562</v>
      </c>
      <c r="AA34" s="124">
        <f t="shared" si="9"/>
        <v>410635.10460883885</v>
      </c>
      <c r="AB34" s="124">
        <f t="shared" si="9"/>
        <v>382773.51276112912</v>
      </c>
      <c r="AC34" s="124">
        <f t="shared" si="9"/>
        <v>356802.32992028655</v>
      </c>
      <c r="AD34" s="124">
        <f t="shared" si="9"/>
        <v>332593.29183519509</v>
      </c>
      <c r="AE34" s="124">
        <f t="shared" si="9"/>
        <v>310026.83698417712</v>
      </c>
      <c r="AF34" s="124">
        <f t="shared" si="9"/>
        <v>288991.51609480073</v>
      </c>
      <c r="AG34" s="124">
        <f t="shared" si="9"/>
        <v>269383.44172776851</v>
      </c>
      <c r="AH34" s="3">
        <v>1000000</v>
      </c>
      <c r="AI34" s="3">
        <v>1000000</v>
      </c>
      <c r="AJ34" s="3">
        <v>1000000</v>
      </c>
      <c r="AK34" s="3">
        <v>1000000</v>
      </c>
      <c r="AO34" s="221"/>
      <c r="AP34" s="207">
        <v>0.05</v>
      </c>
      <c r="AQ34" s="208">
        <v>-3400</v>
      </c>
      <c r="AR34" s="209">
        <v>-5700</v>
      </c>
      <c r="AS34" s="209">
        <v>-7500</v>
      </c>
      <c r="AT34" s="209">
        <v>-9000</v>
      </c>
      <c r="AU34" s="209">
        <v>-10300</v>
      </c>
      <c r="AV34" s="209">
        <v>-11500</v>
      </c>
      <c r="AW34" s="209">
        <v>-12200</v>
      </c>
      <c r="AX34" s="210">
        <v>-13200</v>
      </c>
    </row>
    <row r="35" spans="2:50" x14ac:dyDescent="0.25">
      <c r="B35" s="4"/>
      <c r="C35" t="s">
        <v>64</v>
      </c>
      <c r="D35" s="5">
        <f t="shared" ref="D35" si="10">ROUND(H35+NPV($H$10,I35:AG35),-5)</f>
        <v>12600000</v>
      </c>
      <c r="G35" s="124">
        <f>10000000*(1+H9)^10</f>
        <v>13439163.793441217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13439163.793441217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50" x14ac:dyDescent="0.25">
      <c r="B36" s="4"/>
      <c r="C36" s="13" t="s">
        <v>65</v>
      </c>
      <c r="D36" s="6">
        <f>SUM(D34:D35)</f>
        <v>21400000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50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50" x14ac:dyDescent="0.25">
      <c r="B38" s="4"/>
      <c r="C38" s="13" t="s">
        <v>66</v>
      </c>
      <c r="D38" s="6">
        <f>D36+D30</f>
        <v>25600000</v>
      </c>
      <c r="H38" s="190">
        <f>H35+H34+H30</f>
        <v>-10518086.01089992</v>
      </c>
      <c r="I38" s="190">
        <f t="shared" ref="I38:AF38" si="11">I35+I34+I30</f>
        <v>-3318086.0108999205</v>
      </c>
      <c r="J38" s="190">
        <f t="shared" si="11"/>
        <v>-1492731.3448220547</v>
      </c>
      <c r="K38" s="190">
        <f t="shared" si="11"/>
        <v>1108913.3436902422</v>
      </c>
      <c r="L38" s="190">
        <f t="shared" si="11"/>
        <v>1167581.7753942842</v>
      </c>
      <c r="M38" s="190">
        <f t="shared" si="11"/>
        <v>1511648.9875898471</v>
      </c>
      <c r="N38" s="190">
        <f t="shared" si="11"/>
        <v>1594652.0058652151</v>
      </c>
      <c r="O38" s="190">
        <f t="shared" si="11"/>
        <v>1689713.9147107075</v>
      </c>
      <c r="P38" s="190">
        <f t="shared" si="11"/>
        <v>1796815.7192230646</v>
      </c>
      <c r="Q38" s="190">
        <f t="shared" si="11"/>
        <v>1915977.113400927</v>
      </c>
      <c r="R38" s="190">
        <f t="shared" si="11"/>
        <v>15486419.441750646</v>
      </c>
      <c r="S38" s="190">
        <f t="shared" si="11"/>
        <v>2190746.0440411912</v>
      </c>
      <c r="T38" s="190">
        <f t="shared" si="11"/>
        <v>2346579.6400158643</v>
      </c>
      <c r="U38" s="190">
        <f t="shared" si="11"/>
        <v>2514923.9787434661</v>
      </c>
      <c r="V38" s="190">
        <f t="shared" si="11"/>
        <v>2695982.5187310418</v>
      </c>
      <c r="W38" s="190">
        <f t="shared" si="11"/>
        <v>2889994.4727398017</v>
      </c>
      <c r="X38" s="190">
        <f t="shared" si="11"/>
        <v>3097234.7681034766</v>
      </c>
      <c r="Y38" s="190">
        <f t="shared" si="11"/>
        <v>3318014.1263002725</v>
      </c>
      <c r="Z38" s="190">
        <f t="shared" si="11"/>
        <v>3552679.2594325785</v>
      </c>
      <c r="AA38" s="190">
        <f t="shared" si="11"/>
        <v>3801613.1817125748</v>
      </c>
      <c r="AB38" s="190">
        <f t="shared" si="11"/>
        <v>4065235.634479885</v>
      </c>
      <c r="AC38" s="190">
        <f t="shared" si="11"/>
        <v>4344003.623691258</v>
      </c>
      <c r="AD38" s="190">
        <f t="shared" si="11"/>
        <v>4638412.069223633</v>
      </c>
      <c r="AE38" s="190">
        <f t="shared" si="11"/>
        <v>4948994.565722472</v>
      </c>
      <c r="AF38" s="190">
        <f t="shared" si="11"/>
        <v>5276324.2551085083</v>
      </c>
      <c r="AG38" s="190">
        <f>AG35+AG34+AG30</f>
        <v>5621014.8112294655</v>
      </c>
    </row>
    <row r="39" spans="2:50" x14ac:dyDescent="0.25">
      <c r="B39" s="7"/>
      <c r="C39" s="16" t="s">
        <v>59</v>
      </c>
      <c r="D39" s="17">
        <f>IRR(H38:AG38)</f>
        <v>0.13742677194846875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50" x14ac:dyDescent="0.25">
      <c r="B40" s="8"/>
      <c r="C40" s="19" t="s">
        <v>60</v>
      </c>
      <c r="D40" s="20">
        <f>(D36+D28)/D22</f>
        <v>1.4758364312267658</v>
      </c>
    </row>
    <row r="50" spans="5:5" ht="14.45" customHeight="1" x14ac:dyDescent="0.25"/>
    <row r="53" spans="5:5" ht="14.45" customHeight="1" x14ac:dyDescent="0.25"/>
    <row r="60" spans="5:5" x14ac:dyDescent="0.25">
      <c r="E60" s="196"/>
    </row>
  </sheetData>
  <sheetProtection algorithmName="SHA-512" hashValue="cKXnZhk5Sgc2KMteIX9ui322tFk2x5SGR9AAQyNAJDSFBzi1Rebbgerga5zPZtaXtEGApjHNlSbFHdZRsKka8A==" saltValue="I7IWTdPZh2DphuqSCLb72A==" spinCount="100000" sheet="1" objects="1" scenarios="1"/>
  <mergeCells count="3">
    <mergeCell ref="L2:M2"/>
    <mergeCell ref="AO15:AO24"/>
    <mergeCell ref="AO28:AO34"/>
  </mergeCells>
  <conditionalFormatting sqref="AQ17:AX24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8:AX34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2F590-7F4A-4432-B07F-91342B26F333}">
  <dimension ref="B1:AX52"/>
  <sheetViews>
    <sheetView topLeftCell="A6" zoomScale="85" zoomScaleNormal="85" workbookViewId="0">
      <selection activeCell="D39" sqref="D39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66.140625" bestFit="1" customWidth="1"/>
    <col min="7" max="7" width="16.710937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  <c r="AO6"/>
      <c r="AP6"/>
      <c r="AQ6"/>
      <c r="AR6"/>
      <c r="AS6"/>
      <c r="AT6"/>
      <c r="AU6"/>
      <c r="AV6"/>
      <c r="AW6"/>
      <c r="AX6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  <c r="AO7"/>
      <c r="AP7"/>
      <c r="AQ7"/>
      <c r="AR7"/>
      <c r="AS7"/>
      <c r="AT7"/>
      <c r="AU7"/>
      <c r="AV7"/>
      <c r="AW7"/>
      <c r="AX7"/>
    </row>
    <row r="8" spans="2:50" s="29" customFormat="1" ht="30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 s="12" t="s">
        <v>28</v>
      </c>
      <c r="AR8" s="3"/>
      <c r="AS8" s="3"/>
      <c r="AT8" s="3"/>
      <c r="AU8" s="3"/>
      <c r="AV8" s="3"/>
      <c r="AW8" s="3"/>
      <c r="AX8" s="3"/>
    </row>
    <row r="9" spans="2:50" ht="30" x14ac:dyDescent="0.25">
      <c r="G9" s="169" t="s">
        <v>23</v>
      </c>
      <c r="H9" s="11">
        <v>0.03</v>
      </c>
      <c r="AO9" s="173"/>
      <c r="AP9" s="173"/>
      <c r="AQ9" s="173"/>
      <c r="AR9" s="173"/>
      <c r="AS9" s="173"/>
      <c r="AT9" s="173"/>
      <c r="AU9" s="173"/>
      <c r="AV9" s="173"/>
      <c r="AW9" s="173"/>
      <c r="AX9" s="173"/>
    </row>
    <row r="10" spans="2:50" x14ac:dyDescent="0.25">
      <c r="G10" s="185" t="s">
        <v>24</v>
      </c>
      <c r="H10" s="11">
        <v>7.0000000000000007E-2</v>
      </c>
      <c r="AO10" s="219" t="s">
        <v>34</v>
      </c>
      <c r="AP10" s="187"/>
      <c r="AQ10" s="193" t="s">
        <v>24</v>
      </c>
      <c r="AR10" s="199"/>
      <c r="AS10" s="199"/>
      <c r="AT10" s="199"/>
      <c r="AU10" s="199"/>
      <c r="AV10" s="199"/>
      <c r="AW10" s="199"/>
      <c r="AX10" s="200"/>
    </row>
    <row r="11" spans="2:50" x14ac:dyDescent="0.25">
      <c r="G11" s="9" t="s">
        <v>25</v>
      </c>
      <c r="H11" s="184">
        <v>-9.5000000000000001E-2</v>
      </c>
      <c r="AO11" s="220"/>
      <c r="AP11" s="202">
        <f>D30/1000</f>
        <v>-12100</v>
      </c>
      <c r="AQ11" s="203">
        <v>0.03</v>
      </c>
      <c r="AR11" s="203">
        <v>0.04</v>
      </c>
      <c r="AS11" s="203">
        <v>0.05</v>
      </c>
      <c r="AT11" s="203">
        <v>0.06</v>
      </c>
      <c r="AU11" s="203">
        <v>7.0000000000000007E-2</v>
      </c>
      <c r="AV11" s="203">
        <v>0.08</v>
      </c>
      <c r="AW11" s="203">
        <v>0.09</v>
      </c>
      <c r="AX11" s="204">
        <v>0.1</v>
      </c>
    </row>
    <row r="12" spans="2:50" x14ac:dyDescent="0.25">
      <c r="C12" s="123" t="s">
        <v>163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11">
        <v>0.01</v>
      </c>
      <c r="AQ12" s="178">
        <f t="dataTable" ref="AQ12:AX19" dt2D="1" dtr="1" r1="H10" r2="H8"/>
        <v>-20800</v>
      </c>
      <c r="AR12" s="178">
        <v>-18900</v>
      </c>
      <c r="AS12" s="178">
        <v>-17400</v>
      </c>
      <c r="AT12" s="178">
        <v>-16200</v>
      </c>
      <c r="AU12" s="178">
        <v>-15000</v>
      </c>
      <c r="AV12" s="178">
        <v>-14200</v>
      </c>
      <c r="AW12" s="178">
        <v>-13200</v>
      </c>
      <c r="AX12" s="206">
        <v>-12500</v>
      </c>
    </row>
    <row r="13" spans="2:50" x14ac:dyDescent="0.25">
      <c r="H13" s="110"/>
      <c r="AO13" s="220"/>
      <c r="AP13" s="211">
        <v>0.02</v>
      </c>
      <c r="AQ13" s="178">
        <v>-19800</v>
      </c>
      <c r="AR13" s="178">
        <v>-18100</v>
      </c>
      <c r="AS13" s="178">
        <v>-16700</v>
      </c>
      <c r="AT13" s="178">
        <v>-15500</v>
      </c>
      <c r="AU13" s="178">
        <v>-14400</v>
      </c>
      <c r="AV13" s="178">
        <v>-13700</v>
      </c>
      <c r="AW13" s="178">
        <v>-12800</v>
      </c>
      <c r="AX13" s="206">
        <v>-12100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0.03</v>
      </c>
      <c r="AQ14" s="178">
        <v>-18700</v>
      </c>
      <c r="AR14" s="178">
        <v>-17100</v>
      </c>
      <c r="AS14" s="178">
        <v>-15800</v>
      </c>
      <c r="AT14" s="178">
        <v>-14800</v>
      </c>
      <c r="AU14" s="178">
        <v>-13800</v>
      </c>
      <c r="AV14" s="178">
        <v>-13100</v>
      </c>
      <c r="AW14" s="178">
        <v>-12300</v>
      </c>
      <c r="AX14" s="206">
        <v>-11700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0.04</v>
      </c>
      <c r="AQ15" s="1">
        <v>-17300</v>
      </c>
      <c r="AR15" s="178">
        <v>-15900</v>
      </c>
      <c r="AS15" s="178">
        <v>-14800</v>
      </c>
      <c r="AT15" s="178">
        <v>-13900</v>
      </c>
      <c r="AU15" s="178">
        <v>-13000</v>
      </c>
      <c r="AV15" s="178">
        <v>-12500</v>
      </c>
      <c r="AW15" s="178">
        <v>-11700</v>
      </c>
      <c r="AX15" s="206">
        <v>-11200</v>
      </c>
    </row>
    <row r="16" spans="2:50" x14ac:dyDescent="0.25">
      <c r="B16" s="4"/>
      <c r="C16" t="s">
        <v>35</v>
      </c>
      <c r="D16" s="5">
        <f>ROUND(H16+NPV($H$10,I16:AG16),-5)</f>
        <v>2900000</v>
      </c>
      <c r="F16" s="10" t="s">
        <v>36</v>
      </c>
      <c r="G16" s="165">
        <f>ROUND(SUM(G17:G18)*0.1,-5)</f>
        <v>2900000</v>
      </c>
      <c r="H16" s="124">
        <f>G16</f>
        <v>2900000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0.05</v>
      </c>
      <c r="AQ16" s="1">
        <v>-15700</v>
      </c>
      <c r="AR16" s="178">
        <v>-14500</v>
      </c>
      <c r="AS16" s="178">
        <v>-13600</v>
      </c>
      <c r="AT16" s="178">
        <v>-12900</v>
      </c>
      <c r="AU16" s="178">
        <v>-12100</v>
      </c>
      <c r="AV16" s="178">
        <v>-11700</v>
      </c>
      <c r="AW16" s="178">
        <v>-11000</v>
      </c>
      <c r="AX16" s="206">
        <v>-10600</v>
      </c>
    </row>
    <row r="17" spans="2:50" x14ac:dyDescent="0.25">
      <c r="B17" s="4"/>
      <c r="C17" t="s">
        <v>37</v>
      </c>
      <c r="D17" s="5">
        <f>ROUND(H17+NPV($H$10,I17:AG17),-5)</f>
        <v>13300000</v>
      </c>
      <c r="F17" s="10" t="s">
        <v>38</v>
      </c>
      <c r="G17" s="165">
        <f>'Central Plant'!L43</f>
        <v>24500000</v>
      </c>
      <c r="H17" s="124">
        <f>-PMT($H$12/12,$I$12*12,$G$17)*12</f>
        <v>1052474.2007644749</v>
      </c>
      <c r="I17" s="124">
        <f>-PMT($H$12/12,$I$12*12,$G$17)*12</f>
        <v>1052474.2007644749</v>
      </c>
      <c r="J17" s="124">
        <f t="shared" ref="J17:AG17" si="0">-PMT($H$12/12,$I$12*12,$G$17)*12</f>
        <v>1052474.2007644749</v>
      </c>
      <c r="K17" s="124">
        <f t="shared" si="0"/>
        <v>1052474.2007644749</v>
      </c>
      <c r="L17" s="124">
        <f t="shared" si="0"/>
        <v>1052474.2007644749</v>
      </c>
      <c r="M17" s="124">
        <f t="shared" si="0"/>
        <v>1052474.2007644749</v>
      </c>
      <c r="N17" s="124">
        <f t="shared" si="0"/>
        <v>1052474.2007644749</v>
      </c>
      <c r="O17" s="124">
        <f t="shared" si="0"/>
        <v>1052474.2007644749</v>
      </c>
      <c r="P17" s="124">
        <f t="shared" si="0"/>
        <v>1052474.2007644749</v>
      </c>
      <c r="Q17" s="124">
        <f t="shared" si="0"/>
        <v>1052474.2007644749</v>
      </c>
      <c r="R17" s="124">
        <f t="shared" si="0"/>
        <v>1052474.2007644749</v>
      </c>
      <c r="S17" s="124">
        <f t="shared" si="0"/>
        <v>1052474.2007644749</v>
      </c>
      <c r="T17" s="124">
        <f t="shared" si="0"/>
        <v>1052474.2007644749</v>
      </c>
      <c r="U17" s="124">
        <f t="shared" si="0"/>
        <v>1052474.2007644749</v>
      </c>
      <c r="V17" s="124">
        <f t="shared" si="0"/>
        <v>1052474.2007644749</v>
      </c>
      <c r="W17" s="124">
        <f t="shared" si="0"/>
        <v>1052474.2007644749</v>
      </c>
      <c r="X17" s="124">
        <f t="shared" si="0"/>
        <v>1052474.2007644749</v>
      </c>
      <c r="Y17" s="124">
        <f t="shared" si="0"/>
        <v>1052474.2007644749</v>
      </c>
      <c r="Z17" s="124">
        <f t="shared" si="0"/>
        <v>1052474.2007644749</v>
      </c>
      <c r="AA17" s="124">
        <f t="shared" si="0"/>
        <v>1052474.2007644749</v>
      </c>
      <c r="AB17" s="124">
        <f t="shared" si="0"/>
        <v>1052474.2007644749</v>
      </c>
      <c r="AC17" s="124">
        <f t="shared" si="0"/>
        <v>1052474.2007644749</v>
      </c>
      <c r="AD17" s="124">
        <f t="shared" si="0"/>
        <v>1052474.2007644749</v>
      </c>
      <c r="AE17" s="124">
        <f t="shared" si="0"/>
        <v>1052474.2007644749</v>
      </c>
      <c r="AF17" s="124">
        <f t="shared" si="0"/>
        <v>1052474.2007644749</v>
      </c>
      <c r="AG17" s="124">
        <f t="shared" si="0"/>
        <v>1052474.2007644749</v>
      </c>
      <c r="AH17" s="3"/>
      <c r="AI17" s="3"/>
      <c r="AJ17" s="3"/>
      <c r="AK17" s="3"/>
      <c r="AO17" s="220"/>
      <c r="AP17" s="211">
        <v>0.06</v>
      </c>
      <c r="AQ17" s="1">
        <v>-13800</v>
      </c>
      <c r="AR17" s="178">
        <v>-12900</v>
      </c>
      <c r="AS17" s="178">
        <v>-12200</v>
      </c>
      <c r="AT17" s="178">
        <v>-11700</v>
      </c>
      <c r="AU17" s="178">
        <v>-11100</v>
      </c>
      <c r="AV17" s="178">
        <v>-10800</v>
      </c>
      <c r="AW17" s="178">
        <v>-10200</v>
      </c>
      <c r="AX17" s="206">
        <v>-9900</v>
      </c>
    </row>
    <row r="18" spans="2:50" x14ac:dyDescent="0.25">
      <c r="B18" s="4"/>
      <c r="C18" t="s">
        <v>39</v>
      </c>
      <c r="D18" s="5">
        <f t="shared" ref="D18:D20" si="1">ROUND(H18+NPV($H$10,I18:AG18),-5)</f>
        <v>2600000</v>
      </c>
      <c r="F18" s="10" t="s">
        <v>40</v>
      </c>
      <c r="G18" s="166">
        <f>Loop!N25</f>
        <v>4790000</v>
      </c>
      <c r="H18" s="124">
        <f>-PMT($H$12/12,$I$12*12,$G$18)*12</f>
        <v>205769.44578211574</v>
      </c>
      <c r="I18" s="124">
        <f t="shared" ref="I18:AK18" si="2">-PMT($H$12/12,$I$12*12,$G$18)*12</f>
        <v>205769.44578211574</v>
      </c>
      <c r="J18" s="124">
        <f t="shared" si="2"/>
        <v>205769.44578211574</v>
      </c>
      <c r="K18" s="124">
        <f t="shared" si="2"/>
        <v>205769.44578211574</v>
      </c>
      <c r="L18" s="124">
        <f t="shared" si="2"/>
        <v>205769.44578211574</v>
      </c>
      <c r="M18" s="124">
        <f t="shared" si="2"/>
        <v>205769.44578211574</v>
      </c>
      <c r="N18" s="124">
        <f t="shared" si="2"/>
        <v>205769.44578211574</v>
      </c>
      <c r="O18" s="124">
        <f t="shared" si="2"/>
        <v>205769.44578211574</v>
      </c>
      <c r="P18" s="124">
        <f t="shared" si="2"/>
        <v>205769.44578211574</v>
      </c>
      <c r="Q18" s="124">
        <f t="shared" si="2"/>
        <v>205769.44578211574</v>
      </c>
      <c r="R18" s="124">
        <f t="shared" si="2"/>
        <v>205769.44578211574</v>
      </c>
      <c r="S18" s="124">
        <f t="shared" si="2"/>
        <v>205769.44578211574</v>
      </c>
      <c r="T18" s="124">
        <f t="shared" si="2"/>
        <v>205769.44578211574</v>
      </c>
      <c r="U18" s="124">
        <f t="shared" si="2"/>
        <v>205769.44578211574</v>
      </c>
      <c r="V18" s="124">
        <f t="shared" si="2"/>
        <v>205769.44578211574</v>
      </c>
      <c r="W18" s="124">
        <f t="shared" si="2"/>
        <v>205769.44578211574</v>
      </c>
      <c r="X18" s="124">
        <f t="shared" si="2"/>
        <v>205769.44578211574</v>
      </c>
      <c r="Y18" s="124">
        <f t="shared" si="2"/>
        <v>205769.44578211574</v>
      </c>
      <c r="Z18" s="124">
        <f t="shared" si="2"/>
        <v>205769.44578211574</v>
      </c>
      <c r="AA18" s="124">
        <f t="shared" si="2"/>
        <v>205769.44578211574</v>
      </c>
      <c r="AB18" s="124">
        <f t="shared" si="2"/>
        <v>205769.44578211574</v>
      </c>
      <c r="AC18" s="124">
        <f t="shared" si="2"/>
        <v>205769.44578211574</v>
      </c>
      <c r="AD18" s="124">
        <f t="shared" si="2"/>
        <v>205769.44578211574</v>
      </c>
      <c r="AE18" s="124">
        <f t="shared" si="2"/>
        <v>205769.44578211574</v>
      </c>
      <c r="AF18" s="124">
        <f t="shared" si="2"/>
        <v>205769.44578211574</v>
      </c>
      <c r="AG18" s="124">
        <f t="shared" si="2"/>
        <v>205769.44578211574</v>
      </c>
      <c r="AH18" s="3">
        <f t="shared" si="2"/>
        <v>205769.44578211574</v>
      </c>
      <c r="AI18" s="3">
        <f t="shared" si="2"/>
        <v>205769.44578211574</v>
      </c>
      <c r="AJ18" s="3">
        <f t="shared" si="2"/>
        <v>205769.44578211574</v>
      </c>
      <c r="AK18" s="3">
        <f t="shared" si="2"/>
        <v>205769.44578211574</v>
      </c>
      <c r="AO18" s="220"/>
      <c r="AP18" s="211">
        <v>7.0000000000000007E-2</v>
      </c>
      <c r="AQ18" s="1">
        <v>-11500</v>
      </c>
      <c r="AR18" s="178">
        <v>-11000</v>
      </c>
      <c r="AS18" s="178">
        <v>-10600</v>
      </c>
      <c r="AT18" s="178">
        <v>-10300</v>
      </c>
      <c r="AU18" s="178">
        <v>-9900</v>
      </c>
      <c r="AV18" s="178">
        <v>-9700</v>
      </c>
      <c r="AW18" s="178">
        <v>-9300</v>
      </c>
      <c r="AX18" s="206">
        <v>-9100</v>
      </c>
    </row>
    <row r="19" spans="2:50" x14ac:dyDescent="0.25">
      <c r="B19" s="4"/>
      <c r="C19" t="s">
        <v>41</v>
      </c>
      <c r="D19" s="5">
        <f t="shared" si="1"/>
        <v>3900000</v>
      </c>
      <c r="F19" s="10" t="s">
        <v>42</v>
      </c>
      <c r="G19" s="165">
        <f>(30+188+14+30)*1000</f>
        <v>262000</v>
      </c>
      <c r="H19" s="124"/>
      <c r="I19" s="124"/>
      <c r="J19" s="124">
        <f>G19</f>
        <v>262000</v>
      </c>
      <c r="K19" s="124">
        <f t="shared" ref="K19:AK19" si="3">J19*(1+$H$9)</f>
        <v>269860</v>
      </c>
      <c r="L19" s="124">
        <f t="shared" si="3"/>
        <v>277955.8</v>
      </c>
      <c r="M19" s="124">
        <f t="shared" si="3"/>
        <v>286294.47399999999</v>
      </c>
      <c r="N19" s="124">
        <f t="shared" si="3"/>
        <v>294883.30822000001</v>
      </c>
      <c r="O19" s="124">
        <f t="shared" si="3"/>
        <v>303729.80746660003</v>
      </c>
      <c r="P19" s="124">
        <f t="shared" si="3"/>
        <v>312841.70169059804</v>
      </c>
      <c r="Q19" s="124">
        <f t="shared" si="3"/>
        <v>322226.952741316</v>
      </c>
      <c r="R19" s="124">
        <f t="shared" si="3"/>
        <v>331893.76132355549</v>
      </c>
      <c r="S19" s="124">
        <f t="shared" si="3"/>
        <v>341850.57416326215</v>
      </c>
      <c r="T19" s="124">
        <f t="shared" si="3"/>
        <v>352106.09138816001</v>
      </c>
      <c r="U19" s="124">
        <f t="shared" si="3"/>
        <v>362669.27412980481</v>
      </c>
      <c r="V19" s="124">
        <f t="shared" si="3"/>
        <v>373549.35235369898</v>
      </c>
      <c r="W19" s="124">
        <f t="shared" si="3"/>
        <v>384755.83292430994</v>
      </c>
      <c r="X19" s="124">
        <f t="shared" si="3"/>
        <v>396298.50791203923</v>
      </c>
      <c r="Y19" s="124">
        <f t="shared" si="3"/>
        <v>408187.46314940043</v>
      </c>
      <c r="Z19" s="124">
        <f t="shared" si="3"/>
        <v>420433.08704388246</v>
      </c>
      <c r="AA19" s="124">
        <f t="shared" si="3"/>
        <v>433046.07965519896</v>
      </c>
      <c r="AB19" s="124">
        <f t="shared" si="3"/>
        <v>446037.46204485494</v>
      </c>
      <c r="AC19" s="124">
        <f t="shared" si="3"/>
        <v>459418.58590620058</v>
      </c>
      <c r="AD19" s="124">
        <f t="shared" si="3"/>
        <v>473201.14348338661</v>
      </c>
      <c r="AE19" s="124">
        <f t="shared" si="3"/>
        <v>487397.17778788821</v>
      </c>
      <c r="AF19" s="124">
        <f t="shared" si="3"/>
        <v>502019.0931215249</v>
      </c>
      <c r="AG19" s="124">
        <f t="shared" si="3"/>
        <v>517079.66591517068</v>
      </c>
      <c r="AH19" s="3">
        <f t="shared" si="3"/>
        <v>532592.05589262582</v>
      </c>
      <c r="AI19" s="3">
        <f t="shared" si="3"/>
        <v>548569.81756940461</v>
      </c>
      <c r="AJ19" s="3">
        <f t="shared" si="3"/>
        <v>565026.91209648678</v>
      </c>
      <c r="AK19" s="3">
        <f t="shared" si="3"/>
        <v>581977.71945938142</v>
      </c>
      <c r="AO19" s="221"/>
      <c r="AP19" s="212">
        <v>0.08</v>
      </c>
      <c r="AQ19" s="208">
        <v>-8800</v>
      </c>
      <c r="AR19" s="209">
        <v>-8700</v>
      </c>
      <c r="AS19" s="209">
        <v>-8700</v>
      </c>
      <c r="AT19" s="209">
        <v>-8600</v>
      </c>
      <c r="AU19" s="209">
        <v>-8500</v>
      </c>
      <c r="AV19" s="209">
        <v>-8500</v>
      </c>
      <c r="AW19" s="209">
        <v>-8300</v>
      </c>
      <c r="AX19" s="210">
        <v>-8200</v>
      </c>
    </row>
    <row r="20" spans="2:50" x14ac:dyDescent="0.25">
      <c r="B20" s="4"/>
      <c r="C20" t="s">
        <v>43</v>
      </c>
      <c r="D20" s="5">
        <f t="shared" si="1"/>
        <v>200000</v>
      </c>
      <c r="F20" s="10" t="s">
        <v>67</v>
      </c>
      <c r="G20" s="167">
        <f>15000*12</f>
        <v>180000</v>
      </c>
      <c r="H20" s="124"/>
      <c r="I20" s="124"/>
      <c r="J20" s="124">
        <f>G20/3*(1+$H$9)*(1+$H$9)</f>
        <v>63654</v>
      </c>
      <c r="K20" s="124">
        <f>G20/3*(1+$H$9)*(1+$H$9)*(1+$H$9)</f>
        <v>65563.62</v>
      </c>
      <c r="L20" s="124">
        <f>G20/3*(1+$H$9)*(1+$H$9)*(1+$H$9)</f>
        <v>65563.62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196"/>
    </row>
    <row r="21" spans="2:50" ht="15.75" thickBot="1" x14ac:dyDescent="0.3">
      <c r="B21" s="4"/>
      <c r="C21" t="s">
        <v>45</v>
      </c>
      <c r="D21" s="5">
        <f>ROUND(H21+NPV($H$10,I21:AG21),-5)</f>
        <v>-1000000</v>
      </c>
      <c r="F21" s="10" t="s">
        <v>46</v>
      </c>
      <c r="G21" s="167">
        <f>-4500000*(12/49)</f>
        <v>-1102040.8163265307</v>
      </c>
      <c r="H21" s="124">
        <f>-500000*(12/49)</f>
        <v>-122448.97959183673</v>
      </c>
      <c r="I21" s="124"/>
      <c r="J21" s="124"/>
      <c r="K21" s="124">
        <f>-4000000*(12/49)</f>
        <v>-979591.83673469385</v>
      </c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7"/>
      <c r="AP21" s="198"/>
      <c r="AQ21" s="193" t="s">
        <v>54</v>
      </c>
      <c r="AR21" s="199"/>
      <c r="AS21" s="199"/>
      <c r="AT21" s="199"/>
      <c r="AU21" s="199"/>
      <c r="AV21" s="199"/>
      <c r="AW21" s="199"/>
      <c r="AX21" s="200"/>
    </row>
    <row r="22" spans="2:50" ht="15.75" thickBot="1" x14ac:dyDescent="0.3">
      <c r="B22" s="4"/>
      <c r="C22" s="13" t="s">
        <v>47</v>
      </c>
      <c r="D22" s="6">
        <f>SUM(D16:D21)</f>
        <v>21900000</v>
      </c>
      <c r="F22" s="10"/>
      <c r="G22" s="168">
        <f>SUM(G16:G21)</f>
        <v>31529959.183673471</v>
      </c>
      <c r="H22" s="162">
        <f>SUM(H16:H21)</f>
        <v>4035794.6669547539</v>
      </c>
      <c r="I22" s="125">
        <f>SUM(I16:I21)</f>
        <v>1258243.6465465906</v>
      </c>
      <c r="J22" s="125">
        <f t="shared" ref="J22" si="4">SUM(J16:J21)</f>
        <v>1583897.6465465906</v>
      </c>
      <c r="K22" s="125">
        <f>SUM(K16:K21)</f>
        <v>614075.42981189687</v>
      </c>
      <c r="L22" s="125">
        <f t="shared" ref="L22:AG22" si="5">SUM(L16:L21)</f>
        <v>1601763.0665465905</v>
      </c>
      <c r="M22" s="125">
        <f t="shared" si="5"/>
        <v>1544538.1205465905</v>
      </c>
      <c r="N22" s="125">
        <f t="shared" si="5"/>
        <v>1553126.9547665906</v>
      </c>
      <c r="O22" s="125">
        <f t="shared" si="5"/>
        <v>1561973.4540131907</v>
      </c>
      <c r="P22" s="125">
        <f t="shared" si="5"/>
        <v>1571085.3482371885</v>
      </c>
      <c r="Q22" s="125">
        <f t="shared" si="5"/>
        <v>1580470.5992879067</v>
      </c>
      <c r="R22" s="125">
        <f t="shared" si="5"/>
        <v>1590137.407870146</v>
      </c>
      <c r="S22" s="125">
        <f t="shared" si="5"/>
        <v>1600094.2207098529</v>
      </c>
      <c r="T22" s="125">
        <f t="shared" si="5"/>
        <v>1610349.7379347505</v>
      </c>
      <c r="U22" s="125">
        <f t="shared" si="5"/>
        <v>1620912.9206763953</v>
      </c>
      <c r="V22" s="125">
        <f t="shared" si="5"/>
        <v>1631792.9989002896</v>
      </c>
      <c r="W22" s="125">
        <f t="shared" si="5"/>
        <v>1642999.4794709005</v>
      </c>
      <c r="X22" s="125">
        <f t="shared" si="5"/>
        <v>1654542.1544586299</v>
      </c>
      <c r="Y22" s="125">
        <f t="shared" si="5"/>
        <v>1666431.109695991</v>
      </c>
      <c r="Z22" s="125">
        <f t="shared" si="5"/>
        <v>1678676.733590473</v>
      </c>
      <c r="AA22" s="125">
        <f t="shared" si="5"/>
        <v>1691289.7262017895</v>
      </c>
      <c r="AB22" s="125">
        <f t="shared" si="5"/>
        <v>1704281.1085914455</v>
      </c>
      <c r="AC22" s="125">
        <f t="shared" si="5"/>
        <v>1717662.2324527912</v>
      </c>
      <c r="AD22" s="125">
        <f t="shared" si="5"/>
        <v>1731444.7900299772</v>
      </c>
      <c r="AE22" s="125">
        <f t="shared" si="5"/>
        <v>1745640.8243344789</v>
      </c>
      <c r="AF22" s="125">
        <f t="shared" si="5"/>
        <v>1760262.7396681155</v>
      </c>
      <c r="AG22" s="125">
        <f t="shared" si="5"/>
        <v>1775323.3124617613</v>
      </c>
      <c r="AH22" s="15">
        <f>SUM(AH16:AH20)</f>
        <v>738361.50167474151</v>
      </c>
      <c r="AI22" s="15">
        <f>SUM(AI16:AI20)</f>
        <v>754339.26335152029</v>
      </c>
      <c r="AJ22" s="15">
        <f>SUM(AJ16:AJ20)</f>
        <v>770796.35787860258</v>
      </c>
      <c r="AK22" s="15">
        <f>SUM(AK16:AK20)</f>
        <v>787747.1652414971</v>
      </c>
      <c r="AO22" s="201"/>
      <c r="AP22" s="202">
        <f>D30/1000</f>
        <v>-12100</v>
      </c>
      <c r="AQ22" s="203">
        <v>0.03</v>
      </c>
      <c r="AR22" s="203">
        <v>0.04</v>
      </c>
      <c r="AS22" s="203">
        <v>0.05</v>
      </c>
      <c r="AT22" s="203">
        <v>0.06</v>
      </c>
      <c r="AU22" s="203">
        <v>7.0000000000000007E-2</v>
      </c>
      <c r="AV22" s="203">
        <v>0.08</v>
      </c>
      <c r="AW22" s="203">
        <v>0.09</v>
      </c>
      <c r="AX22" s="204">
        <v>0.1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 t="s">
        <v>26</v>
      </c>
      <c r="AP23" s="205">
        <v>0.02</v>
      </c>
      <c r="AQ23" s="178">
        <f t="dataTable" ref="AQ23:AX29" dt2D="1" dtr="1" r1="H10" r2="H12" ca="1"/>
        <v>-12100</v>
      </c>
      <c r="AR23" s="178">
        <v>-11300</v>
      </c>
      <c r="AS23" s="178">
        <v>-10600</v>
      </c>
      <c r="AT23" s="178">
        <v>-10300</v>
      </c>
      <c r="AU23" s="178">
        <v>-9700</v>
      </c>
      <c r="AV23" s="178">
        <v>-9400</v>
      </c>
      <c r="AW23" s="178">
        <v>-8900</v>
      </c>
      <c r="AX23" s="206">
        <v>-8700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/>
      <c r="AP24" s="205">
        <v>2.5000000000000001E-2</v>
      </c>
      <c r="AQ24" s="178">
        <v>-13900</v>
      </c>
      <c r="AR24" s="178">
        <v>-12900</v>
      </c>
      <c r="AS24" s="178">
        <v>-12100</v>
      </c>
      <c r="AT24" s="178">
        <v>-11600</v>
      </c>
      <c r="AU24" s="178">
        <v>-10900</v>
      </c>
      <c r="AV24" s="178">
        <v>-10500</v>
      </c>
      <c r="AW24" s="178">
        <v>-10000</v>
      </c>
      <c r="AX24" s="206">
        <v>-9600</v>
      </c>
    </row>
    <row r="25" spans="2:50" x14ac:dyDescent="0.25">
      <c r="B25" s="4"/>
      <c r="C25" t="s">
        <v>50</v>
      </c>
      <c r="D25" s="5">
        <f>ROUND(H25+NPV($H$10,I25:AG25),-5)</f>
        <v>500000</v>
      </c>
      <c r="F25" s="10" t="s">
        <v>51</v>
      </c>
      <c r="G25" s="124">
        <v>30000</v>
      </c>
      <c r="H25" s="124"/>
      <c r="I25" s="124"/>
      <c r="J25" s="124">
        <f>G25/2*(1+$H$9)*(1+$H$9)*(1+$H$9)</f>
        <v>16390.904999999999</v>
      </c>
      <c r="K25" s="124">
        <f>G25*(1+$H$9)*(1+$H$9)*(1+$H$9)*(1+$H$9)</f>
        <v>33765.264299999995</v>
      </c>
      <c r="L25" s="124">
        <f t="shared" ref="L25:AK26" si="6">K25*(1+$H$9)</f>
        <v>34778.222228999999</v>
      </c>
      <c r="M25" s="124">
        <f t="shared" si="6"/>
        <v>35821.568895869998</v>
      </c>
      <c r="N25" s="124">
        <f t="shared" si="6"/>
        <v>36896.215962746101</v>
      </c>
      <c r="O25" s="124">
        <f t="shared" si="6"/>
        <v>38003.102441628485</v>
      </c>
      <c r="P25" s="124">
        <f t="shared" si="6"/>
        <v>39143.195514877341</v>
      </c>
      <c r="Q25" s="124">
        <f t="shared" si="6"/>
        <v>40317.491380323663</v>
      </c>
      <c r="R25" s="124">
        <f t="shared" si="6"/>
        <v>41527.016121733373</v>
      </c>
      <c r="S25" s="124">
        <f t="shared" si="6"/>
        <v>42772.826605385373</v>
      </c>
      <c r="T25" s="124">
        <f t="shared" si="6"/>
        <v>44056.011403546938</v>
      </c>
      <c r="U25" s="124">
        <f t="shared" si="6"/>
        <v>45377.691745653348</v>
      </c>
      <c r="V25" s="124">
        <f t="shared" si="6"/>
        <v>46739.022498022947</v>
      </c>
      <c r="W25" s="124">
        <f t="shared" si="6"/>
        <v>48141.193172963634</v>
      </c>
      <c r="X25" s="124">
        <f t="shared" si="6"/>
        <v>49585.428968152548</v>
      </c>
      <c r="Y25" s="124">
        <f t="shared" si="6"/>
        <v>51072.991837197129</v>
      </c>
      <c r="Z25" s="124">
        <f t="shared" si="6"/>
        <v>52605.181592313042</v>
      </c>
      <c r="AA25" s="124">
        <f t="shared" si="6"/>
        <v>54183.337040082435</v>
      </c>
      <c r="AB25" s="124">
        <f t="shared" si="6"/>
        <v>55808.837151284912</v>
      </c>
      <c r="AC25" s="124">
        <f t="shared" si="6"/>
        <v>57483.102265823458</v>
      </c>
      <c r="AD25" s="124">
        <f t="shared" si="6"/>
        <v>59207.595333798163</v>
      </c>
      <c r="AE25" s="124">
        <f t="shared" si="6"/>
        <v>60983.82319381211</v>
      </c>
      <c r="AF25" s="124">
        <f t="shared" si="6"/>
        <v>62813.337889626477</v>
      </c>
      <c r="AG25" s="124">
        <f t="shared" si="6"/>
        <v>64697.738026315274</v>
      </c>
      <c r="AH25" s="3">
        <f t="shared" si="6"/>
        <v>66638.670167104734</v>
      </c>
      <c r="AI25" s="3">
        <f t="shared" si="6"/>
        <v>68637.830272117877</v>
      </c>
      <c r="AJ25" s="3">
        <f t="shared" si="6"/>
        <v>70696.965180281419</v>
      </c>
      <c r="AK25" s="3">
        <f t="shared" si="6"/>
        <v>72817.874135689868</v>
      </c>
      <c r="AO25" s="220"/>
      <c r="AP25" s="205">
        <v>0.03</v>
      </c>
      <c r="AQ25" s="178">
        <v>-15700</v>
      </c>
      <c r="AR25" s="178">
        <v>-14500</v>
      </c>
      <c r="AS25" s="178">
        <v>-13600</v>
      </c>
      <c r="AT25" s="178">
        <v>-12900</v>
      </c>
      <c r="AU25" s="178">
        <v>-12100</v>
      </c>
      <c r="AV25" s="178">
        <v>-11700</v>
      </c>
      <c r="AW25" s="178">
        <v>-11000</v>
      </c>
      <c r="AX25" s="206">
        <v>-10600</v>
      </c>
    </row>
    <row r="26" spans="2:50" x14ac:dyDescent="0.25">
      <c r="B26" s="4"/>
      <c r="C26" t="s">
        <v>52</v>
      </c>
      <c r="D26" s="5">
        <f>ROUND(H26+NPV($H$10,I26:AG26),-5)</f>
        <v>2000000</v>
      </c>
      <c r="F26" s="10" t="s">
        <v>53</v>
      </c>
      <c r="G26" s="124">
        <v>123000</v>
      </c>
      <c r="H26" s="124"/>
      <c r="I26" s="124"/>
      <c r="J26" s="124">
        <f>G26/2*(1+$H$9)*(1+$H$9)*(1+$H$9)</f>
        <v>67202.710500000001</v>
      </c>
      <c r="K26" s="124">
        <f>G26*(1+$H$9)*(1+$H$9)*(1+$H$9)*(1+$H$9)</f>
        <v>138437.58363000001</v>
      </c>
      <c r="L26" s="124">
        <f>K26*(1+$H$9)</f>
        <v>142590.71113890002</v>
      </c>
      <c r="M26" s="124">
        <f t="shared" si="6"/>
        <v>146868.43247306702</v>
      </c>
      <c r="N26" s="124">
        <f t="shared" si="6"/>
        <v>151274.48544725904</v>
      </c>
      <c r="O26" s="124">
        <f t="shared" si="6"/>
        <v>155812.7200106768</v>
      </c>
      <c r="P26" s="124">
        <f t="shared" si="6"/>
        <v>160487.10161099711</v>
      </c>
      <c r="Q26" s="124">
        <f t="shared" si="6"/>
        <v>165301.71465932703</v>
      </c>
      <c r="R26" s="124">
        <f t="shared" si="6"/>
        <v>170260.76609910684</v>
      </c>
      <c r="S26" s="124">
        <f t="shared" si="6"/>
        <v>175368.58908208006</v>
      </c>
      <c r="T26" s="124">
        <f t="shared" si="6"/>
        <v>180629.64675454245</v>
      </c>
      <c r="U26" s="124">
        <f t="shared" si="6"/>
        <v>186048.53615717872</v>
      </c>
      <c r="V26" s="124">
        <f t="shared" si="6"/>
        <v>191629.9922418941</v>
      </c>
      <c r="W26" s="124">
        <f t="shared" si="6"/>
        <v>197378.89200915094</v>
      </c>
      <c r="X26" s="124">
        <f t="shared" si="6"/>
        <v>203300.25876942548</v>
      </c>
      <c r="Y26" s="124">
        <f t="shared" si="6"/>
        <v>209399.26653250825</v>
      </c>
      <c r="Z26" s="124">
        <f t="shared" si="6"/>
        <v>215681.24452848351</v>
      </c>
      <c r="AA26" s="124">
        <f t="shared" si="6"/>
        <v>222151.68186433802</v>
      </c>
      <c r="AB26" s="124">
        <f t="shared" si="6"/>
        <v>228816.23232026817</v>
      </c>
      <c r="AC26" s="124">
        <f t="shared" si="6"/>
        <v>235680.71928987623</v>
      </c>
      <c r="AD26" s="124">
        <f t="shared" si="6"/>
        <v>242751.14086857252</v>
      </c>
      <c r="AE26" s="124">
        <f t="shared" si="6"/>
        <v>250033.6750946297</v>
      </c>
      <c r="AF26" s="124">
        <f t="shared" si="6"/>
        <v>257534.68534746859</v>
      </c>
      <c r="AG26" s="124">
        <f t="shared" si="6"/>
        <v>265260.72590789263</v>
      </c>
      <c r="AH26" s="3">
        <f t="shared" si="6"/>
        <v>273218.54768512939</v>
      </c>
      <c r="AI26" s="3">
        <f t="shared" si="6"/>
        <v>281415.10411568329</v>
      </c>
      <c r="AJ26" s="3">
        <f t="shared" si="6"/>
        <v>289857.55723915377</v>
      </c>
      <c r="AK26" s="3">
        <f t="shared" si="6"/>
        <v>298553.28395632841</v>
      </c>
      <c r="AO26" s="220"/>
      <c r="AP26" s="205">
        <v>3.5000000000000003E-2</v>
      </c>
      <c r="AQ26" s="1">
        <v>-17600</v>
      </c>
      <c r="AR26" s="178">
        <v>-16200</v>
      </c>
      <c r="AS26" s="178">
        <v>-15200</v>
      </c>
      <c r="AT26" s="178">
        <v>-14400</v>
      </c>
      <c r="AU26" s="178">
        <v>-13400</v>
      </c>
      <c r="AV26" s="178">
        <v>-12900</v>
      </c>
      <c r="AW26" s="178">
        <v>-12100</v>
      </c>
      <c r="AX26" s="206">
        <v>-11600</v>
      </c>
    </row>
    <row r="27" spans="2:50" x14ac:dyDescent="0.25">
      <c r="B27" s="4"/>
      <c r="C27" t="s">
        <v>55</v>
      </c>
      <c r="D27" s="5">
        <f>ROUND(H27+NPV($H$10,I27:AG27),-5)</f>
        <v>7300000</v>
      </c>
      <c r="F27" s="10" t="s">
        <v>56</v>
      </c>
      <c r="G27" s="124">
        <f>ROUND(225557+128675,-2)</f>
        <v>354200</v>
      </c>
      <c r="H27" s="124"/>
      <c r="I27" s="124"/>
      <c r="J27" s="124">
        <f>G27/2*(1+$H$9)*(1+$H$9)*(1+$H$9)</f>
        <v>193521.95170000001</v>
      </c>
      <c r="K27" s="124">
        <f>G27*(1+$H$8)*(1+$H$8)*(1+$H$8)*(1+$H$8)</f>
        <v>430532.31375000003</v>
      </c>
      <c r="L27" s="124">
        <f>K27*(1+$H$8)</f>
        <v>452058.92943750008</v>
      </c>
      <c r="M27" s="124">
        <f>L27*(1+$H$8)</f>
        <v>474661.87590937509</v>
      </c>
      <c r="N27" s="124">
        <f t="shared" ref="N27:AK27" si="7">M27*(1+$H$8)</f>
        <v>498394.96970484388</v>
      </c>
      <c r="O27" s="124">
        <f>N27*(1+$H$8)</f>
        <v>523314.71819008607</v>
      </c>
      <c r="P27" s="124">
        <f t="shared" si="7"/>
        <v>549480.45409959042</v>
      </c>
      <c r="Q27" s="124">
        <f t="shared" si="7"/>
        <v>576954.47680456995</v>
      </c>
      <c r="R27" s="124">
        <f t="shared" si="7"/>
        <v>605802.20064479846</v>
      </c>
      <c r="S27" s="124">
        <f t="shared" si="7"/>
        <v>636092.31067703839</v>
      </c>
      <c r="T27" s="124">
        <f t="shared" si="7"/>
        <v>667896.92621089029</v>
      </c>
      <c r="U27" s="124">
        <f t="shared" si="7"/>
        <v>701291.77252143482</v>
      </c>
      <c r="V27" s="124">
        <f t="shared" si="7"/>
        <v>736356.36114750663</v>
      </c>
      <c r="W27" s="124">
        <f t="shared" si="7"/>
        <v>773174.17920488201</v>
      </c>
      <c r="X27" s="124">
        <f t="shared" si="7"/>
        <v>811832.88816512609</v>
      </c>
      <c r="Y27" s="124">
        <f t="shared" si="7"/>
        <v>852424.53257338249</v>
      </c>
      <c r="Z27" s="124">
        <f t="shared" si="7"/>
        <v>895045.75920205167</v>
      </c>
      <c r="AA27" s="124">
        <f t="shared" si="7"/>
        <v>939798.04716215434</v>
      </c>
      <c r="AB27" s="124">
        <f t="shared" si="7"/>
        <v>986787.94952026207</v>
      </c>
      <c r="AC27" s="124">
        <f t="shared" si="7"/>
        <v>1036127.3469962752</v>
      </c>
      <c r="AD27" s="124">
        <f t="shared" si="7"/>
        <v>1087933.7143460889</v>
      </c>
      <c r="AE27" s="124">
        <f t="shared" si="7"/>
        <v>1142330.4000633934</v>
      </c>
      <c r="AF27" s="124">
        <f t="shared" si="7"/>
        <v>1199446.9200665632</v>
      </c>
      <c r="AG27" s="124">
        <f t="shared" si="7"/>
        <v>1259419.2660698914</v>
      </c>
      <c r="AH27" s="3">
        <f t="shared" si="7"/>
        <v>1322390.2293733861</v>
      </c>
      <c r="AI27" s="3">
        <f t="shared" si="7"/>
        <v>1388509.7408420555</v>
      </c>
      <c r="AJ27" s="3">
        <f t="shared" si="7"/>
        <v>1457935.2278841583</v>
      </c>
      <c r="AK27" s="3">
        <f t="shared" si="7"/>
        <v>1530831.9892783663</v>
      </c>
      <c r="AO27" s="220"/>
      <c r="AP27" s="205">
        <v>0.04</v>
      </c>
      <c r="AQ27" s="1">
        <v>-19500</v>
      </c>
      <c r="AR27" s="178">
        <v>-18000</v>
      </c>
      <c r="AS27" s="178">
        <v>-16700</v>
      </c>
      <c r="AT27" s="178">
        <v>-15800</v>
      </c>
      <c r="AU27" s="178">
        <v>-14700</v>
      </c>
      <c r="AV27" s="178">
        <v>-14100</v>
      </c>
      <c r="AW27" s="178">
        <v>-13300</v>
      </c>
      <c r="AX27" s="206">
        <v>-12700</v>
      </c>
    </row>
    <row r="28" spans="2:50" x14ac:dyDescent="0.25">
      <c r="B28" s="7"/>
      <c r="C28" s="13" t="s">
        <v>57</v>
      </c>
      <c r="D28" s="6">
        <f>SUM(D25:D27)</f>
        <v>9800000</v>
      </c>
      <c r="F28" s="10"/>
      <c r="G28" s="125">
        <f t="shared" ref="G28:AK28" si="8">SUM(G25:G27)</f>
        <v>507200</v>
      </c>
      <c r="H28" s="125">
        <f t="shared" si="8"/>
        <v>0</v>
      </c>
      <c r="I28" s="125">
        <f t="shared" si="8"/>
        <v>0</v>
      </c>
      <c r="J28" s="125">
        <f t="shared" si="8"/>
        <v>277115.56719999999</v>
      </c>
      <c r="K28" s="125">
        <f t="shared" si="8"/>
        <v>602735.16168000002</v>
      </c>
      <c r="L28" s="125">
        <f t="shared" si="8"/>
        <v>629427.86280540004</v>
      </c>
      <c r="M28" s="125">
        <f t="shared" si="8"/>
        <v>657351.87727831211</v>
      </c>
      <c r="N28" s="125">
        <f t="shared" si="8"/>
        <v>686565.67111484904</v>
      </c>
      <c r="O28" s="125">
        <f t="shared" si="8"/>
        <v>717130.54064239142</v>
      </c>
      <c r="P28" s="125">
        <f t="shared" si="8"/>
        <v>749110.75122546486</v>
      </c>
      <c r="Q28" s="125">
        <f t="shared" si="8"/>
        <v>782573.68284422066</v>
      </c>
      <c r="R28" s="125">
        <f t="shared" si="8"/>
        <v>817589.98286563868</v>
      </c>
      <c r="S28" s="125">
        <f t="shared" si="8"/>
        <v>854233.72636450385</v>
      </c>
      <c r="T28" s="125">
        <f t="shared" si="8"/>
        <v>892582.58436897967</v>
      </c>
      <c r="U28" s="125">
        <f t="shared" si="8"/>
        <v>932718.00042426691</v>
      </c>
      <c r="V28" s="125">
        <f t="shared" si="8"/>
        <v>974725.37588742364</v>
      </c>
      <c r="W28" s="125">
        <f t="shared" si="8"/>
        <v>1018694.2643869966</v>
      </c>
      <c r="X28" s="125">
        <f t="shared" si="8"/>
        <v>1064718.5759027041</v>
      </c>
      <c r="Y28" s="125">
        <f t="shared" si="8"/>
        <v>1112896.7909430878</v>
      </c>
      <c r="Z28" s="125">
        <f t="shared" si="8"/>
        <v>1163332.1853228481</v>
      </c>
      <c r="AA28" s="125">
        <f t="shared" si="8"/>
        <v>1216133.0660665748</v>
      </c>
      <c r="AB28" s="125">
        <f t="shared" si="8"/>
        <v>1271413.0189918152</v>
      </c>
      <c r="AC28" s="125">
        <f t="shared" si="8"/>
        <v>1329291.1685519749</v>
      </c>
      <c r="AD28" s="125">
        <f t="shared" si="8"/>
        <v>1389892.4505484595</v>
      </c>
      <c r="AE28" s="125">
        <f t="shared" si="8"/>
        <v>1453347.8983518351</v>
      </c>
      <c r="AF28" s="125">
        <f t="shared" si="8"/>
        <v>1519794.9433036582</v>
      </c>
      <c r="AG28" s="125">
        <f t="shared" si="8"/>
        <v>1589377.7300040992</v>
      </c>
      <c r="AH28" s="13">
        <f t="shared" si="8"/>
        <v>1662247.4472256203</v>
      </c>
      <c r="AI28" s="13">
        <f t="shared" si="8"/>
        <v>1738562.6752298567</v>
      </c>
      <c r="AJ28" s="13">
        <f t="shared" si="8"/>
        <v>1818489.7503035935</v>
      </c>
      <c r="AK28" s="13">
        <f t="shared" si="8"/>
        <v>1902203.1473703845</v>
      </c>
      <c r="AO28" s="220"/>
      <c r="AP28" s="205">
        <v>4.4999999999999998E-2</v>
      </c>
      <c r="AQ28" s="1">
        <v>-21600</v>
      </c>
      <c r="AR28" s="178">
        <v>-19900</v>
      </c>
      <c r="AS28" s="178">
        <v>-18400</v>
      </c>
      <c r="AT28" s="178">
        <v>-17400</v>
      </c>
      <c r="AU28" s="178">
        <v>-16200</v>
      </c>
      <c r="AV28" s="178">
        <v>-15400</v>
      </c>
      <c r="AW28" s="178">
        <v>-14500</v>
      </c>
      <c r="AX28" s="206">
        <v>-13800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1"/>
      <c r="AP29" s="207">
        <v>0.05</v>
      </c>
      <c r="AQ29" s="208">
        <v>-23700</v>
      </c>
      <c r="AR29" s="209">
        <v>-21800</v>
      </c>
      <c r="AS29" s="209">
        <v>-20200</v>
      </c>
      <c r="AT29" s="209">
        <v>-18900</v>
      </c>
      <c r="AU29" s="209">
        <v>-17600</v>
      </c>
      <c r="AV29" s="209">
        <v>-16800</v>
      </c>
      <c r="AW29" s="209">
        <v>-15700</v>
      </c>
      <c r="AX29" s="210">
        <v>-15000</v>
      </c>
    </row>
    <row r="30" spans="2:50" x14ac:dyDescent="0.25">
      <c r="B30" s="7"/>
      <c r="C30" s="13" t="s">
        <v>58</v>
      </c>
      <c r="D30" s="6">
        <f>D28-D22</f>
        <v>-12100000</v>
      </c>
      <c r="F30" s="10"/>
      <c r="G30" s="124"/>
      <c r="H30" s="125">
        <f>H28-H22</f>
        <v>-4035794.6669547539</v>
      </c>
      <c r="I30" s="125">
        <f t="shared" ref="I30:AK30" si="9">I28-I22</f>
        <v>-1258243.6465465906</v>
      </c>
      <c r="J30" s="125">
        <f t="shared" si="9"/>
        <v>-1306782.0793465907</v>
      </c>
      <c r="K30" s="125">
        <f t="shared" si="9"/>
        <v>-11340.268131896853</v>
      </c>
      <c r="L30" s="125">
        <f t="shared" si="9"/>
        <v>-972335.20374119049</v>
      </c>
      <c r="M30" s="125">
        <f t="shared" si="9"/>
        <v>-887186.24326827843</v>
      </c>
      <c r="N30" s="125">
        <f t="shared" si="9"/>
        <v>-866561.28365174157</v>
      </c>
      <c r="O30" s="125">
        <f t="shared" si="9"/>
        <v>-844842.91337079927</v>
      </c>
      <c r="P30" s="125">
        <f t="shared" si="9"/>
        <v>-821974.59701172367</v>
      </c>
      <c r="Q30" s="125">
        <f t="shared" si="9"/>
        <v>-797896.916443686</v>
      </c>
      <c r="R30" s="125">
        <f t="shared" si="9"/>
        <v>-772547.4250045073</v>
      </c>
      <c r="S30" s="125">
        <f t="shared" si="9"/>
        <v>-745860.49434534903</v>
      </c>
      <c r="T30" s="125">
        <f t="shared" si="9"/>
        <v>-717767.15356577083</v>
      </c>
      <c r="U30" s="125">
        <f t="shared" si="9"/>
        <v>-688194.92025212839</v>
      </c>
      <c r="V30" s="125">
        <f t="shared" si="9"/>
        <v>-657067.62301286601</v>
      </c>
      <c r="W30" s="125">
        <f t="shared" si="9"/>
        <v>-624305.21508390387</v>
      </c>
      <c r="X30" s="125">
        <f t="shared" si="9"/>
        <v>-589823.57855592575</v>
      </c>
      <c r="Y30" s="125">
        <f t="shared" si="9"/>
        <v>-553534.31875290326</v>
      </c>
      <c r="Z30" s="125">
        <f t="shared" si="9"/>
        <v>-515344.54826762481</v>
      </c>
      <c r="AA30" s="125">
        <f t="shared" si="9"/>
        <v>-475156.66013521468</v>
      </c>
      <c r="AB30" s="125">
        <f t="shared" si="9"/>
        <v>-432868.08959963033</v>
      </c>
      <c r="AC30" s="125">
        <f t="shared" si="9"/>
        <v>-388371.06390081625</v>
      </c>
      <c r="AD30" s="125">
        <f t="shared" si="9"/>
        <v>-341552.33948151767</v>
      </c>
      <c r="AE30" s="125">
        <f t="shared" si="9"/>
        <v>-292292.92598264385</v>
      </c>
      <c r="AF30" s="125">
        <f t="shared" si="9"/>
        <v>-240467.79636445735</v>
      </c>
      <c r="AG30" s="125">
        <f t="shared" si="9"/>
        <v>-185945.58245766209</v>
      </c>
      <c r="AH30" s="15">
        <f t="shared" si="9"/>
        <v>923885.94555087877</v>
      </c>
      <c r="AI30" s="15">
        <f t="shared" si="9"/>
        <v>984223.41187833645</v>
      </c>
      <c r="AJ30" s="15">
        <f t="shared" si="9"/>
        <v>1047693.3924249909</v>
      </c>
      <c r="AK30" s="15">
        <f t="shared" si="9"/>
        <v>1114455.9821288874</v>
      </c>
    </row>
    <row r="31" spans="2:50" x14ac:dyDescent="0.25">
      <c r="B31" s="7"/>
      <c r="C31" s="16" t="s">
        <v>59</v>
      </c>
      <c r="D31" s="17" t="e">
        <f>IRR(H30:AG30)</f>
        <v>#NUM!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0.44748858447488582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2300000</v>
      </c>
      <c r="F34" s="18" t="s">
        <v>63</v>
      </c>
      <c r="G34" s="124">
        <v>398000</v>
      </c>
      <c r="H34" s="124"/>
      <c r="I34" s="124"/>
      <c r="J34" s="124">
        <f>G34/2*(1+$H$9)*(1+$H$9)*(1+$H$9)*(1+$H$11)*(1+$H$11)*(1+$H$11)</f>
        <v>161179.75383096165</v>
      </c>
      <c r="K34" s="124">
        <f>G34*(1+$H$8)*(1+$H$8)*(1+$H$8)*(1+$H$8)*(1+$H$11)*(1+$H$11)*(1+$H$11)*(1+$H$11)</f>
        <v>324514.85747175786</v>
      </c>
      <c r="L34" s="124">
        <f t="shared" ref="L34:AG34" si="10">K34*(1+$H$9)*(1+$H$11)</f>
        <v>302496.52439229906</v>
      </c>
      <c r="M34" s="124">
        <f t="shared" si="10"/>
        <v>281972.1352122816</v>
      </c>
      <c r="N34" s="124">
        <f t="shared" si="10"/>
        <v>262840.32583812834</v>
      </c>
      <c r="O34" s="124">
        <f t="shared" si="10"/>
        <v>245006.60973001138</v>
      </c>
      <c r="P34" s="124">
        <f t="shared" si="10"/>
        <v>228382.91125983011</v>
      </c>
      <c r="Q34" s="124">
        <f t="shared" si="10"/>
        <v>212887.13073085065</v>
      </c>
      <c r="R34" s="124">
        <f>Q34*(1+$H$9)*(1+$H$11)</f>
        <v>198442.73891076245</v>
      </c>
      <c r="S34" s="124">
        <f t="shared" si="10"/>
        <v>184978.39907566723</v>
      </c>
      <c r="T34" s="124">
        <f t="shared" si="10"/>
        <v>172427.61469838323</v>
      </c>
      <c r="U34" s="124">
        <f t="shared" si="10"/>
        <v>160728.40104109794</v>
      </c>
      <c r="V34" s="124">
        <f t="shared" si="10"/>
        <v>149822.97903045945</v>
      </c>
      <c r="W34" s="124">
        <f t="shared" si="10"/>
        <v>139657.48990324276</v>
      </c>
      <c r="X34" s="124">
        <f t="shared" si="10"/>
        <v>130181.72921330776</v>
      </c>
      <c r="Y34" s="124">
        <f t="shared" si="10"/>
        <v>121348.89888618482</v>
      </c>
      <c r="Z34" s="124">
        <f t="shared" si="10"/>
        <v>113115.37609675719</v>
      </c>
      <c r="AA34" s="124">
        <f t="shared" si="10"/>
        <v>105440.49782859221</v>
      </c>
      <c r="AB34" s="124">
        <f t="shared" si="10"/>
        <v>98286.360050922231</v>
      </c>
      <c r="AC34" s="124">
        <f t="shared" si="10"/>
        <v>91617.630521467159</v>
      </c>
      <c r="AD34" s="124">
        <f t="shared" si="10"/>
        <v>85401.37429058562</v>
      </c>
      <c r="AE34" s="124">
        <f t="shared" si="10"/>
        <v>79606.891044969394</v>
      </c>
      <c r="AF34" s="124">
        <f t="shared" si="10"/>
        <v>74205.56348756823</v>
      </c>
      <c r="AG34" s="124">
        <f t="shared" si="10"/>
        <v>69170.716004936738</v>
      </c>
    </row>
    <row r="35" spans="2:33" x14ac:dyDescent="0.25">
      <c r="B35" s="4"/>
      <c r="C35" t="s">
        <v>64</v>
      </c>
      <c r="D35" s="5">
        <f t="shared" ref="D35" si="11">ROUND(H35+NPV($H$10,I35:AG35),-5)</f>
        <v>3100000</v>
      </c>
      <c r="G35" s="124">
        <f>(10000000*(1+H9)^10)*(12/49)</f>
        <v>3291223.7861488694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3291223.7861488694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5400000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-6700000</v>
      </c>
      <c r="H38" s="190">
        <f>H35+H34+H30</f>
        <v>-4035794.6669547539</v>
      </c>
      <c r="I38" s="190">
        <f t="shared" ref="I38:AF38" si="12">I35+I34+I30</f>
        <v>-1258243.6465465906</v>
      </c>
      <c r="J38" s="190">
        <f t="shared" si="12"/>
        <v>-1145602.325515629</v>
      </c>
      <c r="K38" s="190">
        <f t="shared" si="12"/>
        <v>313174.58933986101</v>
      </c>
      <c r="L38" s="190">
        <f t="shared" si="12"/>
        <v>-669838.67934889137</v>
      </c>
      <c r="M38" s="190">
        <f t="shared" si="12"/>
        <v>-605214.10805599682</v>
      </c>
      <c r="N38" s="190">
        <f t="shared" si="12"/>
        <v>-603720.95781361323</v>
      </c>
      <c r="O38" s="190">
        <f t="shared" si="12"/>
        <v>-599836.30364078796</v>
      </c>
      <c r="P38" s="190">
        <f t="shared" si="12"/>
        <v>-593591.68575189356</v>
      </c>
      <c r="Q38" s="190">
        <f t="shared" si="12"/>
        <v>-585009.78571283538</v>
      </c>
      <c r="R38" s="190">
        <f t="shared" si="12"/>
        <v>2717119.1000551246</v>
      </c>
      <c r="S38" s="190">
        <f t="shared" si="12"/>
        <v>-560882.09526968177</v>
      </c>
      <c r="T38" s="190">
        <f t="shared" si="12"/>
        <v>-545339.53886738757</v>
      </c>
      <c r="U38" s="190">
        <f t="shared" si="12"/>
        <v>-527466.51921103045</v>
      </c>
      <c r="V38" s="190">
        <f t="shared" si="12"/>
        <v>-507244.64398240659</v>
      </c>
      <c r="W38" s="190">
        <f t="shared" si="12"/>
        <v>-484647.72518066107</v>
      </c>
      <c r="X38" s="190">
        <f t="shared" si="12"/>
        <v>-459641.84934261802</v>
      </c>
      <c r="Y38" s="190">
        <f t="shared" si="12"/>
        <v>-432185.41986671847</v>
      </c>
      <c r="Z38" s="190">
        <f t="shared" si="12"/>
        <v>-402229.17217086762</v>
      </c>
      <c r="AA38" s="190">
        <f t="shared" si="12"/>
        <v>-369716.16230662249</v>
      </c>
      <c r="AB38" s="190">
        <f t="shared" si="12"/>
        <v>-334581.72954870807</v>
      </c>
      <c r="AC38" s="190">
        <f t="shared" si="12"/>
        <v>-296753.43337934907</v>
      </c>
      <c r="AD38" s="190">
        <f t="shared" si="12"/>
        <v>-256150.96519093204</v>
      </c>
      <c r="AE38" s="190">
        <f t="shared" si="12"/>
        <v>-212686.03493767447</v>
      </c>
      <c r="AF38" s="190">
        <f t="shared" si="12"/>
        <v>-166262.23287688912</v>
      </c>
      <c r="AG38" s="190">
        <f>AG35+AG34+AG30</f>
        <v>-116774.86645272536</v>
      </c>
    </row>
    <row r="39" spans="2:33" x14ac:dyDescent="0.25">
      <c r="B39" s="7"/>
      <c r="C39" s="16" t="s">
        <v>59</v>
      </c>
      <c r="D39" s="217" t="e">
        <f>IRR(H38:AG38)</f>
        <v>#NUM!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0.69406392694063923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rJRPD8JpJ+ahv4TT6ii1rLhezXqUU7XOmuvqbeliB9WXy9slISZqt4YW17GouJ3tkWuUzOyuq1n42Ju7VauEfA==" saltValue="6ffUuO5UGV7MD+zAhdIY2A==" spinCount="100000" sheet="1" objects="1" scenarios="1"/>
  <mergeCells count="3">
    <mergeCell ref="L2:M2"/>
    <mergeCell ref="AO10:AO19"/>
    <mergeCell ref="AO23:AO29"/>
  </mergeCells>
  <conditionalFormatting sqref="AQ12:AX19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3:AX29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7F502-C136-4397-8352-DE8674941B65}">
  <dimension ref="B1:AX52"/>
  <sheetViews>
    <sheetView topLeftCell="A8" zoomScale="85" zoomScaleNormal="85" workbookViewId="0">
      <selection activeCell="F38" sqref="F38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66.140625" bestFit="1" customWidth="1"/>
    <col min="7" max="7" width="16.4257812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  <c r="AO6"/>
      <c r="AP6"/>
      <c r="AQ6"/>
      <c r="AR6"/>
      <c r="AS6"/>
      <c r="AT6"/>
      <c r="AU6"/>
      <c r="AV6"/>
      <c r="AW6"/>
      <c r="AX6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  <c r="AO7"/>
      <c r="AP7"/>
      <c r="AQ7"/>
      <c r="AR7"/>
      <c r="AS7"/>
      <c r="AT7"/>
      <c r="AU7"/>
      <c r="AV7"/>
      <c r="AW7"/>
      <c r="AX7"/>
    </row>
    <row r="8" spans="2:50" s="29" customFormat="1" ht="45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 s="12" t="s">
        <v>28</v>
      </c>
      <c r="AR8" s="3"/>
      <c r="AS8" s="3"/>
      <c r="AT8" s="3"/>
      <c r="AU8" s="3"/>
      <c r="AV8" s="3"/>
      <c r="AW8" s="3"/>
      <c r="AX8" s="3"/>
    </row>
    <row r="9" spans="2:50" ht="30" x14ac:dyDescent="0.25">
      <c r="G9" s="169" t="s">
        <v>23</v>
      </c>
      <c r="H9" s="11">
        <v>0.03</v>
      </c>
      <c r="AO9" s="173"/>
      <c r="AP9" s="173"/>
      <c r="AQ9" s="173"/>
      <c r="AR9" s="173"/>
      <c r="AS9" s="173"/>
      <c r="AT9" s="173"/>
      <c r="AU9" s="173"/>
      <c r="AV9" s="173"/>
      <c r="AW9" s="173"/>
      <c r="AX9" s="173"/>
    </row>
    <row r="10" spans="2:50" x14ac:dyDescent="0.25">
      <c r="G10" s="185" t="s">
        <v>24</v>
      </c>
      <c r="H10" s="11">
        <v>7.0000000000000007E-2</v>
      </c>
      <c r="AO10" s="219" t="s">
        <v>34</v>
      </c>
      <c r="AP10" s="187"/>
      <c r="AQ10" s="193" t="s">
        <v>24</v>
      </c>
      <c r="AR10" s="199"/>
      <c r="AS10" s="199"/>
      <c r="AT10" s="199"/>
      <c r="AU10" s="199"/>
      <c r="AV10" s="199"/>
      <c r="AW10" s="199"/>
      <c r="AX10" s="200"/>
    </row>
    <row r="11" spans="2:50" x14ac:dyDescent="0.25">
      <c r="G11" s="9" t="s">
        <v>25</v>
      </c>
      <c r="H11" s="184">
        <v>-9.5000000000000001E-2</v>
      </c>
      <c r="AO11" s="220"/>
      <c r="AP11" s="202">
        <f>D30/1000</f>
        <v>-13000</v>
      </c>
      <c r="AQ11" s="203">
        <v>0.03</v>
      </c>
      <c r="AR11" s="203">
        <v>0.04</v>
      </c>
      <c r="AS11" s="203">
        <v>0.05</v>
      </c>
      <c r="AT11" s="203">
        <v>0.06</v>
      </c>
      <c r="AU11" s="203">
        <v>7.0000000000000007E-2</v>
      </c>
      <c r="AV11" s="203">
        <v>0.08</v>
      </c>
      <c r="AW11" s="203">
        <v>0.09</v>
      </c>
      <c r="AX11" s="204">
        <v>0.1</v>
      </c>
    </row>
    <row r="12" spans="2:50" x14ac:dyDescent="0.25">
      <c r="C12" s="123" t="s">
        <v>164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11">
        <v>0.01</v>
      </c>
      <c r="AQ12" s="178">
        <f t="dataTable" ref="AQ12:AX19" dt2D="1" dtr="1" r1="H10" r2="H8"/>
        <v>-21800</v>
      </c>
      <c r="AR12" s="178">
        <v>-19900</v>
      </c>
      <c r="AS12" s="178">
        <v>-18400</v>
      </c>
      <c r="AT12" s="178">
        <v>-17100</v>
      </c>
      <c r="AU12" s="178">
        <v>-15900</v>
      </c>
      <c r="AV12" s="178">
        <v>-15100</v>
      </c>
      <c r="AW12" s="178">
        <v>-14100</v>
      </c>
      <c r="AX12" s="206">
        <v>-13400</v>
      </c>
    </row>
    <row r="13" spans="2:50" x14ac:dyDescent="0.25">
      <c r="H13" s="110"/>
      <c r="AO13" s="220"/>
      <c r="AP13" s="211">
        <v>0.02</v>
      </c>
      <c r="AQ13" s="178">
        <v>-20800</v>
      </c>
      <c r="AR13" s="178">
        <v>-19100</v>
      </c>
      <c r="AS13" s="178">
        <v>-17700</v>
      </c>
      <c r="AT13" s="178">
        <v>-16400</v>
      </c>
      <c r="AU13" s="178">
        <v>-15300</v>
      </c>
      <c r="AV13" s="178">
        <v>-14600</v>
      </c>
      <c r="AW13" s="178">
        <v>-13700</v>
      </c>
      <c r="AX13" s="206">
        <v>-13000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0.03</v>
      </c>
      <c r="AQ14" s="178">
        <v>-19700</v>
      </c>
      <c r="AR14" s="178">
        <v>-18100</v>
      </c>
      <c r="AS14" s="178">
        <v>-16800</v>
      </c>
      <c r="AT14" s="178">
        <v>-15700</v>
      </c>
      <c r="AU14" s="178">
        <v>-14700</v>
      </c>
      <c r="AV14" s="178">
        <v>-14000</v>
      </c>
      <c r="AW14" s="178">
        <v>-13200</v>
      </c>
      <c r="AX14" s="206">
        <v>-12600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0.04</v>
      </c>
      <c r="AQ15" s="1">
        <v>-18300</v>
      </c>
      <c r="AR15" s="178">
        <v>-16900</v>
      </c>
      <c r="AS15" s="178">
        <v>-15800</v>
      </c>
      <c r="AT15" s="178">
        <v>-14800</v>
      </c>
      <c r="AU15" s="178">
        <v>-13900</v>
      </c>
      <c r="AV15" s="178">
        <v>-13400</v>
      </c>
      <c r="AW15" s="178">
        <v>-12600</v>
      </c>
      <c r="AX15" s="206">
        <v>-12100</v>
      </c>
    </row>
    <row r="16" spans="2:50" x14ac:dyDescent="0.25">
      <c r="B16" s="4"/>
      <c r="C16" t="s">
        <v>35</v>
      </c>
      <c r="D16" s="5">
        <f>ROUND(H16+NPV($H$10,I16:AG16),-5)</f>
        <v>2900000</v>
      </c>
      <c r="F16" s="10" t="s">
        <v>36</v>
      </c>
      <c r="G16" s="165">
        <f>ROUND(SUM(G17:G18)*0.1,-5)</f>
        <v>2900000</v>
      </c>
      <c r="H16" s="124">
        <f>G16</f>
        <v>2900000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0.05</v>
      </c>
      <c r="AQ16" s="1">
        <v>-16700</v>
      </c>
      <c r="AR16" s="178">
        <v>-15500</v>
      </c>
      <c r="AS16" s="178">
        <v>-14600</v>
      </c>
      <c r="AT16" s="178">
        <v>-13800</v>
      </c>
      <c r="AU16" s="178">
        <v>-13000</v>
      </c>
      <c r="AV16" s="178">
        <v>-12600</v>
      </c>
      <c r="AW16" s="178">
        <v>-11900</v>
      </c>
      <c r="AX16" s="206">
        <v>-11500</v>
      </c>
    </row>
    <row r="17" spans="2:50" x14ac:dyDescent="0.25">
      <c r="B17" s="4"/>
      <c r="C17" t="s">
        <v>37</v>
      </c>
      <c r="D17" s="5">
        <f>ROUND(H17+NPV($H$10,I17:AG17),-5)</f>
        <v>13300000</v>
      </c>
      <c r="F17" s="10" t="s">
        <v>38</v>
      </c>
      <c r="G17" s="165">
        <f>'Central Plant'!L43</f>
        <v>24500000</v>
      </c>
      <c r="H17" s="124">
        <f>-PMT($H$12/12,$I$12*12,$G$17)*12</f>
        <v>1052474.2007644749</v>
      </c>
      <c r="I17" s="124">
        <f>-PMT($H$12/12,$I$12*12,$G$17)*12</f>
        <v>1052474.2007644749</v>
      </c>
      <c r="J17" s="124">
        <f t="shared" ref="J17:AG17" si="0">-PMT($H$12/12,$I$12*12,$G$17)*12</f>
        <v>1052474.2007644749</v>
      </c>
      <c r="K17" s="124">
        <f t="shared" si="0"/>
        <v>1052474.2007644749</v>
      </c>
      <c r="L17" s="124">
        <f t="shared" si="0"/>
        <v>1052474.2007644749</v>
      </c>
      <c r="M17" s="124">
        <f t="shared" si="0"/>
        <v>1052474.2007644749</v>
      </c>
      <c r="N17" s="124">
        <f t="shared" si="0"/>
        <v>1052474.2007644749</v>
      </c>
      <c r="O17" s="124">
        <f t="shared" si="0"/>
        <v>1052474.2007644749</v>
      </c>
      <c r="P17" s="124">
        <f t="shared" si="0"/>
        <v>1052474.2007644749</v>
      </c>
      <c r="Q17" s="124">
        <f t="shared" si="0"/>
        <v>1052474.2007644749</v>
      </c>
      <c r="R17" s="124">
        <f t="shared" si="0"/>
        <v>1052474.2007644749</v>
      </c>
      <c r="S17" s="124">
        <f t="shared" si="0"/>
        <v>1052474.2007644749</v>
      </c>
      <c r="T17" s="124">
        <f t="shared" si="0"/>
        <v>1052474.2007644749</v>
      </c>
      <c r="U17" s="124">
        <f t="shared" si="0"/>
        <v>1052474.2007644749</v>
      </c>
      <c r="V17" s="124">
        <f t="shared" si="0"/>
        <v>1052474.2007644749</v>
      </c>
      <c r="W17" s="124">
        <f t="shared" si="0"/>
        <v>1052474.2007644749</v>
      </c>
      <c r="X17" s="124">
        <f t="shared" si="0"/>
        <v>1052474.2007644749</v>
      </c>
      <c r="Y17" s="124">
        <f t="shared" si="0"/>
        <v>1052474.2007644749</v>
      </c>
      <c r="Z17" s="124">
        <f t="shared" si="0"/>
        <v>1052474.2007644749</v>
      </c>
      <c r="AA17" s="124">
        <f t="shared" si="0"/>
        <v>1052474.2007644749</v>
      </c>
      <c r="AB17" s="124">
        <f t="shared" si="0"/>
        <v>1052474.2007644749</v>
      </c>
      <c r="AC17" s="124">
        <f t="shared" si="0"/>
        <v>1052474.2007644749</v>
      </c>
      <c r="AD17" s="124">
        <f t="shared" si="0"/>
        <v>1052474.2007644749</v>
      </c>
      <c r="AE17" s="124">
        <f t="shared" si="0"/>
        <v>1052474.2007644749</v>
      </c>
      <c r="AF17" s="124">
        <f t="shared" si="0"/>
        <v>1052474.2007644749</v>
      </c>
      <c r="AG17" s="124">
        <f t="shared" si="0"/>
        <v>1052474.2007644749</v>
      </c>
      <c r="AH17" s="3"/>
      <c r="AI17" s="3"/>
      <c r="AJ17" s="3"/>
      <c r="AK17" s="3"/>
      <c r="AO17" s="220"/>
      <c r="AP17" s="211">
        <v>0.06</v>
      </c>
      <c r="AQ17" s="1">
        <v>-14800</v>
      </c>
      <c r="AR17" s="178">
        <v>-13900</v>
      </c>
      <c r="AS17" s="178">
        <v>-13200</v>
      </c>
      <c r="AT17" s="178">
        <v>-12600</v>
      </c>
      <c r="AU17" s="178">
        <v>-12000</v>
      </c>
      <c r="AV17" s="178">
        <v>-11700</v>
      </c>
      <c r="AW17" s="178">
        <v>-11100</v>
      </c>
      <c r="AX17" s="206">
        <v>-10800</v>
      </c>
    </row>
    <row r="18" spans="2:50" x14ac:dyDescent="0.25">
      <c r="B18" s="4"/>
      <c r="C18" t="s">
        <v>39</v>
      </c>
      <c r="D18" s="5">
        <f t="shared" ref="D18:D20" si="1">ROUND(H18+NPV($H$10,I18:AG18),-5)</f>
        <v>2600000</v>
      </c>
      <c r="F18" s="10" t="s">
        <v>40</v>
      </c>
      <c r="G18" s="166">
        <f>Loop!N25</f>
        <v>4790000</v>
      </c>
      <c r="H18" s="124">
        <f>-PMT($H$12/12,$I$12*12,$G$18)*12</f>
        <v>205769.44578211574</v>
      </c>
      <c r="I18" s="124">
        <f t="shared" ref="I18:AK18" si="2">-PMT($H$12/12,$I$12*12,$G$18)*12</f>
        <v>205769.44578211574</v>
      </c>
      <c r="J18" s="124">
        <f t="shared" si="2"/>
        <v>205769.44578211574</v>
      </c>
      <c r="K18" s="124">
        <f t="shared" si="2"/>
        <v>205769.44578211574</v>
      </c>
      <c r="L18" s="124">
        <f t="shared" si="2"/>
        <v>205769.44578211574</v>
      </c>
      <c r="M18" s="124">
        <f t="shared" si="2"/>
        <v>205769.44578211574</v>
      </c>
      <c r="N18" s="124">
        <f t="shared" si="2"/>
        <v>205769.44578211574</v>
      </c>
      <c r="O18" s="124">
        <f t="shared" si="2"/>
        <v>205769.44578211574</v>
      </c>
      <c r="P18" s="124">
        <f t="shared" si="2"/>
        <v>205769.44578211574</v>
      </c>
      <c r="Q18" s="124">
        <f t="shared" si="2"/>
        <v>205769.44578211574</v>
      </c>
      <c r="R18" s="124">
        <f t="shared" si="2"/>
        <v>205769.44578211574</v>
      </c>
      <c r="S18" s="124">
        <f t="shared" si="2"/>
        <v>205769.44578211574</v>
      </c>
      <c r="T18" s="124">
        <f t="shared" si="2"/>
        <v>205769.44578211574</v>
      </c>
      <c r="U18" s="124">
        <f t="shared" si="2"/>
        <v>205769.44578211574</v>
      </c>
      <c r="V18" s="124">
        <f t="shared" si="2"/>
        <v>205769.44578211574</v>
      </c>
      <c r="W18" s="124">
        <f t="shared" si="2"/>
        <v>205769.44578211574</v>
      </c>
      <c r="X18" s="124">
        <f t="shared" si="2"/>
        <v>205769.44578211574</v>
      </c>
      <c r="Y18" s="124">
        <f t="shared" si="2"/>
        <v>205769.44578211574</v>
      </c>
      <c r="Z18" s="124">
        <f t="shared" si="2"/>
        <v>205769.44578211574</v>
      </c>
      <c r="AA18" s="124">
        <f t="shared" si="2"/>
        <v>205769.44578211574</v>
      </c>
      <c r="AB18" s="124">
        <f t="shared" si="2"/>
        <v>205769.44578211574</v>
      </c>
      <c r="AC18" s="124">
        <f t="shared" si="2"/>
        <v>205769.44578211574</v>
      </c>
      <c r="AD18" s="124">
        <f t="shared" si="2"/>
        <v>205769.44578211574</v>
      </c>
      <c r="AE18" s="124">
        <f t="shared" si="2"/>
        <v>205769.44578211574</v>
      </c>
      <c r="AF18" s="124">
        <f t="shared" si="2"/>
        <v>205769.44578211574</v>
      </c>
      <c r="AG18" s="124">
        <f t="shared" si="2"/>
        <v>205769.44578211574</v>
      </c>
      <c r="AH18" s="3">
        <f t="shared" si="2"/>
        <v>205769.44578211574</v>
      </c>
      <c r="AI18" s="3">
        <f t="shared" si="2"/>
        <v>205769.44578211574</v>
      </c>
      <c r="AJ18" s="3">
        <f t="shared" si="2"/>
        <v>205769.44578211574</v>
      </c>
      <c r="AK18" s="3">
        <f t="shared" si="2"/>
        <v>205769.44578211574</v>
      </c>
      <c r="AO18" s="220"/>
      <c r="AP18" s="211">
        <v>7.0000000000000007E-2</v>
      </c>
      <c r="AQ18" s="208">
        <v>-12500</v>
      </c>
      <c r="AR18" s="209">
        <v>-12000</v>
      </c>
      <c r="AS18" s="209">
        <v>-11600</v>
      </c>
      <c r="AT18" s="209">
        <v>-11200</v>
      </c>
      <c r="AU18" s="209">
        <v>-10800</v>
      </c>
      <c r="AV18" s="209">
        <v>-10600</v>
      </c>
      <c r="AW18" s="209">
        <v>-10200</v>
      </c>
      <c r="AX18" s="210">
        <v>-10000</v>
      </c>
    </row>
    <row r="19" spans="2:50" x14ac:dyDescent="0.25">
      <c r="B19" s="4"/>
      <c r="C19" t="s">
        <v>41</v>
      </c>
      <c r="D19" s="5">
        <f t="shared" si="1"/>
        <v>3900000</v>
      </c>
      <c r="F19" s="10" t="s">
        <v>42</v>
      </c>
      <c r="G19" s="165">
        <f>(30+188+14+30)*1000</f>
        <v>262000</v>
      </c>
      <c r="H19" s="124"/>
      <c r="I19" s="124"/>
      <c r="J19" s="124">
        <f>G19</f>
        <v>262000</v>
      </c>
      <c r="K19" s="124">
        <f t="shared" ref="K19:AK19" si="3">J19*(1+$H$9)</f>
        <v>269860</v>
      </c>
      <c r="L19" s="124">
        <f t="shared" si="3"/>
        <v>277955.8</v>
      </c>
      <c r="M19" s="124">
        <f t="shared" si="3"/>
        <v>286294.47399999999</v>
      </c>
      <c r="N19" s="124">
        <f t="shared" si="3"/>
        <v>294883.30822000001</v>
      </c>
      <c r="O19" s="124">
        <f t="shared" si="3"/>
        <v>303729.80746660003</v>
      </c>
      <c r="P19" s="124">
        <f t="shared" si="3"/>
        <v>312841.70169059804</v>
      </c>
      <c r="Q19" s="124">
        <f t="shared" si="3"/>
        <v>322226.952741316</v>
      </c>
      <c r="R19" s="124">
        <f t="shared" si="3"/>
        <v>331893.76132355549</v>
      </c>
      <c r="S19" s="124">
        <f t="shared" si="3"/>
        <v>341850.57416326215</v>
      </c>
      <c r="T19" s="124">
        <f t="shared" si="3"/>
        <v>352106.09138816001</v>
      </c>
      <c r="U19" s="124">
        <f t="shared" si="3"/>
        <v>362669.27412980481</v>
      </c>
      <c r="V19" s="124">
        <f t="shared" si="3"/>
        <v>373549.35235369898</v>
      </c>
      <c r="W19" s="124">
        <f t="shared" si="3"/>
        <v>384755.83292430994</v>
      </c>
      <c r="X19" s="124">
        <f t="shared" si="3"/>
        <v>396298.50791203923</v>
      </c>
      <c r="Y19" s="124">
        <f t="shared" si="3"/>
        <v>408187.46314940043</v>
      </c>
      <c r="Z19" s="124">
        <f t="shared" si="3"/>
        <v>420433.08704388246</v>
      </c>
      <c r="AA19" s="124">
        <f t="shared" si="3"/>
        <v>433046.07965519896</v>
      </c>
      <c r="AB19" s="124">
        <f t="shared" si="3"/>
        <v>446037.46204485494</v>
      </c>
      <c r="AC19" s="124">
        <f t="shared" si="3"/>
        <v>459418.58590620058</v>
      </c>
      <c r="AD19" s="124">
        <f t="shared" si="3"/>
        <v>473201.14348338661</v>
      </c>
      <c r="AE19" s="124">
        <f t="shared" si="3"/>
        <v>487397.17778788821</v>
      </c>
      <c r="AF19" s="124">
        <f t="shared" si="3"/>
        <v>502019.0931215249</v>
      </c>
      <c r="AG19" s="124">
        <f t="shared" si="3"/>
        <v>517079.66591517068</v>
      </c>
      <c r="AH19" s="3">
        <f t="shared" si="3"/>
        <v>532592.05589262582</v>
      </c>
      <c r="AI19" s="3">
        <f t="shared" si="3"/>
        <v>548569.81756940461</v>
      </c>
      <c r="AJ19" s="3">
        <f t="shared" si="3"/>
        <v>565026.91209648678</v>
      </c>
      <c r="AK19" s="3">
        <f t="shared" si="3"/>
        <v>581977.71945938142</v>
      </c>
      <c r="AO19" s="221"/>
      <c r="AP19" s="212">
        <v>0.08</v>
      </c>
      <c r="AQ19" s="178">
        <v>-9800</v>
      </c>
      <c r="AR19" s="178">
        <v>-9700</v>
      </c>
      <c r="AS19" s="178">
        <v>-9700</v>
      </c>
      <c r="AT19" s="178">
        <v>-9500</v>
      </c>
      <c r="AU19" s="178">
        <v>-9400</v>
      </c>
      <c r="AV19" s="178">
        <v>-9400</v>
      </c>
      <c r="AW19" s="178">
        <v>-9200</v>
      </c>
      <c r="AX19" s="206">
        <v>-9100</v>
      </c>
    </row>
    <row r="20" spans="2:50" x14ac:dyDescent="0.25">
      <c r="B20" s="4"/>
      <c r="C20" t="s">
        <v>43</v>
      </c>
      <c r="D20" s="5">
        <f t="shared" si="1"/>
        <v>200000</v>
      </c>
      <c r="F20" s="10" t="s">
        <v>67</v>
      </c>
      <c r="G20" s="167">
        <f>15000*12</f>
        <v>180000</v>
      </c>
      <c r="H20" s="124"/>
      <c r="I20" s="124"/>
      <c r="J20" s="124">
        <f>G20/3*(1+$H$9)*(1+$H$9)</f>
        <v>63654</v>
      </c>
      <c r="K20" s="124">
        <f>G20/3*(1+$H$9)*(1+$H$9)*(1+$H$9)</f>
        <v>65563.62</v>
      </c>
      <c r="L20" s="124">
        <f>G20/3*(1+$H$9)*(1+$H$9)*(1+$H$9)</f>
        <v>65563.62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196"/>
    </row>
    <row r="21" spans="2:50" ht="15.75" thickBot="1" x14ac:dyDescent="0.3">
      <c r="B21" s="4"/>
      <c r="C21" t="s">
        <v>45</v>
      </c>
      <c r="D21" s="5">
        <f>ROUND(H21+NPV($H$10,I21:AG21),-5)</f>
        <v>-100000</v>
      </c>
      <c r="F21" s="10" t="s">
        <v>46</v>
      </c>
      <c r="G21" s="167">
        <f>-500000*(12/49)</f>
        <v>-122448.97959183673</v>
      </c>
      <c r="H21" s="124">
        <f>-500000*(12/49)</f>
        <v>-122448.97959183673</v>
      </c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7"/>
      <c r="AP21" s="198"/>
      <c r="AQ21" s="193" t="s">
        <v>54</v>
      </c>
      <c r="AR21" s="199"/>
      <c r="AS21" s="199"/>
      <c r="AT21" s="199"/>
      <c r="AU21" s="199"/>
      <c r="AV21" s="199"/>
      <c r="AW21" s="199"/>
      <c r="AX21" s="200"/>
    </row>
    <row r="22" spans="2:50" ht="15.75" thickBot="1" x14ac:dyDescent="0.3">
      <c r="B22" s="4"/>
      <c r="C22" s="13" t="s">
        <v>47</v>
      </c>
      <c r="D22" s="6">
        <f>SUM(D16:D21)</f>
        <v>22800000</v>
      </c>
      <c r="F22" s="10"/>
      <c r="G22" s="168">
        <f t="shared" ref="G22:AG22" si="4">SUM(G16:G21)</f>
        <v>32509551.020408165</v>
      </c>
      <c r="H22" s="162">
        <f t="shared" si="4"/>
        <v>4035794.6669547539</v>
      </c>
      <c r="I22" s="125">
        <f t="shared" si="4"/>
        <v>1258243.6465465906</v>
      </c>
      <c r="J22" s="125">
        <f t="shared" si="4"/>
        <v>1583897.6465465906</v>
      </c>
      <c r="K22" s="125">
        <f t="shared" si="4"/>
        <v>1593667.2665465907</v>
      </c>
      <c r="L22" s="125">
        <f t="shared" si="4"/>
        <v>1601763.0665465905</v>
      </c>
      <c r="M22" s="125">
        <f t="shared" si="4"/>
        <v>1544538.1205465905</v>
      </c>
      <c r="N22" s="125">
        <f t="shared" si="4"/>
        <v>1553126.9547665906</v>
      </c>
      <c r="O22" s="125">
        <f t="shared" si="4"/>
        <v>1561973.4540131907</v>
      </c>
      <c r="P22" s="125">
        <f t="shared" si="4"/>
        <v>1571085.3482371885</v>
      </c>
      <c r="Q22" s="125">
        <f t="shared" si="4"/>
        <v>1580470.5992879067</v>
      </c>
      <c r="R22" s="125">
        <f t="shared" si="4"/>
        <v>1590137.407870146</v>
      </c>
      <c r="S22" s="125">
        <f t="shared" si="4"/>
        <v>1600094.2207098529</v>
      </c>
      <c r="T22" s="125">
        <f t="shared" si="4"/>
        <v>1610349.7379347505</v>
      </c>
      <c r="U22" s="125">
        <f t="shared" si="4"/>
        <v>1620912.9206763953</v>
      </c>
      <c r="V22" s="125">
        <f t="shared" si="4"/>
        <v>1631792.9989002896</v>
      </c>
      <c r="W22" s="125">
        <f t="shared" si="4"/>
        <v>1642999.4794709005</v>
      </c>
      <c r="X22" s="125">
        <f t="shared" si="4"/>
        <v>1654542.1544586299</v>
      </c>
      <c r="Y22" s="125">
        <f t="shared" si="4"/>
        <v>1666431.109695991</v>
      </c>
      <c r="Z22" s="125">
        <f t="shared" si="4"/>
        <v>1678676.733590473</v>
      </c>
      <c r="AA22" s="125">
        <f t="shared" si="4"/>
        <v>1691289.7262017895</v>
      </c>
      <c r="AB22" s="125">
        <f t="shared" si="4"/>
        <v>1704281.1085914455</v>
      </c>
      <c r="AC22" s="125">
        <f t="shared" si="4"/>
        <v>1717662.2324527912</v>
      </c>
      <c r="AD22" s="125">
        <f t="shared" si="4"/>
        <v>1731444.7900299772</v>
      </c>
      <c r="AE22" s="125">
        <f t="shared" si="4"/>
        <v>1745640.8243344789</v>
      </c>
      <c r="AF22" s="125">
        <f t="shared" si="4"/>
        <v>1760262.7396681155</v>
      </c>
      <c r="AG22" s="125">
        <f t="shared" si="4"/>
        <v>1775323.3124617613</v>
      </c>
      <c r="AH22" s="15">
        <f>SUM(AH16:AH20)</f>
        <v>738361.50167474151</v>
      </c>
      <c r="AI22" s="15">
        <f>SUM(AI16:AI20)</f>
        <v>754339.26335152029</v>
      </c>
      <c r="AJ22" s="15">
        <f>SUM(AJ16:AJ20)</f>
        <v>770796.35787860258</v>
      </c>
      <c r="AK22" s="15">
        <f>SUM(AK16:AK20)</f>
        <v>787747.1652414971</v>
      </c>
      <c r="AO22" s="201"/>
      <c r="AP22" s="202">
        <f>D30/1000</f>
        <v>-13000</v>
      </c>
      <c r="AQ22" s="203">
        <v>0.03</v>
      </c>
      <c r="AR22" s="203">
        <v>0.04</v>
      </c>
      <c r="AS22" s="203">
        <v>0.05</v>
      </c>
      <c r="AT22" s="203">
        <v>0.06</v>
      </c>
      <c r="AU22" s="203">
        <v>7.0000000000000007E-2</v>
      </c>
      <c r="AV22" s="203">
        <v>0.08</v>
      </c>
      <c r="AW22" s="203">
        <v>0.09</v>
      </c>
      <c r="AX22" s="204">
        <v>0.1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 t="s">
        <v>26</v>
      </c>
      <c r="AP23" s="205">
        <v>0.02</v>
      </c>
      <c r="AQ23" s="178">
        <f t="dataTable" ref="AQ23:AX29" dt2D="1" dtr="1" r1="H10" r2="H12" ca="1"/>
        <v>-13100</v>
      </c>
      <c r="AR23" s="178">
        <v>-12300</v>
      </c>
      <c r="AS23" s="178">
        <v>-11600</v>
      </c>
      <c r="AT23" s="178">
        <v>-11200</v>
      </c>
      <c r="AU23" s="178">
        <v>-10600</v>
      </c>
      <c r="AV23" s="178">
        <v>-10300</v>
      </c>
      <c r="AW23" s="178">
        <v>-9800</v>
      </c>
      <c r="AX23" s="206">
        <v>-9600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/>
      <c r="AP24" s="205">
        <v>2.5000000000000001E-2</v>
      </c>
      <c r="AQ24" s="178">
        <v>-14900</v>
      </c>
      <c r="AR24" s="178">
        <v>-13900</v>
      </c>
      <c r="AS24" s="178">
        <v>-13100</v>
      </c>
      <c r="AT24" s="178">
        <v>-12500</v>
      </c>
      <c r="AU24" s="178">
        <v>-11800</v>
      </c>
      <c r="AV24" s="178">
        <v>-11400</v>
      </c>
      <c r="AW24" s="178">
        <v>-10900</v>
      </c>
      <c r="AX24" s="206">
        <v>-10500</v>
      </c>
    </row>
    <row r="25" spans="2:50" x14ac:dyDescent="0.25">
      <c r="B25" s="4"/>
      <c r="C25" t="s">
        <v>50</v>
      </c>
      <c r="D25" s="5">
        <f>ROUND(H25+NPV($H$10,I25:AG25),-5)</f>
        <v>500000</v>
      </c>
      <c r="F25" s="10" t="s">
        <v>51</v>
      </c>
      <c r="G25" s="124">
        <v>30000</v>
      </c>
      <c r="H25" s="124"/>
      <c r="I25" s="124"/>
      <c r="J25" s="124">
        <f>G25/2*(1+$H$9)*(1+$H$9)*(1+$H$9)</f>
        <v>16390.904999999999</v>
      </c>
      <c r="K25" s="124">
        <f>G25*(1+$H$9)*(1+$H$9)*(1+$H$9)*(1+$H$9)</f>
        <v>33765.264299999995</v>
      </c>
      <c r="L25" s="124">
        <f t="shared" ref="L25:AA26" si="5">K25*(1+$H$9)</f>
        <v>34778.222228999999</v>
      </c>
      <c r="M25" s="124">
        <f t="shared" si="5"/>
        <v>35821.568895869998</v>
      </c>
      <c r="N25" s="124">
        <f t="shared" si="5"/>
        <v>36896.215962746101</v>
      </c>
      <c r="O25" s="124">
        <f t="shared" si="5"/>
        <v>38003.102441628485</v>
      </c>
      <c r="P25" s="124">
        <f t="shared" si="5"/>
        <v>39143.195514877341</v>
      </c>
      <c r="Q25" s="124">
        <f t="shared" si="5"/>
        <v>40317.491380323663</v>
      </c>
      <c r="R25" s="124">
        <f t="shared" si="5"/>
        <v>41527.016121733373</v>
      </c>
      <c r="S25" s="124">
        <f t="shared" si="5"/>
        <v>42772.826605385373</v>
      </c>
      <c r="T25" s="124">
        <f t="shared" si="5"/>
        <v>44056.011403546938</v>
      </c>
      <c r="U25" s="124">
        <f t="shared" si="5"/>
        <v>45377.691745653348</v>
      </c>
      <c r="V25" s="124">
        <f t="shared" si="5"/>
        <v>46739.022498022947</v>
      </c>
      <c r="W25" s="124">
        <f t="shared" si="5"/>
        <v>48141.193172963634</v>
      </c>
      <c r="X25" s="124">
        <f t="shared" si="5"/>
        <v>49585.428968152548</v>
      </c>
      <c r="Y25" s="124">
        <f t="shared" si="5"/>
        <v>51072.991837197129</v>
      </c>
      <c r="Z25" s="124">
        <f t="shared" si="5"/>
        <v>52605.181592313042</v>
      </c>
      <c r="AA25" s="124">
        <f t="shared" si="5"/>
        <v>54183.337040082435</v>
      </c>
      <c r="AB25" s="124">
        <f t="shared" ref="AB25:AK26" si="6">AA25*(1+$H$9)</f>
        <v>55808.837151284912</v>
      </c>
      <c r="AC25" s="124">
        <f t="shared" si="6"/>
        <v>57483.102265823458</v>
      </c>
      <c r="AD25" s="124">
        <f t="shared" si="6"/>
        <v>59207.595333798163</v>
      </c>
      <c r="AE25" s="124">
        <f t="shared" si="6"/>
        <v>60983.82319381211</v>
      </c>
      <c r="AF25" s="124">
        <f t="shared" si="6"/>
        <v>62813.337889626477</v>
      </c>
      <c r="AG25" s="124">
        <f t="shared" si="6"/>
        <v>64697.738026315274</v>
      </c>
      <c r="AH25" s="3">
        <f>AG25*(1+$H$9)</f>
        <v>66638.670167104734</v>
      </c>
      <c r="AI25" s="3">
        <f t="shared" si="6"/>
        <v>68637.830272117877</v>
      </c>
      <c r="AJ25" s="3">
        <f t="shared" si="6"/>
        <v>70696.965180281419</v>
      </c>
      <c r="AK25" s="3">
        <f t="shared" si="6"/>
        <v>72817.874135689868</v>
      </c>
      <c r="AO25" s="220"/>
      <c r="AP25" s="205">
        <v>0.03</v>
      </c>
      <c r="AQ25" s="178">
        <v>-16700</v>
      </c>
      <c r="AR25" s="178">
        <v>-15500</v>
      </c>
      <c r="AS25" s="178">
        <v>-14600</v>
      </c>
      <c r="AT25" s="178">
        <v>-13800</v>
      </c>
      <c r="AU25" s="178">
        <v>-13000</v>
      </c>
      <c r="AV25" s="178">
        <v>-12600</v>
      </c>
      <c r="AW25" s="178">
        <v>-11900</v>
      </c>
      <c r="AX25" s="206">
        <v>-11500</v>
      </c>
    </row>
    <row r="26" spans="2:50" x14ac:dyDescent="0.25">
      <c r="B26" s="4"/>
      <c r="C26" t="s">
        <v>52</v>
      </c>
      <c r="D26" s="5">
        <f>ROUND(H26+NPV($H$10,I26:AG26),-5)</f>
        <v>2000000</v>
      </c>
      <c r="F26" s="10" t="s">
        <v>53</v>
      </c>
      <c r="G26" s="124">
        <v>123000</v>
      </c>
      <c r="H26" s="124"/>
      <c r="I26" s="124"/>
      <c r="J26" s="124">
        <f>G26/2*(1+$H$9)*(1+$H$9)*(1+$H$9)</f>
        <v>67202.710500000001</v>
      </c>
      <c r="K26" s="124">
        <f>G26*(1+$H$9)*(1+$H$9)*(1+$H$9)*(1+$H$9)</f>
        <v>138437.58363000001</v>
      </c>
      <c r="L26" s="124">
        <f>K26*(1+$H$9)</f>
        <v>142590.71113890002</v>
      </c>
      <c r="M26" s="124">
        <f t="shared" si="5"/>
        <v>146868.43247306702</v>
      </c>
      <c r="N26" s="124">
        <f t="shared" si="5"/>
        <v>151274.48544725904</v>
      </c>
      <c r="O26" s="124">
        <f t="shared" si="5"/>
        <v>155812.7200106768</v>
      </c>
      <c r="P26" s="124">
        <f t="shared" si="5"/>
        <v>160487.10161099711</v>
      </c>
      <c r="Q26" s="124">
        <f t="shared" si="5"/>
        <v>165301.71465932703</v>
      </c>
      <c r="R26" s="124">
        <f t="shared" si="5"/>
        <v>170260.76609910684</v>
      </c>
      <c r="S26" s="124">
        <f t="shared" si="5"/>
        <v>175368.58908208006</v>
      </c>
      <c r="T26" s="124">
        <f t="shared" si="5"/>
        <v>180629.64675454245</v>
      </c>
      <c r="U26" s="124">
        <f t="shared" si="5"/>
        <v>186048.53615717872</v>
      </c>
      <c r="V26" s="124">
        <f t="shared" si="5"/>
        <v>191629.9922418941</v>
      </c>
      <c r="W26" s="124">
        <f t="shared" si="5"/>
        <v>197378.89200915094</v>
      </c>
      <c r="X26" s="124">
        <f t="shared" si="5"/>
        <v>203300.25876942548</v>
      </c>
      <c r="Y26" s="124">
        <f t="shared" si="5"/>
        <v>209399.26653250825</v>
      </c>
      <c r="Z26" s="124">
        <f t="shared" si="5"/>
        <v>215681.24452848351</v>
      </c>
      <c r="AA26" s="124">
        <f t="shared" si="5"/>
        <v>222151.68186433802</v>
      </c>
      <c r="AB26" s="124">
        <f t="shared" si="6"/>
        <v>228816.23232026817</v>
      </c>
      <c r="AC26" s="124">
        <f t="shared" si="6"/>
        <v>235680.71928987623</v>
      </c>
      <c r="AD26" s="124">
        <f t="shared" si="6"/>
        <v>242751.14086857252</v>
      </c>
      <c r="AE26" s="124">
        <f t="shared" si="6"/>
        <v>250033.6750946297</v>
      </c>
      <c r="AF26" s="124">
        <f t="shared" si="6"/>
        <v>257534.68534746859</v>
      </c>
      <c r="AG26" s="124">
        <f t="shared" si="6"/>
        <v>265260.72590789263</v>
      </c>
      <c r="AH26" s="3">
        <f>AG26*(1+$H$9)</f>
        <v>273218.54768512939</v>
      </c>
      <c r="AI26" s="3">
        <f t="shared" si="6"/>
        <v>281415.10411568329</v>
      </c>
      <c r="AJ26" s="3">
        <f t="shared" si="6"/>
        <v>289857.55723915377</v>
      </c>
      <c r="AK26" s="3">
        <f t="shared" si="6"/>
        <v>298553.28395632841</v>
      </c>
      <c r="AO26" s="220"/>
      <c r="AP26" s="205">
        <v>3.5000000000000003E-2</v>
      </c>
      <c r="AQ26" s="1">
        <v>-18600</v>
      </c>
      <c r="AR26" s="178">
        <v>-17200</v>
      </c>
      <c r="AS26" s="178">
        <v>-16200</v>
      </c>
      <c r="AT26" s="178">
        <v>-15300</v>
      </c>
      <c r="AU26" s="178">
        <v>-14300</v>
      </c>
      <c r="AV26" s="178">
        <v>-13800</v>
      </c>
      <c r="AW26" s="178">
        <v>-13000</v>
      </c>
      <c r="AX26" s="206">
        <v>-12500</v>
      </c>
    </row>
    <row r="27" spans="2:50" x14ac:dyDescent="0.25">
      <c r="B27" s="4"/>
      <c r="C27" t="s">
        <v>55</v>
      </c>
      <c r="D27" s="5">
        <f>ROUND(H27+NPV($H$10,I27:AG27),-5)</f>
        <v>7300000</v>
      </c>
      <c r="F27" s="10" t="s">
        <v>56</v>
      </c>
      <c r="G27" s="124">
        <f>ROUND(225557+128675,-2)</f>
        <v>354200</v>
      </c>
      <c r="H27" s="124"/>
      <c r="I27" s="124"/>
      <c r="J27" s="124">
        <f>G27/2*(1+$H$9)*(1+$H$9)*(1+$H$9)</f>
        <v>193521.95170000001</v>
      </c>
      <c r="K27" s="124">
        <f>G27*(1+$H$8)*(1+$H$8)*(1+$H$8)*(1+$H$8)</f>
        <v>430532.31375000003</v>
      </c>
      <c r="L27" s="124">
        <f>K27*(1+$H$8)</f>
        <v>452058.92943750008</v>
      </c>
      <c r="M27" s="124">
        <f>L27*(1+$H$8)</f>
        <v>474661.87590937509</v>
      </c>
      <c r="N27" s="124">
        <f t="shared" ref="N27:AK27" si="7">M27*(1+$H$8)</f>
        <v>498394.96970484388</v>
      </c>
      <c r="O27" s="124">
        <f>N27*(1+$H$8)</f>
        <v>523314.71819008607</v>
      </c>
      <c r="P27" s="124">
        <f t="shared" si="7"/>
        <v>549480.45409959042</v>
      </c>
      <c r="Q27" s="124">
        <f t="shared" si="7"/>
        <v>576954.47680456995</v>
      </c>
      <c r="R27" s="124">
        <f t="shared" si="7"/>
        <v>605802.20064479846</v>
      </c>
      <c r="S27" s="124">
        <f t="shared" si="7"/>
        <v>636092.31067703839</v>
      </c>
      <c r="T27" s="124">
        <f t="shared" si="7"/>
        <v>667896.92621089029</v>
      </c>
      <c r="U27" s="124">
        <f t="shared" si="7"/>
        <v>701291.77252143482</v>
      </c>
      <c r="V27" s="124">
        <f t="shared" si="7"/>
        <v>736356.36114750663</v>
      </c>
      <c r="W27" s="124">
        <f t="shared" si="7"/>
        <v>773174.17920488201</v>
      </c>
      <c r="X27" s="124">
        <f t="shared" si="7"/>
        <v>811832.88816512609</v>
      </c>
      <c r="Y27" s="124">
        <f t="shared" si="7"/>
        <v>852424.53257338249</v>
      </c>
      <c r="Z27" s="124">
        <f t="shared" si="7"/>
        <v>895045.75920205167</v>
      </c>
      <c r="AA27" s="124">
        <f t="shared" si="7"/>
        <v>939798.04716215434</v>
      </c>
      <c r="AB27" s="124">
        <f t="shared" si="7"/>
        <v>986787.94952026207</v>
      </c>
      <c r="AC27" s="124">
        <f t="shared" si="7"/>
        <v>1036127.3469962752</v>
      </c>
      <c r="AD27" s="124">
        <f t="shared" si="7"/>
        <v>1087933.7143460889</v>
      </c>
      <c r="AE27" s="124">
        <f t="shared" si="7"/>
        <v>1142330.4000633934</v>
      </c>
      <c r="AF27" s="124">
        <f t="shared" si="7"/>
        <v>1199446.9200665632</v>
      </c>
      <c r="AG27" s="124">
        <f t="shared" si="7"/>
        <v>1259419.2660698914</v>
      </c>
      <c r="AH27" s="3">
        <f>AG27*(1+$H$8)</f>
        <v>1322390.2293733861</v>
      </c>
      <c r="AI27" s="3">
        <f t="shared" si="7"/>
        <v>1388509.7408420555</v>
      </c>
      <c r="AJ27" s="3">
        <f t="shared" si="7"/>
        <v>1457935.2278841583</v>
      </c>
      <c r="AK27" s="3">
        <f t="shared" si="7"/>
        <v>1530831.9892783663</v>
      </c>
      <c r="AO27" s="220"/>
      <c r="AP27" s="205">
        <v>0.04</v>
      </c>
      <c r="AQ27" s="1">
        <v>-20500</v>
      </c>
      <c r="AR27" s="178">
        <v>-19000</v>
      </c>
      <c r="AS27" s="178">
        <v>-17700</v>
      </c>
      <c r="AT27" s="178">
        <v>-16700</v>
      </c>
      <c r="AU27" s="178">
        <v>-15600</v>
      </c>
      <c r="AV27" s="178">
        <v>-15000</v>
      </c>
      <c r="AW27" s="178">
        <v>-14200</v>
      </c>
      <c r="AX27" s="206">
        <v>-13600</v>
      </c>
    </row>
    <row r="28" spans="2:50" x14ac:dyDescent="0.25">
      <c r="B28" s="7"/>
      <c r="C28" s="13" t="s">
        <v>57</v>
      </c>
      <c r="D28" s="6">
        <f>SUM(D25:D27)</f>
        <v>9800000</v>
      </c>
      <c r="F28" s="10"/>
      <c r="G28" s="125">
        <f t="shared" ref="G28:AK28" si="8">SUM(G25:G27)</f>
        <v>507200</v>
      </c>
      <c r="H28" s="125">
        <f t="shared" si="8"/>
        <v>0</v>
      </c>
      <c r="I28" s="125">
        <f t="shared" si="8"/>
        <v>0</v>
      </c>
      <c r="J28" s="125">
        <f t="shared" si="8"/>
        <v>277115.56719999999</v>
      </c>
      <c r="K28" s="125">
        <f t="shared" si="8"/>
        <v>602735.16168000002</v>
      </c>
      <c r="L28" s="125">
        <f t="shared" si="8"/>
        <v>629427.86280540004</v>
      </c>
      <c r="M28" s="125">
        <f t="shared" si="8"/>
        <v>657351.87727831211</v>
      </c>
      <c r="N28" s="125">
        <f t="shared" si="8"/>
        <v>686565.67111484904</v>
      </c>
      <c r="O28" s="125">
        <f t="shared" si="8"/>
        <v>717130.54064239142</v>
      </c>
      <c r="P28" s="125">
        <f t="shared" si="8"/>
        <v>749110.75122546486</v>
      </c>
      <c r="Q28" s="125">
        <f t="shared" si="8"/>
        <v>782573.68284422066</v>
      </c>
      <c r="R28" s="125">
        <f t="shared" si="8"/>
        <v>817589.98286563868</v>
      </c>
      <c r="S28" s="125">
        <f t="shared" si="8"/>
        <v>854233.72636450385</v>
      </c>
      <c r="T28" s="125">
        <f t="shared" si="8"/>
        <v>892582.58436897967</v>
      </c>
      <c r="U28" s="125">
        <f t="shared" si="8"/>
        <v>932718.00042426691</v>
      </c>
      <c r="V28" s="125">
        <f t="shared" si="8"/>
        <v>974725.37588742364</v>
      </c>
      <c r="W28" s="125">
        <f t="shared" si="8"/>
        <v>1018694.2643869966</v>
      </c>
      <c r="X28" s="125">
        <f t="shared" si="8"/>
        <v>1064718.5759027041</v>
      </c>
      <c r="Y28" s="125">
        <f t="shared" si="8"/>
        <v>1112896.7909430878</v>
      </c>
      <c r="Z28" s="125">
        <f t="shared" si="8"/>
        <v>1163332.1853228481</v>
      </c>
      <c r="AA28" s="125">
        <f t="shared" si="8"/>
        <v>1216133.0660665748</v>
      </c>
      <c r="AB28" s="125">
        <f t="shared" si="8"/>
        <v>1271413.0189918152</v>
      </c>
      <c r="AC28" s="125">
        <f t="shared" si="8"/>
        <v>1329291.1685519749</v>
      </c>
      <c r="AD28" s="125">
        <f t="shared" si="8"/>
        <v>1389892.4505484595</v>
      </c>
      <c r="AE28" s="125">
        <f t="shared" si="8"/>
        <v>1453347.8983518351</v>
      </c>
      <c r="AF28" s="125">
        <f t="shared" si="8"/>
        <v>1519794.9433036582</v>
      </c>
      <c r="AG28" s="125">
        <f t="shared" si="8"/>
        <v>1589377.7300040992</v>
      </c>
      <c r="AH28" s="13">
        <f t="shared" si="8"/>
        <v>1662247.4472256203</v>
      </c>
      <c r="AI28" s="13">
        <f t="shared" si="8"/>
        <v>1738562.6752298567</v>
      </c>
      <c r="AJ28" s="13">
        <f t="shared" si="8"/>
        <v>1818489.7503035935</v>
      </c>
      <c r="AK28" s="13">
        <f t="shared" si="8"/>
        <v>1902203.1473703845</v>
      </c>
      <c r="AO28" s="220"/>
      <c r="AP28" s="205">
        <v>4.4999999999999998E-2</v>
      </c>
      <c r="AQ28" s="1">
        <v>-22600</v>
      </c>
      <c r="AR28" s="178">
        <v>-20900</v>
      </c>
      <c r="AS28" s="178">
        <v>-19400</v>
      </c>
      <c r="AT28" s="178">
        <v>-18300</v>
      </c>
      <c r="AU28" s="178">
        <v>-17100</v>
      </c>
      <c r="AV28" s="178">
        <v>-16300</v>
      </c>
      <c r="AW28" s="178">
        <v>-15400</v>
      </c>
      <c r="AX28" s="206">
        <v>-14700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1"/>
      <c r="AP29" s="207">
        <v>0.05</v>
      </c>
      <c r="AQ29" s="208">
        <v>-24700</v>
      </c>
      <c r="AR29" s="209">
        <v>-22800</v>
      </c>
      <c r="AS29" s="209">
        <v>-21200</v>
      </c>
      <c r="AT29" s="209">
        <v>-19800</v>
      </c>
      <c r="AU29" s="209">
        <v>-18500</v>
      </c>
      <c r="AV29" s="209">
        <v>-17700</v>
      </c>
      <c r="AW29" s="209">
        <v>-16600</v>
      </c>
      <c r="AX29" s="210">
        <v>-15900</v>
      </c>
    </row>
    <row r="30" spans="2:50" x14ac:dyDescent="0.25">
      <c r="B30" s="7"/>
      <c r="C30" s="13" t="s">
        <v>58</v>
      </c>
      <c r="D30" s="6">
        <f>D28-D22</f>
        <v>-13000000</v>
      </c>
      <c r="F30" s="10"/>
      <c r="G30" s="124"/>
      <c r="H30" s="125">
        <f>H28-H22</f>
        <v>-4035794.6669547539</v>
      </c>
      <c r="I30" s="125">
        <f t="shared" ref="I30:AK30" si="9">I28-I22</f>
        <v>-1258243.6465465906</v>
      </c>
      <c r="J30" s="125">
        <f t="shared" si="9"/>
        <v>-1306782.0793465907</v>
      </c>
      <c r="K30" s="125">
        <f t="shared" si="9"/>
        <v>-990932.1048665907</v>
      </c>
      <c r="L30" s="125">
        <f t="shared" si="9"/>
        <v>-972335.20374119049</v>
      </c>
      <c r="M30" s="125">
        <f t="shared" si="9"/>
        <v>-887186.24326827843</v>
      </c>
      <c r="N30" s="125">
        <f t="shared" si="9"/>
        <v>-866561.28365174157</v>
      </c>
      <c r="O30" s="125">
        <f t="shared" si="9"/>
        <v>-844842.91337079927</v>
      </c>
      <c r="P30" s="125">
        <f t="shared" si="9"/>
        <v>-821974.59701172367</v>
      </c>
      <c r="Q30" s="125">
        <f t="shared" si="9"/>
        <v>-797896.916443686</v>
      </c>
      <c r="R30" s="125">
        <f t="shared" si="9"/>
        <v>-772547.4250045073</v>
      </c>
      <c r="S30" s="125">
        <f t="shared" si="9"/>
        <v>-745860.49434534903</v>
      </c>
      <c r="T30" s="125">
        <f t="shared" si="9"/>
        <v>-717767.15356577083</v>
      </c>
      <c r="U30" s="125">
        <f t="shared" si="9"/>
        <v>-688194.92025212839</v>
      </c>
      <c r="V30" s="125">
        <f t="shared" si="9"/>
        <v>-657067.62301286601</v>
      </c>
      <c r="W30" s="125">
        <f t="shared" si="9"/>
        <v>-624305.21508390387</v>
      </c>
      <c r="X30" s="125">
        <f t="shared" si="9"/>
        <v>-589823.57855592575</v>
      </c>
      <c r="Y30" s="125">
        <f t="shared" si="9"/>
        <v>-553534.31875290326</v>
      </c>
      <c r="Z30" s="125">
        <f t="shared" si="9"/>
        <v>-515344.54826762481</v>
      </c>
      <c r="AA30" s="125">
        <f t="shared" si="9"/>
        <v>-475156.66013521468</v>
      </c>
      <c r="AB30" s="125">
        <f t="shared" si="9"/>
        <v>-432868.08959963033</v>
      </c>
      <c r="AC30" s="125">
        <f t="shared" si="9"/>
        <v>-388371.06390081625</v>
      </c>
      <c r="AD30" s="125">
        <f t="shared" si="9"/>
        <v>-341552.33948151767</v>
      </c>
      <c r="AE30" s="125">
        <f t="shared" si="9"/>
        <v>-292292.92598264385</v>
      </c>
      <c r="AF30" s="125">
        <f t="shared" si="9"/>
        <v>-240467.79636445735</v>
      </c>
      <c r="AG30" s="125">
        <f t="shared" si="9"/>
        <v>-185945.58245766209</v>
      </c>
      <c r="AH30" s="15">
        <f t="shared" si="9"/>
        <v>923885.94555087877</v>
      </c>
      <c r="AI30" s="15">
        <f t="shared" si="9"/>
        <v>984223.41187833645</v>
      </c>
      <c r="AJ30" s="15">
        <f t="shared" si="9"/>
        <v>1047693.3924249909</v>
      </c>
      <c r="AK30" s="15">
        <f t="shared" si="9"/>
        <v>1114455.9821288874</v>
      </c>
    </row>
    <row r="31" spans="2:50" x14ac:dyDescent="0.25">
      <c r="B31" s="7"/>
      <c r="C31" s="16" t="s">
        <v>59</v>
      </c>
      <c r="D31" s="17" t="e">
        <f>IRR(H30:AG30)</f>
        <v>#NUM!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0.42982456140350878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2300000</v>
      </c>
      <c r="F34" s="18" t="s">
        <v>63</v>
      </c>
      <c r="G34" s="124">
        <v>398000</v>
      </c>
      <c r="H34" s="124"/>
      <c r="I34" s="124"/>
      <c r="J34" s="124">
        <f>G34/2*(1+$H$9)*(1+$H$9)*(1+$H$9)*(1+$H$11)*(1+$H$11)*(1+$H$11)</f>
        <v>161179.75383096165</v>
      </c>
      <c r="K34" s="124">
        <f>G34*(1+$H$8)*(1+$H$8)*(1+$H$8)*(1+$H$8)*(1+$H$11)*(1+$H$11)*(1+$H$11)*(1+$H$11)</f>
        <v>324514.85747175786</v>
      </c>
      <c r="L34" s="124">
        <f t="shared" ref="L34:AG34" si="10">K34*(1+$H$9)*(1+$H$11)</f>
        <v>302496.52439229906</v>
      </c>
      <c r="M34" s="124">
        <f t="shared" si="10"/>
        <v>281972.1352122816</v>
      </c>
      <c r="N34" s="124">
        <f t="shared" si="10"/>
        <v>262840.32583812834</v>
      </c>
      <c r="O34" s="124">
        <f t="shared" si="10"/>
        <v>245006.60973001138</v>
      </c>
      <c r="P34" s="124">
        <f t="shared" si="10"/>
        <v>228382.91125983011</v>
      </c>
      <c r="Q34" s="124">
        <f t="shared" si="10"/>
        <v>212887.13073085065</v>
      </c>
      <c r="R34" s="124">
        <f>Q34*(1+$H$9)*(1+$H$11)</f>
        <v>198442.73891076245</v>
      </c>
      <c r="S34" s="124">
        <f t="shared" si="10"/>
        <v>184978.39907566723</v>
      </c>
      <c r="T34" s="124">
        <f t="shared" si="10"/>
        <v>172427.61469838323</v>
      </c>
      <c r="U34" s="124">
        <f t="shared" si="10"/>
        <v>160728.40104109794</v>
      </c>
      <c r="V34" s="124">
        <f t="shared" si="10"/>
        <v>149822.97903045945</v>
      </c>
      <c r="W34" s="124">
        <f t="shared" si="10"/>
        <v>139657.48990324276</v>
      </c>
      <c r="X34" s="124">
        <f t="shared" si="10"/>
        <v>130181.72921330776</v>
      </c>
      <c r="Y34" s="124">
        <f t="shared" si="10"/>
        <v>121348.89888618482</v>
      </c>
      <c r="Z34" s="124">
        <f t="shared" si="10"/>
        <v>113115.37609675719</v>
      </c>
      <c r="AA34" s="124">
        <f t="shared" si="10"/>
        <v>105440.49782859221</v>
      </c>
      <c r="AB34" s="124">
        <f t="shared" si="10"/>
        <v>98286.360050922231</v>
      </c>
      <c r="AC34" s="124">
        <f t="shared" si="10"/>
        <v>91617.630521467159</v>
      </c>
      <c r="AD34" s="124">
        <f t="shared" si="10"/>
        <v>85401.37429058562</v>
      </c>
      <c r="AE34" s="124">
        <f t="shared" si="10"/>
        <v>79606.891044969394</v>
      </c>
      <c r="AF34" s="124">
        <f t="shared" si="10"/>
        <v>74205.56348756823</v>
      </c>
      <c r="AG34" s="124">
        <f t="shared" si="10"/>
        <v>69170.716004936738</v>
      </c>
    </row>
    <row r="35" spans="2:33" x14ac:dyDescent="0.25">
      <c r="B35" s="4"/>
      <c r="C35" t="s">
        <v>64</v>
      </c>
      <c r="D35" s="5">
        <f t="shared" ref="D35" si="11">ROUND(H35+NPV($H$10,I35:AG35),-5)</f>
        <v>3100000</v>
      </c>
      <c r="G35" s="124">
        <f>(10000000*(1+H9)^10)*(12/49)</f>
        <v>3291223.7861488694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3291223.7861488694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5400000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-7600000</v>
      </c>
      <c r="H38" s="190">
        <f>H35+H34+H30</f>
        <v>-4035794.6669547539</v>
      </c>
      <c r="I38" s="190">
        <f t="shared" ref="I38:AF38" si="12">I35+I34+I30</f>
        <v>-1258243.6465465906</v>
      </c>
      <c r="J38" s="190">
        <f t="shared" si="12"/>
        <v>-1145602.325515629</v>
      </c>
      <c r="K38" s="190">
        <f t="shared" si="12"/>
        <v>-666417.24739483278</v>
      </c>
      <c r="L38" s="190">
        <f t="shared" si="12"/>
        <v>-669838.67934889137</v>
      </c>
      <c r="M38" s="190">
        <f t="shared" si="12"/>
        <v>-605214.10805599682</v>
      </c>
      <c r="N38" s="190">
        <f t="shared" si="12"/>
        <v>-603720.95781361323</v>
      </c>
      <c r="O38" s="190">
        <f t="shared" si="12"/>
        <v>-599836.30364078796</v>
      </c>
      <c r="P38" s="190">
        <f t="shared" si="12"/>
        <v>-593591.68575189356</v>
      </c>
      <c r="Q38" s="190">
        <f t="shared" si="12"/>
        <v>-585009.78571283538</v>
      </c>
      <c r="R38" s="190">
        <f t="shared" si="12"/>
        <v>2717119.1000551246</v>
      </c>
      <c r="S38" s="190">
        <f t="shared" si="12"/>
        <v>-560882.09526968177</v>
      </c>
      <c r="T38" s="190">
        <f t="shared" si="12"/>
        <v>-545339.53886738757</v>
      </c>
      <c r="U38" s="190">
        <f t="shared" si="12"/>
        <v>-527466.51921103045</v>
      </c>
      <c r="V38" s="190">
        <f t="shared" si="12"/>
        <v>-507244.64398240659</v>
      </c>
      <c r="W38" s="190">
        <f t="shared" si="12"/>
        <v>-484647.72518066107</v>
      </c>
      <c r="X38" s="190">
        <f t="shared" si="12"/>
        <v>-459641.84934261802</v>
      </c>
      <c r="Y38" s="190">
        <f t="shared" si="12"/>
        <v>-432185.41986671847</v>
      </c>
      <c r="Z38" s="190">
        <f t="shared" si="12"/>
        <v>-402229.17217086762</v>
      </c>
      <c r="AA38" s="190">
        <f t="shared" si="12"/>
        <v>-369716.16230662249</v>
      </c>
      <c r="AB38" s="190">
        <f t="shared" si="12"/>
        <v>-334581.72954870807</v>
      </c>
      <c r="AC38" s="190">
        <f t="shared" si="12"/>
        <v>-296753.43337934907</v>
      </c>
      <c r="AD38" s="190">
        <f t="shared" si="12"/>
        <v>-256150.96519093204</v>
      </c>
      <c r="AE38" s="190">
        <f t="shared" si="12"/>
        <v>-212686.03493767447</v>
      </c>
      <c r="AF38" s="190">
        <f t="shared" si="12"/>
        <v>-166262.23287688912</v>
      </c>
      <c r="AG38" s="190">
        <f>AG35+AG34+AG30</f>
        <v>-116774.86645272536</v>
      </c>
    </row>
    <row r="39" spans="2:33" x14ac:dyDescent="0.25">
      <c r="B39" s="7"/>
      <c r="C39" s="16" t="s">
        <v>59</v>
      </c>
      <c r="D39" s="217" t="e">
        <f>IRR(H38:AG38)</f>
        <v>#NUM!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0.66666666666666663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ygixXyEuLvUa8rmOkA7P0ad7zlGQjKuqT65fopThvyR3KX4gdMTn4LI8puR1/w/UQaJeFi5gQttv/XYa1C4yrg==" saltValue="LwKRIkGDh6byj04vXsKZqQ==" spinCount="100000" sheet="1" objects="1" scenarios="1"/>
  <mergeCells count="3">
    <mergeCell ref="L2:M2"/>
    <mergeCell ref="AO10:AO19"/>
    <mergeCell ref="AO23:AO29"/>
  </mergeCells>
  <conditionalFormatting sqref="AQ12:AX19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3:AX29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769D2-31AE-4CD9-80B7-B1CC607E703F}">
  <dimension ref="B1:AX52"/>
  <sheetViews>
    <sheetView topLeftCell="A6" zoomScale="85" zoomScaleNormal="85" workbookViewId="0">
      <selection activeCell="C13" sqref="C13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78.42578125" customWidth="1"/>
    <col min="7" max="7" width="15.8554687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  <c r="AO7"/>
      <c r="AP7"/>
      <c r="AQ7"/>
      <c r="AR7"/>
      <c r="AS7"/>
      <c r="AT7"/>
      <c r="AU7"/>
      <c r="AV7"/>
      <c r="AW7"/>
      <c r="AX7"/>
    </row>
    <row r="8" spans="2:50" s="29" customFormat="1" ht="30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 s="12" t="s">
        <v>28</v>
      </c>
      <c r="AR8" s="3"/>
      <c r="AS8" s="3"/>
      <c r="AT8" s="3"/>
      <c r="AU8" s="3"/>
      <c r="AV8" s="3"/>
      <c r="AW8" s="3"/>
      <c r="AX8" s="3"/>
    </row>
    <row r="9" spans="2:50" ht="30" x14ac:dyDescent="0.25">
      <c r="G9" s="169" t="s">
        <v>23</v>
      </c>
      <c r="H9" s="11">
        <v>0.03</v>
      </c>
      <c r="AO9" s="173"/>
      <c r="AP9" s="173"/>
      <c r="AQ9" s="173"/>
      <c r="AR9" s="173"/>
      <c r="AS9" s="173"/>
      <c r="AT9" s="173"/>
      <c r="AU9" s="173"/>
      <c r="AV9" s="173"/>
      <c r="AW9" s="173"/>
      <c r="AX9" s="173"/>
    </row>
    <row r="10" spans="2:50" x14ac:dyDescent="0.25">
      <c r="G10" s="185" t="s">
        <v>24</v>
      </c>
      <c r="H10" s="11">
        <v>7.0000000000000007E-2</v>
      </c>
      <c r="AO10" s="219" t="s">
        <v>34</v>
      </c>
      <c r="AP10" s="187"/>
      <c r="AQ10" s="193" t="s">
        <v>24</v>
      </c>
      <c r="AR10" s="199"/>
      <c r="AS10" s="199"/>
      <c r="AT10" s="199"/>
      <c r="AU10" s="199"/>
      <c r="AV10" s="199"/>
      <c r="AW10" s="199"/>
      <c r="AX10" s="200"/>
    </row>
    <row r="11" spans="2:50" x14ac:dyDescent="0.25">
      <c r="G11" s="9" t="s">
        <v>25</v>
      </c>
      <c r="H11" s="184">
        <v>-9.5000000000000001E-2</v>
      </c>
      <c r="AO11" s="220"/>
      <c r="AP11" s="202">
        <f>D30/1000</f>
        <v>-2000</v>
      </c>
      <c r="AQ11" s="203">
        <v>0.03</v>
      </c>
      <c r="AR11" s="203">
        <v>0.04</v>
      </c>
      <c r="AS11" s="203">
        <v>0.05</v>
      </c>
      <c r="AT11" s="203">
        <v>0.06</v>
      </c>
      <c r="AU11" s="203">
        <v>7.0000000000000007E-2</v>
      </c>
      <c r="AV11" s="203">
        <v>0.08</v>
      </c>
      <c r="AW11" s="203">
        <v>0.09</v>
      </c>
      <c r="AX11" s="204">
        <v>0.1</v>
      </c>
    </row>
    <row r="12" spans="2:50" x14ac:dyDescent="0.25">
      <c r="C12" s="123" t="s">
        <v>165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11">
        <v>0.01</v>
      </c>
      <c r="AQ12" s="178">
        <f t="dataTable" ref="AQ12:AX19" dt2D="1" dtr="1" r1="H10" r2="H8" ca="1"/>
        <v>-6000</v>
      </c>
      <c r="AR12" s="178">
        <v>-6000</v>
      </c>
      <c r="AS12" s="178">
        <v>-5900</v>
      </c>
      <c r="AT12" s="178">
        <v>-5800</v>
      </c>
      <c r="AU12" s="178">
        <v>-5800</v>
      </c>
      <c r="AV12" s="178">
        <v>-5800</v>
      </c>
      <c r="AW12" s="178">
        <v>-5700</v>
      </c>
      <c r="AX12" s="206">
        <v>-5800</v>
      </c>
    </row>
    <row r="13" spans="2:50" x14ac:dyDescent="0.25">
      <c r="H13" s="110"/>
      <c r="AO13" s="220"/>
      <c r="AP13" s="211">
        <v>0.02</v>
      </c>
      <c r="AQ13" s="178">
        <v>-4700</v>
      </c>
      <c r="AR13" s="178">
        <v>-4900</v>
      </c>
      <c r="AS13" s="178">
        <v>-4900</v>
      </c>
      <c r="AT13" s="178">
        <v>-5000</v>
      </c>
      <c r="AU13" s="178">
        <v>-5100</v>
      </c>
      <c r="AV13" s="178">
        <v>-5200</v>
      </c>
      <c r="AW13" s="178">
        <v>-5100</v>
      </c>
      <c r="AX13" s="206">
        <v>-5300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0.03</v>
      </c>
      <c r="AQ14" s="178">
        <v>-3100</v>
      </c>
      <c r="AR14" s="178">
        <v>-3500</v>
      </c>
      <c r="AS14" s="178">
        <v>-3800</v>
      </c>
      <c r="AT14" s="178">
        <v>-4000</v>
      </c>
      <c r="AU14" s="178">
        <v>-4200</v>
      </c>
      <c r="AV14" s="178">
        <v>-4400</v>
      </c>
      <c r="AW14" s="178">
        <v>-4400</v>
      </c>
      <c r="AX14" s="206">
        <v>-4700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0.04</v>
      </c>
      <c r="AQ15" s="1">
        <v>-1300</v>
      </c>
      <c r="AR15" s="178">
        <v>-2000</v>
      </c>
      <c r="AS15" s="178">
        <v>-2400</v>
      </c>
      <c r="AT15" s="178">
        <v>-2800</v>
      </c>
      <c r="AU15" s="178">
        <v>-3200</v>
      </c>
      <c r="AV15" s="178">
        <v>-3500</v>
      </c>
      <c r="AW15" s="178">
        <v>-3700</v>
      </c>
      <c r="AX15" s="206">
        <v>-4000</v>
      </c>
    </row>
    <row r="16" spans="2:50" x14ac:dyDescent="0.25">
      <c r="B16" s="4"/>
      <c r="C16" t="s">
        <v>35</v>
      </c>
      <c r="D16" s="5">
        <f>ROUND(H16+NPV($H$10,I16:AG16),-5)</f>
        <v>3500000</v>
      </c>
      <c r="F16" s="10" t="s">
        <v>36</v>
      </c>
      <c r="G16" s="165">
        <f>ROUND(SUM(G17:G18)*0.1,-5)</f>
        <v>3500000</v>
      </c>
      <c r="H16" s="124">
        <f>G16</f>
        <v>3500000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0.05</v>
      </c>
      <c r="AQ16" s="1">
        <v>900</v>
      </c>
      <c r="AR16" s="178">
        <v>-100</v>
      </c>
      <c r="AS16" s="178">
        <v>-900</v>
      </c>
      <c r="AT16" s="178">
        <v>-1400</v>
      </c>
      <c r="AU16" s="178">
        <v>-2000</v>
      </c>
      <c r="AV16" s="178">
        <v>-2500</v>
      </c>
      <c r="AW16" s="178">
        <v>-2800</v>
      </c>
      <c r="AX16" s="206">
        <v>-3200</v>
      </c>
    </row>
    <row r="17" spans="2:50" x14ac:dyDescent="0.25">
      <c r="B17" s="4"/>
      <c r="C17" t="s">
        <v>37</v>
      </c>
      <c r="D17" s="5">
        <f>ROUND(H17+NPV($H$10,I17:AG17),-5)</f>
        <v>0</v>
      </c>
      <c r="F17" s="10" t="s">
        <v>38</v>
      </c>
      <c r="G17" s="165">
        <v>0</v>
      </c>
      <c r="H17" s="124">
        <f>-PMT($H$12/12,$I$12*12,$G$17)*12</f>
        <v>0</v>
      </c>
      <c r="I17" s="124">
        <f>-PMT($H$12/12,$I$12*12,$G$17)*12</f>
        <v>0</v>
      </c>
      <c r="J17" s="124">
        <f t="shared" ref="J17:AG17" si="0">-PMT($H$12/12,$I$12*12,$G$17)*12</f>
        <v>0</v>
      </c>
      <c r="K17" s="124">
        <f t="shared" si="0"/>
        <v>0</v>
      </c>
      <c r="L17" s="124">
        <f t="shared" si="0"/>
        <v>0</v>
      </c>
      <c r="M17" s="124">
        <f t="shared" si="0"/>
        <v>0</v>
      </c>
      <c r="N17" s="124">
        <f t="shared" si="0"/>
        <v>0</v>
      </c>
      <c r="O17" s="124">
        <f t="shared" si="0"/>
        <v>0</v>
      </c>
      <c r="P17" s="124">
        <f t="shared" si="0"/>
        <v>0</v>
      </c>
      <c r="Q17" s="124">
        <f t="shared" si="0"/>
        <v>0</v>
      </c>
      <c r="R17" s="124">
        <f t="shared" si="0"/>
        <v>0</v>
      </c>
      <c r="S17" s="124">
        <f t="shared" si="0"/>
        <v>0</v>
      </c>
      <c r="T17" s="124">
        <f t="shared" si="0"/>
        <v>0</v>
      </c>
      <c r="U17" s="124">
        <f t="shared" si="0"/>
        <v>0</v>
      </c>
      <c r="V17" s="124">
        <f t="shared" si="0"/>
        <v>0</v>
      </c>
      <c r="W17" s="124">
        <f t="shared" si="0"/>
        <v>0</v>
      </c>
      <c r="X17" s="124">
        <f t="shared" si="0"/>
        <v>0</v>
      </c>
      <c r="Y17" s="124">
        <f t="shared" si="0"/>
        <v>0</v>
      </c>
      <c r="Z17" s="124">
        <f t="shared" si="0"/>
        <v>0</v>
      </c>
      <c r="AA17" s="124">
        <f t="shared" si="0"/>
        <v>0</v>
      </c>
      <c r="AB17" s="124">
        <f t="shared" si="0"/>
        <v>0</v>
      </c>
      <c r="AC17" s="124">
        <f t="shared" si="0"/>
        <v>0</v>
      </c>
      <c r="AD17" s="124">
        <f t="shared" si="0"/>
        <v>0</v>
      </c>
      <c r="AE17" s="124">
        <f t="shared" si="0"/>
        <v>0</v>
      </c>
      <c r="AF17" s="124">
        <f t="shared" si="0"/>
        <v>0</v>
      </c>
      <c r="AG17" s="124">
        <f t="shared" si="0"/>
        <v>0</v>
      </c>
      <c r="AH17" s="3"/>
      <c r="AI17" s="3"/>
      <c r="AJ17" s="3"/>
      <c r="AK17" s="3"/>
      <c r="AO17" s="220"/>
      <c r="AP17" s="211">
        <v>0.06</v>
      </c>
      <c r="AQ17" s="1">
        <v>3400</v>
      </c>
      <c r="AR17" s="178">
        <v>2000</v>
      </c>
      <c r="AS17" s="178">
        <v>1000</v>
      </c>
      <c r="AT17" s="178">
        <v>200</v>
      </c>
      <c r="AU17" s="178">
        <v>-600</v>
      </c>
      <c r="AV17" s="178">
        <v>-1300</v>
      </c>
      <c r="AW17" s="178">
        <v>-1700</v>
      </c>
      <c r="AX17" s="206">
        <v>-2300</v>
      </c>
    </row>
    <row r="18" spans="2:50" x14ac:dyDescent="0.25">
      <c r="B18" s="4"/>
      <c r="C18" t="s">
        <v>39</v>
      </c>
      <c r="D18" s="5">
        <f t="shared" ref="D18:D20" si="1">ROUND(H18+NPV($H$10,I18:AG18),-5)</f>
        <v>19100000</v>
      </c>
      <c r="F18" s="10" t="s">
        <v>40</v>
      </c>
      <c r="G18" s="166">
        <f>Loop!J25</f>
        <v>35120000</v>
      </c>
      <c r="H18" s="124">
        <f>-PMT($H$12/12,$I$12*12,$G$18)*12</f>
        <v>1508689.5481978925</v>
      </c>
      <c r="I18" s="124">
        <f t="shared" ref="I18:AK18" si="2">-PMT($H$12/12,$I$12*12,$G$18)*12</f>
        <v>1508689.5481978925</v>
      </c>
      <c r="J18" s="124">
        <f t="shared" si="2"/>
        <v>1508689.5481978925</v>
      </c>
      <c r="K18" s="124">
        <f t="shared" si="2"/>
        <v>1508689.5481978925</v>
      </c>
      <c r="L18" s="124">
        <f t="shared" si="2"/>
        <v>1508689.5481978925</v>
      </c>
      <c r="M18" s="124">
        <f t="shared" si="2"/>
        <v>1508689.5481978925</v>
      </c>
      <c r="N18" s="124">
        <f t="shared" si="2"/>
        <v>1508689.5481978925</v>
      </c>
      <c r="O18" s="124">
        <f t="shared" si="2"/>
        <v>1508689.5481978925</v>
      </c>
      <c r="P18" s="124">
        <f t="shared" si="2"/>
        <v>1508689.5481978925</v>
      </c>
      <c r="Q18" s="124">
        <f t="shared" si="2"/>
        <v>1508689.5481978925</v>
      </c>
      <c r="R18" s="124">
        <f t="shared" si="2"/>
        <v>1508689.5481978925</v>
      </c>
      <c r="S18" s="124">
        <f t="shared" si="2"/>
        <v>1508689.5481978925</v>
      </c>
      <c r="T18" s="124">
        <f t="shared" si="2"/>
        <v>1508689.5481978925</v>
      </c>
      <c r="U18" s="124">
        <f t="shared" si="2"/>
        <v>1508689.5481978925</v>
      </c>
      <c r="V18" s="124">
        <f t="shared" si="2"/>
        <v>1508689.5481978925</v>
      </c>
      <c r="W18" s="124">
        <f t="shared" si="2"/>
        <v>1508689.5481978925</v>
      </c>
      <c r="X18" s="124">
        <f t="shared" si="2"/>
        <v>1508689.5481978925</v>
      </c>
      <c r="Y18" s="124">
        <f t="shared" si="2"/>
        <v>1508689.5481978925</v>
      </c>
      <c r="Z18" s="124">
        <f t="shared" si="2"/>
        <v>1508689.5481978925</v>
      </c>
      <c r="AA18" s="124">
        <f t="shared" si="2"/>
        <v>1508689.5481978925</v>
      </c>
      <c r="AB18" s="124">
        <f t="shared" si="2"/>
        <v>1508689.5481978925</v>
      </c>
      <c r="AC18" s="124">
        <f t="shared" si="2"/>
        <v>1508689.5481978925</v>
      </c>
      <c r="AD18" s="124">
        <f t="shared" si="2"/>
        <v>1508689.5481978925</v>
      </c>
      <c r="AE18" s="124">
        <f t="shared" si="2"/>
        <v>1508689.5481978925</v>
      </c>
      <c r="AF18" s="124">
        <f t="shared" si="2"/>
        <v>1508689.5481978925</v>
      </c>
      <c r="AG18" s="124">
        <f t="shared" si="2"/>
        <v>1508689.5481978925</v>
      </c>
      <c r="AH18" s="3">
        <f t="shared" si="2"/>
        <v>1508689.5481978925</v>
      </c>
      <c r="AI18" s="3">
        <f t="shared" si="2"/>
        <v>1508689.5481978925</v>
      </c>
      <c r="AJ18" s="3">
        <f t="shared" si="2"/>
        <v>1508689.5481978925</v>
      </c>
      <c r="AK18" s="3">
        <f t="shared" si="2"/>
        <v>1508689.5481978925</v>
      </c>
      <c r="AO18" s="220"/>
      <c r="AP18" s="211">
        <v>7.0000000000000007E-2</v>
      </c>
      <c r="AQ18" s="1">
        <v>6500</v>
      </c>
      <c r="AR18" s="178">
        <v>4600</v>
      </c>
      <c r="AS18" s="178">
        <v>3200</v>
      </c>
      <c r="AT18" s="178">
        <v>2000</v>
      </c>
      <c r="AU18" s="178">
        <v>1000</v>
      </c>
      <c r="AV18" s="178">
        <v>100</v>
      </c>
      <c r="AW18" s="178">
        <v>-500</v>
      </c>
      <c r="AX18" s="206">
        <v>-1200</v>
      </c>
    </row>
    <row r="19" spans="2:50" x14ac:dyDescent="0.25">
      <c r="B19" s="4"/>
      <c r="C19" t="s">
        <v>41</v>
      </c>
      <c r="D19" s="5">
        <f t="shared" si="1"/>
        <v>2400000</v>
      </c>
      <c r="F19" s="10" t="s">
        <v>68</v>
      </c>
      <c r="G19" s="165">
        <f>((30+188+14+30)*1000)*(18/30)</f>
        <v>157200</v>
      </c>
      <c r="H19" s="124"/>
      <c r="I19" s="124"/>
      <c r="J19" s="124">
        <f>G19</f>
        <v>157200</v>
      </c>
      <c r="K19" s="124">
        <f t="shared" ref="K19:AK19" si="3">J19*(1+$H$9)</f>
        <v>161916</v>
      </c>
      <c r="L19" s="124">
        <f t="shared" si="3"/>
        <v>166773.48000000001</v>
      </c>
      <c r="M19" s="124">
        <f t="shared" si="3"/>
        <v>171776.68440000003</v>
      </c>
      <c r="N19" s="124">
        <f t="shared" si="3"/>
        <v>176929.98493200002</v>
      </c>
      <c r="O19" s="124">
        <f t="shared" si="3"/>
        <v>182237.88447996002</v>
      </c>
      <c r="P19" s="124">
        <f t="shared" si="3"/>
        <v>187705.02101435882</v>
      </c>
      <c r="Q19" s="124">
        <f t="shared" si="3"/>
        <v>193336.1716447896</v>
      </c>
      <c r="R19" s="124">
        <f t="shared" si="3"/>
        <v>199136.25679413331</v>
      </c>
      <c r="S19" s="124">
        <f t="shared" si="3"/>
        <v>205110.34449795733</v>
      </c>
      <c r="T19" s="124">
        <f t="shared" si="3"/>
        <v>211263.65483289605</v>
      </c>
      <c r="U19" s="124">
        <f t="shared" si="3"/>
        <v>217601.56447788293</v>
      </c>
      <c r="V19" s="124">
        <f t="shared" si="3"/>
        <v>224129.61141221941</v>
      </c>
      <c r="W19" s="124">
        <f t="shared" si="3"/>
        <v>230853.499754586</v>
      </c>
      <c r="X19" s="124">
        <f t="shared" si="3"/>
        <v>237779.10474722358</v>
      </c>
      <c r="Y19" s="124">
        <f t="shared" si="3"/>
        <v>244912.47788964029</v>
      </c>
      <c r="Z19" s="124">
        <f t="shared" si="3"/>
        <v>252259.8522263295</v>
      </c>
      <c r="AA19" s="124">
        <f t="shared" si="3"/>
        <v>259827.64779311939</v>
      </c>
      <c r="AB19" s="124">
        <f t="shared" si="3"/>
        <v>267622.47722691298</v>
      </c>
      <c r="AC19" s="124">
        <f t="shared" si="3"/>
        <v>275651.15154372039</v>
      </c>
      <c r="AD19" s="124">
        <f t="shared" si="3"/>
        <v>283920.68609003199</v>
      </c>
      <c r="AE19" s="124">
        <f t="shared" si="3"/>
        <v>292438.30667273293</v>
      </c>
      <c r="AF19" s="124">
        <f t="shared" si="3"/>
        <v>301211.45587291493</v>
      </c>
      <c r="AG19" s="124">
        <f t="shared" si="3"/>
        <v>310247.79954910238</v>
      </c>
      <c r="AH19" s="3">
        <f t="shared" si="3"/>
        <v>319555.23353557545</v>
      </c>
      <c r="AI19" s="3">
        <f t="shared" si="3"/>
        <v>329141.89054164273</v>
      </c>
      <c r="AJ19" s="3">
        <f t="shared" si="3"/>
        <v>339016.14725789201</v>
      </c>
      <c r="AK19" s="3">
        <f t="shared" si="3"/>
        <v>349186.63167562877</v>
      </c>
      <c r="AO19" s="221"/>
      <c r="AP19" s="212">
        <v>0.08</v>
      </c>
      <c r="AQ19" s="208">
        <v>10000</v>
      </c>
      <c r="AR19" s="209">
        <v>7600</v>
      </c>
      <c r="AS19" s="209">
        <v>5800</v>
      </c>
      <c r="AT19" s="209">
        <v>4300</v>
      </c>
      <c r="AU19" s="209">
        <v>2900</v>
      </c>
      <c r="AV19" s="209">
        <v>1700</v>
      </c>
      <c r="AW19" s="209">
        <v>900</v>
      </c>
      <c r="AX19" s="210">
        <v>0</v>
      </c>
    </row>
    <row r="20" spans="2:50" x14ac:dyDescent="0.25">
      <c r="B20" s="4"/>
      <c r="C20" t="s">
        <v>43</v>
      </c>
      <c r="D20" s="5">
        <f t="shared" si="1"/>
        <v>300000</v>
      </c>
      <c r="F20" s="10" t="s">
        <v>69</v>
      </c>
      <c r="G20" s="167">
        <f>15000*18</f>
        <v>270000</v>
      </c>
      <c r="H20" s="124"/>
      <c r="I20" s="124"/>
      <c r="J20" s="124">
        <f>G20/3*(1+$H$9)*(1+$H$9)</f>
        <v>95481</v>
      </c>
      <c r="K20" s="124">
        <f>G20/3*(1+$H$9)*(1+$H$9)*(1+$H$9)</f>
        <v>98345.430000000008</v>
      </c>
      <c r="L20" s="124">
        <f>G20/3*(1+$H$9)*(1+$H$9)*(1+$H$9)</f>
        <v>98345.430000000008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196"/>
    </row>
    <row r="21" spans="2:50" ht="15.75" thickBot="1" x14ac:dyDescent="0.3">
      <c r="B21" s="4"/>
      <c r="C21" t="s">
        <v>45</v>
      </c>
      <c r="D21" s="5">
        <f>ROUND(H21+NPV($H$10,I21:AG21),-5)</f>
        <v>-1600000</v>
      </c>
      <c r="F21" s="10" t="s">
        <v>46</v>
      </c>
      <c r="G21" s="167">
        <f>-4500000*(18/49)</f>
        <v>-1653061.224489796</v>
      </c>
      <c r="H21" s="124">
        <f>-500000*(18/49)</f>
        <v>-183673.46938775512</v>
      </c>
      <c r="I21" s="124"/>
      <c r="J21" s="124"/>
      <c r="K21" s="124">
        <f>-4000000*(18/49)</f>
        <v>-1469387.7551020409</v>
      </c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7"/>
      <c r="AP21" s="198"/>
      <c r="AQ21" s="193" t="s">
        <v>54</v>
      </c>
      <c r="AR21" s="199"/>
      <c r="AS21" s="199"/>
      <c r="AT21" s="199"/>
      <c r="AU21" s="199"/>
      <c r="AV21" s="199"/>
      <c r="AW21" s="199"/>
      <c r="AX21" s="200"/>
    </row>
    <row r="22" spans="2:50" ht="15.75" thickBot="1" x14ac:dyDescent="0.3">
      <c r="B22" s="4"/>
      <c r="C22" s="13" t="s">
        <v>47</v>
      </c>
      <c r="D22" s="6">
        <f>SUM(D16:D21)</f>
        <v>23700000</v>
      </c>
      <c r="F22" s="10"/>
      <c r="G22" s="168">
        <f>SUM(G16:G21)</f>
        <v>37394138.775510207</v>
      </c>
      <c r="H22" s="162">
        <f>SUM(H16:H21)</f>
        <v>4825016.0788101377</v>
      </c>
      <c r="I22" s="125">
        <f>SUM(I16:I21)</f>
        <v>1508689.5481978925</v>
      </c>
      <c r="J22" s="125">
        <f t="shared" ref="J22" si="4">SUM(J16:J21)</f>
        <v>1761370.5481978925</v>
      </c>
      <c r="K22" s="125">
        <f>SUM(K16:K21)</f>
        <v>299563.22309585148</v>
      </c>
      <c r="L22" s="125">
        <f t="shared" ref="L22:AG22" si="5">SUM(L16:L21)</f>
        <v>1773808.4581978924</v>
      </c>
      <c r="M22" s="125">
        <f t="shared" si="5"/>
        <v>1680466.2325978926</v>
      </c>
      <c r="N22" s="125">
        <f t="shared" si="5"/>
        <v>1685619.5331298925</v>
      </c>
      <c r="O22" s="125">
        <f t="shared" si="5"/>
        <v>1690927.4326778525</v>
      </c>
      <c r="P22" s="125">
        <f t="shared" si="5"/>
        <v>1696394.5692122513</v>
      </c>
      <c r="Q22" s="125">
        <f t="shared" si="5"/>
        <v>1702025.7198426821</v>
      </c>
      <c r="R22" s="125">
        <f t="shared" si="5"/>
        <v>1707825.8049920257</v>
      </c>
      <c r="S22" s="125">
        <f t="shared" si="5"/>
        <v>1713799.8926958498</v>
      </c>
      <c r="T22" s="125">
        <f t="shared" si="5"/>
        <v>1719953.2030307886</v>
      </c>
      <c r="U22" s="125">
        <f t="shared" si="5"/>
        <v>1726291.1126757753</v>
      </c>
      <c r="V22" s="125">
        <f t="shared" si="5"/>
        <v>1732819.159610112</v>
      </c>
      <c r="W22" s="125">
        <f t="shared" si="5"/>
        <v>1739543.0479524785</v>
      </c>
      <c r="X22" s="125">
        <f t="shared" si="5"/>
        <v>1746468.6529451162</v>
      </c>
      <c r="Y22" s="125">
        <f t="shared" si="5"/>
        <v>1753602.0260875328</v>
      </c>
      <c r="Z22" s="125">
        <f t="shared" si="5"/>
        <v>1760949.400424222</v>
      </c>
      <c r="AA22" s="125">
        <f t="shared" si="5"/>
        <v>1768517.1959910118</v>
      </c>
      <c r="AB22" s="125">
        <f t="shared" si="5"/>
        <v>1776312.0254248055</v>
      </c>
      <c r="AC22" s="125">
        <f t="shared" si="5"/>
        <v>1784340.6997416129</v>
      </c>
      <c r="AD22" s="125">
        <f t="shared" si="5"/>
        <v>1792610.2342879246</v>
      </c>
      <c r="AE22" s="125">
        <f t="shared" si="5"/>
        <v>1801127.8548706253</v>
      </c>
      <c r="AF22" s="125">
        <f t="shared" si="5"/>
        <v>1809901.0040708075</v>
      </c>
      <c r="AG22" s="125">
        <f t="shared" si="5"/>
        <v>1818937.3477469948</v>
      </c>
      <c r="AH22" s="15">
        <f>SUM(AH16:AH20)</f>
        <v>1828244.7817334679</v>
      </c>
      <c r="AI22" s="15">
        <f>SUM(AI16:AI20)</f>
        <v>1837831.4387395352</v>
      </c>
      <c r="AJ22" s="15">
        <f>SUM(AJ16:AJ20)</f>
        <v>1847705.6954557844</v>
      </c>
      <c r="AK22" s="15">
        <f>SUM(AK16:AK20)</f>
        <v>1857876.1798735212</v>
      </c>
      <c r="AO22" s="201"/>
      <c r="AP22" s="202">
        <f>D30/1000</f>
        <v>-2000</v>
      </c>
      <c r="AQ22" s="203">
        <v>0.03</v>
      </c>
      <c r="AR22" s="203">
        <v>0.04</v>
      </c>
      <c r="AS22" s="203">
        <v>0.05</v>
      </c>
      <c r="AT22" s="203">
        <v>0.06</v>
      </c>
      <c r="AU22" s="203">
        <v>7.0000000000000007E-2</v>
      </c>
      <c r="AV22" s="203">
        <v>0.08</v>
      </c>
      <c r="AW22" s="203">
        <v>0.09</v>
      </c>
      <c r="AX22" s="204">
        <v>0.1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 t="s">
        <v>26</v>
      </c>
      <c r="AP23" s="205">
        <v>0.02</v>
      </c>
      <c r="AQ23" s="178">
        <f t="dataTable" ref="AQ23:AX29" dt2D="1" dtr="1" r1="H10" r2="H12"/>
        <v>5200</v>
      </c>
      <c r="AR23" s="178">
        <v>3800</v>
      </c>
      <c r="AS23" s="178">
        <v>2600</v>
      </c>
      <c r="AT23" s="178">
        <v>1800</v>
      </c>
      <c r="AU23" s="178">
        <v>1000</v>
      </c>
      <c r="AV23" s="178">
        <v>200</v>
      </c>
      <c r="AW23" s="178">
        <v>-300</v>
      </c>
      <c r="AX23" s="206">
        <v>-900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/>
      <c r="AP24" s="205">
        <v>2.5000000000000001E-2</v>
      </c>
      <c r="AQ24" s="178">
        <v>3100</v>
      </c>
      <c r="AR24" s="178">
        <v>1900</v>
      </c>
      <c r="AS24" s="178">
        <v>900</v>
      </c>
      <c r="AT24" s="178">
        <v>200</v>
      </c>
      <c r="AU24" s="178">
        <v>-500</v>
      </c>
      <c r="AV24" s="178">
        <v>-1100</v>
      </c>
      <c r="AW24" s="178">
        <v>-1500</v>
      </c>
      <c r="AX24" s="206">
        <v>-2000</v>
      </c>
    </row>
    <row r="25" spans="2:50" x14ac:dyDescent="0.25">
      <c r="B25" s="4"/>
      <c r="C25" t="s">
        <v>50</v>
      </c>
      <c r="D25" s="5">
        <f>ROUND(H25+NPV($H$10,I25:AG25),-5)</f>
        <v>6900000</v>
      </c>
      <c r="F25" s="10" t="s">
        <v>51</v>
      </c>
      <c r="G25" s="124">
        <v>432000</v>
      </c>
      <c r="H25" s="124"/>
      <c r="I25" s="124"/>
      <c r="J25" s="124">
        <f>G25/2*(1+$H$9)*(1+$H$9)*(1+$H$9)</f>
        <v>236029.03200000001</v>
      </c>
      <c r="K25" s="124">
        <f>G25*(1+$H$9)*(1+$H$9)*(1+$H$9)*(1+$H$9)</f>
        <v>486219.80592000001</v>
      </c>
      <c r="L25" s="124">
        <f t="shared" ref="L25:AK26" si="6">K25*(1+$H$9)</f>
        <v>500806.40009760001</v>
      </c>
      <c r="M25" s="124">
        <f t="shared" si="6"/>
        <v>515830.59210052801</v>
      </c>
      <c r="N25" s="124">
        <f t="shared" si="6"/>
        <v>531305.50986354391</v>
      </c>
      <c r="O25" s="124">
        <f t="shared" si="6"/>
        <v>547244.67515945027</v>
      </c>
      <c r="P25" s="124">
        <f t="shared" si="6"/>
        <v>563662.01541423379</v>
      </c>
      <c r="Q25" s="124">
        <f t="shared" si="6"/>
        <v>580571.87587666081</v>
      </c>
      <c r="R25" s="124">
        <f t="shared" si="6"/>
        <v>597989.03215296066</v>
      </c>
      <c r="S25" s="124">
        <f t="shared" si="6"/>
        <v>615928.70311754954</v>
      </c>
      <c r="T25" s="124">
        <f t="shared" si="6"/>
        <v>634406.56421107601</v>
      </c>
      <c r="U25" s="124">
        <f t="shared" si="6"/>
        <v>653438.76113740832</v>
      </c>
      <c r="V25" s="124">
        <f t="shared" si="6"/>
        <v>673041.92397153063</v>
      </c>
      <c r="W25" s="124">
        <f t="shared" si="6"/>
        <v>693233.1816906766</v>
      </c>
      <c r="X25" s="124">
        <f t="shared" si="6"/>
        <v>714030.17714139691</v>
      </c>
      <c r="Y25" s="124">
        <f t="shared" si="6"/>
        <v>735451.0824556388</v>
      </c>
      <c r="Z25" s="124">
        <f t="shared" si="6"/>
        <v>757514.61492930795</v>
      </c>
      <c r="AA25" s="124">
        <f t="shared" si="6"/>
        <v>780240.05337718723</v>
      </c>
      <c r="AB25" s="124">
        <f t="shared" si="6"/>
        <v>803647.25497850287</v>
      </c>
      <c r="AC25" s="124">
        <f t="shared" si="6"/>
        <v>827756.672627858</v>
      </c>
      <c r="AD25" s="124">
        <f t="shared" si="6"/>
        <v>852589.37280669378</v>
      </c>
      <c r="AE25" s="124">
        <f t="shared" si="6"/>
        <v>878167.05399089458</v>
      </c>
      <c r="AF25" s="124">
        <f t="shared" si="6"/>
        <v>904512.06561062147</v>
      </c>
      <c r="AG25" s="124">
        <f t="shared" si="6"/>
        <v>931647.42757894017</v>
      </c>
      <c r="AH25" s="3">
        <f t="shared" si="6"/>
        <v>959596.85040630843</v>
      </c>
      <c r="AI25" s="3">
        <f t="shared" si="6"/>
        <v>988384.75591849769</v>
      </c>
      <c r="AJ25" s="3">
        <f t="shared" si="6"/>
        <v>1018036.2985960527</v>
      </c>
      <c r="AK25" s="3">
        <f t="shared" si="6"/>
        <v>1048577.3875539342</v>
      </c>
      <c r="AO25" s="220"/>
      <c r="AP25" s="205">
        <v>0.03</v>
      </c>
      <c r="AQ25" s="178">
        <v>900</v>
      </c>
      <c r="AR25" s="178">
        <v>-100</v>
      </c>
      <c r="AS25" s="178">
        <v>-900</v>
      </c>
      <c r="AT25" s="178">
        <v>-1400</v>
      </c>
      <c r="AU25" s="178">
        <v>-2000</v>
      </c>
      <c r="AV25" s="178">
        <v>-2500</v>
      </c>
      <c r="AW25" s="178">
        <v>-2800</v>
      </c>
      <c r="AX25" s="206">
        <v>-3200</v>
      </c>
    </row>
    <row r="26" spans="2:50" x14ac:dyDescent="0.25">
      <c r="B26" s="4"/>
      <c r="C26" t="s">
        <v>52</v>
      </c>
      <c r="D26" s="5">
        <f>ROUND(H26+NPV($H$10,I26:AG26),-5)</f>
        <v>5100000</v>
      </c>
      <c r="F26" s="10" t="s">
        <v>53</v>
      </c>
      <c r="G26" s="124">
        <v>321000</v>
      </c>
      <c r="H26" s="124"/>
      <c r="I26" s="124"/>
      <c r="J26" s="124">
        <f>G26/2*(1+$H$9)*(1+$H$9)*(1+$H$9)</f>
        <v>175382.68350000001</v>
      </c>
      <c r="K26" s="124">
        <f>G26*(1+$H$9)*(1+$H$9)*(1+$H$9)*(1+$H$9)</f>
        <v>361288.32801000006</v>
      </c>
      <c r="L26" s="124">
        <f t="shared" si="6"/>
        <v>372126.97785030009</v>
      </c>
      <c r="M26" s="124">
        <f t="shared" si="6"/>
        <v>383290.78718580911</v>
      </c>
      <c r="N26" s="124">
        <f t="shared" si="6"/>
        <v>394789.51080138341</v>
      </c>
      <c r="O26" s="124">
        <f t="shared" si="6"/>
        <v>406633.19612542493</v>
      </c>
      <c r="P26" s="124">
        <f t="shared" si="6"/>
        <v>418832.19200918771</v>
      </c>
      <c r="Q26" s="124">
        <f t="shared" si="6"/>
        <v>431397.15776946337</v>
      </c>
      <c r="R26" s="124">
        <f t="shared" si="6"/>
        <v>444339.07250254729</v>
      </c>
      <c r="S26" s="124">
        <f t="shared" si="6"/>
        <v>457669.24467762373</v>
      </c>
      <c r="T26" s="124">
        <f t="shared" si="6"/>
        <v>471399.32201795245</v>
      </c>
      <c r="U26" s="124">
        <f t="shared" si="6"/>
        <v>485541.30167849106</v>
      </c>
      <c r="V26" s="124">
        <f t="shared" si="6"/>
        <v>500107.54072884581</v>
      </c>
      <c r="W26" s="124">
        <f t="shared" si="6"/>
        <v>515110.7669507112</v>
      </c>
      <c r="X26" s="124">
        <f t="shared" si="6"/>
        <v>530564.0899592326</v>
      </c>
      <c r="Y26" s="124">
        <f t="shared" si="6"/>
        <v>546481.01265800954</v>
      </c>
      <c r="Z26" s="124">
        <f t="shared" si="6"/>
        <v>562875.44303774985</v>
      </c>
      <c r="AA26" s="124">
        <f t="shared" si="6"/>
        <v>579761.70632888237</v>
      </c>
      <c r="AB26" s="124">
        <f t="shared" si="6"/>
        <v>597154.5575187488</v>
      </c>
      <c r="AC26" s="124">
        <f t="shared" si="6"/>
        <v>615069.19424431131</v>
      </c>
      <c r="AD26" s="124">
        <f t="shared" si="6"/>
        <v>633521.27007164061</v>
      </c>
      <c r="AE26" s="124">
        <f t="shared" si="6"/>
        <v>652526.90817378985</v>
      </c>
      <c r="AF26" s="124">
        <f t="shared" si="6"/>
        <v>672102.71541900351</v>
      </c>
      <c r="AG26" s="124">
        <f t="shared" si="6"/>
        <v>692265.79688157362</v>
      </c>
      <c r="AH26" s="3">
        <f t="shared" si="6"/>
        <v>713033.7707880208</v>
      </c>
      <c r="AI26" s="3">
        <f t="shared" si="6"/>
        <v>734424.78391166148</v>
      </c>
      <c r="AJ26" s="3">
        <f t="shared" si="6"/>
        <v>756457.5274290113</v>
      </c>
      <c r="AK26" s="3">
        <f t="shared" si="6"/>
        <v>779151.25325188169</v>
      </c>
      <c r="AO26" s="220"/>
      <c r="AP26" s="205">
        <v>3.5000000000000003E-2</v>
      </c>
      <c r="AQ26" s="1">
        <v>-1400</v>
      </c>
      <c r="AR26" s="178">
        <v>-2100</v>
      </c>
      <c r="AS26" s="178">
        <v>-2700</v>
      </c>
      <c r="AT26" s="178">
        <v>-3100</v>
      </c>
      <c r="AU26" s="178">
        <v>-3600</v>
      </c>
      <c r="AV26" s="178">
        <v>-4000</v>
      </c>
      <c r="AW26" s="178">
        <v>-4200</v>
      </c>
      <c r="AX26" s="206">
        <v>-4500</v>
      </c>
    </row>
    <row r="27" spans="2:50" x14ac:dyDescent="0.25">
      <c r="B27" s="4"/>
      <c r="C27" t="s">
        <v>55</v>
      </c>
      <c r="D27" s="5">
        <f>ROUND(H27+NPV($H$10,I27:AG27),-5)</f>
        <v>9700000</v>
      </c>
      <c r="F27" s="10" t="s">
        <v>56</v>
      </c>
      <c r="G27" s="124">
        <f>ROUND(135103+338001,-2)</f>
        <v>473100</v>
      </c>
      <c r="H27" s="124"/>
      <c r="I27" s="124"/>
      <c r="J27" s="124">
        <f>G27/2*(1+$H$9)*(1+$H$9)*(1+$H$9)</f>
        <v>258484.57185000004</v>
      </c>
      <c r="K27" s="124">
        <f>G27*(1+$H$8)*(1+$H$8)*(1+$H$8)*(1+$H$8)</f>
        <v>575056.00687500008</v>
      </c>
      <c r="L27" s="124">
        <f>K27*(1+$H$8)</f>
        <v>603808.80721875012</v>
      </c>
      <c r="M27" s="124">
        <f>L27*(1+$H$8)</f>
        <v>633999.24757968762</v>
      </c>
      <c r="N27" s="124">
        <f t="shared" ref="N27:AK27" si="7">M27*(1+$H$8)</f>
        <v>665699.20995867206</v>
      </c>
      <c r="O27" s="124">
        <f t="shared" si="7"/>
        <v>698984.17045660573</v>
      </c>
      <c r="P27" s="124">
        <f t="shared" si="7"/>
        <v>733933.37897943601</v>
      </c>
      <c r="Q27" s="124">
        <f t="shared" si="7"/>
        <v>770630.04792840779</v>
      </c>
      <c r="R27" s="124">
        <f t="shared" si="7"/>
        <v>809161.55032482825</v>
      </c>
      <c r="S27" s="124">
        <f t="shared" si="7"/>
        <v>849619.62784106971</v>
      </c>
      <c r="T27" s="124">
        <f t="shared" si="7"/>
        <v>892100.60923312325</v>
      </c>
      <c r="U27" s="124">
        <f t="shared" si="7"/>
        <v>936705.63969477941</v>
      </c>
      <c r="V27" s="124">
        <f t="shared" si="7"/>
        <v>983540.92167951842</v>
      </c>
      <c r="W27" s="124">
        <f t="shared" si="7"/>
        <v>1032717.9677634944</v>
      </c>
      <c r="X27" s="124">
        <f t="shared" si="7"/>
        <v>1084353.8661516691</v>
      </c>
      <c r="Y27" s="124">
        <f t="shared" si="7"/>
        <v>1138571.5594592525</v>
      </c>
      <c r="Z27" s="124">
        <f t="shared" si="7"/>
        <v>1195500.1374322153</v>
      </c>
      <c r="AA27" s="124">
        <f t="shared" si="7"/>
        <v>1255275.1443038261</v>
      </c>
      <c r="AB27" s="124">
        <f t="shared" si="7"/>
        <v>1318038.9015190175</v>
      </c>
      <c r="AC27" s="124">
        <f t="shared" si="7"/>
        <v>1383940.8465949686</v>
      </c>
      <c r="AD27" s="124">
        <f t="shared" si="7"/>
        <v>1453137.888924717</v>
      </c>
      <c r="AE27" s="124">
        <f t="shared" si="7"/>
        <v>1525794.7833709528</v>
      </c>
      <c r="AF27" s="124">
        <f t="shared" si="7"/>
        <v>1602084.5225395006</v>
      </c>
      <c r="AG27" s="124">
        <f t="shared" si="7"/>
        <v>1682188.7486664758</v>
      </c>
      <c r="AH27" s="3">
        <f t="shared" si="7"/>
        <v>1766298.1860997996</v>
      </c>
      <c r="AI27" s="3">
        <f t="shared" si="7"/>
        <v>1854613.0954047896</v>
      </c>
      <c r="AJ27" s="3">
        <f t="shared" si="7"/>
        <v>1947343.750175029</v>
      </c>
      <c r="AK27" s="3">
        <f t="shared" si="7"/>
        <v>2044710.9376837807</v>
      </c>
      <c r="AO27" s="220"/>
      <c r="AP27" s="205">
        <v>0.04</v>
      </c>
      <c r="AQ27" s="1">
        <v>-3700</v>
      </c>
      <c r="AR27" s="178">
        <v>-4300</v>
      </c>
      <c r="AS27" s="178">
        <v>-4700</v>
      </c>
      <c r="AT27" s="178">
        <v>-4900</v>
      </c>
      <c r="AU27" s="178">
        <v>-5200</v>
      </c>
      <c r="AV27" s="178">
        <v>-5500</v>
      </c>
      <c r="AW27" s="178">
        <v>-5600</v>
      </c>
      <c r="AX27" s="206">
        <v>-5700</v>
      </c>
    </row>
    <row r="28" spans="2:50" x14ac:dyDescent="0.25">
      <c r="B28" s="7"/>
      <c r="C28" s="13" t="s">
        <v>57</v>
      </c>
      <c r="D28" s="6">
        <f>SUM(D25:D27)</f>
        <v>21700000</v>
      </c>
      <c r="F28" s="10"/>
      <c r="G28" s="125">
        <f t="shared" ref="G28:AK28" si="8">SUM(G25:G27)</f>
        <v>1226100</v>
      </c>
      <c r="H28" s="125">
        <f t="shared" si="8"/>
        <v>0</v>
      </c>
      <c r="I28" s="125">
        <f t="shared" si="8"/>
        <v>0</v>
      </c>
      <c r="J28" s="125">
        <f t="shared" si="8"/>
        <v>669896.28735000012</v>
      </c>
      <c r="K28" s="125">
        <f t="shared" si="8"/>
        <v>1422564.140805</v>
      </c>
      <c r="L28" s="125">
        <f t="shared" si="8"/>
        <v>1476742.1851666502</v>
      </c>
      <c r="M28" s="125">
        <f t="shared" si="8"/>
        <v>1533120.6268660249</v>
      </c>
      <c r="N28" s="125">
        <f t="shared" si="8"/>
        <v>1591794.2306235994</v>
      </c>
      <c r="O28" s="125">
        <f t="shared" si="8"/>
        <v>1652862.0417414811</v>
      </c>
      <c r="P28" s="125">
        <f t="shared" si="8"/>
        <v>1716427.5864028577</v>
      </c>
      <c r="Q28" s="125">
        <f t="shared" si="8"/>
        <v>1782599.081574532</v>
      </c>
      <c r="R28" s="125">
        <f t="shared" si="8"/>
        <v>1851489.6549803363</v>
      </c>
      <c r="S28" s="125">
        <f t="shared" si="8"/>
        <v>1923217.575636243</v>
      </c>
      <c r="T28" s="125">
        <f t="shared" si="8"/>
        <v>1997906.4954621517</v>
      </c>
      <c r="U28" s="125">
        <f t="shared" si="8"/>
        <v>2075685.7025106789</v>
      </c>
      <c r="V28" s="125">
        <f t="shared" si="8"/>
        <v>2156690.3863798948</v>
      </c>
      <c r="W28" s="125">
        <f t="shared" si="8"/>
        <v>2241061.916404882</v>
      </c>
      <c r="X28" s="125">
        <f t="shared" si="8"/>
        <v>2328948.1332522985</v>
      </c>
      <c r="Y28" s="125">
        <f t="shared" si="8"/>
        <v>2420503.6545729009</v>
      </c>
      <c r="Z28" s="125">
        <f t="shared" si="8"/>
        <v>2515890.1953992732</v>
      </c>
      <c r="AA28" s="125">
        <f t="shared" si="8"/>
        <v>2615276.9040098959</v>
      </c>
      <c r="AB28" s="125">
        <f t="shared" si="8"/>
        <v>2718840.714016269</v>
      </c>
      <c r="AC28" s="125">
        <f t="shared" si="8"/>
        <v>2826766.7134671379</v>
      </c>
      <c r="AD28" s="125">
        <f t="shared" si="8"/>
        <v>2939248.5318030515</v>
      </c>
      <c r="AE28" s="125">
        <f t="shared" si="8"/>
        <v>3056488.7455356373</v>
      </c>
      <c r="AF28" s="125">
        <f t="shared" si="8"/>
        <v>3178699.3035691255</v>
      </c>
      <c r="AG28" s="125">
        <f t="shared" si="8"/>
        <v>3306101.9731269898</v>
      </c>
      <c r="AH28" s="13">
        <f t="shared" si="8"/>
        <v>3438928.8072941285</v>
      </c>
      <c r="AI28" s="13">
        <f t="shared" si="8"/>
        <v>3577422.6352349487</v>
      </c>
      <c r="AJ28" s="13">
        <f t="shared" si="8"/>
        <v>3721837.5762000931</v>
      </c>
      <c r="AK28" s="13">
        <f t="shared" si="8"/>
        <v>3872439.5784895965</v>
      </c>
      <c r="AO28" s="220"/>
      <c r="AP28" s="205">
        <v>4.4999999999999998E-2</v>
      </c>
      <c r="AQ28" s="1">
        <v>-6200</v>
      </c>
      <c r="AR28" s="178">
        <v>-6500</v>
      </c>
      <c r="AS28" s="178">
        <v>-6700</v>
      </c>
      <c r="AT28" s="178">
        <v>-6700</v>
      </c>
      <c r="AU28" s="178">
        <v>-6900</v>
      </c>
      <c r="AV28" s="178">
        <v>-7000</v>
      </c>
      <c r="AW28" s="178">
        <v>-7000</v>
      </c>
      <c r="AX28" s="206">
        <v>-7100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1"/>
      <c r="AP29" s="207">
        <v>0.05</v>
      </c>
      <c r="AQ29" s="208">
        <v>-8700</v>
      </c>
      <c r="AR29" s="209">
        <v>-8800</v>
      </c>
      <c r="AS29" s="209">
        <v>-8800</v>
      </c>
      <c r="AT29" s="209">
        <v>-8600</v>
      </c>
      <c r="AU29" s="209">
        <v>-8600</v>
      </c>
      <c r="AV29" s="209">
        <v>-8600</v>
      </c>
      <c r="AW29" s="209">
        <v>-8500</v>
      </c>
      <c r="AX29" s="210">
        <v>-8500</v>
      </c>
    </row>
    <row r="30" spans="2:50" x14ac:dyDescent="0.25">
      <c r="B30" s="7"/>
      <c r="C30" s="13" t="s">
        <v>58</v>
      </c>
      <c r="D30" s="6">
        <f>D28-D22</f>
        <v>-2000000</v>
      </c>
      <c r="F30" s="10"/>
      <c r="G30" s="124"/>
      <c r="H30" s="125">
        <f>H28-H22</f>
        <v>-4825016.0788101377</v>
      </c>
      <c r="I30" s="125">
        <f t="shared" ref="I30:AK30" si="9">I28-I22</f>
        <v>-1508689.5481978925</v>
      </c>
      <c r="J30" s="125">
        <f t="shared" si="9"/>
        <v>-1091474.2608478924</v>
      </c>
      <c r="K30" s="125">
        <f t="shared" si="9"/>
        <v>1123000.9177091485</v>
      </c>
      <c r="L30" s="125">
        <f t="shared" si="9"/>
        <v>-297066.27303124219</v>
      </c>
      <c r="M30" s="125">
        <f t="shared" si="9"/>
        <v>-147345.60573186772</v>
      </c>
      <c r="N30" s="125">
        <f t="shared" si="9"/>
        <v>-93825.30250629317</v>
      </c>
      <c r="O30" s="125">
        <f t="shared" si="9"/>
        <v>-38065.390936371405</v>
      </c>
      <c r="P30" s="125">
        <f t="shared" si="9"/>
        <v>20033.017190606333</v>
      </c>
      <c r="Q30" s="125">
        <f t="shared" si="9"/>
        <v>80573.361731849844</v>
      </c>
      <c r="R30" s="125">
        <f t="shared" si="9"/>
        <v>143663.8499883106</v>
      </c>
      <c r="S30" s="125">
        <f t="shared" si="9"/>
        <v>209417.68294039322</v>
      </c>
      <c r="T30" s="125">
        <f t="shared" si="9"/>
        <v>277953.29243136314</v>
      </c>
      <c r="U30" s="125">
        <f t="shared" si="9"/>
        <v>349394.5898349036</v>
      </c>
      <c r="V30" s="125">
        <f t="shared" si="9"/>
        <v>423871.22676978284</v>
      </c>
      <c r="W30" s="125">
        <f t="shared" si="9"/>
        <v>501518.86845240346</v>
      </c>
      <c r="X30" s="125">
        <f t="shared" si="9"/>
        <v>582479.4803071823</v>
      </c>
      <c r="Y30" s="125">
        <f t="shared" si="9"/>
        <v>666901.6284853681</v>
      </c>
      <c r="Z30" s="125">
        <f t="shared" si="9"/>
        <v>754940.79497505119</v>
      </c>
      <c r="AA30" s="125">
        <f t="shared" si="9"/>
        <v>846759.70801888406</v>
      </c>
      <c r="AB30" s="125">
        <f t="shared" si="9"/>
        <v>942528.68859146349</v>
      </c>
      <c r="AC30" s="125">
        <f t="shared" si="9"/>
        <v>1042426.013725525</v>
      </c>
      <c r="AD30" s="125">
        <f t="shared" si="9"/>
        <v>1146638.2975151269</v>
      </c>
      <c r="AE30" s="125">
        <f t="shared" si="9"/>
        <v>1255360.8906650119</v>
      </c>
      <c r="AF30" s="125">
        <f t="shared" si="9"/>
        <v>1368798.299498318</v>
      </c>
      <c r="AG30" s="125">
        <f t="shared" si="9"/>
        <v>1487164.625379995</v>
      </c>
      <c r="AH30" s="15">
        <f t="shared" si="9"/>
        <v>1610684.0255606605</v>
      </c>
      <c r="AI30" s="15">
        <f t="shared" si="9"/>
        <v>1739591.1964954135</v>
      </c>
      <c r="AJ30" s="15">
        <f t="shared" si="9"/>
        <v>1874131.8807443087</v>
      </c>
      <c r="AK30" s="15">
        <f t="shared" si="9"/>
        <v>2014563.3986160753</v>
      </c>
    </row>
    <row r="31" spans="2:50" x14ac:dyDescent="0.25">
      <c r="B31" s="7"/>
      <c r="C31" s="16" t="s">
        <v>59</v>
      </c>
      <c r="D31" s="17">
        <f>IRR(H30:AG30)</f>
        <v>2.977992561553866E-2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0.91561181434599159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2000000</v>
      </c>
      <c r="F34" s="18" t="s">
        <v>63</v>
      </c>
      <c r="G34" s="124">
        <v>352000</v>
      </c>
      <c r="H34" s="124"/>
      <c r="I34" s="124"/>
      <c r="J34" s="124">
        <f>G34/2*(1+$H$9)*(1+$H$9)*(1+$H$9)*(1+$H$11)*(1+$H$11)*(1+$H$11)</f>
        <v>142550.93806155398</v>
      </c>
      <c r="K34" s="124">
        <f>G34*(1+$H$8)*(1+$H$8)*(1+$H$8)*(1+$H$8)*(1+$H$11)*(1+$H$11)*(1+$H$11)*(1+$H$11)</f>
        <v>287008.11515090149</v>
      </c>
      <c r="L34" s="124">
        <f t="shared" ref="L34:AG34" si="10">K34*(1+$H$9)*(1+$H$11)</f>
        <v>267534.61453791283</v>
      </c>
      <c r="M34" s="124">
        <f t="shared" si="10"/>
        <v>249382.39094151545</v>
      </c>
      <c r="N34" s="124">
        <f t="shared" si="10"/>
        <v>232461.79571613364</v>
      </c>
      <c r="O34" s="124">
        <f t="shared" si="10"/>
        <v>216689.262876794</v>
      </c>
      <c r="P34" s="124">
        <f t="shared" si="10"/>
        <v>201986.89639060356</v>
      </c>
      <c r="Q34" s="124">
        <f t="shared" si="10"/>
        <v>188282.08547050113</v>
      </c>
      <c r="R34" s="124">
        <f t="shared" si="10"/>
        <v>175507.14597132764</v>
      </c>
      <c r="S34" s="124">
        <f t="shared" si="10"/>
        <v>163598.98611717307</v>
      </c>
      <c r="T34" s="124">
        <f t="shared" si="10"/>
        <v>152498.79490912289</v>
      </c>
      <c r="U34" s="124">
        <f t="shared" si="10"/>
        <v>142151.75167453891</v>
      </c>
      <c r="V34" s="124">
        <f t="shared" si="10"/>
        <v>132506.75532342144</v>
      </c>
      <c r="W34" s="124">
        <f t="shared" si="10"/>
        <v>123516.17197472732</v>
      </c>
      <c r="X34" s="124">
        <f t="shared" si="10"/>
        <v>115135.59970624208</v>
      </c>
      <c r="Y34" s="124">
        <f t="shared" si="10"/>
        <v>107323.64926617357</v>
      </c>
      <c r="Z34" s="124">
        <f t="shared" si="10"/>
        <v>100041.7396634637</v>
      </c>
      <c r="AA34" s="124">
        <f t="shared" si="10"/>
        <v>93253.907627297696</v>
      </c>
      <c r="AB34" s="124">
        <f t="shared" si="10"/>
        <v>86926.629994785544</v>
      </c>
      <c r="AC34" s="124">
        <f t="shared" si="10"/>
        <v>81028.658149639363</v>
      </c>
      <c r="AD34" s="124">
        <f t="shared" si="10"/>
        <v>75530.863694186337</v>
      </c>
      <c r="AE34" s="124">
        <f t="shared" si="10"/>
        <v>70406.094592535796</v>
      </c>
      <c r="AF34" s="124">
        <f t="shared" si="10"/>
        <v>65629.041074432243</v>
      </c>
      <c r="AG34" s="124">
        <f t="shared" si="10"/>
        <v>61176.110637532016</v>
      </c>
    </row>
    <row r="35" spans="2:33" x14ac:dyDescent="0.25">
      <c r="B35" s="4"/>
      <c r="C35" t="s">
        <v>64</v>
      </c>
      <c r="D35" s="5">
        <f>ROUND(H35+NPV($H$10,I35:AG35),-5)</f>
        <v>4600000</v>
      </c>
      <c r="G35" s="124">
        <f>(10000000*(1+H9)^10)*(18/49)</f>
        <v>4936835.6792233046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4936835.6792233046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6600000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4600000</v>
      </c>
      <c r="H38" s="190">
        <f>H35+H34+H30</f>
        <v>-4825016.0788101377</v>
      </c>
      <c r="I38" s="190">
        <f t="shared" ref="I38:AF38" si="11">I35+I34+I30</f>
        <v>-1508689.5481978925</v>
      </c>
      <c r="J38" s="190">
        <f t="shared" si="11"/>
        <v>-948923.32278633839</v>
      </c>
      <c r="K38" s="190">
        <f t="shared" si="11"/>
        <v>1410009.03286005</v>
      </c>
      <c r="L38" s="190">
        <f t="shared" si="11"/>
        <v>-29531.658493329363</v>
      </c>
      <c r="M38" s="190">
        <f t="shared" si="11"/>
        <v>102036.78520964773</v>
      </c>
      <c r="N38" s="190">
        <f t="shared" si="11"/>
        <v>138636.49320984047</v>
      </c>
      <c r="O38" s="190">
        <f t="shared" si="11"/>
        <v>178623.8719404226</v>
      </c>
      <c r="P38" s="190">
        <f t="shared" si="11"/>
        <v>222019.9135812099</v>
      </c>
      <c r="Q38" s="190">
        <f t="shared" si="11"/>
        <v>268855.44720235094</v>
      </c>
      <c r="R38" s="190">
        <f t="shared" si="11"/>
        <v>5256006.6751829432</v>
      </c>
      <c r="S38" s="190">
        <f t="shared" si="11"/>
        <v>373016.66905756632</v>
      </c>
      <c r="T38" s="190">
        <f t="shared" si="11"/>
        <v>430452.087340486</v>
      </c>
      <c r="U38" s="190">
        <f t="shared" si="11"/>
        <v>491546.34150944254</v>
      </c>
      <c r="V38" s="190">
        <f t="shared" si="11"/>
        <v>556377.98209320428</v>
      </c>
      <c r="W38" s="190">
        <f t="shared" si="11"/>
        <v>625035.04042713076</v>
      </c>
      <c r="X38" s="190">
        <f t="shared" si="11"/>
        <v>697615.08001342439</v>
      </c>
      <c r="Y38" s="190">
        <f t="shared" si="11"/>
        <v>774225.2777515417</v>
      </c>
      <c r="Z38" s="190">
        <f t="shared" si="11"/>
        <v>854982.53463851486</v>
      </c>
      <c r="AA38" s="190">
        <f t="shared" si="11"/>
        <v>940013.61564618174</v>
      </c>
      <c r="AB38" s="190">
        <f t="shared" si="11"/>
        <v>1029455.318586249</v>
      </c>
      <c r="AC38" s="190">
        <f t="shared" si="11"/>
        <v>1123454.6718751644</v>
      </c>
      <c r="AD38" s="190">
        <f t="shared" si="11"/>
        <v>1222169.1612093132</v>
      </c>
      <c r="AE38" s="190">
        <f t="shared" si="11"/>
        <v>1325766.9852575478</v>
      </c>
      <c r="AF38" s="190">
        <f t="shared" si="11"/>
        <v>1434427.3405727502</v>
      </c>
      <c r="AG38" s="190">
        <f>AG35+AG34+AG30</f>
        <v>1548340.7360175271</v>
      </c>
    </row>
    <row r="39" spans="2:33" x14ac:dyDescent="0.25">
      <c r="B39" s="7"/>
      <c r="C39" s="16" t="s">
        <v>59</v>
      </c>
      <c r="D39" s="17">
        <f>IRR(H38:AG38)</f>
        <v>8.1303515724357345E-2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1.1940928270042195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nG9tHINyi3iaVhHIn+4kZtGzMLdzYTS+O5WVGIi4EC3NZv5W45HBOziQESD4G5Vj6kt/sFiS01nwzIDibxBxLw==" saltValue="aIx11zH/45qAbsnYiwgjvA==" spinCount="100000" sheet="1" objects="1" scenarios="1"/>
  <mergeCells count="3">
    <mergeCell ref="L2:M2"/>
    <mergeCell ref="AO10:AO19"/>
    <mergeCell ref="AO23:AO29"/>
  </mergeCells>
  <conditionalFormatting sqref="AQ12:AX19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3:AX29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62D81-E5A5-4C1E-9451-F84E80EFBAB7}">
  <dimension ref="B1:AX52"/>
  <sheetViews>
    <sheetView topLeftCell="A8" zoomScale="85" zoomScaleNormal="85" workbookViewId="0">
      <selection activeCell="C13" sqref="C13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78.140625" customWidth="1"/>
    <col min="7" max="7" width="16.8554687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  <c r="AO7"/>
      <c r="AP7"/>
      <c r="AQ7"/>
      <c r="AR7"/>
      <c r="AS7"/>
      <c r="AT7"/>
      <c r="AU7"/>
      <c r="AV7"/>
      <c r="AW7"/>
      <c r="AX7"/>
    </row>
    <row r="8" spans="2:50" s="29" customFormat="1" ht="45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 s="12" t="s">
        <v>28</v>
      </c>
      <c r="AR8" s="3"/>
      <c r="AS8" s="3"/>
      <c r="AT8" s="3"/>
      <c r="AU8" s="3"/>
      <c r="AV8" s="3"/>
      <c r="AW8" s="3"/>
      <c r="AX8" s="3"/>
    </row>
    <row r="9" spans="2:50" ht="30" x14ac:dyDescent="0.25">
      <c r="G9" s="169" t="s">
        <v>23</v>
      </c>
      <c r="H9" s="11">
        <v>0.03</v>
      </c>
      <c r="AO9" s="173"/>
      <c r="AP9" s="173"/>
      <c r="AQ9" s="173"/>
      <c r="AR9" s="173"/>
      <c r="AS9" s="173"/>
      <c r="AT9" s="173"/>
      <c r="AU9" s="173"/>
      <c r="AV9" s="173"/>
      <c r="AW9" s="173"/>
      <c r="AX9" s="173"/>
    </row>
    <row r="10" spans="2:50" x14ac:dyDescent="0.25">
      <c r="G10" s="185" t="s">
        <v>24</v>
      </c>
      <c r="H10" s="11">
        <v>7.0000000000000007E-2</v>
      </c>
      <c r="AO10" s="219" t="s">
        <v>34</v>
      </c>
      <c r="AP10" s="187"/>
      <c r="AQ10" s="193" t="s">
        <v>24</v>
      </c>
      <c r="AR10" s="199"/>
      <c r="AS10" s="199"/>
      <c r="AT10" s="199"/>
      <c r="AU10" s="199"/>
      <c r="AV10" s="199"/>
      <c r="AW10" s="199"/>
      <c r="AX10" s="200"/>
    </row>
    <row r="11" spans="2:50" x14ac:dyDescent="0.25">
      <c r="G11" s="9" t="s">
        <v>25</v>
      </c>
      <c r="H11" s="184">
        <v>-9.5000000000000001E-2</v>
      </c>
      <c r="AO11" s="220"/>
      <c r="AP11" s="202">
        <f>D30/1000</f>
        <v>-3400</v>
      </c>
      <c r="AQ11" s="203">
        <v>0.03</v>
      </c>
      <c r="AR11" s="203">
        <v>0.04</v>
      </c>
      <c r="AS11" s="203">
        <v>0.05</v>
      </c>
      <c r="AT11" s="203">
        <v>0.06</v>
      </c>
      <c r="AU11" s="203">
        <v>7.0000000000000007E-2</v>
      </c>
      <c r="AV11" s="203">
        <v>0.08</v>
      </c>
      <c r="AW11" s="203">
        <v>0.09</v>
      </c>
      <c r="AX11" s="204">
        <v>0.1</v>
      </c>
    </row>
    <row r="12" spans="2:50" x14ac:dyDescent="0.25">
      <c r="C12" s="123" t="s">
        <v>166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11">
        <v>0.01</v>
      </c>
      <c r="AQ12" s="178">
        <f t="dataTable" ref="AQ12:AX19" dt2D="1" dtr="1" r1="H10" r2="H8" ca="1"/>
        <v>-7400</v>
      </c>
      <c r="AR12" s="178">
        <v>-7400</v>
      </c>
      <c r="AS12" s="178">
        <v>-7300</v>
      </c>
      <c r="AT12" s="178">
        <v>-7200</v>
      </c>
      <c r="AU12" s="178">
        <v>-7200</v>
      </c>
      <c r="AV12" s="178">
        <v>-7100</v>
      </c>
      <c r="AW12" s="178">
        <v>-7000</v>
      </c>
      <c r="AX12" s="206">
        <v>-7100</v>
      </c>
    </row>
    <row r="13" spans="2:50" x14ac:dyDescent="0.25">
      <c r="H13" s="110"/>
      <c r="AO13" s="220"/>
      <c r="AP13" s="211">
        <v>0.02</v>
      </c>
      <c r="AQ13" s="178">
        <v>-6100</v>
      </c>
      <c r="AR13" s="178">
        <v>-6300</v>
      </c>
      <c r="AS13" s="178">
        <v>-6300</v>
      </c>
      <c r="AT13" s="178">
        <v>-6400</v>
      </c>
      <c r="AU13" s="178">
        <v>-6500</v>
      </c>
      <c r="AV13" s="178">
        <v>-6500</v>
      </c>
      <c r="AW13" s="178">
        <v>-6400</v>
      </c>
      <c r="AX13" s="206">
        <v>-6600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0.03</v>
      </c>
      <c r="AQ14" s="178">
        <v>-4500</v>
      </c>
      <c r="AR14" s="178">
        <v>-4900</v>
      </c>
      <c r="AS14" s="178">
        <v>-5200</v>
      </c>
      <c r="AT14" s="178">
        <v>-5400</v>
      </c>
      <c r="AU14" s="178">
        <v>-5600</v>
      </c>
      <c r="AV14" s="178">
        <v>-5700</v>
      </c>
      <c r="AW14" s="178">
        <v>-5700</v>
      </c>
      <c r="AX14" s="206">
        <v>-6000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0.04</v>
      </c>
      <c r="AQ15" s="1">
        <v>-2700</v>
      </c>
      <c r="AR15" s="178">
        <v>-3400</v>
      </c>
      <c r="AS15" s="178">
        <v>-3800</v>
      </c>
      <c r="AT15" s="178">
        <v>-4200</v>
      </c>
      <c r="AU15" s="178">
        <v>-4600</v>
      </c>
      <c r="AV15" s="178">
        <v>-4800</v>
      </c>
      <c r="AW15" s="178">
        <v>-5000</v>
      </c>
      <c r="AX15" s="206">
        <v>-5300</v>
      </c>
    </row>
    <row r="16" spans="2:50" x14ac:dyDescent="0.25">
      <c r="B16" s="4"/>
      <c r="C16" t="s">
        <v>35</v>
      </c>
      <c r="D16" s="5">
        <f>ROUND(H16+NPV($H$10,I16:AG16),-5)</f>
        <v>3500000</v>
      </c>
      <c r="F16" s="10" t="s">
        <v>36</v>
      </c>
      <c r="G16" s="165">
        <f>ROUND(SUM(G17:G18)*0.1,-5)</f>
        <v>3500000</v>
      </c>
      <c r="H16" s="124">
        <f>G16</f>
        <v>3500000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0.05</v>
      </c>
      <c r="AQ16" s="1">
        <v>-500</v>
      </c>
      <c r="AR16" s="178">
        <v>-1500</v>
      </c>
      <c r="AS16" s="178">
        <v>-2300</v>
      </c>
      <c r="AT16" s="178">
        <v>-2800</v>
      </c>
      <c r="AU16" s="178">
        <v>-3400</v>
      </c>
      <c r="AV16" s="178">
        <v>-3800</v>
      </c>
      <c r="AW16" s="178">
        <v>-4100</v>
      </c>
      <c r="AX16" s="206">
        <v>-4500</v>
      </c>
    </row>
    <row r="17" spans="2:50" x14ac:dyDescent="0.25">
      <c r="B17" s="4"/>
      <c r="C17" t="s">
        <v>37</v>
      </c>
      <c r="D17" s="5">
        <f>ROUND(H17+NPV($H$10,I17:AG17),-5)</f>
        <v>0</v>
      </c>
      <c r="F17" s="10" t="s">
        <v>38</v>
      </c>
      <c r="G17" s="165">
        <v>0</v>
      </c>
      <c r="H17" s="124">
        <f>-PMT($H$12/12,$I$12*12,$G$17)*12</f>
        <v>0</v>
      </c>
      <c r="I17" s="124">
        <f>-PMT($H$12/12,$I$12*12,$G$17)*12</f>
        <v>0</v>
      </c>
      <c r="J17" s="124">
        <f t="shared" ref="J17:AG17" si="0">-PMT($H$12/12,$I$12*12,$G$17)*12</f>
        <v>0</v>
      </c>
      <c r="K17" s="124">
        <f t="shared" si="0"/>
        <v>0</v>
      </c>
      <c r="L17" s="124">
        <f t="shared" si="0"/>
        <v>0</v>
      </c>
      <c r="M17" s="124">
        <f t="shared" si="0"/>
        <v>0</v>
      </c>
      <c r="N17" s="124">
        <f t="shared" si="0"/>
        <v>0</v>
      </c>
      <c r="O17" s="124">
        <f t="shared" si="0"/>
        <v>0</v>
      </c>
      <c r="P17" s="124">
        <f t="shared" si="0"/>
        <v>0</v>
      </c>
      <c r="Q17" s="124">
        <f t="shared" si="0"/>
        <v>0</v>
      </c>
      <c r="R17" s="124">
        <f t="shared" si="0"/>
        <v>0</v>
      </c>
      <c r="S17" s="124">
        <f t="shared" si="0"/>
        <v>0</v>
      </c>
      <c r="T17" s="124">
        <f t="shared" si="0"/>
        <v>0</v>
      </c>
      <c r="U17" s="124">
        <f t="shared" si="0"/>
        <v>0</v>
      </c>
      <c r="V17" s="124">
        <f t="shared" si="0"/>
        <v>0</v>
      </c>
      <c r="W17" s="124">
        <f t="shared" si="0"/>
        <v>0</v>
      </c>
      <c r="X17" s="124">
        <f t="shared" si="0"/>
        <v>0</v>
      </c>
      <c r="Y17" s="124">
        <f t="shared" si="0"/>
        <v>0</v>
      </c>
      <c r="Z17" s="124">
        <f t="shared" si="0"/>
        <v>0</v>
      </c>
      <c r="AA17" s="124">
        <f t="shared" si="0"/>
        <v>0</v>
      </c>
      <c r="AB17" s="124">
        <f t="shared" si="0"/>
        <v>0</v>
      </c>
      <c r="AC17" s="124">
        <f t="shared" si="0"/>
        <v>0</v>
      </c>
      <c r="AD17" s="124">
        <f t="shared" si="0"/>
        <v>0</v>
      </c>
      <c r="AE17" s="124">
        <f t="shared" si="0"/>
        <v>0</v>
      </c>
      <c r="AF17" s="124">
        <f t="shared" si="0"/>
        <v>0</v>
      </c>
      <c r="AG17" s="124">
        <f t="shared" si="0"/>
        <v>0</v>
      </c>
      <c r="AH17" s="3"/>
      <c r="AI17" s="3"/>
      <c r="AJ17" s="3"/>
      <c r="AK17" s="3"/>
      <c r="AO17" s="220"/>
      <c r="AP17" s="211">
        <v>0.06</v>
      </c>
      <c r="AQ17" s="1">
        <v>2000</v>
      </c>
      <c r="AR17" s="178">
        <v>600</v>
      </c>
      <c r="AS17" s="178">
        <v>-400</v>
      </c>
      <c r="AT17" s="178">
        <v>-1200</v>
      </c>
      <c r="AU17" s="178">
        <v>-2000</v>
      </c>
      <c r="AV17" s="178">
        <v>-2600</v>
      </c>
      <c r="AW17" s="178">
        <v>-3000</v>
      </c>
      <c r="AX17" s="206">
        <v>-3600</v>
      </c>
    </row>
    <row r="18" spans="2:50" x14ac:dyDescent="0.25">
      <c r="B18" s="4"/>
      <c r="C18" t="s">
        <v>39</v>
      </c>
      <c r="D18" s="5">
        <f t="shared" ref="D18:D20" si="1">ROUND(H18+NPV($H$10,I18:AG18),-5)</f>
        <v>19100000</v>
      </c>
      <c r="F18" s="10" t="s">
        <v>40</v>
      </c>
      <c r="G18" s="166">
        <f>Loop!J25</f>
        <v>35120000</v>
      </c>
      <c r="H18" s="124">
        <f>-PMT($H$12/12,$I$12*12,$G$18)*12</f>
        <v>1508689.5481978925</v>
      </c>
      <c r="I18" s="124">
        <f t="shared" ref="I18:AK18" si="2">-PMT($H$12/12,$I$12*12,$G$18)*12</f>
        <v>1508689.5481978925</v>
      </c>
      <c r="J18" s="124">
        <f t="shared" si="2"/>
        <v>1508689.5481978925</v>
      </c>
      <c r="K18" s="124">
        <f t="shared" si="2"/>
        <v>1508689.5481978925</v>
      </c>
      <c r="L18" s="124">
        <f t="shared" si="2"/>
        <v>1508689.5481978925</v>
      </c>
      <c r="M18" s="124">
        <f t="shared" si="2"/>
        <v>1508689.5481978925</v>
      </c>
      <c r="N18" s="124">
        <f t="shared" si="2"/>
        <v>1508689.5481978925</v>
      </c>
      <c r="O18" s="124">
        <f t="shared" si="2"/>
        <v>1508689.5481978925</v>
      </c>
      <c r="P18" s="124">
        <f t="shared" si="2"/>
        <v>1508689.5481978925</v>
      </c>
      <c r="Q18" s="124">
        <f t="shared" si="2"/>
        <v>1508689.5481978925</v>
      </c>
      <c r="R18" s="124">
        <f t="shared" si="2"/>
        <v>1508689.5481978925</v>
      </c>
      <c r="S18" s="124">
        <f t="shared" si="2"/>
        <v>1508689.5481978925</v>
      </c>
      <c r="T18" s="124">
        <f t="shared" si="2"/>
        <v>1508689.5481978925</v>
      </c>
      <c r="U18" s="124">
        <f t="shared" si="2"/>
        <v>1508689.5481978925</v>
      </c>
      <c r="V18" s="124">
        <f t="shared" si="2"/>
        <v>1508689.5481978925</v>
      </c>
      <c r="W18" s="124">
        <f t="shared" si="2"/>
        <v>1508689.5481978925</v>
      </c>
      <c r="X18" s="124">
        <f t="shared" si="2"/>
        <v>1508689.5481978925</v>
      </c>
      <c r="Y18" s="124">
        <f t="shared" si="2"/>
        <v>1508689.5481978925</v>
      </c>
      <c r="Z18" s="124">
        <f t="shared" si="2"/>
        <v>1508689.5481978925</v>
      </c>
      <c r="AA18" s="124">
        <f t="shared" si="2"/>
        <v>1508689.5481978925</v>
      </c>
      <c r="AB18" s="124">
        <f t="shared" si="2"/>
        <v>1508689.5481978925</v>
      </c>
      <c r="AC18" s="124">
        <f t="shared" si="2"/>
        <v>1508689.5481978925</v>
      </c>
      <c r="AD18" s="124">
        <f t="shared" si="2"/>
        <v>1508689.5481978925</v>
      </c>
      <c r="AE18" s="124">
        <f t="shared" si="2"/>
        <v>1508689.5481978925</v>
      </c>
      <c r="AF18" s="124">
        <f t="shared" si="2"/>
        <v>1508689.5481978925</v>
      </c>
      <c r="AG18" s="124">
        <f t="shared" si="2"/>
        <v>1508689.5481978925</v>
      </c>
      <c r="AH18" s="3">
        <f t="shared" si="2"/>
        <v>1508689.5481978925</v>
      </c>
      <c r="AI18" s="3">
        <f t="shared" si="2"/>
        <v>1508689.5481978925</v>
      </c>
      <c r="AJ18" s="3">
        <f t="shared" si="2"/>
        <v>1508689.5481978925</v>
      </c>
      <c r="AK18" s="3">
        <f t="shared" si="2"/>
        <v>1508689.5481978925</v>
      </c>
      <c r="AO18" s="220"/>
      <c r="AP18" s="211">
        <v>7.0000000000000007E-2</v>
      </c>
      <c r="AQ18" s="1">
        <v>5100</v>
      </c>
      <c r="AR18" s="178">
        <v>3200</v>
      </c>
      <c r="AS18" s="178">
        <v>1800</v>
      </c>
      <c r="AT18" s="178">
        <v>600</v>
      </c>
      <c r="AU18" s="178">
        <v>-400</v>
      </c>
      <c r="AV18" s="178">
        <v>-1200</v>
      </c>
      <c r="AW18" s="178">
        <v>-1800</v>
      </c>
      <c r="AX18" s="206">
        <v>-2500</v>
      </c>
    </row>
    <row r="19" spans="2:50" x14ac:dyDescent="0.25">
      <c r="B19" s="4"/>
      <c r="C19" t="s">
        <v>41</v>
      </c>
      <c r="D19" s="5">
        <f t="shared" si="1"/>
        <v>2400000</v>
      </c>
      <c r="F19" s="10" t="s">
        <v>68</v>
      </c>
      <c r="G19" s="165">
        <f>((30+188+14+30)*1000)*(18/30)</f>
        <v>157200</v>
      </c>
      <c r="H19" s="124"/>
      <c r="I19" s="124"/>
      <c r="J19" s="124">
        <f>G19</f>
        <v>157200</v>
      </c>
      <c r="K19" s="124">
        <f t="shared" ref="K19:AK19" si="3">J19*(1+$H$9)</f>
        <v>161916</v>
      </c>
      <c r="L19" s="124">
        <f t="shared" si="3"/>
        <v>166773.48000000001</v>
      </c>
      <c r="M19" s="124">
        <f t="shared" si="3"/>
        <v>171776.68440000003</v>
      </c>
      <c r="N19" s="124">
        <f t="shared" si="3"/>
        <v>176929.98493200002</v>
      </c>
      <c r="O19" s="124">
        <f t="shared" si="3"/>
        <v>182237.88447996002</v>
      </c>
      <c r="P19" s="124">
        <f t="shared" si="3"/>
        <v>187705.02101435882</v>
      </c>
      <c r="Q19" s="124">
        <f t="shared" si="3"/>
        <v>193336.1716447896</v>
      </c>
      <c r="R19" s="124">
        <f t="shared" si="3"/>
        <v>199136.25679413331</v>
      </c>
      <c r="S19" s="124">
        <f t="shared" si="3"/>
        <v>205110.34449795733</v>
      </c>
      <c r="T19" s="124">
        <f t="shared" si="3"/>
        <v>211263.65483289605</v>
      </c>
      <c r="U19" s="124">
        <f t="shared" si="3"/>
        <v>217601.56447788293</v>
      </c>
      <c r="V19" s="124">
        <f t="shared" si="3"/>
        <v>224129.61141221941</v>
      </c>
      <c r="W19" s="124">
        <f t="shared" si="3"/>
        <v>230853.499754586</v>
      </c>
      <c r="X19" s="124">
        <f t="shared" si="3"/>
        <v>237779.10474722358</v>
      </c>
      <c r="Y19" s="124">
        <f t="shared" si="3"/>
        <v>244912.47788964029</v>
      </c>
      <c r="Z19" s="124">
        <f t="shared" si="3"/>
        <v>252259.8522263295</v>
      </c>
      <c r="AA19" s="124">
        <f t="shared" si="3"/>
        <v>259827.64779311939</v>
      </c>
      <c r="AB19" s="124">
        <f t="shared" si="3"/>
        <v>267622.47722691298</v>
      </c>
      <c r="AC19" s="124">
        <f t="shared" si="3"/>
        <v>275651.15154372039</v>
      </c>
      <c r="AD19" s="124">
        <f t="shared" si="3"/>
        <v>283920.68609003199</v>
      </c>
      <c r="AE19" s="124">
        <f t="shared" si="3"/>
        <v>292438.30667273293</v>
      </c>
      <c r="AF19" s="124">
        <f t="shared" si="3"/>
        <v>301211.45587291493</v>
      </c>
      <c r="AG19" s="124">
        <f t="shared" si="3"/>
        <v>310247.79954910238</v>
      </c>
      <c r="AH19" s="3">
        <f t="shared" si="3"/>
        <v>319555.23353557545</v>
      </c>
      <c r="AI19" s="3">
        <f t="shared" si="3"/>
        <v>329141.89054164273</v>
      </c>
      <c r="AJ19" s="3">
        <f t="shared" si="3"/>
        <v>339016.14725789201</v>
      </c>
      <c r="AK19" s="3">
        <f t="shared" si="3"/>
        <v>349186.63167562877</v>
      </c>
      <c r="AO19" s="221"/>
      <c r="AP19" s="212">
        <v>0.08</v>
      </c>
      <c r="AQ19" s="209">
        <v>8600</v>
      </c>
      <c r="AR19" s="209">
        <v>6200</v>
      </c>
      <c r="AS19" s="209">
        <v>4400</v>
      </c>
      <c r="AT19" s="209">
        <v>2900</v>
      </c>
      <c r="AU19" s="209">
        <v>1500</v>
      </c>
      <c r="AV19" s="209">
        <v>400</v>
      </c>
      <c r="AW19" s="209">
        <v>-400</v>
      </c>
      <c r="AX19" s="210">
        <v>-1300</v>
      </c>
    </row>
    <row r="20" spans="2:50" x14ac:dyDescent="0.25">
      <c r="B20" s="4"/>
      <c r="C20" t="s">
        <v>43</v>
      </c>
      <c r="D20" s="5">
        <f t="shared" si="1"/>
        <v>300000</v>
      </c>
      <c r="F20" s="10" t="s">
        <v>69</v>
      </c>
      <c r="G20" s="167">
        <f>15000*18</f>
        <v>270000</v>
      </c>
      <c r="H20" s="124"/>
      <c r="I20" s="124"/>
      <c r="J20" s="124">
        <f>G20/3*(1+$H$9)*(1+$H$9)</f>
        <v>95481</v>
      </c>
      <c r="K20" s="124">
        <f>G20/3*(1+$H$9)*(1+$H$9)*(1+$H$9)</f>
        <v>98345.430000000008</v>
      </c>
      <c r="L20" s="124">
        <f>G20/3*(1+$H$9)*(1+$H$9)*(1+$H$9)</f>
        <v>98345.430000000008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196"/>
    </row>
    <row r="21" spans="2:50" ht="15.75" thickBot="1" x14ac:dyDescent="0.3">
      <c r="B21" s="4"/>
      <c r="C21" t="s">
        <v>45</v>
      </c>
      <c r="D21" s="5">
        <f>ROUND(H21+NPV($H$10,I21:AG21),-5)</f>
        <v>-200000</v>
      </c>
      <c r="F21" s="10" t="s">
        <v>46</v>
      </c>
      <c r="G21" s="167">
        <f>-500000*(18/49)</f>
        <v>-183673.46938775512</v>
      </c>
      <c r="H21" s="124">
        <f>-500000*(18/49)</f>
        <v>-183673.46938775512</v>
      </c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7"/>
      <c r="AP21" s="198"/>
      <c r="AQ21" s="193" t="s">
        <v>54</v>
      </c>
      <c r="AR21" s="199"/>
      <c r="AS21" s="199"/>
      <c r="AT21" s="199"/>
      <c r="AU21" s="199"/>
      <c r="AV21" s="199"/>
      <c r="AW21" s="199"/>
      <c r="AX21" s="200"/>
    </row>
    <row r="22" spans="2:50" ht="15.75" thickBot="1" x14ac:dyDescent="0.3">
      <c r="B22" s="4"/>
      <c r="C22" s="13" t="s">
        <v>47</v>
      </c>
      <c r="D22" s="6">
        <f>SUM(D16:D21)</f>
        <v>25100000</v>
      </c>
      <c r="F22" s="10"/>
      <c r="G22" s="168">
        <f>SUM(G16:G21)</f>
        <v>38863526.530612245</v>
      </c>
      <c r="H22" s="162">
        <f>SUM(H16:H21)</f>
        <v>4825016.0788101377</v>
      </c>
      <c r="I22" s="125">
        <f>SUM(I16:I21)</f>
        <v>1508689.5481978925</v>
      </c>
      <c r="J22" s="125">
        <f t="shared" ref="J22" si="4">SUM(J16:J21)</f>
        <v>1761370.5481978925</v>
      </c>
      <c r="K22" s="125">
        <f>SUM(K16:K21)</f>
        <v>1768950.9781978924</v>
      </c>
      <c r="L22" s="125">
        <f t="shared" ref="L22:AG22" si="5">SUM(L16:L21)</f>
        <v>1773808.4581978924</v>
      </c>
      <c r="M22" s="125">
        <f t="shared" si="5"/>
        <v>1680466.2325978926</v>
      </c>
      <c r="N22" s="125">
        <f t="shared" si="5"/>
        <v>1685619.5331298925</v>
      </c>
      <c r="O22" s="125">
        <f t="shared" si="5"/>
        <v>1690927.4326778525</v>
      </c>
      <c r="P22" s="125">
        <f t="shared" si="5"/>
        <v>1696394.5692122513</v>
      </c>
      <c r="Q22" s="125">
        <f t="shared" si="5"/>
        <v>1702025.7198426821</v>
      </c>
      <c r="R22" s="125">
        <f t="shared" si="5"/>
        <v>1707825.8049920257</v>
      </c>
      <c r="S22" s="125">
        <f t="shared" si="5"/>
        <v>1713799.8926958498</v>
      </c>
      <c r="T22" s="125">
        <f t="shared" si="5"/>
        <v>1719953.2030307886</v>
      </c>
      <c r="U22" s="125">
        <f t="shared" si="5"/>
        <v>1726291.1126757753</v>
      </c>
      <c r="V22" s="125">
        <f t="shared" si="5"/>
        <v>1732819.159610112</v>
      </c>
      <c r="W22" s="125">
        <f t="shared" si="5"/>
        <v>1739543.0479524785</v>
      </c>
      <c r="X22" s="125">
        <f t="shared" si="5"/>
        <v>1746468.6529451162</v>
      </c>
      <c r="Y22" s="125">
        <f t="shared" si="5"/>
        <v>1753602.0260875328</v>
      </c>
      <c r="Z22" s="125">
        <f t="shared" si="5"/>
        <v>1760949.400424222</v>
      </c>
      <c r="AA22" s="125">
        <f t="shared" si="5"/>
        <v>1768517.1959910118</v>
      </c>
      <c r="AB22" s="125">
        <f t="shared" si="5"/>
        <v>1776312.0254248055</v>
      </c>
      <c r="AC22" s="125">
        <f t="shared" si="5"/>
        <v>1784340.6997416129</v>
      </c>
      <c r="AD22" s="125">
        <f t="shared" si="5"/>
        <v>1792610.2342879246</v>
      </c>
      <c r="AE22" s="125">
        <f t="shared" si="5"/>
        <v>1801127.8548706253</v>
      </c>
      <c r="AF22" s="125">
        <f t="shared" si="5"/>
        <v>1809901.0040708075</v>
      </c>
      <c r="AG22" s="125">
        <f t="shared" si="5"/>
        <v>1818937.3477469948</v>
      </c>
      <c r="AH22" s="15">
        <f>SUM(AH16:AH20)</f>
        <v>1828244.7817334679</v>
      </c>
      <c r="AI22" s="15">
        <f>SUM(AI16:AI20)</f>
        <v>1837831.4387395352</v>
      </c>
      <c r="AJ22" s="15">
        <f>SUM(AJ16:AJ20)</f>
        <v>1847705.6954557844</v>
      </c>
      <c r="AK22" s="15">
        <f>SUM(AK16:AK20)</f>
        <v>1857876.1798735212</v>
      </c>
      <c r="AO22" s="201"/>
      <c r="AP22" s="202">
        <f>D30/1000</f>
        <v>-3400</v>
      </c>
      <c r="AQ22" s="203">
        <v>0.03</v>
      </c>
      <c r="AR22" s="203">
        <v>0.04</v>
      </c>
      <c r="AS22" s="203">
        <v>0.05</v>
      </c>
      <c r="AT22" s="203">
        <v>0.06</v>
      </c>
      <c r="AU22" s="203">
        <v>7.0000000000000007E-2</v>
      </c>
      <c r="AV22" s="203">
        <v>0.08</v>
      </c>
      <c r="AW22" s="203">
        <v>0.09</v>
      </c>
      <c r="AX22" s="204">
        <v>0.1</v>
      </c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20" t="s">
        <v>26</v>
      </c>
      <c r="AP23" s="205">
        <v>0.02</v>
      </c>
      <c r="AQ23" s="178">
        <f t="dataTable" ref="AQ23:AX29" dt2D="1" dtr="1" r1="H10" r2="H12"/>
        <v>3800</v>
      </c>
      <c r="AR23" s="178">
        <v>2400</v>
      </c>
      <c r="AS23" s="178">
        <v>1200</v>
      </c>
      <c r="AT23" s="178">
        <v>400</v>
      </c>
      <c r="AU23" s="178">
        <v>-400</v>
      </c>
      <c r="AV23" s="178">
        <v>-1100</v>
      </c>
      <c r="AW23" s="178">
        <v>-1600</v>
      </c>
      <c r="AX23" s="206">
        <v>-2200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/>
      <c r="AP24" s="205">
        <v>2.5000000000000001E-2</v>
      </c>
      <c r="AQ24" s="178">
        <v>1700</v>
      </c>
      <c r="AR24" s="178">
        <v>500</v>
      </c>
      <c r="AS24" s="178">
        <v>-500</v>
      </c>
      <c r="AT24" s="178">
        <v>-1200</v>
      </c>
      <c r="AU24" s="178">
        <v>-1900</v>
      </c>
      <c r="AV24" s="178">
        <v>-2400</v>
      </c>
      <c r="AW24" s="178">
        <v>-2800</v>
      </c>
      <c r="AX24" s="206">
        <v>-3300</v>
      </c>
    </row>
    <row r="25" spans="2:50" x14ac:dyDescent="0.25">
      <c r="B25" s="4"/>
      <c r="C25" t="s">
        <v>50</v>
      </c>
      <c r="D25" s="5">
        <f>ROUND(H25+NPV($H$10,I25:AG25),-5)</f>
        <v>6900000</v>
      </c>
      <c r="F25" s="10" t="s">
        <v>51</v>
      </c>
      <c r="G25" s="124">
        <v>432000</v>
      </c>
      <c r="H25" s="124"/>
      <c r="I25" s="124"/>
      <c r="J25" s="124">
        <f>G25/2*(1+$H$9)*(1+$H$9)*(1+$H$9)</f>
        <v>236029.03200000001</v>
      </c>
      <c r="K25" s="124">
        <f>G25*(1+$H$9)*(1+$H$9)*(1+$H$9)*(1+$H$9)</f>
        <v>486219.80592000001</v>
      </c>
      <c r="L25" s="124">
        <f t="shared" ref="L25:AA26" si="6">K25*(1+$H$9)</f>
        <v>500806.40009760001</v>
      </c>
      <c r="M25" s="124">
        <f t="shared" si="6"/>
        <v>515830.59210052801</v>
      </c>
      <c r="N25" s="124">
        <f t="shared" si="6"/>
        <v>531305.50986354391</v>
      </c>
      <c r="O25" s="124">
        <f t="shared" si="6"/>
        <v>547244.67515945027</v>
      </c>
      <c r="P25" s="124">
        <f t="shared" si="6"/>
        <v>563662.01541423379</v>
      </c>
      <c r="Q25" s="124">
        <f t="shared" si="6"/>
        <v>580571.87587666081</v>
      </c>
      <c r="R25" s="124">
        <f t="shared" si="6"/>
        <v>597989.03215296066</v>
      </c>
      <c r="S25" s="124">
        <f t="shared" si="6"/>
        <v>615928.70311754954</v>
      </c>
      <c r="T25" s="124">
        <f t="shared" si="6"/>
        <v>634406.56421107601</v>
      </c>
      <c r="U25" s="124">
        <f t="shared" si="6"/>
        <v>653438.76113740832</v>
      </c>
      <c r="V25" s="124">
        <f t="shared" si="6"/>
        <v>673041.92397153063</v>
      </c>
      <c r="W25" s="124">
        <f t="shared" si="6"/>
        <v>693233.1816906766</v>
      </c>
      <c r="X25" s="124">
        <f t="shared" si="6"/>
        <v>714030.17714139691</v>
      </c>
      <c r="Y25" s="124">
        <f t="shared" si="6"/>
        <v>735451.0824556388</v>
      </c>
      <c r="Z25" s="124">
        <f t="shared" si="6"/>
        <v>757514.61492930795</v>
      </c>
      <c r="AA25" s="124">
        <f t="shared" si="6"/>
        <v>780240.05337718723</v>
      </c>
      <c r="AB25" s="124">
        <f t="shared" ref="AB25:AK26" si="7">AA25*(1+$H$9)</f>
        <v>803647.25497850287</v>
      </c>
      <c r="AC25" s="124">
        <f t="shared" si="7"/>
        <v>827756.672627858</v>
      </c>
      <c r="AD25" s="124">
        <f t="shared" si="7"/>
        <v>852589.37280669378</v>
      </c>
      <c r="AE25" s="124">
        <f t="shared" si="7"/>
        <v>878167.05399089458</v>
      </c>
      <c r="AF25" s="124">
        <f t="shared" si="7"/>
        <v>904512.06561062147</v>
      </c>
      <c r="AG25" s="124">
        <f t="shared" si="7"/>
        <v>931647.42757894017</v>
      </c>
      <c r="AH25" s="3">
        <f t="shared" si="7"/>
        <v>959596.85040630843</v>
      </c>
      <c r="AI25" s="3">
        <f t="shared" si="7"/>
        <v>988384.75591849769</v>
      </c>
      <c r="AJ25" s="3">
        <f t="shared" si="7"/>
        <v>1018036.2985960527</v>
      </c>
      <c r="AK25" s="3">
        <f t="shared" si="7"/>
        <v>1048577.3875539342</v>
      </c>
      <c r="AO25" s="220"/>
      <c r="AP25" s="205">
        <v>0.03</v>
      </c>
      <c r="AQ25" s="178">
        <v>-500</v>
      </c>
      <c r="AR25" s="178">
        <v>-1500</v>
      </c>
      <c r="AS25" s="178">
        <v>-2300</v>
      </c>
      <c r="AT25" s="178">
        <v>-2800</v>
      </c>
      <c r="AU25" s="178">
        <v>-3400</v>
      </c>
      <c r="AV25" s="178">
        <v>-3800</v>
      </c>
      <c r="AW25" s="178">
        <v>-4100</v>
      </c>
      <c r="AX25" s="206">
        <v>-4500</v>
      </c>
    </row>
    <row r="26" spans="2:50" x14ac:dyDescent="0.25">
      <c r="B26" s="4"/>
      <c r="C26" t="s">
        <v>52</v>
      </c>
      <c r="D26" s="5">
        <f>ROUND(H26+NPV($H$10,I26:AG26),-5)</f>
        <v>5100000</v>
      </c>
      <c r="F26" s="10" t="s">
        <v>53</v>
      </c>
      <c r="G26" s="124">
        <v>321000</v>
      </c>
      <c r="H26" s="124"/>
      <c r="I26" s="124"/>
      <c r="J26" s="124">
        <f>G26/2*(1+$H$9)*(1+$H$9)*(1+$H$9)</f>
        <v>175382.68350000001</v>
      </c>
      <c r="K26" s="124">
        <f>G26*(1+$H$9)*(1+$H$9)*(1+$H$9)*(1+$H$9)</f>
        <v>361288.32801000006</v>
      </c>
      <c r="L26" s="124">
        <f t="shared" si="6"/>
        <v>372126.97785030009</v>
      </c>
      <c r="M26" s="124">
        <f t="shared" si="6"/>
        <v>383290.78718580911</v>
      </c>
      <c r="N26" s="124">
        <f t="shared" si="6"/>
        <v>394789.51080138341</v>
      </c>
      <c r="O26" s="124">
        <f t="shared" si="6"/>
        <v>406633.19612542493</v>
      </c>
      <c r="P26" s="124">
        <f t="shared" si="6"/>
        <v>418832.19200918771</v>
      </c>
      <c r="Q26" s="124">
        <f t="shared" si="6"/>
        <v>431397.15776946337</v>
      </c>
      <c r="R26" s="124">
        <f t="shared" si="6"/>
        <v>444339.07250254729</v>
      </c>
      <c r="S26" s="124">
        <f t="shared" si="6"/>
        <v>457669.24467762373</v>
      </c>
      <c r="T26" s="124">
        <f t="shared" si="6"/>
        <v>471399.32201795245</v>
      </c>
      <c r="U26" s="124">
        <f t="shared" si="6"/>
        <v>485541.30167849106</v>
      </c>
      <c r="V26" s="124">
        <f t="shared" si="6"/>
        <v>500107.54072884581</v>
      </c>
      <c r="W26" s="124">
        <f t="shared" si="6"/>
        <v>515110.7669507112</v>
      </c>
      <c r="X26" s="124">
        <f t="shared" si="6"/>
        <v>530564.0899592326</v>
      </c>
      <c r="Y26" s="124">
        <f t="shared" si="6"/>
        <v>546481.01265800954</v>
      </c>
      <c r="Z26" s="124">
        <f t="shared" si="6"/>
        <v>562875.44303774985</v>
      </c>
      <c r="AA26" s="124">
        <f t="shared" si="6"/>
        <v>579761.70632888237</v>
      </c>
      <c r="AB26" s="124">
        <f t="shared" si="7"/>
        <v>597154.5575187488</v>
      </c>
      <c r="AC26" s="124">
        <f t="shared" si="7"/>
        <v>615069.19424431131</v>
      </c>
      <c r="AD26" s="124">
        <f t="shared" si="7"/>
        <v>633521.27007164061</v>
      </c>
      <c r="AE26" s="124">
        <f t="shared" si="7"/>
        <v>652526.90817378985</v>
      </c>
      <c r="AF26" s="124">
        <f t="shared" si="7"/>
        <v>672102.71541900351</v>
      </c>
      <c r="AG26" s="124">
        <f t="shared" si="7"/>
        <v>692265.79688157362</v>
      </c>
      <c r="AH26" s="3">
        <f t="shared" si="7"/>
        <v>713033.7707880208</v>
      </c>
      <c r="AI26" s="3">
        <f t="shared" si="7"/>
        <v>734424.78391166148</v>
      </c>
      <c r="AJ26" s="3">
        <f t="shared" si="7"/>
        <v>756457.5274290113</v>
      </c>
      <c r="AK26" s="3">
        <f t="shared" si="7"/>
        <v>779151.25325188169</v>
      </c>
      <c r="AO26" s="220"/>
      <c r="AP26" s="205">
        <v>3.5000000000000003E-2</v>
      </c>
      <c r="AQ26" s="1">
        <v>-2800</v>
      </c>
      <c r="AR26" s="178">
        <v>-3500</v>
      </c>
      <c r="AS26" s="178">
        <v>-4100</v>
      </c>
      <c r="AT26" s="178">
        <v>-4500</v>
      </c>
      <c r="AU26" s="178">
        <v>-5000</v>
      </c>
      <c r="AV26" s="178">
        <v>-5300</v>
      </c>
      <c r="AW26" s="178">
        <v>-5500</v>
      </c>
      <c r="AX26" s="206">
        <v>-5800</v>
      </c>
    </row>
    <row r="27" spans="2:50" x14ac:dyDescent="0.25">
      <c r="B27" s="4"/>
      <c r="C27" t="s">
        <v>55</v>
      </c>
      <c r="D27" s="5">
        <f>ROUND(H27+NPV($H$10,I27:AG27),-5)</f>
        <v>9700000</v>
      </c>
      <c r="F27" s="10" t="s">
        <v>56</v>
      </c>
      <c r="G27" s="124">
        <f>ROUND(135103+338001,-2)</f>
        <v>473100</v>
      </c>
      <c r="H27" s="124"/>
      <c r="I27" s="124"/>
      <c r="J27" s="124">
        <f>G27/2*(1+$H$9)*(1+$H$9)*(1+$H$9)</f>
        <v>258484.57185000004</v>
      </c>
      <c r="K27" s="124">
        <f>G27*(1+$H$8)*(1+$H$8)*(1+$H$8)*(1+$H$8)</f>
        <v>575056.00687500008</v>
      </c>
      <c r="L27" s="124">
        <f>K27*(1+$H$8)</f>
        <v>603808.80721875012</v>
      </c>
      <c r="M27" s="124">
        <f>L27*(1+$H$8)</f>
        <v>633999.24757968762</v>
      </c>
      <c r="N27" s="124">
        <f t="shared" ref="N27:AK27" si="8">M27*(1+$H$8)</f>
        <v>665699.20995867206</v>
      </c>
      <c r="O27" s="124">
        <f t="shared" si="8"/>
        <v>698984.17045660573</v>
      </c>
      <c r="P27" s="124">
        <f t="shared" si="8"/>
        <v>733933.37897943601</v>
      </c>
      <c r="Q27" s="124">
        <f t="shared" si="8"/>
        <v>770630.04792840779</v>
      </c>
      <c r="R27" s="124">
        <f t="shared" si="8"/>
        <v>809161.55032482825</v>
      </c>
      <c r="S27" s="124">
        <f t="shared" si="8"/>
        <v>849619.62784106971</v>
      </c>
      <c r="T27" s="124">
        <f t="shared" si="8"/>
        <v>892100.60923312325</v>
      </c>
      <c r="U27" s="124">
        <f t="shared" si="8"/>
        <v>936705.63969477941</v>
      </c>
      <c r="V27" s="124">
        <f t="shared" si="8"/>
        <v>983540.92167951842</v>
      </c>
      <c r="W27" s="124">
        <f t="shared" si="8"/>
        <v>1032717.9677634944</v>
      </c>
      <c r="X27" s="124">
        <f t="shared" si="8"/>
        <v>1084353.8661516691</v>
      </c>
      <c r="Y27" s="124">
        <f t="shared" si="8"/>
        <v>1138571.5594592525</v>
      </c>
      <c r="Z27" s="124">
        <f t="shared" si="8"/>
        <v>1195500.1374322153</v>
      </c>
      <c r="AA27" s="124">
        <f t="shared" si="8"/>
        <v>1255275.1443038261</v>
      </c>
      <c r="AB27" s="124">
        <f t="shared" si="8"/>
        <v>1318038.9015190175</v>
      </c>
      <c r="AC27" s="124">
        <f t="shared" si="8"/>
        <v>1383940.8465949686</v>
      </c>
      <c r="AD27" s="124">
        <f t="shared" si="8"/>
        <v>1453137.888924717</v>
      </c>
      <c r="AE27" s="124">
        <f t="shared" si="8"/>
        <v>1525794.7833709528</v>
      </c>
      <c r="AF27" s="124">
        <f t="shared" si="8"/>
        <v>1602084.5225395006</v>
      </c>
      <c r="AG27" s="124">
        <f t="shared" si="8"/>
        <v>1682188.7486664758</v>
      </c>
      <c r="AH27" s="3">
        <f t="shared" si="8"/>
        <v>1766298.1860997996</v>
      </c>
      <c r="AI27" s="3">
        <f t="shared" si="8"/>
        <v>1854613.0954047896</v>
      </c>
      <c r="AJ27" s="3">
        <f t="shared" si="8"/>
        <v>1947343.750175029</v>
      </c>
      <c r="AK27" s="3">
        <f t="shared" si="8"/>
        <v>2044710.9376837807</v>
      </c>
      <c r="AO27" s="220"/>
      <c r="AP27" s="205">
        <v>0.04</v>
      </c>
      <c r="AQ27" s="1">
        <v>-5100</v>
      </c>
      <c r="AR27" s="178">
        <v>-5700</v>
      </c>
      <c r="AS27" s="178">
        <v>-6100</v>
      </c>
      <c r="AT27" s="178">
        <v>-6300</v>
      </c>
      <c r="AU27" s="178">
        <v>-6600</v>
      </c>
      <c r="AV27" s="178">
        <v>-6800</v>
      </c>
      <c r="AW27" s="178">
        <v>-6900</v>
      </c>
      <c r="AX27" s="206">
        <v>-7000</v>
      </c>
    </row>
    <row r="28" spans="2:50" x14ac:dyDescent="0.25">
      <c r="B28" s="7"/>
      <c r="C28" s="13" t="s">
        <v>57</v>
      </c>
      <c r="D28" s="6">
        <f>SUM(D25:D27)</f>
        <v>21700000</v>
      </c>
      <c r="F28" s="10"/>
      <c r="G28" s="125">
        <f t="shared" ref="G28:AK28" si="9">SUM(G25:G27)</f>
        <v>1226100</v>
      </c>
      <c r="H28" s="125">
        <f t="shared" si="9"/>
        <v>0</v>
      </c>
      <c r="I28" s="125">
        <f t="shared" si="9"/>
        <v>0</v>
      </c>
      <c r="J28" s="125">
        <f t="shared" si="9"/>
        <v>669896.28735000012</v>
      </c>
      <c r="K28" s="125">
        <f t="shared" si="9"/>
        <v>1422564.140805</v>
      </c>
      <c r="L28" s="125">
        <f t="shared" si="9"/>
        <v>1476742.1851666502</v>
      </c>
      <c r="M28" s="125">
        <f t="shared" si="9"/>
        <v>1533120.6268660249</v>
      </c>
      <c r="N28" s="125">
        <f t="shared" si="9"/>
        <v>1591794.2306235994</v>
      </c>
      <c r="O28" s="125">
        <f t="shared" si="9"/>
        <v>1652862.0417414811</v>
      </c>
      <c r="P28" s="125">
        <f t="shared" si="9"/>
        <v>1716427.5864028577</v>
      </c>
      <c r="Q28" s="125">
        <f t="shared" si="9"/>
        <v>1782599.081574532</v>
      </c>
      <c r="R28" s="125">
        <f t="shared" si="9"/>
        <v>1851489.6549803363</v>
      </c>
      <c r="S28" s="125">
        <f t="shared" si="9"/>
        <v>1923217.575636243</v>
      </c>
      <c r="T28" s="125">
        <f t="shared" si="9"/>
        <v>1997906.4954621517</v>
      </c>
      <c r="U28" s="125">
        <f t="shared" si="9"/>
        <v>2075685.7025106789</v>
      </c>
      <c r="V28" s="125">
        <f t="shared" si="9"/>
        <v>2156690.3863798948</v>
      </c>
      <c r="W28" s="125">
        <f t="shared" si="9"/>
        <v>2241061.916404882</v>
      </c>
      <c r="X28" s="125">
        <f t="shared" si="9"/>
        <v>2328948.1332522985</v>
      </c>
      <c r="Y28" s="125">
        <f t="shared" si="9"/>
        <v>2420503.6545729009</v>
      </c>
      <c r="Z28" s="125">
        <f t="shared" si="9"/>
        <v>2515890.1953992732</v>
      </c>
      <c r="AA28" s="125">
        <f t="shared" si="9"/>
        <v>2615276.9040098959</v>
      </c>
      <c r="AB28" s="125">
        <f t="shared" si="9"/>
        <v>2718840.714016269</v>
      </c>
      <c r="AC28" s="125">
        <f t="shared" si="9"/>
        <v>2826766.7134671379</v>
      </c>
      <c r="AD28" s="125">
        <f t="shared" si="9"/>
        <v>2939248.5318030515</v>
      </c>
      <c r="AE28" s="125">
        <f t="shared" si="9"/>
        <v>3056488.7455356373</v>
      </c>
      <c r="AF28" s="125">
        <f t="shared" si="9"/>
        <v>3178699.3035691255</v>
      </c>
      <c r="AG28" s="125">
        <f t="shared" si="9"/>
        <v>3306101.9731269898</v>
      </c>
      <c r="AH28" s="13">
        <f t="shared" si="9"/>
        <v>3438928.8072941285</v>
      </c>
      <c r="AI28" s="13">
        <f t="shared" si="9"/>
        <v>3577422.6352349487</v>
      </c>
      <c r="AJ28" s="13">
        <f t="shared" si="9"/>
        <v>3721837.5762000931</v>
      </c>
      <c r="AK28" s="13">
        <f t="shared" si="9"/>
        <v>3872439.5784895965</v>
      </c>
      <c r="AO28" s="220"/>
      <c r="AP28" s="205">
        <v>4.4999999999999998E-2</v>
      </c>
      <c r="AQ28" s="1">
        <v>-7600</v>
      </c>
      <c r="AR28" s="178">
        <v>-7900</v>
      </c>
      <c r="AS28" s="178">
        <v>-8100</v>
      </c>
      <c r="AT28" s="178">
        <v>-8100</v>
      </c>
      <c r="AU28" s="178">
        <v>-8300</v>
      </c>
      <c r="AV28" s="178">
        <v>-8300</v>
      </c>
      <c r="AW28" s="178">
        <v>-8300</v>
      </c>
      <c r="AX28" s="206">
        <v>-8400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1"/>
      <c r="AP29" s="207">
        <v>0.05</v>
      </c>
      <c r="AQ29" s="208">
        <v>-10100</v>
      </c>
      <c r="AR29" s="209">
        <v>-10200</v>
      </c>
      <c r="AS29" s="209">
        <v>-10200</v>
      </c>
      <c r="AT29" s="209">
        <v>-10000</v>
      </c>
      <c r="AU29" s="209">
        <v>-10000</v>
      </c>
      <c r="AV29" s="209">
        <v>-9900</v>
      </c>
      <c r="AW29" s="209">
        <v>-9800</v>
      </c>
      <c r="AX29" s="210">
        <v>-9800</v>
      </c>
    </row>
    <row r="30" spans="2:50" x14ac:dyDescent="0.25">
      <c r="B30" s="7"/>
      <c r="C30" s="13" t="s">
        <v>58</v>
      </c>
      <c r="D30" s="6">
        <f>D28-D22</f>
        <v>-3400000</v>
      </c>
      <c r="F30" s="10"/>
      <c r="G30" s="124"/>
      <c r="H30" s="125">
        <f>H28-H22</f>
        <v>-4825016.0788101377</v>
      </c>
      <c r="I30" s="125">
        <f t="shared" ref="I30:AK30" si="10">I28-I22</f>
        <v>-1508689.5481978925</v>
      </c>
      <c r="J30" s="125">
        <f t="shared" si="10"/>
        <v>-1091474.2608478924</v>
      </c>
      <c r="K30" s="125">
        <f t="shared" si="10"/>
        <v>-346386.83739289246</v>
      </c>
      <c r="L30" s="125">
        <f t="shared" si="10"/>
        <v>-297066.27303124219</v>
      </c>
      <c r="M30" s="125">
        <f t="shared" si="10"/>
        <v>-147345.60573186772</v>
      </c>
      <c r="N30" s="125">
        <f t="shared" si="10"/>
        <v>-93825.30250629317</v>
      </c>
      <c r="O30" s="125">
        <f t="shared" si="10"/>
        <v>-38065.390936371405</v>
      </c>
      <c r="P30" s="125">
        <f t="shared" si="10"/>
        <v>20033.017190606333</v>
      </c>
      <c r="Q30" s="125">
        <f t="shared" si="10"/>
        <v>80573.361731849844</v>
      </c>
      <c r="R30" s="125">
        <f t="shared" si="10"/>
        <v>143663.8499883106</v>
      </c>
      <c r="S30" s="125">
        <f t="shared" si="10"/>
        <v>209417.68294039322</v>
      </c>
      <c r="T30" s="125">
        <f t="shared" si="10"/>
        <v>277953.29243136314</v>
      </c>
      <c r="U30" s="125">
        <f t="shared" si="10"/>
        <v>349394.5898349036</v>
      </c>
      <c r="V30" s="125">
        <f t="shared" si="10"/>
        <v>423871.22676978284</v>
      </c>
      <c r="W30" s="125">
        <f t="shared" si="10"/>
        <v>501518.86845240346</v>
      </c>
      <c r="X30" s="125">
        <f t="shared" si="10"/>
        <v>582479.4803071823</v>
      </c>
      <c r="Y30" s="125">
        <f t="shared" si="10"/>
        <v>666901.6284853681</v>
      </c>
      <c r="Z30" s="125">
        <f t="shared" si="10"/>
        <v>754940.79497505119</v>
      </c>
      <c r="AA30" s="125">
        <f t="shared" si="10"/>
        <v>846759.70801888406</v>
      </c>
      <c r="AB30" s="125">
        <f t="shared" si="10"/>
        <v>942528.68859146349</v>
      </c>
      <c r="AC30" s="125">
        <f t="shared" si="10"/>
        <v>1042426.013725525</v>
      </c>
      <c r="AD30" s="125">
        <f t="shared" si="10"/>
        <v>1146638.2975151269</v>
      </c>
      <c r="AE30" s="125">
        <f t="shared" si="10"/>
        <v>1255360.8906650119</v>
      </c>
      <c r="AF30" s="125">
        <f t="shared" si="10"/>
        <v>1368798.299498318</v>
      </c>
      <c r="AG30" s="125">
        <f t="shared" si="10"/>
        <v>1487164.625379995</v>
      </c>
      <c r="AH30" s="15">
        <f t="shared" si="10"/>
        <v>1610684.0255606605</v>
      </c>
      <c r="AI30" s="15">
        <f t="shared" si="10"/>
        <v>1739591.1964954135</v>
      </c>
      <c r="AJ30" s="15">
        <f t="shared" si="10"/>
        <v>1874131.8807443087</v>
      </c>
      <c r="AK30" s="15">
        <f t="shared" si="10"/>
        <v>2014563.3986160753</v>
      </c>
    </row>
    <row r="31" spans="2:50" x14ac:dyDescent="0.25">
      <c r="B31" s="7"/>
      <c r="C31" s="16" t="s">
        <v>59</v>
      </c>
      <c r="D31" s="17">
        <f>IRR(H30:AG30)</f>
        <v>1.9851760589404188E-2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0.86454183266932272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2000000</v>
      </c>
      <c r="F34" s="18" t="s">
        <v>63</v>
      </c>
      <c r="G34" s="124">
        <v>352000</v>
      </c>
      <c r="H34" s="124"/>
      <c r="I34" s="124"/>
      <c r="J34" s="124">
        <f>G34/2*(1+$H$9)*(1+$H$9)*(1+$H$9)*(1+$H$11)*(1+$H$11)*(1+$H$11)</f>
        <v>142550.93806155398</v>
      </c>
      <c r="K34" s="124">
        <f>G34*(1+$H$8)*(1+$H$8)*(1+$H$8)*(1+$H$8)*(1+$H$11)*(1+$H$11)*(1+$H$11)*(1+$H$11)</f>
        <v>287008.11515090149</v>
      </c>
      <c r="L34" s="124">
        <f t="shared" ref="L34:AG34" si="11">K34*(1+$H$9)*(1+$H$11)</f>
        <v>267534.61453791283</v>
      </c>
      <c r="M34" s="124">
        <f t="shared" si="11"/>
        <v>249382.39094151545</v>
      </c>
      <c r="N34" s="124">
        <f t="shared" si="11"/>
        <v>232461.79571613364</v>
      </c>
      <c r="O34" s="124">
        <f t="shared" si="11"/>
        <v>216689.262876794</v>
      </c>
      <c r="P34" s="124">
        <f t="shared" si="11"/>
        <v>201986.89639060356</v>
      </c>
      <c r="Q34" s="124">
        <f t="shared" si="11"/>
        <v>188282.08547050113</v>
      </c>
      <c r="R34" s="124">
        <f t="shared" si="11"/>
        <v>175507.14597132764</v>
      </c>
      <c r="S34" s="124">
        <f t="shared" si="11"/>
        <v>163598.98611717307</v>
      </c>
      <c r="T34" s="124">
        <f t="shared" si="11"/>
        <v>152498.79490912289</v>
      </c>
      <c r="U34" s="124">
        <f t="shared" si="11"/>
        <v>142151.75167453891</v>
      </c>
      <c r="V34" s="124">
        <f t="shared" si="11"/>
        <v>132506.75532342144</v>
      </c>
      <c r="W34" s="124">
        <f t="shared" si="11"/>
        <v>123516.17197472732</v>
      </c>
      <c r="X34" s="124">
        <f t="shared" si="11"/>
        <v>115135.59970624208</v>
      </c>
      <c r="Y34" s="124">
        <f t="shared" si="11"/>
        <v>107323.64926617357</v>
      </c>
      <c r="Z34" s="124">
        <f t="shared" si="11"/>
        <v>100041.7396634637</v>
      </c>
      <c r="AA34" s="124">
        <f t="shared" si="11"/>
        <v>93253.907627297696</v>
      </c>
      <c r="AB34" s="124">
        <f t="shared" si="11"/>
        <v>86926.629994785544</v>
      </c>
      <c r="AC34" s="124">
        <f t="shared" si="11"/>
        <v>81028.658149639363</v>
      </c>
      <c r="AD34" s="124">
        <f t="shared" si="11"/>
        <v>75530.863694186337</v>
      </c>
      <c r="AE34" s="124">
        <f t="shared" si="11"/>
        <v>70406.094592535796</v>
      </c>
      <c r="AF34" s="124">
        <f t="shared" si="11"/>
        <v>65629.041074432243</v>
      </c>
      <c r="AG34" s="124">
        <f t="shared" si="11"/>
        <v>61176.110637532016</v>
      </c>
    </row>
    <row r="35" spans="2:33" x14ac:dyDescent="0.25">
      <c r="B35" s="4"/>
      <c r="C35" t="s">
        <v>64</v>
      </c>
      <c r="D35" s="5">
        <f>ROUND(H35+NPV($H$10,I35:AG35),-5)</f>
        <v>4600000</v>
      </c>
      <c r="G35" s="124">
        <f>(10000000*(1+H9)^10)*(18/49)</f>
        <v>4936835.6792233046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4936835.6792233046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6600000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3200000</v>
      </c>
      <c r="H38" s="190">
        <f>H35+H34+H30</f>
        <v>-4825016.0788101377</v>
      </c>
      <c r="I38" s="190">
        <f t="shared" ref="I38:AF38" si="12">I35+I34+I30</f>
        <v>-1508689.5481978925</v>
      </c>
      <c r="J38" s="190">
        <f t="shared" si="12"/>
        <v>-948923.32278633839</v>
      </c>
      <c r="K38" s="190">
        <f t="shared" si="12"/>
        <v>-59378.722241990967</v>
      </c>
      <c r="L38" s="190">
        <f t="shared" si="12"/>
        <v>-29531.658493329363</v>
      </c>
      <c r="M38" s="190">
        <f t="shared" si="12"/>
        <v>102036.78520964773</v>
      </c>
      <c r="N38" s="190">
        <f t="shared" si="12"/>
        <v>138636.49320984047</v>
      </c>
      <c r="O38" s="190">
        <f t="shared" si="12"/>
        <v>178623.8719404226</v>
      </c>
      <c r="P38" s="190">
        <f t="shared" si="12"/>
        <v>222019.9135812099</v>
      </c>
      <c r="Q38" s="190">
        <f t="shared" si="12"/>
        <v>268855.44720235094</v>
      </c>
      <c r="R38" s="190">
        <f t="shared" si="12"/>
        <v>5256006.6751829432</v>
      </c>
      <c r="S38" s="190">
        <f t="shared" si="12"/>
        <v>373016.66905756632</v>
      </c>
      <c r="T38" s="190">
        <f t="shared" si="12"/>
        <v>430452.087340486</v>
      </c>
      <c r="U38" s="190">
        <f t="shared" si="12"/>
        <v>491546.34150944254</v>
      </c>
      <c r="V38" s="190">
        <f t="shared" si="12"/>
        <v>556377.98209320428</v>
      </c>
      <c r="W38" s="190">
        <f t="shared" si="12"/>
        <v>625035.04042713076</v>
      </c>
      <c r="X38" s="190">
        <f t="shared" si="12"/>
        <v>697615.08001342439</v>
      </c>
      <c r="Y38" s="190">
        <f t="shared" si="12"/>
        <v>774225.2777515417</v>
      </c>
      <c r="Z38" s="190">
        <f t="shared" si="12"/>
        <v>854982.53463851486</v>
      </c>
      <c r="AA38" s="190">
        <f t="shared" si="12"/>
        <v>940013.61564618174</v>
      </c>
      <c r="AB38" s="190">
        <f t="shared" si="12"/>
        <v>1029455.318586249</v>
      </c>
      <c r="AC38" s="190">
        <f t="shared" si="12"/>
        <v>1123454.6718751644</v>
      </c>
      <c r="AD38" s="190">
        <f t="shared" si="12"/>
        <v>1222169.1612093132</v>
      </c>
      <c r="AE38" s="190">
        <f t="shared" si="12"/>
        <v>1325766.9852575478</v>
      </c>
      <c r="AF38" s="190">
        <f t="shared" si="12"/>
        <v>1434427.3405727502</v>
      </c>
      <c r="AG38" s="190">
        <f>AG35+AG34+AG30</f>
        <v>1548340.7360175271</v>
      </c>
    </row>
    <row r="39" spans="2:33" x14ac:dyDescent="0.25">
      <c r="B39" s="7"/>
      <c r="C39" s="16" t="s">
        <v>59</v>
      </c>
      <c r="D39" s="17">
        <f>IRR(H38:AG38)</f>
        <v>6.7360953719548311E-2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1.1274900398406376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0SeirFc6tp8qQwNw65HvDIFW50DtglTVQ12uFxYM+VEj20CrqMJadN3LnN3FyKpv4wPmRsuvySUcbp9WBmmatQ==" saltValue="rWWv5nTetI0poNPjfpCx5g==" spinCount="100000" sheet="1" objects="1" scenarios="1"/>
  <mergeCells count="3">
    <mergeCell ref="L2:M2"/>
    <mergeCell ref="AO10:AO19"/>
    <mergeCell ref="AO23:AO29"/>
  </mergeCells>
  <conditionalFormatting sqref="AQ12:AX19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3:AX29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3035-5403-440F-9620-0058E62E45E6}">
  <dimension ref="B1:AX52"/>
  <sheetViews>
    <sheetView topLeftCell="A9" zoomScale="85" zoomScaleNormal="85" workbookViewId="0">
      <selection activeCell="C13" sqref="C13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78.140625" customWidth="1"/>
    <col min="7" max="7" width="16.2851562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</row>
    <row r="8" spans="2:50" s="29" customFormat="1" ht="45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/>
      <c r="AR8"/>
      <c r="AS8"/>
      <c r="AT8"/>
      <c r="AU8"/>
      <c r="AV8"/>
      <c r="AW8"/>
      <c r="AX8"/>
    </row>
    <row r="9" spans="2:50" ht="45" x14ac:dyDescent="0.25">
      <c r="G9" s="169" t="s">
        <v>23</v>
      </c>
      <c r="H9" s="11">
        <v>0.03</v>
      </c>
      <c r="AQ9" s="12" t="s">
        <v>28</v>
      </c>
      <c r="AR9" s="3"/>
      <c r="AS9" s="3"/>
      <c r="AT9" s="3"/>
      <c r="AU9" s="3"/>
      <c r="AV9" s="3"/>
      <c r="AW9" s="3"/>
      <c r="AX9" s="3"/>
    </row>
    <row r="10" spans="2:50" x14ac:dyDescent="0.25">
      <c r="G10" s="185" t="s">
        <v>24</v>
      </c>
      <c r="H10" s="11">
        <v>7.0000000000000007E-2</v>
      </c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</row>
    <row r="11" spans="2:50" x14ac:dyDescent="0.25">
      <c r="G11" s="9" t="s">
        <v>25</v>
      </c>
      <c r="H11" s="184">
        <v>-9.5000000000000001E-2</v>
      </c>
      <c r="AO11" s="219" t="s">
        <v>34</v>
      </c>
      <c r="AP11" s="187"/>
      <c r="AQ11" s="193" t="s">
        <v>24</v>
      </c>
      <c r="AR11" s="199"/>
      <c r="AS11" s="199"/>
      <c r="AT11" s="199"/>
      <c r="AU11" s="199"/>
      <c r="AV11" s="199"/>
      <c r="AW11" s="199"/>
      <c r="AX11" s="200"/>
    </row>
    <row r="12" spans="2:50" x14ac:dyDescent="0.25">
      <c r="C12" s="123" t="s">
        <v>167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02">
        <f>D30/1000</f>
        <v>18000</v>
      </c>
      <c r="AQ12" s="203">
        <v>0.03</v>
      </c>
      <c r="AR12" s="203">
        <v>0.04</v>
      </c>
      <c r="AS12" s="203">
        <v>0.05</v>
      </c>
      <c r="AT12" s="203">
        <v>0.06</v>
      </c>
      <c r="AU12" s="203">
        <v>7.0000000000000007E-2</v>
      </c>
      <c r="AV12" s="203">
        <v>0.08</v>
      </c>
      <c r="AW12" s="203">
        <v>0.09</v>
      </c>
      <c r="AX12" s="204">
        <v>0.1</v>
      </c>
    </row>
    <row r="13" spans="2:50" x14ac:dyDescent="0.25">
      <c r="H13" s="110"/>
      <c r="AO13" s="220"/>
      <c r="AP13" s="211">
        <v>0.01</v>
      </c>
      <c r="AQ13" s="178">
        <f t="dataTable" ref="AQ13:AX20" dt2D="1" dtr="1" r1="H10" r2="H8"/>
        <v>17500</v>
      </c>
      <c r="AR13" s="178">
        <v>15400</v>
      </c>
      <c r="AS13" s="178">
        <v>13700</v>
      </c>
      <c r="AT13" s="178">
        <v>12100</v>
      </c>
      <c r="AU13" s="178">
        <v>10900</v>
      </c>
      <c r="AV13" s="178">
        <v>9700</v>
      </c>
      <c r="AW13" s="178">
        <v>8700</v>
      </c>
      <c r="AX13" s="206">
        <v>7800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0.02</v>
      </c>
      <c r="AQ14" s="178">
        <v>19900</v>
      </c>
      <c r="AR14" s="178">
        <v>17500</v>
      </c>
      <c r="AS14" s="178">
        <v>15500</v>
      </c>
      <c r="AT14" s="178">
        <v>13700</v>
      </c>
      <c r="AU14" s="178">
        <v>12300</v>
      </c>
      <c r="AV14" s="178">
        <v>10900</v>
      </c>
      <c r="AW14" s="178">
        <v>9800</v>
      </c>
      <c r="AX14" s="206">
        <v>8800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0.03</v>
      </c>
      <c r="AQ15" s="178">
        <v>22800</v>
      </c>
      <c r="AR15" s="178">
        <v>20000</v>
      </c>
      <c r="AS15" s="178">
        <v>17700</v>
      </c>
      <c r="AT15" s="178">
        <v>15600</v>
      </c>
      <c r="AU15" s="178">
        <v>13900</v>
      </c>
      <c r="AV15" s="178">
        <v>12300</v>
      </c>
      <c r="AW15" s="178">
        <v>11100</v>
      </c>
      <c r="AX15" s="206">
        <v>9900</v>
      </c>
    </row>
    <row r="16" spans="2:50" x14ac:dyDescent="0.25">
      <c r="B16" s="4"/>
      <c r="C16" t="s">
        <v>35</v>
      </c>
      <c r="D16" s="5">
        <f>ROUND(H16+NPV($H$10,I16:AG16),-5)</f>
        <v>1300000</v>
      </c>
      <c r="F16" s="10" t="s">
        <v>36</v>
      </c>
      <c r="G16" s="165">
        <f>ROUND(SUM(G17:G18)*0.1,-5)</f>
        <v>1300000</v>
      </c>
      <c r="H16" s="124">
        <f>G16</f>
        <v>1300000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0.04</v>
      </c>
      <c r="AQ16" s="1">
        <v>26100</v>
      </c>
      <c r="AR16" s="178">
        <v>22900</v>
      </c>
      <c r="AS16" s="178">
        <v>20200</v>
      </c>
      <c r="AT16" s="178">
        <v>17700</v>
      </c>
      <c r="AU16" s="178">
        <v>15800</v>
      </c>
      <c r="AV16" s="178">
        <v>14000</v>
      </c>
      <c r="AW16" s="178">
        <v>12500</v>
      </c>
      <c r="AX16" s="206">
        <v>11100</v>
      </c>
    </row>
    <row r="17" spans="2:50" x14ac:dyDescent="0.25">
      <c r="B17" s="4"/>
      <c r="C17" t="s">
        <v>37</v>
      </c>
      <c r="D17" s="5">
        <f>ROUND(H17+NPV($H$10,I17:AG17),-5)</f>
        <v>0</v>
      </c>
      <c r="F17" s="10" t="s">
        <v>38</v>
      </c>
      <c r="G17" s="165">
        <v>0</v>
      </c>
      <c r="H17" s="124">
        <f>-PMT($H$12/12,$I$12*12,$G$17)*12</f>
        <v>0</v>
      </c>
      <c r="I17" s="124">
        <f>-PMT($H$12/12,$I$12*12,$G$17)*12</f>
        <v>0</v>
      </c>
      <c r="J17" s="124">
        <f t="shared" ref="J17:AG17" si="0">-PMT($H$12/12,$I$12*12,$G$17)*12</f>
        <v>0</v>
      </c>
      <c r="K17" s="124">
        <f t="shared" si="0"/>
        <v>0</v>
      </c>
      <c r="L17" s="124">
        <f t="shared" si="0"/>
        <v>0</v>
      </c>
      <c r="M17" s="124">
        <f t="shared" si="0"/>
        <v>0</v>
      </c>
      <c r="N17" s="124">
        <f t="shared" si="0"/>
        <v>0</v>
      </c>
      <c r="O17" s="124">
        <f t="shared" si="0"/>
        <v>0</v>
      </c>
      <c r="P17" s="124">
        <f t="shared" si="0"/>
        <v>0</v>
      </c>
      <c r="Q17" s="124">
        <f t="shared" si="0"/>
        <v>0</v>
      </c>
      <c r="R17" s="124">
        <f t="shared" si="0"/>
        <v>0</v>
      </c>
      <c r="S17" s="124">
        <f t="shared" si="0"/>
        <v>0</v>
      </c>
      <c r="T17" s="124">
        <f t="shared" si="0"/>
        <v>0</v>
      </c>
      <c r="U17" s="124">
        <f t="shared" si="0"/>
        <v>0</v>
      </c>
      <c r="V17" s="124">
        <f t="shared" si="0"/>
        <v>0</v>
      </c>
      <c r="W17" s="124">
        <f t="shared" si="0"/>
        <v>0</v>
      </c>
      <c r="X17" s="124">
        <f t="shared" si="0"/>
        <v>0</v>
      </c>
      <c r="Y17" s="124">
        <f t="shared" si="0"/>
        <v>0</v>
      </c>
      <c r="Z17" s="124">
        <f t="shared" si="0"/>
        <v>0</v>
      </c>
      <c r="AA17" s="124">
        <f t="shared" si="0"/>
        <v>0</v>
      </c>
      <c r="AB17" s="124">
        <f t="shared" si="0"/>
        <v>0</v>
      </c>
      <c r="AC17" s="124">
        <f t="shared" si="0"/>
        <v>0</v>
      </c>
      <c r="AD17" s="124">
        <f t="shared" si="0"/>
        <v>0</v>
      </c>
      <c r="AE17" s="124">
        <f t="shared" si="0"/>
        <v>0</v>
      </c>
      <c r="AF17" s="124">
        <f t="shared" si="0"/>
        <v>0</v>
      </c>
      <c r="AG17" s="124">
        <f t="shared" si="0"/>
        <v>0</v>
      </c>
      <c r="AH17" s="3"/>
      <c r="AI17" s="3"/>
      <c r="AJ17" s="3"/>
      <c r="AK17" s="3"/>
      <c r="AO17" s="220"/>
      <c r="AP17" s="211">
        <v>0.05</v>
      </c>
      <c r="AQ17" s="1">
        <v>30100</v>
      </c>
      <c r="AR17" s="178">
        <v>26300</v>
      </c>
      <c r="AS17" s="178">
        <v>23100</v>
      </c>
      <c r="AT17" s="178">
        <v>20300</v>
      </c>
      <c r="AU17" s="178">
        <v>18000</v>
      </c>
      <c r="AV17" s="178">
        <v>15900</v>
      </c>
      <c r="AW17" s="178">
        <v>14200</v>
      </c>
      <c r="AX17" s="206">
        <v>12600</v>
      </c>
    </row>
    <row r="18" spans="2:50" x14ac:dyDescent="0.25">
      <c r="B18" s="4"/>
      <c r="C18" t="s">
        <v>39</v>
      </c>
      <c r="D18" s="5">
        <f t="shared" ref="D18:D20" si="1">ROUND(H18+NPV($H$10,I18:AG18),-5)</f>
        <v>7200000</v>
      </c>
      <c r="F18" s="10" t="s">
        <v>40</v>
      </c>
      <c r="G18" s="166">
        <f>Loop!L25</f>
        <v>13310000</v>
      </c>
      <c r="H18" s="124">
        <f>-PMT($H$12/12,$I$12*12,$G$18)*12</f>
        <v>571772.71886429237</v>
      </c>
      <c r="I18" s="124">
        <f t="shared" ref="I18:AK18" si="2">-PMT($H$12/12,$I$12*12,$G$18)*12</f>
        <v>571772.71886429237</v>
      </c>
      <c r="J18" s="124">
        <f t="shared" si="2"/>
        <v>571772.71886429237</v>
      </c>
      <c r="K18" s="124">
        <f t="shared" si="2"/>
        <v>571772.71886429237</v>
      </c>
      <c r="L18" s="124">
        <f t="shared" si="2"/>
        <v>571772.71886429237</v>
      </c>
      <c r="M18" s="124">
        <f t="shared" si="2"/>
        <v>571772.71886429237</v>
      </c>
      <c r="N18" s="124">
        <f t="shared" si="2"/>
        <v>571772.71886429237</v>
      </c>
      <c r="O18" s="124">
        <f t="shared" si="2"/>
        <v>571772.71886429237</v>
      </c>
      <c r="P18" s="124">
        <f t="shared" si="2"/>
        <v>571772.71886429237</v>
      </c>
      <c r="Q18" s="124">
        <f t="shared" si="2"/>
        <v>571772.71886429237</v>
      </c>
      <c r="R18" s="124">
        <f t="shared" si="2"/>
        <v>571772.71886429237</v>
      </c>
      <c r="S18" s="124">
        <f t="shared" si="2"/>
        <v>571772.71886429237</v>
      </c>
      <c r="T18" s="124">
        <f t="shared" si="2"/>
        <v>571772.71886429237</v>
      </c>
      <c r="U18" s="124">
        <f t="shared" si="2"/>
        <v>571772.71886429237</v>
      </c>
      <c r="V18" s="124">
        <f t="shared" si="2"/>
        <v>571772.71886429237</v>
      </c>
      <c r="W18" s="124">
        <f t="shared" si="2"/>
        <v>571772.71886429237</v>
      </c>
      <c r="X18" s="124">
        <f t="shared" si="2"/>
        <v>571772.71886429237</v>
      </c>
      <c r="Y18" s="124">
        <f t="shared" si="2"/>
        <v>571772.71886429237</v>
      </c>
      <c r="Z18" s="124">
        <f t="shared" si="2"/>
        <v>571772.71886429237</v>
      </c>
      <c r="AA18" s="124">
        <f t="shared" si="2"/>
        <v>571772.71886429237</v>
      </c>
      <c r="AB18" s="124">
        <f t="shared" si="2"/>
        <v>571772.71886429237</v>
      </c>
      <c r="AC18" s="124">
        <f t="shared" si="2"/>
        <v>571772.71886429237</v>
      </c>
      <c r="AD18" s="124">
        <f t="shared" si="2"/>
        <v>571772.71886429237</v>
      </c>
      <c r="AE18" s="124">
        <f t="shared" si="2"/>
        <v>571772.71886429237</v>
      </c>
      <c r="AF18" s="124">
        <f t="shared" si="2"/>
        <v>571772.71886429237</v>
      </c>
      <c r="AG18" s="124">
        <f t="shared" si="2"/>
        <v>571772.71886429237</v>
      </c>
      <c r="AH18" s="3">
        <f t="shared" si="2"/>
        <v>571772.71886429237</v>
      </c>
      <c r="AI18" s="3">
        <f t="shared" si="2"/>
        <v>571772.71886429237</v>
      </c>
      <c r="AJ18" s="3">
        <f t="shared" si="2"/>
        <v>571772.71886429237</v>
      </c>
      <c r="AK18" s="3">
        <f t="shared" si="2"/>
        <v>571772.71886429237</v>
      </c>
      <c r="AO18" s="220"/>
      <c r="AP18" s="211">
        <v>0.06</v>
      </c>
      <c r="AQ18" s="1">
        <v>34800</v>
      </c>
      <c r="AR18" s="178">
        <v>30300</v>
      </c>
      <c r="AS18" s="178">
        <v>26500</v>
      </c>
      <c r="AT18" s="178">
        <v>23200</v>
      </c>
      <c r="AU18" s="178">
        <v>20500</v>
      </c>
      <c r="AV18" s="178">
        <v>18100</v>
      </c>
      <c r="AW18" s="178">
        <v>16100</v>
      </c>
      <c r="AX18" s="206">
        <v>14300</v>
      </c>
    </row>
    <row r="19" spans="2:50" x14ac:dyDescent="0.25">
      <c r="B19" s="4"/>
      <c r="C19" t="s">
        <v>41</v>
      </c>
      <c r="D19" s="5">
        <f t="shared" si="1"/>
        <v>1500000</v>
      </c>
      <c r="F19" s="10" t="s">
        <v>68</v>
      </c>
      <c r="G19" s="165">
        <f>((30+188+14+30)*1000)*(19/49)</f>
        <v>101591.83673469388</v>
      </c>
      <c r="H19" s="124"/>
      <c r="I19" s="124"/>
      <c r="J19" s="124">
        <f>G19</f>
        <v>101591.83673469388</v>
      </c>
      <c r="K19" s="124">
        <f t="shared" ref="K19:AK19" si="3">J19*(1+$H$9)</f>
        <v>104639.59183673469</v>
      </c>
      <c r="L19" s="124">
        <f t="shared" si="3"/>
        <v>107778.77959183673</v>
      </c>
      <c r="M19" s="124">
        <f t="shared" si="3"/>
        <v>111012.14297959184</v>
      </c>
      <c r="N19" s="124">
        <f t="shared" si="3"/>
        <v>114342.50726897959</v>
      </c>
      <c r="O19" s="124">
        <f t="shared" si="3"/>
        <v>117772.78248704899</v>
      </c>
      <c r="P19" s="124">
        <f t="shared" si="3"/>
        <v>121305.96596166046</v>
      </c>
      <c r="Q19" s="124">
        <f t="shared" si="3"/>
        <v>124945.14494051028</v>
      </c>
      <c r="R19" s="124">
        <f t="shared" si="3"/>
        <v>128693.49928872559</v>
      </c>
      <c r="S19" s="124">
        <f t="shared" si="3"/>
        <v>132554.30426738737</v>
      </c>
      <c r="T19" s="124">
        <f t="shared" si="3"/>
        <v>136530.933395409</v>
      </c>
      <c r="U19" s="124">
        <f t="shared" si="3"/>
        <v>140626.86139727128</v>
      </c>
      <c r="V19" s="124">
        <f t="shared" si="3"/>
        <v>144845.66723918941</v>
      </c>
      <c r="W19" s="124">
        <f t="shared" si="3"/>
        <v>149191.03725636509</v>
      </c>
      <c r="X19" s="124">
        <f t="shared" si="3"/>
        <v>153666.76837405603</v>
      </c>
      <c r="Y19" s="124">
        <f t="shared" si="3"/>
        <v>158276.77142527772</v>
      </c>
      <c r="Z19" s="124">
        <f t="shared" si="3"/>
        <v>163025.07456803607</v>
      </c>
      <c r="AA19" s="124">
        <f t="shared" si="3"/>
        <v>167915.82680507714</v>
      </c>
      <c r="AB19" s="124">
        <f t="shared" si="3"/>
        <v>172953.30160922947</v>
      </c>
      <c r="AC19" s="124">
        <f t="shared" si="3"/>
        <v>178141.90065750637</v>
      </c>
      <c r="AD19" s="124">
        <f t="shared" si="3"/>
        <v>183486.15767723156</v>
      </c>
      <c r="AE19" s="124">
        <f t="shared" si="3"/>
        <v>188990.7424075485</v>
      </c>
      <c r="AF19" s="124">
        <f t="shared" si="3"/>
        <v>194660.46467977497</v>
      </c>
      <c r="AG19" s="124">
        <f t="shared" si="3"/>
        <v>200500.27862016822</v>
      </c>
      <c r="AH19" s="3">
        <f t="shared" si="3"/>
        <v>206515.28697877328</v>
      </c>
      <c r="AI19" s="3">
        <f t="shared" si="3"/>
        <v>212710.74558813649</v>
      </c>
      <c r="AJ19" s="3">
        <f t="shared" si="3"/>
        <v>219092.0679557806</v>
      </c>
      <c r="AK19" s="3">
        <f t="shared" si="3"/>
        <v>225664.82999445402</v>
      </c>
      <c r="AO19" s="220"/>
      <c r="AP19" s="211">
        <v>7.0000000000000007E-2</v>
      </c>
      <c r="AQ19" s="1">
        <v>40400</v>
      </c>
      <c r="AR19" s="178">
        <v>35000</v>
      </c>
      <c r="AS19" s="178">
        <v>30600</v>
      </c>
      <c r="AT19" s="178">
        <v>26700</v>
      </c>
      <c r="AU19" s="178">
        <v>23500</v>
      </c>
      <c r="AV19" s="178">
        <v>20600</v>
      </c>
      <c r="AW19" s="178">
        <v>18300</v>
      </c>
      <c r="AX19" s="206">
        <v>16200</v>
      </c>
    </row>
    <row r="20" spans="2:50" x14ac:dyDescent="0.25">
      <c r="B20" s="4"/>
      <c r="C20" t="s">
        <v>43</v>
      </c>
      <c r="D20" s="5">
        <f t="shared" si="1"/>
        <v>300000</v>
      </c>
      <c r="F20" s="10" t="s">
        <v>70</v>
      </c>
      <c r="G20" s="167">
        <f>15000*19</f>
        <v>285000</v>
      </c>
      <c r="H20" s="124"/>
      <c r="I20" s="124"/>
      <c r="J20" s="124">
        <f>G20/3*(1+$H$9)*(1+$H$9)</f>
        <v>100785.5</v>
      </c>
      <c r="K20" s="124">
        <f>G20/3*(1+$H$9)*(1+$H$9)*(1+$H$9)</f>
        <v>103809.065</v>
      </c>
      <c r="L20" s="124">
        <f>G20/3*(1+$H$9)*(1+$H$9)*(1+$H$9)</f>
        <v>103809.065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221"/>
      <c r="AP20" s="212">
        <v>0.08</v>
      </c>
      <c r="AQ20" s="208">
        <v>47000</v>
      </c>
      <c r="AR20" s="209">
        <v>40600</v>
      </c>
      <c r="AS20" s="209">
        <v>35300</v>
      </c>
      <c r="AT20" s="209">
        <v>30700</v>
      </c>
      <c r="AU20" s="209">
        <v>27000</v>
      </c>
      <c r="AV20" s="209">
        <v>23700</v>
      </c>
      <c r="AW20" s="209">
        <v>20900</v>
      </c>
      <c r="AX20" s="210">
        <v>18500</v>
      </c>
    </row>
    <row r="21" spans="2:50" ht="15.75" thickBot="1" x14ac:dyDescent="0.3">
      <c r="B21" s="4"/>
      <c r="C21" t="s">
        <v>45</v>
      </c>
      <c r="D21" s="5">
        <f>ROUND(H21+NPV($H$10,I21:AG21),-5)</f>
        <v>-1600000</v>
      </c>
      <c r="F21" s="10" t="s">
        <v>46</v>
      </c>
      <c r="G21" s="167">
        <f>-4500000*(19/49)</f>
        <v>-1744897.9591836734</v>
      </c>
      <c r="H21" s="124">
        <f>-500000*(19/49)</f>
        <v>-193877.55102040817</v>
      </c>
      <c r="I21" s="124"/>
      <c r="J21" s="124"/>
      <c r="K21" s="124">
        <f>-4000000*(19/49)</f>
        <v>-1551020.4081632653</v>
      </c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6"/>
    </row>
    <row r="22" spans="2:50" ht="15.75" thickBot="1" x14ac:dyDescent="0.3">
      <c r="B22" s="4"/>
      <c r="C22" s="13" t="s">
        <v>47</v>
      </c>
      <c r="D22" s="6">
        <f>SUM(D16:D21)</f>
        <v>8700000</v>
      </c>
      <c r="F22" s="10"/>
      <c r="G22" s="168">
        <f>SUM(G16:G21)</f>
        <v>13251693.877551019</v>
      </c>
      <c r="H22" s="162">
        <f>SUM(H16:H21)</f>
        <v>1677895.1678438843</v>
      </c>
      <c r="I22" s="125">
        <f>SUM(I16:I21)</f>
        <v>571772.71886429237</v>
      </c>
      <c r="J22" s="125">
        <f t="shared" ref="J22" si="4">SUM(J16:J21)</f>
        <v>774150.05559898622</v>
      </c>
      <c r="K22" s="125">
        <f>SUM(K16:K21)</f>
        <v>-770799.03246223833</v>
      </c>
      <c r="L22" s="125">
        <f t="shared" ref="L22:AG22" si="5">SUM(L16:L21)</f>
        <v>783360.56345612905</v>
      </c>
      <c r="M22" s="125">
        <f t="shared" si="5"/>
        <v>682784.86184388422</v>
      </c>
      <c r="N22" s="125">
        <f t="shared" si="5"/>
        <v>686115.22613327194</v>
      </c>
      <c r="O22" s="125">
        <f t="shared" si="5"/>
        <v>689545.50135134137</v>
      </c>
      <c r="P22" s="125">
        <f t="shared" si="5"/>
        <v>693078.68482595286</v>
      </c>
      <c r="Q22" s="125">
        <f t="shared" si="5"/>
        <v>696717.86380480265</v>
      </c>
      <c r="R22" s="125">
        <f t="shared" si="5"/>
        <v>700466.21815301792</v>
      </c>
      <c r="S22" s="125">
        <f t="shared" si="5"/>
        <v>704327.02313167974</v>
      </c>
      <c r="T22" s="125">
        <f t="shared" si="5"/>
        <v>708303.6522597014</v>
      </c>
      <c r="U22" s="125">
        <f t="shared" si="5"/>
        <v>712399.58026156365</v>
      </c>
      <c r="V22" s="125">
        <f t="shared" si="5"/>
        <v>716618.38610348175</v>
      </c>
      <c r="W22" s="125">
        <f t="shared" si="5"/>
        <v>720963.75612065743</v>
      </c>
      <c r="X22" s="125">
        <f t="shared" si="5"/>
        <v>725439.48723834846</v>
      </c>
      <c r="Y22" s="125">
        <f t="shared" si="5"/>
        <v>730049.49028957007</v>
      </c>
      <c r="Z22" s="125">
        <f t="shared" si="5"/>
        <v>734797.79343232838</v>
      </c>
      <c r="AA22" s="125">
        <f t="shared" si="5"/>
        <v>739688.54566936952</v>
      </c>
      <c r="AB22" s="125">
        <f t="shared" si="5"/>
        <v>744726.0204735219</v>
      </c>
      <c r="AC22" s="125">
        <f t="shared" si="5"/>
        <v>749914.6195217988</v>
      </c>
      <c r="AD22" s="125">
        <f t="shared" si="5"/>
        <v>755258.87654152396</v>
      </c>
      <c r="AE22" s="125">
        <f t="shared" si="5"/>
        <v>760763.46127184085</v>
      </c>
      <c r="AF22" s="125">
        <f t="shared" si="5"/>
        <v>766433.18354406732</v>
      </c>
      <c r="AG22" s="125">
        <f t="shared" si="5"/>
        <v>772272.99748446059</v>
      </c>
      <c r="AH22" s="15">
        <f>SUM(AH16:AH20)</f>
        <v>778288.00584306568</v>
      </c>
      <c r="AI22" s="15">
        <f>SUM(AI16:AI20)</f>
        <v>784483.46445242886</v>
      </c>
      <c r="AJ22" s="15">
        <f>SUM(AJ16:AJ20)</f>
        <v>790864.78682007291</v>
      </c>
      <c r="AK22" s="15">
        <f>SUM(AK16:AK20)</f>
        <v>797437.54885874642</v>
      </c>
      <c r="AO22" s="197"/>
      <c r="AP22" s="198"/>
      <c r="AQ22" s="193" t="s">
        <v>54</v>
      </c>
      <c r="AR22" s="199"/>
      <c r="AS22" s="199"/>
      <c r="AT22" s="199"/>
      <c r="AU22" s="199"/>
      <c r="AV22" s="199"/>
      <c r="AW22" s="199"/>
      <c r="AX22" s="200"/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01"/>
      <c r="AP23" s="202">
        <f>D30/1000</f>
        <v>18000</v>
      </c>
      <c r="AQ23" s="203">
        <v>0.03</v>
      </c>
      <c r="AR23" s="203">
        <v>0.04</v>
      </c>
      <c r="AS23" s="203">
        <v>0.05</v>
      </c>
      <c r="AT23" s="203">
        <v>0.06</v>
      </c>
      <c r="AU23" s="203">
        <v>7.0000000000000007E-2</v>
      </c>
      <c r="AV23" s="203">
        <v>0.08</v>
      </c>
      <c r="AW23" s="203">
        <v>0.09</v>
      </c>
      <c r="AX23" s="204">
        <v>0.1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 t="s">
        <v>26</v>
      </c>
      <c r="AP24" s="205">
        <v>0.02</v>
      </c>
      <c r="AQ24" s="178">
        <f t="dataTable" ref="AQ24:AX30" dt2D="1" dtr="1" r1="H10" r2="H12" ca="1"/>
        <v>31700</v>
      </c>
      <c r="AR24" s="178">
        <v>27800</v>
      </c>
      <c r="AS24" s="178">
        <v>24400</v>
      </c>
      <c r="AT24" s="178">
        <v>21500</v>
      </c>
      <c r="AU24" s="178">
        <v>19100</v>
      </c>
      <c r="AV24" s="178">
        <v>17000</v>
      </c>
      <c r="AW24" s="178">
        <v>15200</v>
      </c>
      <c r="AX24" s="206">
        <v>13500</v>
      </c>
    </row>
    <row r="25" spans="2:50" x14ac:dyDescent="0.25">
      <c r="B25" s="4"/>
      <c r="C25" t="s">
        <v>50</v>
      </c>
      <c r="D25" s="5">
        <f>ROUND(H25+NPV($H$10,I25:AG25),-5)</f>
        <v>3000000</v>
      </c>
      <c r="F25" s="10" t="s">
        <v>51</v>
      </c>
      <c r="G25" s="124">
        <v>189000</v>
      </c>
      <c r="H25" s="124"/>
      <c r="I25" s="124"/>
      <c r="J25" s="124">
        <f>G25/2*(1+$H$9)*(1+$H$9)*(1+$H$9)</f>
        <v>103262.70150000001</v>
      </c>
      <c r="K25" s="124">
        <f>G25*(1+$H$9)*(1+$H$9)*(1+$H$9)*(1+$H$9)</f>
        <v>212721.16509000002</v>
      </c>
      <c r="L25" s="124">
        <f t="shared" ref="L25:AK26" si="6">K25*(1+$H$9)</f>
        <v>219102.80004270002</v>
      </c>
      <c r="M25" s="124">
        <f t="shared" si="6"/>
        <v>225675.88404398103</v>
      </c>
      <c r="N25" s="124">
        <f t="shared" si="6"/>
        <v>232446.16056530047</v>
      </c>
      <c r="O25" s="124">
        <f t="shared" si="6"/>
        <v>239419.5453822595</v>
      </c>
      <c r="P25" s="124">
        <f t="shared" si="6"/>
        <v>246602.13174372728</v>
      </c>
      <c r="Q25" s="124">
        <f t="shared" si="6"/>
        <v>254000.1956960391</v>
      </c>
      <c r="R25" s="124">
        <f t="shared" si="6"/>
        <v>261620.20156692027</v>
      </c>
      <c r="S25" s="124">
        <f t="shared" si="6"/>
        <v>269468.80761392787</v>
      </c>
      <c r="T25" s="124">
        <f t="shared" si="6"/>
        <v>277552.87184234569</v>
      </c>
      <c r="U25" s="124">
        <f t="shared" si="6"/>
        <v>285879.45799761609</v>
      </c>
      <c r="V25" s="124">
        <f t="shared" si="6"/>
        <v>294455.84173754457</v>
      </c>
      <c r="W25" s="124">
        <f t="shared" si="6"/>
        <v>303289.51698967093</v>
      </c>
      <c r="X25" s="124">
        <f t="shared" si="6"/>
        <v>312388.20249936107</v>
      </c>
      <c r="Y25" s="124">
        <f t="shared" si="6"/>
        <v>321759.84857434192</v>
      </c>
      <c r="Z25" s="124">
        <f t="shared" si="6"/>
        <v>331412.64403157216</v>
      </c>
      <c r="AA25" s="124">
        <f t="shared" si="6"/>
        <v>341355.02335251932</v>
      </c>
      <c r="AB25" s="124">
        <f t="shared" si="6"/>
        <v>351595.67405309493</v>
      </c>
      <c r="AC25" s="124">
        <f t="shared" si="6"/>
        <v>362143.54427468777</v>
      </c>
      <c r="AD25" s="124">
        <f t="shared" si="6"/>
        <v>373007.85060292843</v>
      </c>
      <c r="AE25" s="124">
        <f t="shared" si="6"/>
        <v>384198.0861210163</v>
      </c>
      <c r="AF25" s="124">
        <f t="shared" si="6"/>
        <v>395724.0287046468</v>
      </c>
      <c r="AG25" s="124">
        <f t="shared" si="6"/>
        <v>407595.74956578622</v>
      </c>
      <c r="AH25" s="3">
        <f t="shared" si="6"/>
        <v>419823.62205275981</v>
      </c>
      <c r="AI25" s="3">
        <f t="shared" si="6"/>
        <v>432418.33071434259</v>
      </c>
      <c r="AJ25" s="3">
        <f t="shared" si="6"/>
        <v>445390.88063577289</v>
      </c>
      <c r="AK25" s="3">
        <f t="shared" si="6"/>
        <v>458752.60705484607</v>
      </c>
      <c r="AO25" s="220"/>
      <c r="AP25" s="205">
        <v>2.5000000000000001E-2</v>
      </c>
      <c r="AQ25" s="178">
        <v>30900</v>
      </c>
      <c r="AR25" s="178">
        <v>27000</v>
      </c>
      <c r="AS25" s="178">
        <v>23700</v>
      </c>
      <c r="AT25" s="178">
        <v>20900</v>
      </c>
      <c r="AU25" s="178">
        <v>18500</v>
      </c>
      <c r="AV25" s="178">
        <v>16500</v>
      </c>
      <c r="AW25" s="178">
        <v>14700</v>
      </c>
      <c r="AX25" s="206">
        <v>13100</v>
      </c>
    </row>
    <row r="26" spans="2:50" x14ac:dyDescent="0.25">
      <c r="B26" s="4"/>
      <c r="C26" t="s">
        <v>52</v>
      </c>
      <c r="D26" s="5">
        <f>ROUND(H26+NPV($H$10,I26:AG26),-5)</f>
        <v>5800000</v>
      </c>
      <c r="F26" s="10" t="s">
        <v>53</v>
      </c>
      <c r="G26" s="124">
        <v>364000</v>
      </c>
      <c r="H26" s="124"/>
      <c r="I26" s="124"/>
      <c r="J26" s="124">
        <f>G26/2*(1+$H$9)*(1+$H$9)*(1+$H$9)</f>
        <v>198876.31400000001</v>
      </c>
      <c r="K26" s="124">
        <f>G26*(1+$H$9)*(1+$H$9)*(1+$H$9)*(1+$H$9)</f>
        <v>409685.20684000006</v>
      </c>
      <c r="L26" s="124">
        <f t="shared" si="6"/>
        <v>421975.76304520009</v>
      </c>
      <c r="M26" s="124">
        <f t="shared" si="6"/>
        <v>434635.03593655612</v>
      </c>
      <c r="N26" s="124">
        <f t="shared" si="6"/>
        <v>447674.08701465279</v>
      </c>
      <c r="O26" s="124">
        <f t="shared" si="6"/>
        <v>461104.30962509237</v>
      </c>
      <c r="P26" s="124">
        <f t="shared" si="6"/>
        <v>474937.43891384517</v>
      </c>
      <c r="Q26" s="124">
        <f t="shared" si="6"/>
        <v>489185.56208126055</v>
      </c>
      <c r="R26" s="124">
        <f t="shared" si="6"/>
        <v>503861.12894369836</v>
      </c>
      <c r="S26" s="124">
        <f t="shared" si="6"/>
        <v>518976.96281200933</v>
      </c>
      <c r="T26" s="124">
        <f t="shared" si="6"/>
        <v>534546.27169636963</v>
      </c>
      <c r="U26" s="124">
        <f t="shared" si="6"/>
        <v>550582.65984726069</v>
      </c>
      <c r="V26" s="124">
        <f t="shared" si="6"/>
        <v>567100.13964267855</v>
      </c>
      <c r="W26" s="124">
        <f t="shared" si="6"/>
        <v>584113.14383195888</v>
      </c>
      <c r="X26" s="124">
        <f t="shared" si="6"/>
        <v>601636.53814691771</v>
      </c>
      <c r="Y26" s="124">
        <f t="shared" si="6"/>
        <v>619685.63429132523</v>
      </c>
      <c r="Z26" s="124">
        <f t="shared" si="6"/>
        <v>638276.20332006505</v>
      </c>
      <c r="AA26" s="124">
        <f t="shared" si="6"/>
        <v>657424.48941966705</v>
      </c>
      <c r="AB26" s="124">
        <f t="shared" si="6"/>
        <v>677147.22410225705</v>
      </c>
      <c r="AC26" s="124">
        <f t="shared" si="6"/>
        <v>697461.64082532481</v>
      </c>
      <c r="AD26" s="124">
        <f t="shared" si="6"/>
        <v>718385.49005008454</v>
      </c>
      <c r="AE26" s="124">
        <f t="shared" si="6"/>
        <v>739937.0547515871</v>
      </c>
      <c r="AF26" s="124">
        <f t="shared" si="6"/>
        <v>762135.16639413475</v>
      </c>
      <c r="AG26" s="124">
        <f t="shared" si="6"/>
        <v>784999.22138595884</v>
      </c>
      <c r="AH26" s="3">
        <f t="shared" si="6"/>
        <v>808549.19802753767</v>
      </c>
      <c r="AI26" s="3">
        <f t="shared" si="6"/>
        <v>832805.67396836379</v>
      </c>
      <c r="AJ26" s="3">
        <f t="shared" si="6"/>
        <v>857789.84418741474</v>
      </c>
      <c r="AK26" s="3">
        <f t="shared" si="6"/>
        <v>883523.53951303719</v>
      </c>
      <c r="AO26" s="220"/>
      <c r="AP26" s="205">
        <v>0.03</v>
      </c>
      <c r="AQ26" s="178">
        <v>30100</v>
      </c>
      <c r="AR26" s="178">
        <v>26300</v>
      </c>
      <c r="AS26" s="178">
        <v>23100</v>
      </c>
      <c r="AT26" s="178">
        <v>20300</v>
      </c>
      <c r="AU26" s="178">
        <v>18000</v>
      </c>
      <c r="AV26" s="178">
        <v>15900</v>
      </c>
      <c r="AW26" s="178">
        <v>14200</v>
      </c>
      <c r="AX26" s="206">
        <v>12600</v>
      </c>
    </row>
    <row r="27" spans="2:50" x14ac:dyDescent="0.25">
      <c r="B27" s="4"/>
      <c r="C27" t="s">
        <v>55</v>
      </c>
      <c r="D27" s="5">
        <f>ROUND(H27+NPV($H$10,I27:AG27),-5)</f>
        <v>17900000</v>
      </c>
      <c r="F27" s="10" t="s">
        <v>56</v>
      </c>
      <c r="G27" s="124">
        <f>ROUND(388711+483972,-2)</f>
        <v>872700</v>
      </c>
      <c r="H27" s="124"/>
      <c r="I27" s="124"/>
      <c r="J27" s="124">
        <f>G27/2*(1+$H$9)*(1+$H$9)*(1+$H$9)</f>
        <v>476811.42645000003</v>
      </c>
      <c r="K27" s="124">
        <f>G27*(1+$H$8)*(1+$H$8)*(1+$H$8)*(1+$H$8)</f>
        <v>1060772.3043750001</v>
      </c>
      <c r="L27" s="124">
        <f>K27*(1+$H$8)</f>
        <v>1113810.91959375</v>
      </c>
      <c r="M27" s="124">
        <f>L27*(1+$H$8)</f>
        <v>1169501.4655734375</v>
      </c>
      <c r="N27" s="124">
        <f t="shared" ref="N27:AK27" si="7">M27*(1+$H$8)</f>
        <v>1227976.5388521093</v>
      </c>
      <c r="O27" s="124">
        <f t="shared" si="7"/>
        <v>1289375.3657947148</v>
      </c>
      <c r="P27" s="124">
        <f t="shared" si="7"/>
        <v>1353844.1340844505</v>
      </c>
      <c r="Q27" s="124">
        <f t="shared" si="7"/>
        <v>1421536.3407886731</v>
      </c>
      <c r="R27" s="124">
        <f t="shared" si="7"/>
        <v>1492613.1578281068</v>
      </c>
      <c r="S27" s="124">
        <f t="shared" si="7"/>
        <v>1567243.8157195123</v>
      </c>
      <c r="T27" s="124">
        <f t="shared" si="7"/>
        <v>1645606.006505488</v>
      </c>
      <c r="U27" s="124">
        <f t="shared" si="7"/>
        <v>1727886.3068307624</v>
      </c>
      <c r="V27" s="124">
        <f t="shared" si="7"/>
        <v>1814280.6221723007</v>
      </c>
      <c r="W27" s="124">
        <f t="shared" si="7"/>
        <v>1904994.6532809159</v>
      </c>
      <c r="X27" s="124">
        <f t="shared" si="7"/>
        <v>2000244.3859449618</v>
      </c>
      <c r="Y27" s="124">
        <f t="shared" si="7"/>
        <v>2100256.60524221</v>
      </c>
      <c r="Z27" s="124">
        <f t="shared" si="7"/>
        <v>2205269.4355043205</v>
      </c>
      <c r="AA27" s="124">
        <f t="shared" si="7"/>
        <v>2315532.9072795366</v>
      </c>
      <c r="AB27" s="124">
        <f t="shared" si="7"/>
        <v>2431309.5526435133</v>
      </c>
      <c r="AC27" s="124">
        <f t="shared" si="7"/>
        <v>2552875.030275689</v>
      </c>
      <c r="AD27" s="124">
        <f t="shared" si="7"/>
        <v>2680518.7817894737</v>
      </c>
      <c r="AE27" s="124">
        <f t="shared" si="7"/>
        <v>2814544.7208789475</v>
      </c>
      <c r="AF27" s="124">
        <f t="shared" si="7"/>
        <v>2955271.9569228948</v>
      </c>
      <c r="AG27" s="124">
        <f t="shared" si="7"/>
        <v>3103035.5547690396</v>
      </c>
      <c r="AH27" s="3">
        <f t="shared" si="7"/>
        <v>3258187.3325074916</v>
      </c>
      <c r="AI27" s="3">
        <f t="shared" si="7"/>
        <v>3421096.6991328662</v>
      </c>
      <c r="AJ27" s="3">
        <f t="shared" si="7"/>
        <v>3592151.5340895099</v>
      </c>
      <c r="AK27" s="3">
        <f t="shared" si="7"/>
        <v>3771759.1107939854</v>
      </c>
      <c r="AO27" s="220"/>
      <c r="AP27" s="205">
        <v>3.5000000000000003E-2</v>
      </c>
      <c r="AQ27" s="1">
        <v>29200</v>
      </c>
      <c r="AR27" s="178">
        <v>25500</v>
      </c>
      <c r="AS27" s="178">
        <v>22400</v>
      </c>
      <c r="AT27" s="178">
        <v>19700</v>
      </c>
      <c r="AU27" s="178">
        <v>17400</v>
      </c>
      <c r="AV27" s="178">
        <v>15400</v>
      </c>
      <c r="AW27" s="178">
        <v>13700</v>
      </c>
      <c r="AX27" s="206">
        <v>12200</v>
      </c>
    </row>
    <row r="28" spans="2:50" x14ac:dyDescent="0.25">
      <c r="B28" s="7"/>
      <c r="C28" s="13" t="s">
        <v>57</v>
      </c>
      <c r="D28" s="6">
        <f>SUM(D25:D27)</f>
        <v>26700000</v>
      </c>
      <c r="F28" s="10"/>
      <c r="G28" s="125">
        <f t="shared" ref="G28:AK28" si="8">SUM(G25:G27)</f>
        <v>1425700</v>
      </c>
      <c r="H28" s="125">
        <f t="shared" si="8"/>
        <v>0</v>
      </c>
      <c r="I28" s="125">
        <f t="shared" si="8"/>
        <v>0</v>
      </c>
      <c r="J28" s="125">
        <f t="shared" si="8"/>
        <v>778950.44195000012</v>
      </c>
      <c r="K28" s="125">
        <f t="shared" si="8"/>
        <v>1683178.6763050002</v>
      </c>
      <c r="L28" s="125">
        <f t="shared" si="8"/>
        <v>1754889.4826816502</v>
      </c>
      <c r="M28" s="125">
        <f t="shared" si="8"/>
        <v>1829812.3855539747</v>
      </c>
      <c r="N28" s="125">
        <f t="shared" si="8"/>
        <v>1908096.7864320627</v>
      </c>
      <c r="O28" s="125">
        <f t="shared" si="8"/>
        <v>1989899.2208020666</v>
      </c>
      <c r="P28" s="125">
        <f t="shared" si="8"/>
        <v>2075383.704742023</v>
      </c>
      <c r="Q28" s="125">
        <f t="shared" si="8"/>
        <v>2164722.0985659729</v>
      </c>
      <c r="R28" s="125">
        <f t="shared" si="8"/>
        <v>2258094.4883387256</v>
      </c>
      <c r="S28" s="125">
        <f t="shared" si="8"/>
        <v>2355689.5861454494</v>
      </c>
      <c r="T28" s="125">
        <f t="shared" si="8"/>
        <v>2457705.1500442033</v>
      </c>
      <c r="U28" s="125">
        <f t="shared" si="8"/>
        <v>2564348.4246756393</v>
      </c>
      <c r="V28" s="125">
        <f t="shared" si="8"/>
        <v>2675836.603552524</v>
      </c>
      <c r="W28" s="125">
        <f t="shared" si="8"/>
        <v>2792397.3141025458</v>
      </c>
      <c r="X28" s="125">
        <f t="shared" si="8"/>
        <v>2914269.1265912405</v>
      </c>
      <c r="Y28" s="125">
        <f t="shared" si="8"/>
        <v>3041702.0881078774</v>
      </c>
      <c r="Z28" s="125">
        <f t="shared" si="8"/>
        <v>3174958.2828559577</v>
      </c>
      <c r="AA28" s="125">
        <f t="shared" si="8"/>
        <v>3314312.4200517228</v>
      </c>
      <c r="AB28" s="125">
        <f t="shared" si="8"/>
        <v>3460052.4507988654</v>
      </c>
      <c r="AC28" s="125">
        <f t="shared" si="8"/>
        <v>3612480.2153757014</v>
      </c>
      <c r="AD28" s="125">
        <f t="shared" si="8"/>
        <v>3771912.1224424867</v>
      </c>
      <c r="AE28" s="125">
        <f t="shared" si="8"/>
        <v>3938679.8617515508</v>
      </c>
      <c r="AF28" s="125">
        <f t="shared" si="8"/>
        <v>4113131.1520216763</v>
      </c>
      <c r="AG28" s="125">
        <f t="shared" si="8"/>
        <v>4295630.5257207844</v>
      </c>
      <c r="AH28" s="13">
        <f t="shared" si="8"/>
        <v>4486560.1525877891</v>
      </c>
      <c r="AI28" s="13">
        <f t="shared" si="8"/>
        <v>4686320.7038155729</v>
      </c>
      <c r="AJ28" s="13">
        <f t="shared" si="8"/>
        <v>4895332.2589126974</v>
      </c>
      <c r="AK28" s="13">
        <f t="shared" si="8"/>
        <v>5114035.2573618684</v>
      </c>
      <c r="AO28" s="220"/>
      <c r="AP28" s="205">
        <v>0.04</v>
      </c>
      <c r="AQ28" s="1">
        <v>28300</v>
      </c>
      <c r="AR28" s="178">
        <v>24700</v>
      </c>
      <c r="AS28" s="178">
        <v>21600</v>
      </c>
      <c r="AT28" s="178">
        <v>19000</v>
      </c>
      <c r="AU28" s="178">
        <v>16800</v>
      </c>
      <c r="AV28" s="178">
        <v>14800</v>
      </c>
      <c r="AW28" s="178">
        <v>13200</v>
      </c>
      <c r="AX28" s="206">
        <v>11700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0"/>
      <c r="AP29" s="205">
        <v>4.4999999999999998E-2</v>
      </c>
      <c r="AQ29" s="1">
        <v>27400</v>
      </c>
      <c r="AR29" s="178">
        <v>23900</v>
      </c>
      <c r="AS29" s="178">
        <v>20900</v>
      </c>
      <c r="AT29" s="178">
        <v>18300</v>
      </c>
      <c r="AU29" s="178">
        <v>16100</v>
      </c>
      <c r="AV29" s="178">
        <v>14200</v>
      </c>
      <c r="AW29" s="178">
        <v>12600</v>
      </c>
      <c r="AX29" s="206">
        <v>11200</v>
      </c>
    </row>
    <row r="30" spans="2:50" x14ac:dyDescent="0.25">
      <c r="B30" s="7"/>
      <c r="C30" s="13" t="s">
        <v>58</v>
      </c>
      <c r="D30" s="6">
        <f>D28-D22</f>
        <v>18000000</v>
      </c>
      <c r="F30" s="10"/>
      <c r="G30" s="124"/>
      <c r="H30" s="125">
        <f>H28-H22</f>
        <v>-1677895.1678438843</v>
      </c>
      <c r="I30" s="125">
        <f t="shared" ref="I30:AK30" si="9">I28-I22</f>
        <v>-571772.71886429237</v>
      </c>
      <c r="J30" s="125">
        <f t="shared" si="9"/>
        <v>4800.3863510139054</v>
      </c>
      <c r="K30" s="125">
        <f t="shared" si="9"/>
        <v>2453977.7087672385</v>
      </c>
      <c r="L30" s="125">
        <f t="shared" si="9"/>
        <v>971528.91922552115</v>
      </c>
      <c r="M30" s="125">
        <f t="shared" si="9"/>
        <v>1147027.5237100904</v>
      </c>
      <c r="N30" s="125">
        <f t="shared" si="9"/>
        <v>1221981.5602987907</v>
      </c>
      <c r="O30" s="125">
        <f t="shared" si="9"/>
        <v>1300353.7194507252</v>
      </c>
      <c r="P30" s="125">
        <f t="shared" si="9"/>
        <v>1382305.0199160702</v>
      </c>
      <c r="Q30" s="125">
        <f t="shared" si="9"/>
        <v>1468004.2347611701</v>
      </c>
      <c r="R30" s="125">
        <f t="shared" si="9"/>
        <v>1557628.2701857076</v>
      </c>
      <c r="S30" s="125">
        <f t="shared" si="9"/>
        <v>1651362.5630137697</v>
      </c>
      <c r="T30" s="125">
        <f t="shared" si="9"/>
        <v>1749401.4977845019</v>
      </c>
      <c r="U30" s="125">
        <f t="shared" si="9"/>
        <v>1851948.8444140756</v>
      </c>
      <c r="V30" s="125">
        <f t="shared" si="9"/>
        <v>1959218.2174490422</v>
      </c>
      <c r="W30" s="125">
        <f t="shared" si="9"/>
        <v>2071433.5579818883</v>
      </c>
      <c r="X30" s="125">
        <f t="shared" si="9"/>
        <v>2188829.6393528921</v>
      </c>
      <c r="Y30" s="125">
        <f t="shared" si="9"/>
        <v>2311652.5978183076</v>
      </c>
      <c r="Z30" s="125">
        <f t="shared" si="9"/>
        <v>2440160.4894236294</v>
      </c>
      <c r="AA30" s="125">
        <f t="shared" si="9"/>
        <v>2574623.8743823534</v>
      </c>
      <c r="AB30" s="125">
        <f t="shared" si="9"/>
        <v>2715326.4303253433</v>
      </c>
      <c r="AC30" s="125">
        <f t="shared" si="9"/>
        <v>2862565.5958539024</v>
      </c>
      <c r="AD30" s="125">
        <f t="shared" si="9"/>
        <v>3016653.2459009625</v>
      </c>
      <c r="AE30" s="125">
        <f t="shared" si="9"/>
        <v>3177916.4004797097</v>
      </c>
      <c r="AF30" s="125">
        <f t="shared" si="9"/>
        <v>3346697.9684776091</v>
      </c>
      <c r="AG30" s="125">
        <f t="shared" si="9"/>
        <v>3523357.528236324</v>
      </c>
      <c r="AH30" s="15">
        <f t="shared" si="9"/>
        <v>3708272.1467447234</v>
      </c>
      <c r="AI30" s="15">
        <f t="shared" si="9"/>
        <v>3901837.2393631442</v>
      </c>
      <c r="AJ30" s="15">
        <f t="shared" si="9"/>
        <v>4104467.4720926248</v>
      </c>
      <c r="AK30" s="15">
        <f t="shared" si="9"/>
        <v>4316597.7085031215</v>
      </c>
      <c r="AO30" s="221"/>
      <c r="AP30" s="207">
        <v>0.05</v>
      </c>
      <c r="AQ30" s="208">
        <v>26400</v>
      </c>
      <c r="AR30" s="209">
        <v>23000</v>
      </c>
      <c r="AS30" s="209">
        <v>20100</v>
      </c>
      <c r="AT30" s="209">
        <v>17600</v>
      </c>
      <c r="AU30" s="209">
        <v>15500</v>
      </c>
      <c r="AV30" s="209">
        <v>13600</v>
      </c>
      <c r="AW30" s="209">
        <v>12100</v>
      </c>
      <c r="AX30" s="210">
        <v>10600</v>
      </c>
    </row>
    <row r="31" spans="2:50" x14ac:dyDescent="0.25">
      <c r="B31" s="7"/>
      <c r="C31" s="16" t="s">
        <v>59</v>
      </c>
      <c r="D31" s="17">
        <f>IRR(H30:AG30)</f>
        <v>0.39277795132019322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3.0689655172413794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4500000</v>
      </c>
      <c r="F34" s="18" t="s">
        <v>63</v>
      </c>
      <c r="G34" s="124">
        <v>800000</v>
      </c>
      <c r="H34" s="124"/>
      <c r="I34" s="124"/>
      <c r="J34" s="124">
        <f>G34/2*(1+$H$9)*(1+$H$9)*(1+$H$9)*(1+$H$11)*(1+$H$11)*(1+$H$11)</f>
        <v>323979.40468535002</v>
      </c>
      <c r="K34" s="124">
        <f>G34*(1+$H$8)*(1+$H$8)*(1+$H$8)*(1+$H$8)*(1+$H$11)*(1+$H$11)*(1+$H$11)*(1+$H$11)</f>
        <v>652291.1707975032</v>
      </c>
      <c r="L34" s="124">
        <f t="shared" ref="L34:AG34" si="10">K34*(1+$H$9)*(1+$H$11)</f>
        <v>608033.21485889272</v>
      </c>
      <c r="M34" s="124">
        <f t="shared" si="10"/>
        <v>566778.16123071685</v>
      </c>
      <c r="N34" s="124">
        <f t="shared" si="10"/>
        <v>528322.26299121277</v>
      </c>
      <c r="O34" s="124">
        <f t="shared" si="10"/>
        <v>492475.597447259</v>
      </c>
      <c r="P34" s="124">
        <f t="shared" si="10"/>
        <v>459061.12816046254</v>
      </c>
      <c r="Q34" s="124">
        <f t="shared" si="10"/>
        <v>427913.83061477519</v>
      </c>
      <c r="R34" s="124">
        <f t="shared" si="10"/>
        <v>398879.87720756268</v>
      </c>
      <c r="S34" s="124">
        <f t="shared" si="10"/>
        <v>371815.87753902952</v>
      </c>
      <c r="T34" s="124">
        <f t="shared" si="10"/>
        <v>346588.17024800641</v>
      </c>
      <c r="U34" s="124">
        <f t="shared" si="10"/>
        <v>323072.16289667919</v>
      </c>
      <c r="V34" s="124">
        <f t="shared" si="10"/>
        <v>301151.71664413955</v>
      </c>
      <c r="W34" s="124">
        <f t="shared" si="10"/>
        <v>280718.57266983471</v>
      </c>
      <c r="X34" s="124">
        <f t="shared" si="10"/>
        <v>261671.81751418646</v>
      </c>
      <c r="Y34" s="124">
        <f t="shared" si="10"/>
        <v>243917.38469584892</v>
      </c>
      <c r="Z34" s="124">
        <f t="shared" si="10"/>
        <v>227367.59014423558</v>
      </c>
      <c r="AA34" s="124">
        <f t="shared" si="10"/>
        <v>211940.69915294921</v>
      </c>
      <c r="AB34" s="124">
        <f t="shared" si="10"/>
        <v>197560.5227154216</v>
      </c>
      <c r="AC34" s="124">
        <f t="shared" si="10"/>
        <v>184156.04124918024</v>
      </c>
      <c r="AD34" s="124">
        <f t="shared" si="10"/>
        <v>171661.05385042337</v>
      </c>
      <c r="AE34" s="124">
        <f t="shared" si="10"/>
        <v>160013.85134667213</v>
      </c>
      <c r="AF34" s="124">
        <f t="shared" si="10"/>
        <v>149156.91153280044</v>
      </c>
      <c r="AG34" s="124">
        <f t="shared" si="10"/>
        <v>139036.61508529991</v>
      </c>
    </row>
    <row r="35" spans="2:33" x14ac:dyDescent="0.25">
      <c r="B35" s="4"/>
      <c r="C35" t="s">
        <v>64</v>
      </c>
      <c r="D35" s="5">
        <f t="shared" ref="D35" si="11">ROUND(H35+NPV($H$10,I35:AG35),-5)</f>
        <v>4900000</v>
      </c>
      <c r="G35" s="124">
        <f>(10000000*(1+H9)^10)*(19/49)</f>
        <v>5211104.3280690433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5211104.3280690433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9400000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27400000</v>
      </c>
      <c r="H38" s="190">
        <f>H35+H34+H30</f>
        <v>-1677895.1678438843</v>
      </c>
      <c r="I38" s="190">
        <f t="shared" ref="I38:AF38" si="12">I35+I34+I30</f>
        <v>-571772.71886429237</v>
      </c>
      <c r="J38" s="190">
        <f t="shared" si="12"/>
        <v>328779.79103636392</v>
      </c>
      <c r="K38" s="190">
        <f t="shared" si="12"/>
        <v>3106268.8795647416</v>
      </c>
      <c r="L38" s="190">
        <f t="shared" si="12"/>
        <v>1579562.1340844138</v>
      </c>
      <c r="M38" s="190">
        <f t="shared" si="12"/>
        <v>1713805.6849408073</v>
      </c>
      <c r="N38" s="190">
        <f t="shared" si="12"/>
        <v>1750303.8232900035</v>
      </c>
      <c r="O38" s="190">
        <f t="shared" si="12"/>
        <v>1792829.3168979841</v>
      </c>
      <c r="P38" s="190">
        <f t="shared" si="12"/>
        <v>1841366.1480765326</v>
      </c>
      <c r="Q38" s="190">
        <f t="shared" si="12"/>
        <v>1895918.0653759453</v>
      </c>
      <c r="R38" s="190">
        <f t="shared" si="12"/>
        <v>7167612.4754623137</v>
      </c>
      <c r="S38" s="190">
        <f t="shared" si="12"/>
        <v>2023178.4405527993</v>
      </c>
      <c r="T38" s="190">
        <f t="shared" si="12"/>
        <v>2095989.6680325083</v>
      </c>
      <c r="U38" s="190">
        <f t="shared" si="12"/>
        <v>2175021.0073107546</v>
      </c>
      <c r="V38" s="190">
        <f t="shared" si="12"/>
        <v>2260369.934093182</v>
      </c>
      <c r="W38" s="190">
        <f t="shared" si="12"/>
        <v>2352152.1306517231</v>
      </c>
      <c r="X38" s="190">
        <f t="shared" si="12"/>
        <v>2450501.4568670783</v>
      </c>
      <c r="Y38" s="190">
        <f t="shared" si="12"/>
        <v>2555569.9825141565</v>
      </c>
      <c r="Z38" s="190">
        <f t="shared" si="12"/>
        <v>2667528.079567865</v>
      </c>
      <c r="AA38" s="190">
        <f t="shared" si="12"/>
        <v>2786564.5735353027</v>
      </c>
      <c r="AB38" s="190">
        <f t="shared" si="12"/>
        <v>2912886.9530407647</v>
      </c>
      <c r="AC38" s="190">
        <f t="shared" si="12"/>
        <v>3046721.6371030826</v>
      </c>
      <c r="AD38" s="190">
        <f t="shared" si="12"/>
        <v>3188314.299751386</v>
      </c>
      <c r="AE38" s="190">
        <f t="shared" si="12"/>
        <v>3337930.2518263818</v>
      </c>
      <c r="AF38" s="190">
        <f t="shared" si="12"/>
        <v>3495854.8800104097</v>
      </c>
      <c r="AG38" s="190">
        <f>AG35+AG34+AG30</f>
        <v>3662394.143321624</v>
      </c>
    </row>
    <row r="39" spans="2:33" x14ac:dyDescent="0.25">
      <c r="B39" s="7"/>
      <c r="C39" s="16" t="s">
        <v>59</v>
      </c>
      <c r="D39" s="17">
        <f>IRR(H38:AG38)</f>
        <v>0.51973417664578259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4.1494252873563218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IW2Ucm3CjdlcSIVkc+DiJSPTW4KDz11IXvsrjKw95hy6XrMKxOrJzYl586qiJfdcovJXsZyRTumS984PeBcgNw==" saltValue="jxV4+FlbF4hbpKa8QxfBDQ==" spinCount="100000" sheet="1" objects="1" scenarios="1"/>
  <mergeCells count="3">
    <mergeCell ref="L2:M2"/>
    <mergeCell ref="AO11:AO20"/>
    <mergeCell ref="AO24:AO30"/>
  </mergeCells>
  <conditionalFormatting sqref="AQ13:AX20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4:AX30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7A17E-6842-4F9B-A494-072E6BB1D08F}">
  <dimension ref="B1:AX52"/>
  <sheetViews>
    <sheetView zoomScale="85" zoomScaleNormal="85" workbookViewId="0">
      <selection activeCell="C13" sqref="C13"/>
    </sheetView>
  </sheetViews>
  <sheetFormatPr defaultRowHeight="15" x14ac:dyDescent="0.25"/>
  <cols>
    <col min="1" max="1" width="2.28515625" customWidth="1"/>
    <col min="2" max="2" width="5.28515625" customWidth="1"/>
    <col min="3" max="3" width="37.28515625" customWidth="1"/>
    <col min="4" max="4" width="14.28515625" style="1" customWidth="1"/>
    <col min="5" max="5" width="1.7109375" customWidth="1"/>
    <col min="6" max="6" width="78.28515625" customWidth="1"/>
    <col min="7" max="7" width="16.28515625" customWidth="1"/>
    <col min="8" max="33" width="12.42578125" customWidth="1"/>
    <col min="34" max="37" width="12.5703125" hidden="1" customWidth="1"/>
    <col min="38" max="38" width="0" hidden="1" customWidth="1"/>
    <col min="41" max="41" width="3.42578125" customWidth="1"/>
    <col min="42" max="42" width="5" customWidth="1"/>
  </cols>
  <sheetData>
    <row r="1" spans="2:50" s="29" customFormat="1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4">
        <v>65290</v>
      </c>
      <c r="M1" s="108"/>
    </row>
    <row r="2" spans="2:50" s="29" customFormat="1" ht="16.5" x14ac:dyDescent="0.3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218">
        <v>44250</v>
      </c>
      <c r="M2" s="218"/>
    </row>
    <row r="3" spans="2:50" s="29" customFormat="1" ht="16.5" x14ac:dyDescent="0.3">
      <c r="B3" s="22"/>
      <c r="C3" s="22"/>
      <c r="D3" s="23" t="s">
        <v>6</v>
      </c>
      <c r="E3" s="24" t="s">
        <v>7</v>
      </c>
      <c r="F3" s="25"/>
      <c r="G3" s="26"/>
      <c r="H3" s="25"/>
      <c r="I3" s="26"/>
      <c r="J3" s="26"/>
      <c r="K3" s="23" t="s">
        <v>8</v>
      </c>
      <c r="L3" s="24" t="s">
        <v>9</v>
      </c>
      <c r="M3" s="108"/>
    </row>
    <row r="4" spans="2:50" s="29" customFormat="1" ht="16.5" x14ac:dyDescent="0.3">
      <c r="B4" s="22"/>
      <c r="C4" s="22"/>
      <c r="D4" s="23"/>
      <c r="E4" s="24"/>
      <c r="F4" s="25"/>
      <c r="G4" s="26"/>
      <c r="H4" s="25"/>
      <c r="I4" s="26"/>
      <c r="J4" s="26"/>
      <c r="K4" s="23" t="s">
        <v>10</v>
      </c>
      <c r="L4" s="24" t="s">
        <v>11</v>
      </c>
      <c r="M4" s="108"/>
    </row>
    <row r="5" spans="2:50" s="29" customFormat="1" ht="16.5" x14ac:dyDescent="0.3">
      <c r="B5" s="35" t="s">
        <v>12</v>
      </c>
      <c r="C5" s="36"/>
      <c r="D5" s="23" t="s">
        <v>13</v>
      </c>
      <c r="E5" s="24" t="s">
        <v>14</v>
      </c>
      <c r="F5" s="25"/>
      <c r="I5" s="26"/>
      <c r="J5" s="26"/>
      <c r="K5" s="23" t="s">
        <v>15</v>
      </c>
      <c r="L5" s="109" t="s">
        <v>16</v>
      </c>
      <c r="M5" s="108"/>
    </row>
    <row r="6" spans="2:50" s="29" customFormat="1" ht="16.5" x14ac:dyDescent="0.3">
      <c r="B6" s="35" t="s">
        <v>12</v>
      </c>
      <c r="C6" s="36"/>
      <c r="D6" s="23" t="s">
        <v>17</v>
      </c>
      <c r="E6" s="24" t="s">
        <v>18</v>
      </c>
      <c r="F6" s="25"/>
      <c r="I6" s="26"/>
      <c r="M6" s="28"/>
    </row>
    <row r="7" spans="2:50" s="29" customFormat="1" ht="17.25" x14ac:dyDescent="0.35">
      <c r="B7" s="38" t="s">
        <v>12</v>
      </c>
      <c r="C7" s="39"/>
      <c r="D7" s="23" t="s">
        <v>19</v>
      </c>
      <c r="E7" s="24" t="s">
        <v>20</v>
      </c>
      <c r="F7" s="25"/>
      <c r="G7" s="128" t="s">
        <v>21</v>
      </c>
      <c r="H7" s="40"/>
      <c r="I7" s="40"/>
      <c r="J7" s="40"/>
      <c r="K7" s="40"/>
      <c r="L7" s="40"/>
      <c r="M7" s="40"/>
    </row>
    <row r="8" spans="2:50" s="29" customFormat="1" ht="30.75" x14ac:dyDescent="0.3">
      <c r="B8" s="35" t="s">
        <v>12</v>
      </c>
      <c r="C8" s="36"/>
      <c r="D8" s="41"/>
      <c r="E8" s="42"/>
      <c r="F8" s="25"/>
      <c r="G8" s="169" t="s">
        <v>22</v>
      </c>
      <c r="H8" s="11">
        <v>0.05</v>
      </c>
      <c r="I8" s="26"/>
      <c r="J8" s="26"/>
      <c r="K8" s="26"/>
      <c r="L8" s="43"/>
      <c r="M8" s="44"/>
      <c r="AO8"/>
      <c r="AP8"/>
      <c r="AQ8"/>
      <c r="AR8"/>
      <c r="AS8"/>
      <c r="AT8"/>
      <c r="AU8"/>
      <c r="AV8"/>
      <c r="AW8"/>
      <c r="AX8"/>
    </row>
    <row r="9" spans="2:50" ht="30" x14ac:dyDescent="0.25">
      <c r="G9" s="169" t="s">
        <v>23</v>
      </c>
      <c r="H9" s="11">
        <v>0.03</v>
      </c>
      <c r="AQ9" s="12" t="s">
        <v>28</v>
      </c>
      <c r="AR9" s="3"/>
      <c r="AS9" s="3"/>
      <c r="AT9" s="3"/>
      <c r="AU9" s="3"/>
      <c r="AV9" s="3"/>
      <c r="AW9" s="3"/>
      <c r="AX9" s="3"/>
    </row>
    <row r="10" spans="2:50" x14ac:dyDescent="0.25">
      <c r="G10" s="185" t="s">
        <v>24</v>
      </c>
      <c r="H10" s="11">
        <v>7.0000000000000007E-2</v>
      </c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</row>
    <row r="11" spans="2:50" x14ac:dyDescent="0.25">
      <c r="G11" s="9" t="s">
        <v>25</v>
      </c>
      <c r="H11" s="184">
        <v>-9.5000000000000001E-2</v>
      </c>
      <c r="AO11" s="219" t="s">
        <v>34</v>
      </c>
      <c r="AP11" s="187"/>
      <c r="AQ11" s="193" t="s">
        <v>24</v>
      </c>
      <c r="AR11" s="199"/>
      <c r="AS11" s="199"/>
      <c r="AT11" s="199"/>
      <c r="AU11" s="199"/>
      <c r="AV11" s="199"/>
      <c r="AW11" s="199"/>
      <c r="AX11" s="200"/>
    </row>
    <row r="12" spans="2:50" x14ac:dyDescent="0.25">
      <c r="C12" s="123" t="s">
        <v>168</v>
      </c>
      <c r="G12" s="186" t="s">
        <v>26</v>
      </c>
      <c r="H12" s="14">
        <v>0.03</v>
      </c>
      <c r="I12" s="9">
        <v>40</v>
      </c>
      <c r="J12" s="9" t="s">
        <v>27</v>
      </c>
      <c r="AO12" s="220"/>
      <c r="AP12" s="202">
        <f>D30/1000</f>
        <v>16600</v>
      </c>
      <c r="AQ12" s="203">
        <v>0.03</v>
      </c>
      <c r="AR12" s="203">
        <v>0.04</v>
      </c>
      <c r="AS12" s="203">
        <v>0.05</v>
      </c>
      <c r="AT12" s="203">
        <v>0.06</v>
      </c>
      <c r="AU12" s="203">
        <v>7.0000000000000007E-2</v>
      </c>
      <c r="AV12" s="203">
        <v>0.08</v>
      </c>
      <c r="AW12" s="203">
        <v>0.09</v>
      </c>
      <c r="AX12" s="204">
        <v>0.1</v>
      </c>
    </row>
    <row r="13" spans="2:50" x14ac:dyDescent="0.25">
      <c r="H13" s="110"/>
      <c r="AO13" s="220"/>
      <c r="AP13" s="211">
        <v>0.01</v>
      </c>
      <c r="AQ13" s="178">
        <f t="dataTable" ref="AQ13:AX20" dt2D="1" dtr="1" r1="H10" r2="H8"/>
        <v>16000</v>
      </c>
      <c r="AR13" s="178">
        <v>13900</v>
      </c>
      <c r="AS13" s="178">
        <v>12200</v>
      </c>
      <c r="AT13" s="178">
        <v>10600</v>
      </c>
      <c r="AU13" s="178">
        <v>9500</v>
      </c>
      <c r="AV13" s="178">
        <v>8300</v>
      </c>
      <c r="AW13" s="178">
        <v>7300</v>
      </c>
      <c r="AX13" s="206">
        <v>6400</v>
      </c>
    </row>
    <row r="14" spans="2:50" s="173" customFormat="1" ht="30" x14ac:dyDescent="0.25">
      <c r="B14" s="170"/>
      <c r="C14" s="171"/>
      <c r="D14" s="172" t="s">
        <v>29</v>
      </c>
      <c r="F14" s="174" t="s">
        <v>30</v>
      </c>
      <c r="G14" s="175" t="s">
        <v>31</v>
      </c>
      <c r="H14" s="176" t="s">
        <v>32</v>
      </c>
      <c r="I14" s="176" t="s">
        <v>32</v>
      </c>
      <c r="J14" s="176" t="s">
        <v>32</v>
      </c>
      <c r="K14" s="176" t="s">
        <v>32</v>
      </c>
      <c r="L14" s="176" t="s">
        <v>32</v>
      </c>
      <c r="M14" s="176" t="s">
        <v>32</v>
      </c>
      <c r="N14" s="176" t="s">
        <v>32</v>
      </c>
      <c r="O14" s="176" t="s">
        <v>32</v>
      </c>
      <c r="P14" s="176" t="s">
        <v>32</v>
      </c>
      <c r="Q14" s="176" t="s">
        <v>32</v>
      </c>
      <c r="R14" s="176" t="s">
        <v>32</v>
      </c>
      <c r="S14" s="176" t="s">
        <v>32</v>
      </c>
      <c r="T14" s="176" t="s">
        <v>32</v>
      </c>
      <c r="U14" s="176" t="s">
        <v>32</v>
      </c>
      <c r="V14" s="176" t="s">
        <v>32</v>
      </c>
      <c r="W14" s="176" t="s">
        <v>32</v>
      </c>
      <c r="X14" s="176" t="s">
        <v>32</v>
      </c>
      <c r="Y14" s="176" t="s">
        <v>32</v>
      </c>
      <c r="Z14" s="176" t="s">
        <v>32</v>
      </c>
      <c r="AA14" s="176" t="s">
        <v>32</v>
      </c>
      <c r="AB14" s="176" t="s">
        <v>32</v>
      </c>
      <c r="AC14" s="176" t="s">
        <v>32</v>
      </c>
      <c r="AD14" s="176" t="s">
        <v>32</v>
      </c>
      <c r="AE14" s="176" t="s">
        <v>32</v>
      </c>
      <c r="AF14" s="176" t="s">
        <v>32</v>
      </c>
      <c r="AG14" s="176" t="s">
        <v>32</v>
      </c>
      <c r="AH14" s="177"/>
      <c r="AI14" s="177"/>
      <c r="AJ14" s="177"/>
      <c r="AK14" s="177"/>
      <c r="AO14" s="220"/>
      <c r="AP14" s="211">
        <v>0.02</v>
      </c>
      <c r="AQ14" s="178">
        <v>18400</v>
      </c>
      <c r="AR14" s="178">
        <v>16000</v>
      </c>
      <c r="AS14" s="178">
        <v>14000</v>
      </c>
      <c r="AT14" s="178">
        <v>12200</v>
      </c>
      <c r="AU14" s="178">
        <v>10900</v>
      </c>
      <c r="AV14" s="178">
        <v>9500</v>
      </c>
      <c r="AW14" s="178">
        <v>8400</v>
      </c>
      <c r="AX14" s="206">
        <v>7400</v>
      </c>
    </row>
    <row r="15" spans="2:50" x14ac:dyDescent="0.25">
      <c r="B15" s="4" t="s">
        <v>33</v>
      </c>
      <c r="D15" s="5"/>
      <c r="F15" s="10"/>
      <c r="G15" s="164"/>
      <c r="H15" s="127">
        <v>0</v>
      </c>
      <c r="I15" s="127">
        <v>1</v>
      </c>
      <c r="J15" s="127">
        <v>2</v>
      </c>
      <c r="K15" s="127">
        <v>3</v>
      </c>
      <c r="L15" s="127">
        <v>4</v>
      </c>
      <c r="M15" s="127">
        <v>5</v>
      </c>
      <c r="N15" s="127">
        <v>6</v>
      </c>
      <c r="O15" s="127">
        <v>7</v>
      </c>
      <c r="P15" s="127">
        <v>8</v>
      </c>
      <c r="Q15" s="127">
        <v>9</v>
      </c>
      <c r="R15" s="127">
        <v>10</v>
      </c>
      <c r="S15" s="127">
        <v>11</v>
      </c>
      <c r="T15" s="127">
        <v>12</v>
      </c>
      <c r="U15" s="127">
        <v>13</v>
      </c>
      <c r="V15" s="127">
        <v>14</v>
      </c>
      <c r="W15" s="127">
        <v>15</v>
      </c>
      <c r="X15" s="127">
        <v>16</v>
      </c>
      <c r="Y15" s="127">
        <v>17</v>
      </c>
      <c r="Z15" s="127">
        <v>18</v>
      </c>
      <c r="AA15" s="127">
        <v>19</v>
      </c>
      <c r="AB15" s="127">
        <v>20</v>
      </c>
      <c r="AC15" s="127">
        <v>21</v>
      </c>
      <c r="AD15" s="127">
        <v>22</v>
      </c>
      <c r="AE15" s="127">
        <v>23</v>
      </c>
      <c r="AF15" s="127">
        <v>24</v>
      </c>
      <c r="AG15" s="127">
        <v>25</v>
      </c>
      <c r="AH15" s="13">
        <v>26</v>
      </c>
      <c r="AI15" s="13">
        <v>27</v>
      </c>
      <c r="AJ15" s="13">
        <v>28</v>
      </c>
      <c r="AK15" s="13">
        <v>29</v>
      </c>
      <c r="AL15" s="13">
        <v>30</v>
      </c>
      <c r="AO15" s="220"/>
      <c r="AP15" s="211">
        <v>0.03</v>
      </c>
      <c r="AQ15" s="178">
        <v>21300</v>
      </c>
      <c r="AR15" s="178">
        <v>18500</v>
      </c>
      <c r="AS15" s="178">
        <v>16200</v>
      </c>
      <c r="AT15" s="178">
        <v>14100</v>
      </c>
      <c r="AU15" s="178">
        <v>12500</v>
      </c>
      <c r="AV15" s="178">
        <v>10900</v>
      </c>
      <c r="AW15" s="178">
        <v>9700</v>
      </c>
      <c r="AX15" s="206">
        <v>8500</v>
      </c>
    </row>
    <row r="16" spans="2:50" x14ac:dyDescent="0.25">
      <c r="B16" s="4"/>
      <c r="C16" t="s">
        <v>35</v>
      </c>
      <c r="D16" s="5">
        <f>ROUND(H16+NPV($H$10,I16:AG16),-5)</f>
        <v>1300000</v>
      </c>
      <c r="F16" s="10" t="s">
        <v>36</v>
      </c>
      <c r="G16" s="165">
        <f>ROUND(SUM(G17:G18)*0.1,-5)</f>
        <v>1300000</v>
      </c>
      <c r="H16" s="124">
        <f>G16</f>
        <v>1300000</v>
      </c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9"/>
      <c r="AC16" s="9"/>
      <c r="AD16" s="9"/>
      <c r="AE16" s="9"/>
      <c r="AF16" s="9"/>
      <c r="AG16" s="9"/>
      <c r="AO16" s="220"/>
      <c r="AP16" s="211">
        <v>0.04</v>
      </c>
      <c r="AQ16" s="1">
        <v>24600</v>
      </c>
      <c r="AR16" s="178">
        <v>21400</v>
      </c>
      <c r="AS16" s="178">
        <v>18700</v>
      </c>
      <c r="AT16" s="178">
        <v>16200</v>
      </c>
      <c r="AU16" s="178">
        <v>14400</v>
      </c>
      <c r="AV16" s="178">
        <v>12600</v>
      </c>
      <c r="AW16" s="178">
        <v>11100</v>
      </c>
      <c r="AX16" s="206">
        <v>9700</v>
      </c>
    </row>
    <row r="17" spans="2:50" x14ac:dyDescent="0.25">
      <c r="B17" s="4"/>
      <c r="C17" t="s">
        <v>37</v>
      </c>
      <c r="D17" s="5">
        <f>ROUND(H17+NPV($H$10,I17:AG17),-5)</f>
        <v>0</v>
      </c>
      <c r="F17" s="10" t="s">
        <v>38</v>
      </c>
      <c r="G17" s="165">
        <v>0</v>
      </c>
      <c r="H17" s="124">
        <f>-PMT($H$12/12,$I$12*12,$G$17)*12</f>
        <v>0</v>
      </c>
      <c r="I17" s="124">
        <f>-PMT($H$12/12,$I$12*12,$G$17)*12</f>
        <v>0</v>
      </c>
      <c r="J17" s="124">
        <f t="shared" ref="J17:AG17" si="0">-PMT($H$12/12,$I$12*12,$G$17)*12</f>
        <v>0</v>
      </c>
      <c r="K17" s="124">
        <f t="shared" si="0"/>
        <v>0</v>
      </c>
      <c r="L17" s="124">
        <f t="shared" si="0"/>
        <v>0</v>
      </c>
      <c r="M17" s="124">
        <f t="shared" si="0"/>
        <v>0</v>
      </c>
      <c r="N17" s="124">
        <f t="shared" si="0"/>
        <v>0</v>
      </c>
      <c r="O17" s="124">
        <f t="shared" si="0"/>
        <v>0</v>
      </c>
      <c r="P17" s="124">
        <f t="shared" si="0"/>
        <v>0</v>
      </c>
      <c r="Q17" s="124">
        <f t="shared" si="0"/>
        <v>0</v>
      </c>
      <c r="R17" s="124">
        <f t="shared" si="0"/>
        <v>0</v>
      </c>
      <c r="S17" s="124">
        <f t="shared" si="0"/>
        <v>0</v>
      </c>
      <c r="T17" s="124">
        <f t="shared" si="0"/>
        <v>0</v>
      </c>
      <c r="U17" s="124">
        <f t="shared" si="0"/>
        <v>0</v>
      </c>
      <c r="V17" s="124">
        <f t="shared" si="0"/>
        <v>0</v>
      </c>
      <c r="W17" s="124">
        <f t="shared" si="0"/>
        <v>0</v>
      </c>
      <c r="X17" s="124">
        <f t="shared" si="0"/>
        <v>0</v>
      </c>
      <c r="Y17" s="124">
        <f t="shared" si="0"/>
        <v>0</v>
      </c>
      <c r="Z17" s="124">
        <f t="shared" si="0"/>
        <v>0</v>
      </c>
      <c r="AA17" s="124">
        <f t="shared" si="0"/>
        <v>0</v>
      </c>
      <c r="AB17" s="124">
        <f t="shared" si="0"/>
        <v>0</v>
      </c>
      <c r="AC17" s="124">
        <f t="shared" si="0"/>
        <v>0</v>
      </c>
      <c r="AD17" s="124">
        <f t="shared" si="0"/>
        <v>0</v>
      </c>
      <c r="AE17" s="124">
        <f t="shared" si="0"/>
        <v>0</v>
      </c>
      <c r="AF17" s="124">
        <f t="shared" si="0"/>
        <v>0</v>
      </c>
      <c r="AG17" s="124">
        <f t="shared" si="0"/>
        <v>0</v>
      </c>
      <c r="AH17" s="3"/>
      <c r="AI17" s="3"/>
      <c r="AJ17" s="3"/>
      <c r="AK17" s="3"/>
      <c r="AO17" s="220"/>
      <c r="AP17" s="211">
        <v>0.05</v>
      </c>
      <c r="AQ17" s="1">
        <v>28600</v>
      </c>
      <c r="AR17" s="178">
        <v>24800</v>
      </c>
      <c r="AS17" s="178">
        <v>21600</v>
      </c>
      <c r="AT17" s="178">
        <v>18800</v>
      </c>
      <c r="AU17" s="178">
        <v>16600</v>
      </c>
      <c r="AV17" s="178">
        <v>14500</v>
      </c>
      <c r="AW17" s="178">
        <v>12800</v>
      </c>
      <c r="AX17" s="206">
        <v>11200</v>
      </c>
    </row>
    <row r="18" spans="2:50" x14ac:dyDescent="0.25">
      <c r="B18" s="4"/>
      <c r="C18" t="s">
        <v>39</v>
      </c>
      <c r="D18" s="5">
        <f t="shared" ref="D18:D20" si="1">ROUND(H18+NPV($H$10,I18:AG18),-5)</f>
        <v>7200000</v>
      </c>
      <c r="F18" s="10" t="s">
        <v>40</v>
      </c>
      <c r="G18" s="166">
        <f>Loop!L25</f>
        <v>13310000</v>
      </c>
      <c r="H18" s="124">
        <f>-PMT($H$12/12,$I$12*12,$G$18)*12</f>
        <v>571772.71886429237</v>
      </c>
      <c r="I18" s="124">
        <f t="shared" ref="I18:AK18" si="2">-PMT($H$12/12,$I$12*12,$G$18)*12</f>
        <v>571772.71886429237</v>
      </c>
      <c r="J18" s="124">
        <f t="shared" si="2"/>
        <v>571772.71886429237</v>
      </c>
      <c r="K18" s="124">
        <f t="shared" si="2"/>
        <v>571772.71886429237</v>
      </c>
      <c r="L18" s="124">
        <f t="shared" si="2"/>
        <v>571772.71886429237</v>
      </c>
      <c r="M18" s="124">
        <f t="shared" si="2"/>
        <v>571772.71886429237</v>
      </c>
      <c r="N18" s="124">
        <f t="shared" si="2"/>
        <v>571772.71886429237</v>
      </c>
      <c r="O18" s="124">
        <f t="shared" si="2"/>
        <v>571772.71886429237</v>
      </c>
      <c r="P18" s="124">
        <f t="shared" si="2"/>
        <v>571772.71886429237</v>
      </c>
      <c r="Q18" s="124">
        <f t="shared" si="2"/>
        <v>571772.71886429237</v>
      </c>
      <c r="R18" s="124">
        <f t="shared" si="2"/>
        <v>571772.71886429237</v>
      </c>
      <c r="S18" s="124">
        <f t="shared" si="2"/>
        <v>571772.71886429237</v>
      </c>
      <c r="T18" s="124">
        <f t="shared" si="2"/>
        <v>571772.71886429237</v>
      </c>
      <c r="U18" s="124">
        <f t="shared" si="2"/>
        <v>571772.71886429237</v>
      </c>
      <c r="V18" s="124">
        <f t="shared" si="2"/>
        <v>571772.71886429237</v>
      </c>
      <c r="W18" s="124">
        <f t="shared" si="2"/>
        <v>571772.71886429237</v>
      </c>
      <c r="X18" s="124">
        <f t="shared" si="2"/>
        <v>571772.71886429237</v>
      </c>
      <c r="Y18" s="124">
        <f t="shared" si="2"/>
        <v>571772.71886429237</v>
      </c>
      <c r="Z18" s="124">
        <f t="shared" si="2"/>
        <v>571772.71886429237</v>
      </c>
      <c r="AA18" s="124">
        <f t="shared" si="2"/>
        <v>571772.71886429237</v>
      </c>
      <c r="AB18" s="124">
        <f t="shared" si="2"/>
        <v>571772.71886429237</v>
      </c>
      <c r="AC18" s="124">
        <f t="shared" si="2"/>
        <v>571772.71886429237</v>
      </c>
      <c r="AD18" s="124">
        <f t="shared" si="2"/>
        <v>571772.71886429237</v>
      </c>
      <c r="AE18" s="124">
        <f t="shared" si="2"/>
        <v>571772.71886429237</v>
      </c>
      <c r="AF18" s="124">
        <f t="shared" si="2"/>
        <v>571772.71886429237</v>
      </c>
      <c r="AG18" s="124">
        <f t="shared" si="2"/>
        <v>571772.71886429237</v>
      </c>
      <c r="AH18" s="3">
        <f t="shared" si="2"/>
        <v>571772.71886429237</v>
      </c>
      <c r="AI18" s="3">
        <f t="shared" si="2"/>
        <v>571772.71886429237</v>
      </c>
      <c r="AJ18" s="3">
        <f t="shared" si="2"/>
        <v>571772.71886429237</v>
      </c>
      <c r="AK18" s="3">
        <f t="shared" si="2"/>
        <v>571772.71886429237</v>
      </c>
      <c r="AO18" s="220"/>
      <c r="AP18" s="211">
        <v>0.06</v>
      </c>
      <c r="AQ18" s="1">
        <v>33300</v>
      </c>
      <c r="AR18" s="178">
        <v>28800</v>
      </c>
      <c r="AS18" s="178">
        <v>25000</v>
      </c>
      <c r="AT18" s="178">
        <v>21700</v>
      </c>
      <c r="AU18" s="178">
        <v>19100</v>
      </c>
      <c r="AV18" s="178">
        <v>16700</v>
      </c>
      <c r="AW18" s="178">
        <v>14700</v>
      </c>
      <c r="AX18" s="206">
        <v>12900</v>
      </c>
    </row>
    <row r="19" spans="2:50" x14ac:dyDescent="0.25">
      <c r="B19" s="4"/>
      <c r="C19" t="s">
        <v>41</v>
      </c>
      <c r="D19" s="5">
        <f t="shared" si="1"/>
        <v>1500000</v>
      </c>
      <c r="F19" s="10" t="s">
        <v>68</v>
      </c>
      <c r="G19" s="165">
        <f>((30+188+14+30)*1000)*(19/49)</f>
        <v>101591.83673469388</v>
      </c>
      <c r="H19" s="124"/>
      <c r="I19" s="124"/>
      <c r="J19" s="124">
        <f>G19</f>
        <v>101591.83673469388</v>
      </c>
      <c r="K19" s="124">
        <f t="shared" ref="K19:AK19" si="3">J19*(1+$H$9)</f>
        <v>104639.59183673469</v>
      </c>
      <c r="L19" s="124">
        <f t="shared" si="3"/>
        <v>107778.77959183673</v>
      </c>
      <c r="M19" s="124">
        <f t="shared" si="3"/>
        <v>111012.14297959184</v>
      </c>
      <c r="N19" s="124">
        <f t="shared" si="3"/>
        <v>114342.50726897959</v>
      </c>
      <c r="O19" s="124">
        <f t="shared" si="3"/>
        <v>117772.78248704899</v>
      </c>
      <c r="P19" s="124">
        <f t="shared" si="3"/>
        <v>121305.96596166046</v>
      </c>
      <c r="Q19" s="124">
        <f t="shared" si="3"/>
        <v>124945.14494051028</v>
      </c>
      <c r="R19" s="124">
        <f t="shared" si="3"/>
        <v>128693.49928872559</v>
      </c>
      <c r="S19" s="124">
        <f t="shared" si="3"/>
        <v>132554.30426738737</v>
      </c>
      <c r="T19" s="124">
        <f t="shared" si="3"/>
        <v>136530.933395409</v>
      </c>
      <c r="U19" s="124">
        <f t="shared" si="3"/>
        <v>140626.86139727128</v>
      </c>
      <c r="V19" s="124">
        <f t="shared" si="3"/>
        <v>144845.66723918941</v>
      </c>
      <c r="W19" s="124">
        <f t="shared" si="3"/>
        <v>149191.03725636509</v>
      </c>
      <c r="X19" s="124">
        <f t="shared" si="3"/>
        <v>153666.76837405603</v>
      </c>
      <c r="Y19" s="124">
        <f t="shared" si="3"/>
        <v>158276.77142527772</v>
      </c>
      <c r="Z19" s="124">
        <f t="shared" si="3"/>
        <v>163025.07456803607</v>
      </c>
      <c r="AA19" s="124">
        <f t="shared" si="3"/>
        <v>167915.82680507714</v>
      </c>
      <c r="AB19" s="124">
        <f t="shared" si="3"/>
        <v>172953.30160922947</v>
      </c>
      <c r="AC19" s="124">
        <f t="shared" si="3"/>
        <v>178141.90065750637</v>
      </c>
      <c r="AD19" s="124">
        <f t="shared" si="3"/>
        <v>183486.15767723156</v>
      </c>
      <c r="AE19" s="124">
        <f t="shared" si="3"/>
        <v>188990.7424075485</v>
      </c>
      <c r="AF19" s="124">
        <f t="shared" si="3"/>
        <v>194660.46467977497</v>
      </c>
      <c r="AG19" s="124">
        <f t="shared" si="3"/>
        <v>200500.27862016822</v>
      </c>
      <c r="AH19" s="3">
        <f t="shared" si="3"/>
        <v>206515.28697877328</v>
      </c>
      <c r="AI19" s="3">
        <f t="shared" si="3"/>
        <v>212710.74558813649</v>
      </c>
      <c r="AJ19" s="3">
        <f t="shared" si="3"/>
        <v>219092.0679557806</v>
      </c>
      <c r="AK19" s="3">
        <f t="shared" si="3"/>
        <v>225664.82999445402</v>
      </c>
      <c r="AO19" s="220"/>
      <c r="AP19" s="211">
        <v>7.0000000000000007E-2</v>
      </c>
      <c r="AQ19" s="1">
        <v>38900</v>
      </c>
      <c r="AR19" s="178">
        <v>33500</v>
      </c>
      <c r="AS19" s="178">
        <v>29100</v>
      </c>
      <c r="AT19" s="178">
        <v>25200</v>
      </c>
      <c r="AU19" s="178">
        <v>22100</v>
      </c>
      <c r="AV19" s="178">
        <v>19200</v>
      </c>
      <c r="AW19" s="178">
        <v>16900</v>
      </c>
      <c r="AX19" s="206">
        <v>14800</v>
      </c>
    </row>
    <row r="20" spans="2:50" x14ac:dyDescent="0.25">
      <c r="B20" s="4"/>
      <c r="C20" t="s">
        <v>43</v>
      </c>
      <c r="D20" s="5">
        <f t="shared" si="1"/>
        <v>300000</v>
      </c>
      <c r="F20" s="10" t="s">
        <v>70</v>
      </c>
      <c r="G20" s="167">
        <f>15000*19</f>
        <v>285000</v>
      </c>
      <c r="H20" s="124"/>
      <c r="I20" s="124"/>
      <c r="J20" s="124">
        <f>G20/3*(1+$H$9)*(1+$H$9)</f>
        <v>100785.5</v>
      </c>
      <c r="K20" s="124">
        <f>G20/3*(1+$H$9)*(1+$H$9)*(1+$H$9)</f>
        <v>103809.065</v>
      </c>
      <c r="L20" s="124">
        <f>G20/3*(1+$H$9)*(1+$H$9)*(1+$H$9)</f>
        <v>103809.065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3"/>
      <c r="AI20" s="3"/>
      <c r="AJ20" s="3"/>
      <c r="AK20" s="3"/>
      <c r="AO20" s="221"/>
      <c r="AP20" s="212">
        <v>0.08</v>
      </c>
      <c r="AQ20" s="208">
        <v>45500</v>
      </c>
      <c r="AR20" s="209">
        <v>39100</v>
      </c>
      <c r="AS20" s="209">
        <v>33800</v>
      </c>
      <c r="AT20" s="209">
        <v>29200</v>
      </c>
      <c r="AU20" s="209">
        <v>25600</v>
      </c>
      <c r="AV20" s="209">
        <v>22300</v>
      </c>
      <c r="AW20" s="209">
        <v>19500</v>
      </c>
      <c r="AX20" s="210">
        <v>17100</v>
      </c>
    </row>
    <row r="21" spans="2:50" ht="15.75" thickBot="1" x14ac:dyDescent="0.3">
      <c r="B21" s="4"/>
      <c r="C21" t="s">
        <v>45</v>
      </c>
      <c r="D21" s="5">
        <f>ROUND(H21+NPV($H$10,I21:AG21),-5)</f>
        <v>-200000</v>
      </c>
      <c r="F21" s="10" t="s">
        <v>46</v>
      </c>
      <c r="G21" s="167">
        <f>-500000*(19/49)</f>
        <v>-193877.55102040817</v>
      </c>
      <c r="H21" s="124">
        <f>-500000*(19/49)</f>
        <v>-193877.55102040817</v>
      </c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9"/>
      <c r="AC21" s="9"/>
      <c r="AD21" s="9"/>
      <c r="AE21" s="9"/>
      <c r="AF21" s="9"/>
      <c r="AG21" s="9"/>
      <c r="AH21" s="3"/>
      <c r="AI21" s="3"/>
      <c r="AJ21" s="3"/>
      <c r="AK21" s="3"/>
      <c r="AO21" s="196"/>
    </row>
    <row r="22" spans="2:50" ht="15.75" thickBot="1" x14ac:dyDescent="0.3">
      <c r="B22" s="4"/>
      <c r="C22" s="13" t="s">
        <v>47</v>
      </c>
      <c r="D22" s="6">
        <f>SUM(D16:D21)</f>
        <v>10100000</v>
      </c>
      <c r="F22" s="10"/>
      <c r="G22" s="168">
        <f>SUM(G16:G21)</f>
        <v>14802714.285714285</v>
      </c>
      <c r="H22" s="162">
        <f>SUM(H16:H21)</f>
        <v>1677895.1678438843</v>
      </c>
      <c r="I22" s="125">
        <f>SUM(I16:I21)</f>
        <v>571772.71886429237</v>
      </c>
      <c r="J22" s="125">
        <f t="shared" ref="J22" si="4">SUM(J16:J21)</f>
        <v>774150.05559898622</v>
      </c>
      <c r="K22" s="125">
        <f>SUM(K16:K21)</f>
        <v>780221.37570102699</v>
      </c>
      <c r="L22" s="125">
        <f t="shared" ref="L22:AG22" si="5">SUM(L16:L21)</f>
        <v>783360.56345612905</v>
      </c>
      <c r="M22" s="125">
        <f t="shared" si="5"/>
        <v>682784.86184388422</v>
      </c>
      <c r="N22" s="125">
        <f t="shared" si="5"/>
        <v>686115.22613327194</v>
      </c>
      <c r="O22" s="125">
        <f t="shared" si="5"/>
        <v>689545.50135134137</v>
      </c>
      <c r="P22" s="125">
        <f t="shared" si="5"/>
        <v>693078.68482595286</v>
      </c>
      <c r="Q22" s="125">
        <f t="shared" si="5"/>
        <v>696717.86380480265</v>
      </c>
      <c r="R22" s="125">
        <f t="shared" si="5"/>
        <v>700466.21815301792</v>
      </c>
      <c r="S22" s="125">
        <f t="shared" si="5"/>
        <v>704327.02313167974</v>
      </c>
      <c r="T22" s="125">
        <f t="shared" si="5"/>
        <v>708303.6522597014</v>
      </c>
      <c r="U22" s="125">
        <f t="shared" si="5"/>
        <v>712399.58026156365</v>
      </c>
      <c r="V22" s="125">
        <f t="shared" si="5"/>
        <v>716618.38610348175</v>
      </c>
      <c r="W22" s="125">
        <f t="shared" si="5"/>
        <v>720963.75612065743</v>
      </c>
      <c r="X22" s="125">
        <f t="shared" si="5"/>
        <v>725439.48723834846</v>
      </c>
      <c r="Y22" s="125">
        <f t="shared" si="5"/>
        <v>730049.49028957007</v>
      </c>
      <c r="Z22" s="125">
        <f t="shared" si="5"/>
        <v>734797.79343232838</v>
      </c>
      <c r="AA22" s="125">
        <f t="shared" si="5"/>
        <v>739688.54566936952</v>
      </c>
      <c r="AB22" s="125">
        <f t="shared" si="5"/>
        <v>744726.0204735219</v>
      </c>
      <c r="AC22" s="125">
        <f t="shared" si="5"/>
        <v>749914.6195217988</v>
      </c>
      <c r="AD22" s="125">
        <f t="shared" si="5"/>
        <v>755258.87654152396</v>
      </c>
      <c r="AE22" s="125">
        <f t="shared" si="5"/>
        <v>760763.46127184085</v>
      </c>
      <c r="AF22" s="125">
        <f t="shared" si="5"/>
        <v>766433.18354406732</v>
      </c>
      <c r="AG22" s="125">
        <f t="shared" si="5"/>
        <v>772272.99748446059</v>
      </c>
      <c r="AH22" s="15">
        <f>SUM(AH16:AH20)</f>
        <v>778288.00584306568</v>
      </c>
      <c r="AI22" s="15">
        <f>SUM(AI16:AI20)</f>
        <v>784483.46445242886</v>
      </c>
      <c r="AJ22" s="15">
        <f>SUM(AJ16:AJ20)</f>
        <v>790864.78682007291</v>
      </c>
      <c r="AK22" s="15">
        <f>SUM(AK16:AK20)</f>
        <v>797437.54885874642</v>
      </c>
      <c r="AO22" s="197"/>
      <c r="AP22" s="198"/>
      <c r="AQ22" s="193" t="s">
        <v>54</v>
      </c>
      <c r="AR22" s="199"/>
      <c r="AS22" s="199"/>
      <c r="AT22" s="199"/>
      <c r="AU22" s="199"/>
      <c r="AV22" s="199"/>
      <c r="AW22" s="199"/>
      <c r="AX22" s="200"/>
    </row>
    <row r="23" spans="2:50" x14ac:dyDescent="0.25">
      <c r="B23" s="4"/>
      <c r="C23" s="13"/>
      <c r="D23" s="6"/>
      <c r="F23" s="10"/>
      <c r="G23" s="163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3"/>
      <c r="AI23" s="3"/>
      <c r="AJ23" s="3"/>
      <c r="AK23" s="3"/>
      <c r="AO23" s="201"/>
      <c r="AP23" s="202">
        <f>D30/1000</f>
        <v>16600</v>
      </c>
      <c r="AQ23" s="203">
        <v>0.03</v>
      </c>
      <c r="AR23" s="203">
        <v>0.04</v>
      </c>
      <c r="AS23" s="203">
        <v>0.05</v>
      </c>
      <c r="AT23" s="203">
        <v>0.06</v>
      </c>
      <c r="AU23" s="203">
        <v>7.0000000000000007E-2</v>
      </c>
      <c r="AV23" s="203">
        <v>0.08</v>
      </c>
      <c r="AW23" s="203">
        <v>0.09</v>
      </c>
      <c r="AX23" s="204">
        <v>0.1</v>
      </c>
    </row>
    <row r="24" spans="2:50" x14ac:dyDescent="0.25">
      <c r="B24" s="4" t="s">
        <v>48</v>
      </c>
      <c r="D24" s="5"/>
      <c r="F24" s="10"/>
      <c r="G24" s="126" t="s">
        <v>49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3"/>
      <c r="AI24" s="3"/>
      <c r="AJ24" s="3"/>
      <c r="AK24" s="3"/>
      <c r="AO24" s="220" t="s">
        <v>26</v>
      </c>
      <c r="AP24" s="205">
        <v>0.02</v>
      </c>
      <c r="AQ24" s="178">
        <f t="dataTable" ref="AQ24:AX30" dt2D="1" dtr="1" r1="H10" r2="H12" ca="1"/>
        <v>30200</v>
      </c>
      <c r="AR24" s="178">
        <v>26300</v>
      </c>
      <c r="AS24" s="178">
        <v>22900</v>
      </c>
      <c r="AT24" s="178">
        <v>20000</v>
      </c>
      <c r="AU24" s="178">
        <v>17700</v>
      </c>
      <c r="AV24" s="178">
        <v>15600</v>
      </c>
      <c r="AW24" s="178">
        <v>13800</v>
      </c>
      <c r="AX24" s="206">
        <v>12100</v>
      </c>
    </row>
    <row r="25" spans="2:50" x14ac:dyDescent="0.25">
      <c r="B25" s="4"/>
      <c r="C25" t="s">
        <v>50</v>
      </c>
      <c r="D25" s="5">
        <f>ROUND(H25+NPV($H$10,I25:AG25),-5)</f>
        <v>3000000</v>
      </c>
      <c r="F25" s="10" t="s">
        <v>51</v>
      </c>
      <c r="G25" s="124">
        <v>189000</v>
      </c>
      <c r="H25" s="124"/>
      <c r="I25" s="124"/>
      <c r="J25" s="124">
        <f>G25/2*(1+$H$9)*(1+$H$9)*(1+$H$9)</f>
        <v>103262.70150000001</v>
      </c>
      <c r="K25" s="124">
        <f>G25*(1+$H$9)*(1+$H$9)*(1+$H$9)*(1+$H$9)</f>
        <v>212721.16509000002</v>
      </c>
      <c r="L25" s="124">
        <f t="shared" ref="L25:AA26" si="6">K25*(1+$H$9)</f>
        <v>219102.80004270002</v>
      </c>
      <c r="M25" s="124">
        <f t="shared" si="6"/>
        <v>225675.88404398103</v>
      </c>
      <c r="N25" s="124">
        <f t="shared" si="6"/>
        <v>232446.16056530047</v>
      </c>
      <c r="O25" s="124">
        <f t="shared" si="6"/>
        <v>239419.5453822595</v>
      </c>
      <c r="P25" s="124">
        <f t="shared" si="6"/>
        <v>246602.13174372728</v>
      </c>
      <c r="Q25" s="124">
        <f t="shared" si="6"/>
        <v>254000.1956960391</v>
      </c>
      <c r="R25" s="124">
        <f t="shared" si="6"/>
        <v>261620.20156692027</v>
      </c>
      <c r="S25" s="124">
        <f t="shared" si="6"/>
        <v>269468.80761392787</v>
      </c>
      <c r="T25" s="124">
        <f t="shared" si="6"/>
        <v>277552.87184234569</v>
      </c>
      <c r="U25" s="124">
        <f t="shared" si="6"/>
        <v>285879.45799761609</v>
      </c>
      <c r="V25" s="124">
        <f t="shared" si="6"/>
        <v>294455.84173754457</v>
      </c>
      <c r="W25" s="124">
        <f t="shared" si="6"/>
        <v>303289.51698967093</v>
      </c>
      <c r="X25" s="124">
        <f t="shared" si="6"/>
        <v>312388.20249936107</v>
      </c>
      <c r="Y25" s="124">
        <f t="shared" si="6"/>
        <v>321759.84857434192</v>
      </c>
      <c r="Z25" s="124">
        <f t="shared" si="6"/>
        <v>331412.64403157216</v>
      </c>
      <c r="AA25" s="124">
        <f t="shared" si="6"/>
        <v>341355.02335251932</v>
      </c>
      <c r="AB25" s="124">
        <f t="shared" ref="AB25:AK26" si="7">AA25*(1+$H$9)</f>
        <v>351595.67405309493</v>
      </c>
      <c r="AC25" s="124">
        <f t="shared" si="7"/>
        <v>362143.54427468777</v>
      </c>
      <c r="AD25" s="124">
        <f t="shared" si="7"/>
        <v>373007.85060292843</v>
      </c>
      <c r="AE25" s="124">
        <f t="shared" si="7"/>
        <v>384198.0861210163</v>
      </c>
      <c r="AF25" s="124">
        <f t="shared" si="7"/>
        <v>395724.0287046468</v>
      </c>
      <c r="AG25" s="124">
        <f t="shared" si="7"/>
        <v>407595.74956578622</v>
      </c>
      <c r="AH25" s="3">
        <f t="shared" si="7"/>
        <v>419823.62205275981</v>
      </c>
      <c r="AI25" s="3">
        <f t="shared" si="7"/>
        <v>432418.33071434259</v>
      </c>
      <c r="AJ25" s="3">
        <f t="shared" si="7"/>
        <v>445390.88063577289</v>
      </c>
      <c r="AK25" s="3">
        <f t="shared" si="7"/>
        <v>458752.60705484607</v>
      </c>
      <c r="AO25" s="220"/>
      <c r="AP25" s="205">
        <v>2.5000000000000001E-2</v>
      </c>
      <c r="AQ25" s="178">
        <v>29400</v>
      </c>
      <c r="AR25" s="178">
        <v>25500</v>
      </c>
      <c r="AS25" s="178">
        <v>22200</v>
      </c>
      <c r="AT25" s="178">
        <v>19400</v>
      </c>
      <c r="AU25" s="178">
        <v>17100</v>
      </c>
      <c r="AV25" s="178">
        <v>15100</v>
      </c>
      <c r="AW25" s="178">
        <v>13300</v>
      </c>
      <c r="AX25" s="206">
        <v>11700</v>
      </c>
    </row>
    <row r="26" spans="2:50" x14ac:dyDescent="0.25">
      <c r="B26" s="4"/>
      <c r="C26" t="s">
        <v>52</v>
      </c>
      <c r="D26" s="5">
        <f>ROUND(H26+NPV($H$10,I26:AG26),-5)</f>
        <v>5800000</v>
      </c>
      <c r="F26" s="10" t="s">
        <v>53</v>
      </c>
      <c r="G26" s="124">
        <v>364000</v>
      </c>
      <c r="H26" s="124"/>
      <c r="I26" s="124"/>
      <c r="J26" s="124">
        <f>G26/2*(1+$H$9)*(1+$H$9)*(1+$H$9)</f>
        <v>198876.31400000001</v>
      </c>
      <c r="K26" s="124">
        <f>G26*(1+$H$9)*(1+$H$9)*(1+$H$9)*(1+$H$9)</f>
        <v>409685.20684000006</v>
      </c>
      <c r="L26" s="124">
        <f t="shared" si="6"/>
        <v>421975.76304520009</v>
      </c>
      <c r="M26" s="124">
        <f t="shared" si="6"/>
        <v>434635.03593655612</v>
      </c>
      <c r="N26" s="124">
        <f t="shared" si="6"/>
        <v>447674.08701465279</v>
      </c>
      <c r="O26" s="124">
        <f t="shared" si="6"/>
        <v>461104.30962509237</v>
      </c>
      <c r="P26" s="124">
        <f t="shared" si="6"/>
        <v>474937.43891384517</v>
      </c>
      <c r="Q26" s="124">
        <f t="shared" si="6"/>
        <v>489185.56208126055</v>
      </c>
      <c r="R26" s="124">
        <f t="shared" si="6"/>
        <v>503861.12894369836</v>
      </c>
      <c r="S26" s="124">
        <f t="shared" si="6"/>
        <v>518976.96281200933</v>
      </c>
      <c r="T26" s="124">
        <f t="shared" si="6"/>
        <v>534546.27169636963</v>
      </c>
      <c r="U26" s="124">
        <f t="shared" si="6"/>
        <v>550582.65984726069</v>
      </c>
      <c r="V26" s="124">
        <f t="shared" si="6"/>
        <v>567100.13964267855</v>
      </c>
      <c r="W26" s="124">
        <f t="shared" si="6"/>
        <v>584113.14383195888</v>
      </c>
      <c r="X26" s="124">
        <f t="shared" si="6"/>
        <v>601636.53814691771</v>
      </c>
      <c r="Y26" s="124">
        <f t="shared" si="6"/>
        <v>619685.63429132523</v>
      </c>
      <c r="Z26" s="124">
        <f t="shared" si="6"/>
        <v>638276.20332006505</v>
      </c>
      <c r="AA26" s="124">
        <f t="shared" si="6"/>
        <v>657424.48941966705</v>
      </c>
      <c r="AB26" s="124">
        <f t="shared" si="7"/>
        <v>677147.22410225705</v>
      </c>
      <c r="AC26" s="124">
        <f t="shared" si="7"/>
        <v>697461.64082532481</v>
      </c>
      <c r="AD26" s="124">
        <f t="shared" si="7"/>
        <v>718385.49005008454</v>
      </c>
      <c r="AE26" s="124">
        <f t="shared" si="7"/>
        <v>739937.0547515871</v>
      </c>
      <c r="AF26" s="124">
        <f t="shared" si="7"/>
        <v>762135.16639413475</v>
      </c>
      <c r="AG26" s="124">
        <f t="shared" si="7"/>
        <v>784999.22138595884</v>
      </c>
      <c r="AH26" s="3">
        <f t="shared" si="7"/>
        <v>808549.19802753767</v>
      </c>
      <c r="AI26" s="3">
        <f t="shared" si="7"/>
        <v>832805.67396836379</v>
      </c>
      <c r="AJ26" s="3">
        <f t="shared" si="7"/>
        <v>857789.84418741474</v>
      </c>
      <c r="AK26" s="3">
        <f t="shared" si="7"/>
        <v>883523.53951303719</v>
      </c>
      <c r="AO26" s="220"/>
      <c r="AP26" s="205">
        <v>0.03</v>
      </c>
      <c r="AQ26" s="178">
        <v>28600</v>
      </c>
      <c r="AR26" s="178">
        <v>24800</v>
      </c>
      <c r="AS26" s="178">
        <v>21600</v>
      </c>
      <c r="AT26" s="178">
        <v>18800</v>
      </c>
      <c r="AU26" s="178">
        <v>16600</v>
      </c>
      <c r="AV26" s="178">
        <v>14500</v>
      </c>
      <c r="AW26" s="178">
        <v>12800</v>
      </c>
      <c r="AX26" s="206">
        <v>11200</v>
      </c>
    </row>
    <row r="27" spans="2:50" x14ac:dyDescent="0.25">
      <c r="B27" s="4"/>
      <c r="C27" t="s">
        <v>55</v>
      </c>
      <c r="D27" s="5">
        <f>ROUND(H27+NPV($H$10,I27:AG27),-5)</f>
        <v>17900000</v>
      </c>
      <c r="F27" s="10" t="s">
        <v>56</v>
      </c>
      <c r="G27" s="124">
        <f>ROUND(388711+483972,-2)</f>
        <v>872700</v>
      </c>
      <c r="H27" s="124"/>
      <c r="I27" s="124"/>
      <c r="J27" s="124">
        <f>G27/2*(1+$H$9)*(1+$H$9)*(1+$H$9)</f>
        <v>476811.42645000003</v>
      </c>
      <c r="K27" s="124">
        <f>G27*(1+$H$8)*(1+$H$8)*(1+$H$8)*(1+$H$8)</f>
        <v>1060772.3043750001</v>
      </c>
      <c r="L27" s="124">
        <f>K27*(1+$H$8)</f>
        <v>1113810.91959375</v>
      </c>
      <c r="M27" s="124">
        <f>L27*(1+$H$8)</f>
        <v>1169501.4655734375</v>
      </c>
      <c r="N27" s="124">
        <f t="shared" ref="N27:AK27" si="8">M27*(1+$H$8)</f>
        <v>1227976.5388521093</v>
      </c>
      <c r="O27" s="124">
        <f t="shared" si="8"/>
        <v>1289375.3657947148</v>
      </c>
      <c r="P27" s="124">
        <f t="shared" si="8"/>
        <v>1353844.1340844505</v>
      </c>
      <c r="Q27" s="124">
        <f t="shared" si="8"/>
        <v>1421536.3407886731</v>
      </c>
      <c r="R27" s="124">
        <f t="shared" si="8"/>
        <v>1492613.1578281068</v>
      </c>
      <c r="S27" s="124">
        <f t="shared" si="8"/>
        <v>1567243.8157195123</v>
      </c>
      <c r="T27" s="124">
        <f t="shared" si="8"/>
        <v>1645606.006505488</v>
      </c>
      <c r="U27" s="124">
        <f t="shared" si="8"/>
        <v>1727886.3068307624</v>
      </c>
      <c r="V27" s="124">
        <f t="shared" si="8"/>
        <v>1814280.6221723007</v>
      </c>
      <c r="W27" s="124">
        <f t="shared" si="8"/>
        <v>1904994.6532809159</v>
      </c>
      <c r="X27" s="124">
        <f t="shared" si="8"/>
        <v>2000244.3859449618</v>
      </c>
      <c r="Y27" s="124">
        <f t="shared" si="8"/>
        <v>2100256.60524221</v>
      </c>
      <c r="Z27" s="124">
        <f t="shared" si="8"/>
        <v>2205269.4355043205</v>
      </c>
      <c r="AA27" s="124">
        <f t="shared" si="8"/>
        <v>2315532.9072795366</v>
      </c>
      <c r="AB27" s="124">
        <f t="shared" si="8"/>
        <v>2431309.5526435133</v>
      </c>
      <c r="AC27" s="124">
        <f t="shared" si="8"/>
        <v>2552875.030275689</v>
      </c>
      <c r="AD27" s="124">
        <f t="shared" si="8"/>
        <v>2680518.7817894737</v>
      </c>
      <c r="AE27" s="124">
        <f t="shared" si="8"/>
        <v>2814544.7208789475</v>
      </c>
      <c r="AF27" s="124">
        <f t="shared" si="8"/>
        <v>2955271.9569228948</v>
      </c>
      <c r="AG27" s="124">
        <f t="shared" si="8"/>
        <v>3103035.5547690396</v>
      </c>
      <c r="AH27" s="3">
        <f t="shared" si="8"/>
        <v>3258187.3325074916</v>
      </c>
      <c r="AI27" s="3">
        <f t="shared" si="8"/>
        <v>3421096.6991328662</v>
      </c>
      <c r="AJ27" s="3">
        <f t="shared" si="8"/>
        <v>3592151.5340895099</v>
      </c>
      <c r="AK27" s="3">
        <f t="shared" si="8"/>
        <v>3771759.1107939854</v>
      </c>
      <c r="AO27" s="220"/>
      <c r="AP27" s="205">
        <v>3.5000000000000003E-2</v>
      </c>
      <c r="AQ27" s="1">
        <v>27700</v>
      </c>
      <c r="AR27" s="178">
        <v>24000</v>
      </c>
      <c r="AS27" s="178">
        <v>20900</v>
      </c>
      <c r="AT27" s="178">
        <v>18200</v>
      </c>
      <c r="AU27" s="178">
        <v>16000</v>
      </c>
      <c r="AV27" s="178">
        <v>14000</v>
      </c>
      <c r="AW27" s="178">
        <v>12300</v>
      </c>
      <c r="AX27" s="206">
        <v>10800</v>
      </c>
    </row>
    <row r="28" spans="2:50" x14ac:dyDescent="0.25">
      <c r="B28" s="7"/>
      <c r="C28" s="13" t="s">
        <v>57</v>
      </c>
      <c r="D28" s="6">
        <f>SUM(D25:D27)</f>
        <v>26700000</v>
      </c>
      <c r="F28" s="10"/>
      <c r="G28" s="125">
        <f t="shared" ref="G28:AK28" si="9">SUM(G25:G27)</f>
        <v>1425700</v>
      </c>
      <c r="H28" s="125">
        <f t="shared" si="9"/>
        <v>0</v>
      </c>
      <c r="I28" s="125">
        <f t="shared" si="9"/>
        <v>0</v>
      </c>
      <c r="J28" s="125">
        <f t="shared" si="9"/>
        <v>778950.44195000012</v>
      </c>
      <c r="K28" s="125">
        <f t="shared" si="9"/>
        <v>1683178.6763050002</v>
      </c>
      <c r="L28" s="125">
        <f t="shared" si="9"/>
        <v>1754889.4826816502</v>
      </c>
      <c r="M28" s="125">
        <f t="shared" si="9"/>
        <v>1829812.3855539747</v>
      </c>
      <c r="N28" s="125">
        <f t="shared" si="9"/>
        <v>1908096.7864320627</v>
      </c>
      <c r="O28" s="125">
        <f t="shared" si="9"/>
        <v>1989899.2208020666</v>
      </c>
      <c r="P28" s="125">
        <f t="shared" si="9"/>
        <v>2075383.704742023</v>
      </c>
      <c r="Q28" s="125">
        <f t="shared" si="9"/>
        <v>2164722.0985659729</v>
      </c>
      <c r="R28" s="125">
        <f t="shared" si="9"/>
        <v>2258094.4883387256</v>
      </c>
      <c r="S28" s="125">
        <f t="shared" si="9"/>
        <v>2355689.5861454494</v>
      </c>
      <c r="T28" s="125">
        <f t="shared" si="9"/>
        <v>2457705.1500442033</v>
      </c>
      <c r="U28" s="125">
        <f t="shared" si="9"/>
        <v>2564348.4246756393</v>
      </c>
      <c r="V28" s="125">
        <f t="shared" si="9"/>
        <v>2675836.603552524</v>
      </c>
      <c r="W28" s="125">
        <f t="shared" si="9"/>
        <v>2792397.3141025458</v>
      </c>
      <c r="X28" s="125">
        <f t="shared" si="9"/>
        <v>2914269.1265912405</v>
      </c>
      <c r="Y28" s="125">
        <f t="shared" si="9"/>
        <v>3041702.0881078774</v>
      </c>
      <c r="Z28" s="125">
        <f t="shared" si="9"/>
        <v>3174958.2828559577</v>
      </c>
      <c r="AA28" s="125">
        <f t="shared" si="9"/>
        <v>3314312.4200517228</v>
      </c>
      <c r="AB28" s="125">
        <f t="shared" si="9"/>
        <v>3460052.4507988654</v>
      </c>
      <c r="AC28" s="125">
        <f t="shared" si="9"/>
        <v>3612480.2153757014</v>
      </c>
      <c r="AD28" s="125">
        <f t="shared" si="9"/>
        <v>3771912.1224424867</v>
      </c>
      <c r="AE28" s="125">
        <f t="shared" si="9"/>
        <v>3938679.8617515508</v>
      </c>
      <c r="AF28" s="125">
        <f t="shared" si="9"/>
        <v>4113131.1520216763</v>
      </c>
      <c r="AG28" s="125">
        <f t="shared" si="9"/>
        <v>4295630.5257207844</v>
      </c>
      <c r="AH28" s="13">
        <f t="shared" si="9"/>
        <v>4486560.1525877891</v>
      </c>
      <c r="AI28" s="13">
        <f t="shared" si="9"/>
        <v>4686320.7038155729</v>
      </c>
      <c r="AJ28" s="13">
        <f t="shared" si="9"/>
        <v>4895332.2589126974</v>
      </c>
      <c r="AK28" s="13">
        <f t="shared" si="9"/>
        <v>5114035.2573618684</v>
      </c>
      <c r="AO28" s="220"/>
      <c r="AP28" s="205">
        <v>0.04</v>
      </c>
      <c r="AQ28" s="1">
        <v>26800</v>
      </c>
      <c r="AR28" s="178">
        <v>23200</v>
      </c>
      <c r="AS28" s="178">
        <v>20100</v>
      </c>
      <c r="AT28" s="178">
        <v>17500</v>
      </c>
      <c r="AU28" s="178">
        <v>15400</v>
      </c>
      <c r="AV28" s="178">
        <v>13400</v>
      </c>
      <c r="AW28" s="178">
        <v>11800</v>
      </c>
      <c r="AX28" s="206">
        <v>10300</v>
      </c>
    </row>
    <row r="29" spans="2:50" x14ac:dyDescent="0.25">
      <c r="B29" s="7"/>
      <c r="D29" s="5"/>
      <c r="F29" s="10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9"/>
      <c r="AC29" s="9"/>
      <c r="AD29" s="9"/>
      <c r="AE29" s="9"/>
      <c r="AF29" s="9"/>
      <c r="AG29" s="9"/>
      <c r="AO29" s="220"/>
      <c r="AP29" s="205">
        <v>4.4999999999999998E-2</v>
      </c>
      <c r="AQ29" s="1">
        <v>25900</v>
      </c>
      <c r="AR29" s="178">
        <v>22400</v>
      </c>
      <c r="AS29" s="178">
        <v>19400</v>
      </c>
      <c r="AT29" s="178">
        <v>16800</v>
      </c>
      <c r="AU29" s="178">
        <v>14700</v>
      </c>
      <c r="AV29" s="178">
        <v>12800</v>
      </c>
      <c r="AW29" s="178">
        <v>11200</v>
      </c>
      <c r="AX29" s="206">
        <v>9800</v>
      </c>
    </row>
    <row r="30" spans="2:50" x14ac:dyDescent="0.25">
      <c r="B30" s="7"/>
      <c r="C30" s="13" t="s">
        <v>58</v>
      </c>
      <c r="D30" s="6">
        <f>D28-D22</f>
        <v>16600000</v>
      </c>
      <c r="F30" s="10"/>
      <c r="G30" s="124"/>
      <c r="H30" s="125">
        <f>H28-H22</f>
        <v>-1677895.1678438843</v>
      </c>
      <c r="I30" s="125">
        <f t="shared" ref="I30:AK30" si="10">I28-I22</f>
        <v>-571772.71886429237</v>
      </c>
      <c r="J30" s="125">
        <f t="shared" si="10"/>
        <v>4800.3863510139054</v>
      </c>
      <c r="K30" s="125">
        <f t="shared" si="10"/>
        <v>902957.30060397321</v>
      </c>
      <c r="L30" s="125">
        <f t="shared" si="10"/>
        <v>971528.91922552115</v>
      </c>
      <c r="M30" s="125">
        <f t="shared" si="10"/>
        <v>1147027.5237100904</v>
      </c>
      <c r="N30" s="125">
        <f t="shared" si="10"/>
        <v>1221981.5602987907</v>
      </c>
      <c r="O30" s="125">
        <f t="shared" si="10"/>
        <v>1300353.7194507252</v>
      </c>
      <c r="P30" s="125">
        <f t="shared" si="10"/>
        <v>1382305.0199160702</v>
      </c>
      <c r="Q30" s="125">
        <f t="shared" si="10"/>
        <v>1468004.2347611701</v>
      </c>
      <c r="R30" s="125">
        <f t="shared" si="10"/>
        <v>1557628.2701857076</v>
      </c>
      <c r="S30" s="125">
        <f t="shared" si="10"/>
        <v>1651362.5630137697</v>
      </c>
      <c r="T30" s="125">
        <f t="shared" si="10"/>
        <v>1749401.4977845019</v>
      </c>
      <c r="U30" s="125">
        <f t="shared" si="10"/>
        <v>1851948.8444140756</v>
      </c>
      <c r="V30" s="125">
        <f t="shared" si="10"/>
        <v>1959218.2174490422</v>
      </c>
      <c r="W30" s="125">
        <f t="shared" si="10"/>
        <v>2071433.5579818883</v>
      </c>
      <c r="X30" s="125">
        <f t="shared" si="10"/>
        <v>2188829.6393528921</v>
      </c>
      <c r="Y30" s="125">
        <f t="shared" si="10"/>
        <v>2311652.5978183076</v>
      </c>
      <c r="Z30" s="125">
        <f t="shared" si="10"/>
        <v>2440160.4894236294</v>
      </c>
      <c r="AA30" s="125">
        <f t="shared" si="10"/>
        <v>2574623.8743823534</v>
      </c>
      <c r="AB30" s="125">
        <f t="shared" si="10"/>
        <v>2715326.4303253433</v>
      </c>
      <c r="AC30" s="125">
        <f t="shared" si="10"/>
        <v>2862565.5958539024</v>
      </c>
      <c r="AD30" s="125">
        <f t="shared" si="10"/>
        <v>3016653.2459009625</v>
      </c>
      <c r="AE30" s="125">
        <f t="shared" si="10"/>
        <v>3177916.4004797097</v>
      </c>
      <c r="AF30" s="125">
        <f t="shared" si="10"/>
        <v>3346697.9684776091</v>
      </c>
      <c r="AG30" s="125">
        <f t="shared" si="10"/>
        <v>3523357.528236324</v>
      </c>
      <c r="AH30" s="15">
        <f t="shared" si="10"/>
        <v>3708272.1467447234</v>
      </c>
      <c r="AI30" s="15">
        <f t="shared" si="10"/>
        <v>3901837.2393631442</v>
      </c>
      <c r="AJ30" s="15">
        <f t="shared" si="10"/>
        <v>4104467.4720926248</v>
      </c>
      <c r="AK30" s="15">
        <f t="shared" si="10"/>
        <v>4316597.7085031215</v>
      </c>
      <c r="AO30" s="221"/>
      <c r="AP30" s="207">
        <v>0.05</v>
      </c>
      <c r="AQ30" s="208">
        <v>24900</v>
      </c>
      <c r="AR30" s="209">
        <v>21500</v>
      </c>
      <c r="AS30" s="209">
        <v>18600</v>
      </c>
      <c r="AT30" s="209">
        <v>16100</v>
      </c>
      <c r="AU30" s="209">
        <v>14100</v>
      </c>
      <c r="AV30" s="209">
        <v>12200</v>
      </c>
      <c r="AW30" s="209">
        <v>10700</v>
      </c>
      <c r="AX30" s="210">
        <v>9200</v>
      </c>
    </row>
    <row r="31" spans="2:50" x14ac:dyDescent="0.25">
      <c r="B31" s="7"/>
      <c r="C31" s="16" t="s">
        <v>59</v>
      </c>
      <c r="D31" s="17">
        <f>IRR(H30:AG30)</f>
        <v>0.3248011787238243</v>
      </c>
      <c r="F31" s="10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9"/>
      <c r="AC31" s="9"/>
      <c r="AD31" s="9"/>
      <c r="AE31" s="9"/>
      <c r="AF31" s="9"/>
      <c r="AG31" s="9"/>
    </row>
    <row r="32" spans="2:50" x14ac:dyDescent="0.25">
      <c r="B32" s="8"/>
      <c r="C32" s="19" t="s">
        <v>60</v>
      </c>
      <c r="D32" s="20">
        <f>D28/D22</f>
        <v>2.6435643564356437</v>
      </c>
      <c r="F32" s="10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9"/>
      <c r="AC32" s="9"/>
      <c r="AD32" s="9"/>
      <c r="AE32" s="9"/>
      <c r="AF32" s="9"/>
      <c r="AG32" s="9"/>
    </row>
    <row r="33" spans="2:33" x14ac:dyDescent="0.25">
      <c r="B33" s="213" t="s">
        <v>61</v>
      </c>
      <c r="C33" s="187"/>
      <c r="D33" s="214"/>
      <c r="G33" s="9"/>
      <c r="H33" s="9"/>
      <c r="I33" s="9"/>
      <c r="J33" s="9"/>
      <c r="K33" s="9"/>
      <c r="L33" s="9"/>
      <c r="M33" s="9"/>
      <c r="N33" s="9"/>
      <c r="O33" s="9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9"/>
      <c r="AC33" s="9"/>
      <c r="AD33" s="9"/>
      <c r="AE33" s="9"/>
      <c r="AF33" s="9"/>
      <c r="AG33" s="9"/>
    </row>
    <row r="34" spans="2:33" x14ac:dyDescent="0.25">
      <c r="B34" s="4"/>
      <c r="C34" t="s">
        <v>62</v>
      </c>
      <c r="D34" s="5">
        <f>ROUND(H34+NPV($H$10,I34:AG34),-5)</f>
        <v>4500000</v>
      </c>
      <c r="F34" s="18" t="s">
        <v>63</v>
      </c>
      <c r="G34" s="124">
        <v>800000</v>
      </c>
      <c r="H34" s="124"/>
      <c r="I34" s="124"/>
      <c r="J34" s="124">
        <f>G34/2*(1+$H$9)*(1+$H$9)*(1+$H$9)*(1+$H$11)*(1+$H$11)*(1+$H$11)</f>
        <v>323979.40468535002</v>
      </c>
      <c r="K34" s="124">
        <f>G34*(1+$H$8)*(1+$H$8)*(1+$H$8)*(1+$H$8)*(1+$H$11)*(1+$H$11)*(1+$H$11)*(1+$H$11)</f>
        <v>652291.1707975032</v>
      </c>
      <c r="L34" s="124">
        <f t="shared" ref="L34:AG34" si="11">K34*(1+$H$9)*(1+$H$11)</f>
        <v>608033.21485889272</v>
      </c>
      <c r="M34" s="124">
        <f t="shared" si="11"/>
        <v>566778.16123071685</v>
      </c>
      <c r="N34" s="124">
        <f t="shared" si="11"/>
        <v>528322.26299121277</v>
      </c>
      <c r="O34" s="124">
        <f t="shared" si="11"/>
        <v>492475.597447259</v>
      </c>
      <c r="P34" s="124">
        <f t="shared" si="11"/>
        <v>459061.12816046254</v>
      </c>
      <c r="Q34" s="124">
        <f t="shared" si="11"/>
        <v>427913.83061477519</v>
      </c>
      <c r="R34" s="124">
        <f t="shared" si="11"/>
        <v>398879.87720756268</v>
      </c>
      <c r="S34" s="124">
        <f t="shared" si="11"/>
        <v>371815.87753902952</v>
      </c>
      <c r="T34" s="124">
        <f t="shared" si="11"/>
        <v>346588.17024800641</v>
      </c>
      <c r="U34" s="124">
        <f t="shared" si="11"/>
        <v>323072.16289667919</v>
      </c>
      <c r="V34" s="124">
        <f t="shared" si="11"/>
        <v>301151.71664413955</v>
      </c>
      <c r="W34" s="124">
        <f t="shared" si="11"/>
        <v>280718.57266983471</v>
      </c>
      <c r="X34" s="124">
        <f t="shared" si="11"/>
        <v>261671.81751418646</v>
      </c>
      <c r="Y34" s="124">
        <f t="shared" si="11"/>
        <v>243917.38469584892</v>
      </c>
      <c r="Z34" s="124">
        <f t="shared" si="11"/>
        <v>227367.59014423558</v>
      </c>
      <c r="AA34" s="124">
        <f t="shared" si="11"/>
        <v>211940.69915294921</v>
      </c>
      <c r="AB34" s="124">
        <f t="shared" si="11"/>
        <v>197560.5227154216</v>
      </c>
      <c r="AC34" s="124">
        <f t="shared" si="11"/>
        <v>184156.04124918024</v>
      </c>
      <c r="AD34" s="124">
        <f t="shared" si="11"/>
        <v>171661.05385042337</v>
      </c>
      <c r="AE34" s="124">
        <f t="shared" si="11"/>
        <v>160013.85134667213</v>
      </c>
      <c r="AF34" s="124">
        <f t="shared" si="11"/>
        <v>149156.91153280044</v>
      </c>
      <c r="AG34" s="124">
        <f t="shared" si="11"/>
        <v>139036.61508529991</v>
      </c>
    </row>
    <row r="35" spans="2:33" x14ac:dyDescent="0.25">
      <c r="B35" s="4"/>
      <c r="C35" t="s">
        <v>64</v>
      </c>
      <c r="D35" s="5">
        <f t="shared" ref="D35" si="12">ROUND(H35+NPV($H$10,I35:AG35),-5)</f>
        <v>4900000</v>
      </c>
      <c r="G35" s="124">
        <f>(10000000*(1+H9)^10)*(19/49)</f>
        <v>5211104.3280690433</v>
      </c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>
        <f>G35</f>
        <v>5211104.3280690433</v>
      </c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</row>
    <row r="36" spans="2:33" x14ac:dyDescent="0.25">
      <c r="B36" s="4"/>
      <c r="C36" s="13" t="s">
        <v>65</v>
      </c>
      <c r="D36" s="6">
        <f>SUM(D34:D35)</f>
        <v>9400000</v>
      </c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2:33" x14ac:dyDescent="0.25">
      <c r="B37" s="4"/>
      <c r="D37" s="5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2:33" x14ac:dyDescent="0.25">
      <c r="B38" s="4"/>
      <c r="C38" s="13" t="s">
        <v>66</v>
      </c>
      <c r="D38" s="6">
        <f>D36+D30</f>
        <v>26000000</v>
      </c>
      <c r="H38" s="190">
        <f>H35+H34+H30</f>
        <v>-1677895.1678438843</v>
      </c>
      <c r="I38" s="190">
        <f t="shared" ref="I38:AF38" si="13">I35+I34+I30</f>
        <v>-571772.71886429237</v>
      </c>
      <c r="J38" s="190">
        <f t="shared" si="13"/>
        <v>328779.79103636392</v>
      </c>
      <c r="K38" s="190">
        <f t="shared" si="13"/>
        <v>1555248.4714014763</v>
      </c>
      <c r="L38" s="190">
        <f t="shared" si="13"/>
        <v>1579562.1340844138</v>
      </c>
      <c r="M38" s="190">
        <f t="shared" si="13"/>
        <v>1713805.6849408073</v>
      </c>
      <c r="N38" s="190">
        <f t="shared" si="13"/>
        <v>1750303.8232900035</v>
      </c>
      <c r="O38" s="190">
        <f t="shared" si="13"/>
        <v>1792829.3168979841</v>
      </c>
      <c r="P38" s="190">
        <f t="shared" si="13"/>
        <v>1841366.1480765326</v>
      </c>
      <c r="Q38" s="190">
        <f t="shared" si="13"/>
        <v>1895918.0653759453</v>
      </c>
      <c r="R38" s="190">
        <f t="shared" si="13"/>
        <v>7167612.4754623137</v>
      </c>
      <c r="S38" s="190">
        <f t="shared" si="13"/>
        <v>2023178.4405527993</v>
      </c>
      <c r="T38" s="190">
        <f t="shared" si="13"/>
        <v>2095989.6680325083</v>
      </c>
      <c r="U38" s="190">
        <f t="shared" si="13"/>
        <v>2175021.0073107546</v>
      </c>
      <c r="V38" s="190">
        <f t="shared" si="13"/>
        <v>2260369.934093182</v>
      </c>
      <c r="W38" s="190">
        <f t="shared" si="13"/>
        <v>2352152.1306517231</v>
      </c>
      <c r="X38" s="190">
        <f t="shared" si="13"/>
        <v>2450501.4568670783</v>
      </c>
      <c r="Y38" s="190">
        <f t="shared" si="13"/>
        <v>2555569.9825141565</v>
      </c>
      <c r="Z38" s="190">
        <f t="shared" si="13"/>
        <v>2667528.079567865</v>
      </c>
      <c r="AA38" s="190">
        <f t="shared" si="13"/>
        <v>2786564.5735353027</v>
      </c>
      <c r="AB38" s="190">
        <f t="shared" si="13"/>
        <v>2912886.9530407647</v>
      </c>
      <c r="AC38" s="190">
        <f t="shared" si="13"/>
        <v>3046721.6371030826</v>
      </c>
      <c r="AD38" s="190">
        <f t="shared" si="13"/>
        <v>3188314.299751386</v>
      </c>
      <c r="AE38" s="190">
        <f t="shared" si="13"/>
        <v>3337930.2518263818</v>
      </c>
      <c r="AF38" s="190">
        <f t="shared" si="13"/>
        <v>3495854.8800104097</v>
      </c>
      <c r="AG38" s="190">
        <f>AG35+AG34+AG30</f>
        <v>3662394.143321624</v>
      </c>
    </row>
    <row r="39" spans="2:33" x14ac:dyDescent="0.25">
      <c r="B39" s="7"/>
      <c r="C39" s="16" t="s">
        <v>59</v>
      </c>
      <c r="D39" s="17">
        <f>IRR(H38:AG38)</f>
        <v>0.44934188378269502</v>
      </c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33" x14ac:dyDescent="0.25">
      <c r="B40" s="8"/>
      <c r="C40" s="19" t="s">
        <v>60</v>
      </c>
      <c r="D40" s="20">
        <f>(D36+D28)/D22</f>
        <v>3.5742574257425743</v>
      </c>
    </row>
    <row r="42" spans="2:33" ht="14.45" customHeight="1" x14ac:dyDescent="0.25"/>
    <row r="45" spans="2:33" ht="14.45" customHeight="1" x14ac:dyDescent="0.25"/>
    <row r="52" spans="5:5" x14ac:dyDescent="0.25">
      <c r="E52" s="196"/>
    </row>
  </sheetData>
  <sheetProtection algorithmName="SHA-512" hashValue="AcgunlDPfVX2lPnPsAWqQVfjpyoRARwrXa3evxxE5yXlXa1ZNsmL/a5ltX9dblgQOKshIq61+9d0bz4qWTP35w==" saltValue="/MCctcP7e3szuTlxvpxj3w==" spinCount="100000" sheet="1" objects="1" scenarios="1"/>
  <mergeCells count="3">
    <mergeCell ref="L2:M2"/>
    <mergeCell ref="AO11:AO20"/>
    <mergeCell ref="AO24:AO30"/>
  </mergeCells>
  <conditionalFormatting sqref="AQ13:AX20">
    <cfRule type="colorScale" priority="2">
      <colorScale>
        <cfvo type="min"/>
        <cfvo type="num" val="0"/>
        <cfvo type="max"/>
        <color rgb="FFF8696B"/>
        <color rgb="FFFFEB84"/>
        <color rgb="FF63BE7B"/>
      </colorScale>
    </cfRule>
  </conditionalFormatting>
  <conditionalFormatting sqref="AQ24:AX30">
    <cfRule type="colorScale" priority="1">
      <colorScale>
        <cfvo type="min"/>
        <cfvo type="num" val="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7D0D0-BD7B-4CDD-9935-BB565E8CC4B2}">
  <dimension ref="B1:N43"/>
  <sheetViews>
    <sheetView zoomScale="90" zoomScaleNormal="90" workbookViewId="0">
      <selection activeCell="B8" sqref="B8"/>
    </sheetView>
  </sheetViews>
  <sheetFormatPr defaultColWidth="8.28515625" defaultRowHeight="15" x14ac:dyDescent="0.3"/>
  <cols>
    <col min="1" max="1" width="8.28515625" style="29"/>
    <col min="2" max="2" width="13.28515625" style="29" bestFit="1" customWidth="1"/>
    <col min="3" max="3" width="63" style="29" customWidth="1"/>
    <col min="4" max="4" width="12.5703125" style="95" customWidth="1"/>
    <col min="5" max="5" width="7.7109375" style="29" customWidth="1"/>
    <col min="6" max="6" width="17.28515625" style="69" bestFit="1" customWidth="1"/>
    <col min="7" max="7" width="17.28515625" style="28" bestFit="1" customWidth="1"/>
    <col min="8" max="8" width="19.7109375" style="69" bestFit="1" customWidth="1"/>
    <col min="9" max="10" width="13.28515625" style="28" customWidth="1"/>
    <col min="11" max="11" width="15.7109375" style="28" customWidth="1"/>
    <col min="12" max="12" width="21.7109375" style="69" bestFit="1" customWidth="1"/>
    <col min="13" max="13" width="19.28515625" style="28" customWidth="1"/>
    <col min="14" max="14" width="8.28515625" style="29"/>
    <col min="15" max="15" width="10.5703125" style="29" bestFit="1" customWidth="1"/>
    <col min="16" max="16384" width="8.28515625" style="29"/>
  </cols>
  <sheetData>
    <row r="1" spans="2:14" ht="16.5" x14ac:dyDescent="0.3">
      <c r="B1" s="22"/>
      <c r="C1" s="22"/>
      <c r="D1" s="23" t="s">
        <v>0</v>
      </c>
      <c r="E1" s="24" t="s">
        <v>1</v>
      </c>
      <c r="F1" s="25"/>
      <c r="G1" s="26"/>
      <c r="H1" s="25"/>
      <c r="I1" s="26"/>
      <c r="J1" s="26"/>
      <c r="K1" s="23" t="s">
        <v>2</v>
      </c>
      <c r="L1" s="27">
        <v>65290</v>
      </c>
    </row>
    <row r="2" spans="2:14" ht="17.25" thickBot="1" x14ac:dyDescent="0.35">
      <c r="B2" s="22"/>
      <c r="C2" s="22"/>
      <c r="D2" s="23" t="s">
        <v>3</v>
      </c>
      <c r="E2" s="24" t="s">
        <v>4</v>
      </c>
      <c r="F2" s="25"/>
      <c r="G2" s="26"/>
      <c r="H2" s="25"/>
      <c r="I2" s="26"/>
      <c r="J2" s="26"/>
      <c r="K2" s="23" t="s">
        <v>5</v>
      </c>
      <c r="L2" s="30">
        <v>44250</v>
      </c>
    </row>
    <row r="3" spans="2:14" ht="17.25" thickBot="1" x14ac:dyDescent="0.35">
      <c r="B3" s="22"/>
      <c r="C3" s="22"/>
      <c r="D3" s="23" t="s">
        <v>6</v>
      </c>
      <c r="E3" s="24" t="s">
        <v>7</v>
      </c>
      <c r="F3" s="25"/>
      <c r="G3" s="31" t="s">
        <v>71</v>
      </c>
      <c r="H3" s="32" t="s">
        <v>72</v>
      </c>
      <c r="I3" s="26"/>
      <c r="J3" s="26"/>
      <c r="K3" s="23" t="s">
        <v>8</v>
      </c>
      <c r="L3" s="27" t="s">
        <v>9</v>
      </c>
    </row>
    <row r="4" spans="2:14" ht="17.25" thickBot="1" x14ac:dyDescent="0.35">
      <c r="B4" s="22"/>
      <c r="C4" s="22"/>
      <c r="D4" s="23"/>
      <c r="E4" s="24"/>
      <c r="F4" s="25"/>
      <c r="G4" s="33">
        <v>1</v>
      </c>
      <c r="H4" s="34">
        <v>85</v>
      </c>
      <c r="I4" s="26"/>
      <c r="J4" s="26"/>
      <c r="K4" s="23" t="s">
        <v>10</v>
      </c>
      <c r="L4" s="27" t="s">
        <v>11</v>
      </c>
    </row>
    <row r="5" spans="2:14" ht="16.5" x14ac:dyDescent="0.3">
      <c r="B5" s="35" t="s">
        <v>12</v>
      </c>
      <c r="C5" s="36"/>
      <c r="D5" s="23" t="s">
        <v>13</v>
      </c>
      <c r="E5" s="24" t="s">
        <v>14</v>
      </c>
      <c r="F5" s="25"/>
      <c r="G5" s="26"/>
      <c r="H5" s="25"/>
      <c r="I5" s="26"/>
      <c r="J5" s="26"/>
      <c r="K5" s="23" t="s">
        <v>15</v>
      </c>
      <c r="L5" s="37" t="s">
        <v>16</v>
      </c>
    </row>
    <row r="6" spans="2:14" ht="16.5" x14ac:dyDescent="0.3">
      <c r="B6" s="35" t="s">
        <v>12</v>
      </c>
      <c r="C6" s="36"/>
      <c r="D6" s="23" t="s">
        <v>17</v>
      </c>
      <c r="E6" s="24" t="s">
        <v>18</v>
      </c>
      <c r="F6" s="25"/>
      <c r="G6" s="26"/>
      <c r="H6" s="25"/>
      <c r="I6" s="26"/>
      <c r="J6" s="29"/>
      <c r="K6" s="29"/>
      <c r="L6" s="29"/>
    </row>
    <row r="7" spans="2:14" ht="16.5" x14ac:dyDescent="0.3">
      <c r="B7" s="38" t="s">
        <v>160</v>
      </c>
      <c r="C7" s="39"/>
      <c r="D7" s="23" t="s">
        <v>19</v>
      </c>
      <c r="E7" s="24" t="s">
        <v>20</v>
      </c>
      <c r="F7" s="25"/>
      <c r="G7" s="40"/>
      <c r="H7" s="40"/>
      <c r="I7" s="40"/>
      <c r="J7" s="40"/>
      <c r="K7" s="40"/>
      <c r="L7" s="40"/>
      <c r="M7" s="40"/>
    </row>
    <row r="8" spans="2:14" ht="17.25" thickBot="1" x14ac:dyDescent="0.35">
      <c r="B8" s="35" t="s">
        <v>12</v>
      </c>
      <c r="C8" s="36"/>
      <c r="D8" s="41"/>
      <c r="E8" s="42"/>
      <c r="F8" s="25"/>
      <c r="G8" s="26"/>
      <c r="H8" s="25"/>
      <c r="I8" s="26"/>
      <c r="J8" s="26"/>
      <c r="K8" s="26"/>
      <c r="L8" s="43"/>
      <c r="M8" s="44"/>
    </row>
    <row r="9" spans="2:14" x14ac:dyDescent="0.3">
      <c r="B9" s="225" t="s">
        <v>73</v>
      </c>
      <c r="C9" s="227" t="s">
        <v>74</v>
      </c>
      <c r="D9" s="225" t="s">
        <v>75</v>
      </c>
      <c r="E9" s="225" t="s">
        <v>76</v>
      </c>
      <c r="F9" s="222" t="s">
        <v>77</v>
      </c>
      <c r="G9" s="223"/>
      <c r="H9" s="224"/>
      <c r="I9" s="222" t="s">
        <v>78</v>
      </c>
      <c r="J9" s="223"/>
      <c r="K9" s="224"/>
      <c r="L9" s="45" t="s">
        <v>79</v>
      </c>
      <c r="M9" s="29"/>
    </row>
    <row r="10" spans="2:14" ht="15.75" thickBot="1" x14ac:dyDescent="0.35">
      <c r="B10" s="226"/>
      <c r="C10" s="228"/>
      <c r="D10" s="226"/>
      <c r="E10" s="226"/>
      <c r="F10" s="46" t="s">
        <v>80</v>
      </c>
      <c r="G10" s="47" t="s">
        <v>81</v>
      </c>
      <c r="H10" s="48" t="s">
        <v>82</v>
      </c>
      <c r="I10" s="46" t="s">
        <v>80</v>
      </c>
      <c r="J10" s="47" t="s">
        <v>83</v>
      </c>
      <c r="K10" s="48" t="s">
        <v>82</v>
      </c>
      <c r="L10" s="49" t="s">
        <v>84</v>
      </c>
      <c r="M10" s="29"/>
    </row>
    <row r="11" spans="2:14" x14ac:dyDescent="0.3">
      <c r="B11" s="161"/>
      <c r="C11" s="145" t="s">
        <v>85</v>
      </c>
      <c r="D11" s="146"/>
      <c r="E11" s="146"/>
      <c r="F11" s="147"/>
      <c r="G11" s="148"/>
      <c r="H11" s="148"/>
      <c r="I11" s="147"/>
      <c r="J11" s="149"/>
      <c r="K11" s="150"/>
      <c r="L11" s="151"/>
      <c r="M11" s="29"/>
    </row>
    <row r="12" spans="2:14" x14ac:dyDescent="0.3">
      <c r="B12" s="50"/>
      <c r="C12" s="51" t="s">
        <v>86</v>
      </c>
      <c r="D12" s="52">
        <v>20000</v>
      </c>
      <c r="E12" s="53" t="s">
        <v>87</v>
      </c>
      <c r="F12" s="54"/>
      <c r="G12" s="55"/>
      <c r="H12" s="55">
        <v>350</v>
      </c>
      <c r="I12" s="56"/>
      <c r="J12" s="56"/>
      <c r="K12" s="57">
        <f t="shared" ref="K12:K38" si="0">+H12*D12</f>
        <v>7000000</v>
      </c>
      <c r="L12" s="58">
        <f t="shared" ref="L12:L38" si="1">+I12+J12+K12</f>
        <v>7000000</v>
      </c>
      <c r="M12" s="29"/>
      <c r="N12" s="29" t="s">
        <v>88</v>
      </c>
    </row>
    <row r="13" spans="2:14" x14ac:dyDescent="0.3">
      <c r="B13" s="50"/>
      <c r="C13" s="51" t="s">
        <v>89</v>
      </c>
      <c r="D13" s="52">
        <v>20000</v>
      </c>
      <c r="E13" s="53" t="s">
        <v>87</v>
      </c>
      <c r="F13" s="54"/>
      <c r="G13" s="55"/>
      <c r="H13" s="59">
        <v>133</v>
      </c>
      <c r="I13" s="56"/>
      <c r="J13" s="56"/>
      <c r="K13" s="57">
        <f t="shared" si="0"/>
        <v>2660000</v>
      </c>
      <c r="L13" s="58">
        <f t="shared" si="1"/>
        <v>2660000</v>
      </c>
      <c r="M13" s="29"/>
    </row>
    <row r="14" spans="2:14" x14ac:dyDescent="0.3">
      <c r="B14" s="50"/>
      <c r="C14" s="152" t="s">
        <v>90</v>
      </c>
      <c r="D14" s="153"/>
      <c r="E14" s="154"/>
      <c r="F14" s="155"/>
      <c r="G14" s="156"/>
      <c r="H14" s="157"/>
      <c r="I14" s="158"/>
      <c r="J14" s="158"/>
      <c r="K14" s="159"/>
      <c r="L14" s="160"/>
      <c r="M14" s="29"/>
    </row>
    <row r="15" spans="2:14" x14ac:dyDescent="0.3">
      <c r="B15" s="50"/>
      <c r="C15" s="60" t="s">
        <v>91</v>
      </c>
      <c r="D15" s="52">
        <v>4</v>
      </c>
      <c r="E15" s="53" t="s">
        <v>92</v>
      </c>
      <c r="F15" s="144">
        <v>750000</v>
      </c>
      <c r="G15" s="62">
        <v>400</v>
      </c>
      <c r="H15" s="132"/>
      <c r="I15" s="56">
        <f t="shared" ref="I15:J28" si="2">+$D15*F15*G$4</f>
        <v>3000000</v>
      </c>
      <c r="J15" s="56">
        <f t="shared" si="2"/>
        <v>136000</v>
      </c>
      <c r="K15" s="57">
        <f t="shared" si="0"/>
        <v>0</v>
      </c>
      <c r="L15" s="58">
        <f>ROUND(+I15+J15+K15,-4)</f>
        <v>3140000</v>
      </c>
      <c r="M15" s="29"/>
    </row>
    <row r="16" spans="2:14" x14ac:dyDescent="0.3">
      <c r="B16" s="50"/>
      <c r="C16" s="60" t="s">
        <v>93</v>
      </c>
      <c r="D16" s="52">
        <v>6</v>
      </c>
      <c r="E16" s="53" t="s">
        <v>92</v>
      </c>
      <c r="F16" s="144">
        <v>135000</v>
      </c>
      <c r="G16" s="62">
        <v>120</v>
      </c>
      <c r="H16" s="132"/>
      <c r="I16" s="56">
        <f t="shared" si="2"/>
        <v>810000</v>
      </c>
      <c r="J16" s="56">
        <f t="shared" si="2"/>
        <v>61200</v>
      </c>
      <c r="K16" s="57">
        <f t="shared" si="0"/>
        <v>0</v>
      </c>
      <c r="L16" s="58">
        <f t="shared" ref="L16:L29" si="3">ROUND(+I16+J16+K16,-4)</f>
        <v>870000</v>
      </c>
      <c r="M16" s="29"/>
    </row>
    <row r="17" spans="2:14" x14ac:dyDescent="0.3">
      <c r="B17" s="50"/>
      <c r="C17" s="60" t="s">
        <v>94</v>
      </c>
      <c r="D17" s="52">
        <v>5</v>
      </c>
      <c r="E17" s="53" t="s">
        <v>92</v>
      </c>
      <c r="F17" s="144">
        <v>34789</v>
      </c>
      <c r="G17" s="62">
        <v>40</v>
      </c>
      <c r="H17" s="132"/>
      <c r="I17" s="56">
        <f t="shared" si="2"/>
        <v>173945</v>
      </c>
      <c r="J17" s="56">
        <f t="shared" si="2"/>
        <v>17000</v>
      </c>
      <c r="K17" s="57">
        <f t="shared" si="0"/>
        <v>0</v>
      </c>
      <c r="L17" s="58">
        <f t="shared" si="3"/>
        <v>190000</v>
      </c>
      <c r="M17" s="29"/>
    </row>
    <row r="18" spans="2:14" x14ac:dyDescent="0.3">
      <c r="B18" s="50"/>
      <c r="C18" s="60" t="s">
        <v>95</v>
      </c>
      <c r="D18" s="52">
        <v>6</v>
      </c>
      <c r="E18" s="53" t="s">
        <v>92</v>
      </c>
      <c r="F18" s="144">
        <v>31607</v>
      </c>
      <c r="G18" s="62">
        <v>40</v>
      </c>
      <c r="H18" s="132"/>
      <c r="I18" s="56">
        <f t="shared" si="2"/>
        <v>189642</v>
      </c>
      <c r="J18" s="56">
        <f t="shared" si="2"/>
        <v>20400</v>
      </c>
      <c r="K18" s="57">
        <f t="shared" si="0"/>
        <v>0</v>
      </c>
      <c r="L18" s="58">
        <f t="shared" si="3"/>
        <v>210000</v>
      </c>
      <c r="M18" s="29"/>
    </row>
    <row r="19" spans="2:14" x14ac:dyDescent="0.3">
      <c r="B19" s="50"/>
      <c r="C19" s="60" t="s">
        <v>96</v>
      </c>
      <c r="D19" s="52">
        <v>300</v>
      </c>
      <c r="E19" s="53" t="s">
        <v>97</v>
      </c>
      <c r="F19" s="144">
        <v>284</v>
      </c>
      <c r="G19" s="62">
        <v>3</v>
      </c>
      <c r="H19" s="132"/>
      <c r="I19" s="56">
        <f t="shared" si="2"/>
        <v>85200</v>
      </c>
      <c r="J19" s="56">
        <f t="shared" si="2"/>
        <v>76500</v>
      </c>
      <c r="K19" s="57">
        <f t="shared" si="0"/>
        <v>0</v>
      </c>
      <c r="L19" s="58">
        <f t="shared" si="3"/>
        <v>160000</v>
      </c>
      <c r="M19" s="29"/>
    </row>
    <row r="20" spans="2:14" x14ac:dyDescent="0.3">
      <c r="B20" s="50"/>
      <c r="C20" s="60" t="s">
        <v>98</v>
      </c>
      <c r="D20" s="63">
        <v>0.3</v>
      </c>
      <c r="E20" s="53" t="s">
        <v>99</v>
      </c>
      <c r="F20" s="144"/>
      <c r="G20" s="62"/>
      <c r="H20" s="132"/>
      <c r="I20" s="56"/>
      <c r="J20" s="56"/>
      <c r="K20" s="57">
        <f>+L19*D20</f>
        <v>48000</v>
      </c>
      <c r="L20" s="58">
        <f t="shared" si="3"/>
        <v>50000</v>
      </c>
      <c r="M20" s="29"/>
    </row>
    <row r="21" spans="2:14" x14ac:dyDescent="0.3">
      <c r="B21" s="50"/>
      <c r="C21" s="60" t="s">
        <v>100</v>
      </c>
      <c r="D21" s="52">
        <v>300</v>
      </c>
      <c r="E21" s="53" t="s">
        <v>97</v>
      </c>
      <c r="F21" s="144">
        <v>215</v>
      </c>
      <c r="G21" s="62">
        <v>2.67</v>
      </c>
      <c r="H21" s="132"/>
      <c r="I21" s="56">
        <f t="shared" ref="I21:J21" si="4">+$D21*F21*G$4</f>
        <v>64500</v>
      </c>
      <c r="J21" s="56">
        <f t="shared" si="4"/>
        <v>68085</v>
      </c>
      <c r="K21" s="57">
        <f t="shared" ref="K21:K23" si="5">+H21*D21</f>
        <v>0</v>
      </c>
      <c r="L21" s="58">
        <f t="shared" si="3"/>
        <v>130000</v>
      </c>
      <c r="M21" s="29"/>
    </row>
    <row r="22" spans="2:14" x14ac:dyDescent="0.3">
      <c r="B22" s="64"/>
      <c r="C22" s="60" t="s">
        <v>98</v>
      </c>
      <c r="D22" s="63">
        <v>0.3</v>
      </c>
      <c r="E22" s="53" t="s">
        <v>99</v>
      </c>
      <c r="F22" s="144"/>
      <c r="G22" s="62"/>
      <c r="H22" s="132"/>
      <c r="I22" s="56">
        <f t="shared" si="2"/>
        <v>0</v>
      </c>
      <c r="J22" s="56">
        <f t="shared" si="2"/>
        <v>0</v>
      </c>
      <c r="K22" s="57">
        <f>+L21*D22</f>
        <v>39000</v>
      </c>
      <c r="L22" s="58">
        <f t="shared" si="3"/>
        <v>40000</v>
      </c>
      <c r="M22" s="29"/>
    </row>
    <row r="23" spans="2:14" x14ac:dyDescent="0.3">
      <c r="B23" s="65"/>
      <c r="C23" s="66" t="s">
        <v>101</v>
      </c>
      <c r="D23" s="67">
        <v>20</v>
      </c>
      <c r="E23" s="68" t="s">
        <v>92</v>
      </c>
      <c r="F23" s="144">
        <v>3000</v>
      </c>
      <c r="G23" s="62">
        <v>8</v>
      </c>
      <c r="H23" s="132"/>
      <c r="I23" s="56">
        <f t="shared" si="2"/>
        <v>60000</v>
      </c>
      <c r="J23" s="56">
        <f t="shared" si="2"/>
        <v>13600</v>
      </c>
      <c r="K23" s="57">
        <f t="shared" si="5"/>
        <v>0</v>
      </c>
      <c r="L23" s="58">
        <f t="shared" si="3"/>
        <v>70000</v>
      </c>
      <c r="M23" s="29"/>
    </row>
    <row r="24" spans="2:14" x14ac:dyDescent="0.3">
      <c r="B24" s="65"/>
      <c r="C24" s="66" t="s">
        <v>102</v>
      </c>
      <c r="D24" s="67">
        <v>1</v>
      </c>
      <c r="E24" s="68" t="s">
        <v>103</v>
      </c>
      <c r="F24" s="144">
        <v>23313</v>
      </c>
      <c r="G24" s="62">
        <v>8</v>
      </c>
      <c r="H24" s="132"/>
      <c r="I24" s="56">
        <f t="shared" si="2"/>
        <v>23313</v>
      </c>
      <c r="J24" s="56">
        <f t="shared" si="2"/>
        <v>680</v>
      </c>
      <c r="K24" s="57">
        <f t="shared" si="0"/>
        <v>0</v>
      </c>
      <c r="L24" s="58">
        <f t="shared" si="3"/>
        <v>20000</v>
      </c>
      <c r="M24" s="29"/>
      <c r="N24" s="69"/>
    </row>
    <row r="25" spans="2:14" x14ac:dyDescent="0.3">
      <c r="B25" s="65"/>
      <c r="C25" s="66" t="s">
        <v>104</v>
      </c>
      <c r="D25" s="67">
        <v>1</v>
      </c>
      <c r="E25" s="68" t="s">
        <v>97</v>
      </c>
      <c r="F25" s="144">
        <v>26942</v>
      </c>
      <c r="G25" s="62">
        <v>8</v>
      </c>
      <c r="H25" s="132"/>
      <c r="I25" s="56">
        <f t="shared" si="2"/>
        <v>26942</v>
      </c>
      <c r="J25" s="56">
        <f>+$D25*G25*H$4</f>
        <v>680</v>
      </c>
      <c r="K25" s="57">
        <f t="shared" si="0"/>
        <v>0</v>
      </c>
      <c r="L25" s="58">
        <f t="shared" si="3"/>
        <v>30000</v>
      </c>
      <c r="M25" s="29"/>
    </row>
    <row r="26" spans="2:14" x14ac:dyDescent="0.3">
      <c r="B26" s="65"/>
      <c r="C26" s="66" t="s">
        <v>105</v>
      </c>
      <c r="D26" s="67">
        <v>20000</v>
      </c>
      <c r="E26" s="68" t="s">
        <v>106</v>
      </c>
      <c r="F26" s="61"/>
      <c r="G26" s="62"/>
      <c r="H26" s="132">
        <v>10</v>
      </c>
      <c r="I26" s="56">
        <f t="shared" si="2"/>
        <v>0</v>
      </c>
      <c r="J26" s="56">
        <f t="shared" si="2"/>
        <v>0</v>
      </c>
      <c r="K26" s="70">
        <f>+H26*D26</f>
        <v>200000</v>
      </c>
      <c r="L26" s="58">
        <f t="shared" si="3"/>
        <v>200000</v>
      </c>
      <c r="M26" s="29"/>
    </row>
    <row r="27" spans="2:14" x14ac:dyDescent="0.3">
      <c r="B27" s="65"/>
      <c r="C27" s="60" t="s">
        <v>107</v>
      </c>
      <c r="D27" s="71">
        <v>6000</v>
      </c>
      <c r="E27" s="72" t="s">
        <v>108</v>
      </c>
      <c r="F27" s="61"/>
      <c r="G27" s="62">
        <v>40</v>
      </c>
      <c r="H27" s="132">
        <v>2</v>
      </c>
      <c r="I27" s="56">
        <f t="shared" si="2"/>
        <v>0</v>
      </c>
      <c r="J27" s="56">
        <f>G27*H$4</f>
        <v>3400</v>
      </c>
      <c r="K27" s="70">
        <f t="shared" si="0"/>
        <v>12000</v>
      </c>
      <c r="L27" s="58">
        <f t="shared" si="3"/>
        <v>20000</v>
      </c>
      <c r="M27" s="29"/>
    </row>
    <row r="28" spans="2:14" x14ac:dyDescent="0.3">
      <c r="B28" s="65"/>
      <c r="C28" s="66" t="s">
        <v>109</v>
      </c>
      <c r="D28" s="67">
        <v>1</v>
      </c>
      <c r="E28" s="68" t="s">
        <v>103</v>
      </c>
      <c r="F28" s="61"/>
      <c r="G28" s="62"/>
      <c r="H28" s="132">
        <v>500000</v>
      </c>
      <c r="I28" s="56">
        <f t="shared" si="2"/>
        <v>0</v>
      </c>
      <c r="J28" s="56">
        <f t="shared" si="2"/>
        <v>0</v>
      </c>
      <c r="K28" s="70">
        <f t="shared" si="0"/>
        <v>500000</v>
      </c>
      <c r="L28" s="58">
        <f t="shared" si="3"/>
        <v>500000</v>
      </c>
      <c r="M28" s="29"/>
    </row>
    <row r="29" spans="2:14" ht="18.75" customHeight="1" thickBot="1" x14ac:dyDescent="0.35">
      <c r="B29" s="65"/>
      <c r="C29" s="81" t="s">
        <v>110</v>
      </c>
      <c r="D29" s="82">
        <v>1</v>
      </c>
      <c r="E29" s="83" t="s">
        <v>103</v>
      </c>
      <c r="F29" s="84"/>
      <c r="G29" s="85"/>
      <c r="H29" s="133">
        <v>300000</v>
      </c>
      <c r="I29" s="86"/>
      <c r="J29" s="86"/>
      <c r="K29" s="134">
        <f>+H29*D29</f>
        <v>300000</v>
      </c>
      <c r="L29" s="58">
        <f t="shared" si="3"/>
        <v>300000</v>
      </c>
      <c r="M29" s="29"/>
    </row>
    <row r="30" spans="2:14" ht="18.75" customHeight="1" x14ac:dyDescent="0.3">
      <c r="B30" s="65"/>
      <c r="C30" s="135" t="s">
        <v>111</v>
      </c>
      <c r="D30" s="136"/>
      <c r="E30" s="137"/>
      <c r="F30" s="138"/>
      <c r="G30" s="139"/>
      <c r="H30" s="140"/>
      <c r="I30" s="141"/>
      <c r="J30" s="141"/>
      <c r="K30" s="142"/>
      <c r="L30" s="143"/>
      <c r="M30" s="29"/>
    </row>
    <row r="31" spans="2:14" ht="18.75" customHeight="1" x14ac:dyDescent="0.3">
      <c r="B31" s="65"/>
      <c r="C31" s="66" t="s">
        <v>112</v>
      </c>
      <c r="D31" s="67">
        <v>2500</v>
      </c>
      <c r="E31" s="68" t="s">
        <v>97</v>
      </c>
      <c r="F31" s="73"/>
      <c r="G31" s="74"/>
      <c r="H31" s="75">
        <v>200</v>
      </c>
      <c r="I31" s="76"/>
      <c r="J31" s="76"/>
      <c r="K31" s="70">
        <f t="shared" si="0"/>
        <v>500000</v>
      </c>
      <c r="L31" s="58">
        <f t="shared" si="1"/>
        <v>500000</v>
      </c>
      <c r="M31" s="29"/>
    </row>
    <row r="32" spans="2:14" ht="18.75" customHeight="1" x14ac:dyDescent="0.3">
      <c r="B32" s="65"/>
      <c r="C32" s="66" t="s">
        <v>113</v>
      </c>
      <c r="D32" s="67">
        <v>1</v>
      </c>
      <c r="E32" s="68" t="s">
        <v>92</v>
      </c>
      <c r="F32" s="73"/>
      <c r="G32" s="74"/>
      <c r="H32" s="75">
        <v>300000</v>
      </c>
      <c r="I32" s="76"/>
      <c r="J32" s="76"/>
      <c r="K32" s="70">
        <f t="shared" si="0"/>
        <v>300000</v>
      </c>
      <c r="L32" s="58">
        <f t="shared" si="1"/>
        <v>300000</v>
      </c>
      <c r="M32" s="29"/>
    </row>
    <row r="33" spans="2:13" ht="18.75" customHeight="1" x14ac:dyDescent="0.3">
      <c r="B33" s="65"/>
      <c r="C33" s="66" t="s">
        <v>114</v>
      </c>
      <c r="D33" s="67">
        <v>1</v>
      </c>
      <c r="E33" s="68" t="s">
        <v>92</v>
      </c>
      <c r="F33" s="129">
        <v>30000</v>
      </c>
      <c r="G33" s="130">
        <v>20000</v>
      </c>
      <c r="H33" s="131"/>
      <c r="I33" s="76">
        <f>F33</f>
        <v>30000</v>
      </c>
      <c r="J33" s="76">
        <f>G33</f>
        <v>20000</v>
      </c>
      <c r="K33" s="77">
        <f t="shared" si="0"/>
        <v>0</v>
      </c>
      <c r="L33" s="78">
        <f t="shared" si="1"/>
        <v>50000</v>
      </c>
      <c r="M33" s="29"/>
    </row>
    <row r="34" spans="2:13" ht="17.25" customHeight="1" x14ac:dyDescent="0.3">
      <c r="B34" s="65"/>
      <c r="C34" s="66" t="s">
        <v>115</v>
      </c>
      <c r="D34" s="67">
        <v>24</v>
      </c>
      <c r="E34" s="68" t="s">
        <v>92</v>
      </c>
      <c r="F34" s="61"/>
      <c r="G34" s="62"/>
      <c r="H34" s="132">
        <v>30000</v>
      </c>
      <c r="I34" s="56">
        <f t="shared" ref="I34:J34" si="6">+$D34*F34*G$4</f>
        <v>0</v>
      </c>
      <c r="J34" s="56">
        <f t="shared" si="6"/>
        <v>0</v>
      </c>
      <c r="K34" s="57">
        <f t="shared" si="0"/>
        <v>720000</v>
      </c>
      <c r="L34" s="58">
        <f t="shared" si="1"/>
        <v>720000</v>
      </c>
      <c r="M34" s="29"/>
    </row>
    <row r="35" spans="2:13" ht="17.25" customHeight="1" x14ac:dyDescent="0.3">
      <c r="B35" s="65"/>
      <c r="C35" s="66" t="s">
        <v>116</v>
      </c>
      <c r="D35" s="67">
        <v>24</v>
      </c>
      <c r="E35" s="68" t="s">
        <v>92</v>
      </c>
      <c r="F35" s="73"/>
      <c r="G35" s="79"/>
      <c r="H35" s="131">
        <v>5000</v>
      </c>
      <c r="I35" s="76"/>
      <c r="J35" s="76"/>
      <c r="K35" s="77">
        <f t="shared" si="0"/>
        <v>120000</v>
      </c>
      <c r="L35" s="58">
        <f t="shared" si="1"/>
        <v>120000</v>
      </c>
      <c r="M35" s="29"/>
    </row>
    <row r="36" spans="2:13" ht="17.25" customHeight="1" x14ac:dyDescent="0.3">
      <c r="B36" s="65"/>
      <c r="C36" s="66" t="s">
        <v>117</v>
      </c>
      <c r="D36" s="67">
        <v>1</v>
      </c>
      <c r="E36" s="68" t="s">
        <v>103</v>
      </c>
      <c r="F36" s="73"/>
      <c r="G36" s="79"/>
      <c r="H36" s="131">
        <v>400000</v>
      </c>
      <c r="I36" s="76"/>
      <c r="J36" s="76"/>
      <c r="K36" s="77">
        <f t="shared" si="0"/>
        <v>400000</v>
      </c>
      <c r="L36" s="58">
        <f t="shared" si="1"/>
        <v>400000</v>
      </c>
      <c r="M36" s="29"/>
    </row>
    <row r="37" spans="2:13" ht="17.25" customHeight="1" x14ac:dyDescent="0.3">
      <c r="B37" s="65"/>
      <c r="C37" s="66" t="s">
        <v>118</v>
      </c>
      <c r="D37" s="67">
        <v>1</v>
      </c>
      <c r="E37" s="68" t="s">
        <v>103</v>
      </c>
      <c r="F37" s="73"/>
      <c r="G37" s="79"/>
      <c r="H37" s="131">
        <v>50000</v>
      </c>
      <c r="I37" s="76"/>
      <c r="J37" s="76"/>
      <c r="K37" s="77">
        <f t="shared" si="0"/>
        <v>50000</v>
      </c>
      <c r="L37" s="58">
        <f t="shared" si="1"/>
        <v>50000</v>
      </c>
      <c r="M37" s="29"/>
    </row>
    <row r="38" spans="2:13" ht="15.75" thickBot="1" x14ac:dyDescent="0.35">
      <c r="B38" s="80"/>
      <c r="C38" s="81"/>
      <c r="D38" s="82"/>
      <c r="E38" s="83"/>
      <c r="F38" s="84"/>
      <c r="G38" s="85"/>
      <c r="H38" s="133"/>
      <c r="I38" s="86">
        <f t="shared" ref="I38:J38" si="7">+$D38*F38*G$4</f>
        <v>0</v>
      </c>
      <c r="J38" s="86">
        <f t="shared" si="7"/>
        <v>0</v>
      </c>
      <c r="K38" s="134">
        <f t="shared" si="0"/>
        <v>0</v>
      </c>
      <c r="L38" s="87">
        <f t="shared" si="1"/>
        <v>0</v>
      </c>
      <c r="M38" s="29"/>
    </row>
    <row r="39" spans="2:13" ht="15.75" thickBot="1" x14ac:dyDescent="0.35">
      <c r="C39" s="29" t="s">
        <v>12</v>
      </c>
      <c r="D39" s="88"/>
      <c r="E39" s="89"/>
      <c r="F39" s="90"/>
      <c r="G39" s="91"/>
      <c r="H39" s="90"/>
      <c r="I39" s="91"/>
      <c r="J39" s="92"/>
      <c r="K39" s="93" t="s">
        <v>119</v>
      </c>
      <c r="L39" s="94">
        <f>ROUND(SUM(L12:L38),-5)</f>
        <v>17700000</v>
      </c>
      <c r="M39" s="29"/>
    </row>
    <row r="40" spans="2:13" x14ac:dyDescent="0.3">
      <c r="J40" s="96" t="s">
        <v>120</v>
      </c>
      <c r="K40" s="97">
        <v>0.1</v>
      </c>
      <c r="L40" s="98">
        <f>ROUND(K40*L39,-5)</f>
        <v>1800000</v>
      </c>
    </row>
    <row r="41" spans="2:13" x14ac:dyDescent="0.3">
      <c r="J41" s="99" t="s">
        <v>121</v>
      </c>
      <c r="K41" s="100">
        <v>0.05</v>
      </c>
      <c r="L41" s="101">
        <f>ROUND(K41*L39,-5)</f>
        <v>900000</v>
      </c>
    </row>
    <row r="42" spans="2:13" ht="15.75" thickBot="1" x14ac:dyDescent="0.35">
      <c r="J42" s="102" t="s">
        <v>122</v>
      </c>
      <c r="K42" s="103">
        <v>0.2</v>
      </c>
      <c r="L42" s="104">
        <f>ROUND((L39+L40+L41)*K42,-5)</f>
        <v>4100000</v>
      </c>
    </row>
    <row r="43" spans="2:13" ht="15.75" thickBot="1" x14ac:dyDescent="0.35">
      <c r="J43" s="105" t="s">
        <v>12</v>
      </c>
      <c r="K43" s="106" t="s">
        <v>123</v>
      </c>
      <c r="L43" s="107">
        <f>SUM(L40:L42)+L39</f>
        <v>24500000</v>
      </c>
    </row>
  </sheetData>
  <sheetProtection algorithmName="SHA-512" hashValue="qX1wL0/SBMmZP40TdyR2JDcZgZYty2drvRqcy8PYQZj4q3KZtJXnLeywRyPzxIc05q/7AacPvtsp0KIKOzE3TA==" saltValue="EDhK+6MBFMg7Db97Q7norA==" spinCount="100000" sheet="1" objects="1" scenarios="1"/>
  <mergeCells count="6">
    <mergeCell ref="I9:K9"/>
    <mergeCell ref="B9:B10"/>
    <mergeCell ref="C9:C10"/>
    <mergeCell ref="D9:D10"/>
    <mergeCell ref="E9:E10"/>
    <mergeCell ref="F9:H9"/>
  </mergeCells>
  <printOptions horizontalCentered="1"/>
  <pageMargins left="0.17" right="0.24" top="0.26" bottom="0.37" header="0.18" footer="0.17"/>
  <pageSetup scale="58" orientation="landscape" r:id="rId1"/>
  <headerFooter alignWithMargins="0">
    <oddFooter>&amp;C&amp;"Gill Sans MT,Regular"MEP 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5377360C758642836FA27549CC56EF" ma:contentTypeVersion="8" ma:contentTypeDescription="Create a new document." ma:contentTypeScope="" ma:versionID="45aca95a6bf54b6a68b2eb6497ecb18c">
  <xsd:schema xmlns:xsd="http://www.w3.org/2001/XMLSchema" xmlns:xs="http://www.w3.org/2001/XMLSchema" xmlns:p="http://schemas.microsoft.com/office/2006/metadata/properties" xmlns:ns2="5c3b414a-42b5-4f3e-bc15-e98eadd98e7f" xmlns:ns3="3622e63a-d837-4b38-93c6-6dd27fcd9d50" targetNamespace="http://schemas.microsoft.com/office/2006/metadata/properties" ma:root="true" ma:fieldsID="0cf8969e401bc199394dbc2ae4c3c2ac" ns2:_="" ns3:_="">
    <xsd:import namespace="5c3b414a-42b5-4f3e-bc15-e98eadd98e7f"/>
    <xsd:import namespace="3622e63a-d837-4b38-93c6-6dd27fcd9d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3b414a-42b5-4f3e-bc15-e98eadd98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22e63a-d837-4b38-93c6-6dd27fcd9d5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94A21BC-85B1-46A8-BEAC-3556969082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3b414a-42b5-4f3e-bc15-e98eadd98e7f"/>
    <ds:schemaRef ds:uri="3622e63a-d837-4b38-93c6-6dd27fcd9d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8C7403-3F97-472E-86BA-48540662DA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E2DA96-7308-4BDD-B236-5F852ECBD4EC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3622e63a-d837-4b38-93c6-6dd27fcd9d50"/>
    <ds:schemaRef ds:uri="http://purl.org/dc/elements/1.1/"/>
    <ds:schemaRef ds:uri="http://schemas.microsoft.com/office/2006/metadata/properties"/>
    <ds:schemaRef ds:uri="5c3b414a-42b5-4f3e-bc15-e98eadd98e7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Summary</vt:lpstr>
      <vt:lpstr>Summary-No Cat C</vt:lpstr>
      <vt:lpstr>Summary Phase C (Initial)</vt:lpstr>
      <vt:lpstr>Summary Phase C -No Cat  C</vt:lpstr>
      <vt:lpstr>Summary Phase A</vt:lpstr>
      <vt:lpstr>Summary Phase A-No Cat C</vt:lpstr>
      <vt:lpstr>Summary Phase B</vt:lpstr>
      <vt:lpstr>Summary Phase B - No Cat C</vt:lpstr>
      <vt:lpstr>Central Plant</vt:lpstr>
      <vt:lpstr>Probable Cost</vt:lpstr>
      <vt:lpstr>Loop</vt:lpstr>
      <vt:lpstr>'Central Plant'!Print_Area</vt:lpstr>
      <vt:lpstr>'Central Plant'!Print_Titles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Voorhees, Ryan</dc:creator>
  <cp:keywords/>
  <dc:description/>
  <cp:lastModifiedBy>Walck, Charles</cp:lastModifiedBy>
  <cp:revision/>
  <dcterms:created xsi:type="dcterms:W3CDTF">2022-02-17T17:21:43Z</dcterms:created>
  <dcterms:modified xsi:type="dcterms:W3CDTF">2025-02-07T20:12:23Z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0x010100275377360C758642836FA27549CC56EF</vt:lpwstr>
  </property>
</Properties>
</file>