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consulting-my.sharepoint.com/personal/cwalck_chacompanies_com/Documents/Desktop/Syracuse DES Appendices/"/>
    </mc:Choice>
  </mc:AlternateContent>
  <xr:revisionPtr revIDLastSave="90" documentId="8_{2B3DCB26-7601-4B45-871A-926E8C9B4F50}" xr6:coauthVersionLast="47" xr6:coauthVersionMax="47" xr10:uidLastSave="{60819733-21E5-4FF7-A288-7C952018DE0D}"/>
  <bookViews>
    <workbookView xWindow="-120" yWindow="-120" windowWidth="29040" windowHeight="15840" xr2:uid="{E3AA3889-4D8C-40CC-9C86-E00C52466253}"/>
  </bookViews>
  <sheets>
    <sheet name="Benefits Only LCA" sheetId="6" r:id="rId1"/>
    <sheet name="Baseline LCA" sheetId="11" r:id="rId2"/>
    <sheet name="DES LCA " sheetId="10" r:id="rId3"/>
    <sheet name="Fuel Indices" sheetId="7" r:id="rId4"/>
    <sheet name="Cost of Carbon" sheetId="9" r:id="rId5"/>
    <sheet name="Sizing" sheetId="5" r:id="rId6"/>
    <sheet name="Terminal Equipment Cost" sheetId="8" state="hidden" r:id="rId7"/>
    <sheet name="LCA" sheetId="1" state="hidden" r:id="rId8"/>
    <sheet name="Install Cost DES" sheetId="2" state="hidden" r:id="rId9"/>
    <sheet name="Install Cost Blr_Ch_Twr" sheetId="3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Area" localSheetId="1">'Baseline LCA'!$A$1:$AC$58</definedName>
    <definedName name="_xlnm.Print_Area" localSheetId="0">'Benefits Only LCA'!$A$1:$AE$58</definedName>
    <definedName name="_xlnm.Print_Area" localSheetId="4">'Cost of Carbon'!$A$4:$Z$64</definedName>
    <definedName name="_xlnm.Print_Area" localSheetId="2">'DES LCA '!$A$1:$AC$53</definedName>
    <definedName name="_xlnm.Print_Area" localSheetId="3">'Fuel Indices'!$G$1:$AH$51</definedName>
    <definedName name="_xlnm.Print_Area" localSheetId="5">Sizing!$A$1:$P$56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8" i="10" l="1"/>
  <c r="P10" i="9"/>
  <c r="P11" i="9"/>
  <c r="B18" i="10"/>
  <c r="B31" i="11" l="1"/>
  <c r="C34" i="10"/>
  <c r="D28" i="10"/>
  <c r="C28" i="10"/>
  <c r="C8" i="11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B28" i="10"/>
  <c r="B27" i="10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Y24" i="11"/>
  <c r="Z24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C24" i="11"/>
  <c r="D24" i="11"/>
  <c r="C25" i="11"/>
  <c r="D25" i="11"/>
  <c r="B25" i="11"/>
  <c r="B24" i="11"/>
  <c r="C18" i="11" l="1"/>
  <c r="O10" i="9"/>
  <c r="O12" i="9" l="1"/>
  <c r="B8" i="11" l="1"/>
  <c r="B8" i="6"/>
  <c r="B41" i="10"/>
  <c r="D34" i="10"/>
  <c r="S19" i="11" l="1"/>
  <c r="F19" i="11"/>
  <c r="C19" i="11"/>
  <c r="I18" i="11"/>
  <c r="L18" i="11"/>
  <c r="X18" i="11"/>
  <c r="M18" i="11"/>
  <c r="Y18" i="11"/>
  <c r="N18" i="11"/>
  <c r="Z18" i="11"/>
  <c r="D18" i="11"/>
  <c r="S18" i="11"/>
  <c r="U18" i="11"/>
  <c r="J18" i="11"/>
  <c r="O18" i="11"/>
  <c r="P18" i="11"/>
  <c r="Q18" i="11"/>
  <c r="B18" i="11"/>
  <c r="B26" i="11" s="1"/>
  <c r="F18" i="11"/>
  <c r="R18" i="11"/>
  <c r="G18" i="11"/>
  <c r="V18" i="11"/>
  <c r="K18" i="11"/>
  <c r="E18" i="11"/>
  <c r="T18" i="11"/>
  <c r="W18" i="11"/>
  <c r="H18" i="11"/>
  <c r="J19" i="11"/>
  <c r="O19" i="11"/>
  <c r="Z19" i="11"/>
  <c r="B19" i="11"/>
  <c r="R19" i="11"/>
  <c r="G19" i="11"/>
  <c r="W19" i="11"/>
  <c r="K19" i="11"/>
  <c r="Y19" i="11"/>
  <c r="U19" i="11"/>
  <c r="Q19" i="11"/>
  <c r="M19" i="11"/>
  <c r="I19" i="11"/>
  <c r="E19" i="11"/>
  <c r="X19" i="11"/>
  <c r="T19" i="11"/>
  <c r="P19" i="11"/>
  <c r="L19" i="11"/>
  <c r="H19" i="11"/>
  <c r="D19" i="11"/>
  <c r="N19" i="11"/>
  <c r="V19" i="11"/>
  <c r="C26" i="11" l="1"/>
  <c r="D26" i="11" s="1"/>
  <c r="AB19" i="11"/>
  <c r="E26" i="11" l="1"/>
  <c r="F26" i="11" s="1"/>
  <c r="G26" i="11" s="1"/>
  <c r="H26" i="11" s="1"/>
  <c r="I26" i="11" s="1"/>
  <c r="J26" i="11" s="1"/>
  <c r="K26" i="11" s="1"/>
  <c r="L26" i="11" s="1"/>
  <c r="M26" i="11" s="1"/>
  <c r="N26" i="11" s="1"/>
  <c r="O26" i="11" s="1"/>
  <c r="P26" i="11" s="1"/>
  <c r="Q26" i="11" s="1"/>
  <c r="R26" i="11" s="1"/>
  <c r="S26" i="11" s="1"/>
  <c r="T26" i="11" s="1"/>
  <c r="U26" i="11" s="1"/>
  <c r="V26" i="11" s="1"/>
  <c r="W26" i="11" s="1"/>
  <c r="X26" i="11" s="1"/>
  <c r="Y26" i="11" s="1"/>
  <c r="Z26" i="11" s="1"/>
  <c r="AB18" i="11"/>
  <c r="A8" i="11" l="1"/>
  <c r="E6" i="5" l="1" a="1"/>
  <c r="E54" i="5" s="1"/>
  <c r="E6" i="5" l="1"/>
  <c r="E9" i="5"/>
  <c r="E17" i="5"/>
  <c r="E24" i="5"/>
  <c r="E35" i="5"/>
  <c r="E45" i="5"/>
  <c r="E7" i="5"/>
  <c r="E57" i="5" s="1"/>
  <c r="E13" i="5"/>
  <c r="E20" i="5"/>
  <c r="E29" i="5"/>
  <c r="E40" i="5"/>
  <c r="E51" i="5"/>
  <c r="E12" i="5"/>
  <c r="E19" i="5"/>
  <c r="E25" i="5"/>
  <c r="E36" i="5"/>
  <c r="E47" i="5"/>
  <c r="E8" i="5"/>
  <c r="E15" i="5"/>
  <c r="E23" i="5"/>
  <c r="E31" i="5"/>
  <c r="E41" i="5"/>
  <c r="E52" i="5"/>
  <c r="E11" i="5"/>
  <c r="E16" i="5"/>
  <c r="E21" i="5"/>
  <c r="E27" i="5"/>
  <c r="E32" i="5"/>
  <c r="E37" i="5"/>
  <c r="E43" i="5"/>
  <c r="E48" i="5"/>
  <c r="E53" i="5"/>
  <c r="E28" i="5"/>
  <c r="E33" i="5"/>
  <c r="E39" i="5"/>
  <c r="E44" i="5"/>
  <c r="E49" i="5"/>
  <c r="E10" i="5"/>
  <c r="E14" i="5"/>
  <c r="E18" i="5"/>
  <c r="E22" i="5"/>
  <c r="E26" i="5"/>
  <c r="E30" i="5"/>
  <c r="E34" i="5"/>
  <c r="E38" i="5"/>
  <c r="E42" i="5"/>
  <c r="E58" i="5" s="1"/>
  <c r="E46" i="5"/>
  <c r="E50" i="5"/>
  <c r="E56" i="5" l="1"/>
  <c r="O13" i="9"/>
  <c r="P12" i="9" l="1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C18" i="10"/>
  <c r="D18" i="10" s="1"/>
  <c r="E18" i="10" s="1"/>
  <c r="F18" i="10" s="1"/>
  <c r="G18" i="10" s="1"/>
  <c r="H18" i="10" s="1"/>
  <c r="I18" i="10" s="1"/>
  <c r="J18" i="10" s="1"/>
  <c r="K18" i="10" s="1"/>
  <c r="L18" i="10" s="1"/>
  <c r="M18" i="10" s="1"/>
  <c r="N18" i="10" s="1"/>
  <c r="O18" i="10" s="1"/>
  <c r="P18" i="10" s="1"/>
  <c r="Q18" i="10" s="1"/>
  <c r="R18" i="10" s="1"/>
  <c r="S18" i="10" s="1"/>
  <c r="T18" i="10" s="1"/>
  <c r="U18" i="10" s="1"/>
  <c r="V18" i="10" s="1"/>
  <c r="W18" i="10" s="1"/>
  <c r="X18" i="10" s="1"/>
  <c r="Y18" i="10" s="1"/>
  <c r="Z18" i="10" s="1"/>
  <c r="AA18" i="10" s="1"/>
  <c r="C8" i="10"/>
  <c r="B8" i="10"/>
  <c r="C22" i="10" s="1"/>
  <c r="M39" i="9"/>
  <c r="L39" i="9"/>
  <c r="R24" i="9" a="1"/>
  <c r="R24" i="9" s="1"/>
  <c r="O11" i="9"/>
  <c r="O14" i="9"/>
  <c r="O15" i="9"/>
  <c r="O16" i="9"/>
  <c r="O17" i="9"/>
  <c r="O18" i="9"/>
  <c r="O19" i="9"/>
  <c r="Q21" i="10" l="1"/>
  <c r="C21" i="10"/>
  <c r="O22" i="10"/>
  <c r="L40" i="9"/>
  <c r="L41" i="9" s="1"/>
  <c r="M40" i="9"/>
  <c r="M41" i="9" s="1"/>
  <c r="M42" i="9" s="1"/>
  <c r="M43" i="9" s="1"/>
  <c r="M44" i="9" s="1"/>
  <c r="M45" i="9" s="1"/>
  <c r="M46" i="9" s="1"/>
  <c r="M47" i="9" s="1"/>
  <c r="M48" i="9" s="1"/>
  <c r="M49" i="9" s="1"/>
  <c r="M50" i="9" s="1"/>
  <c r="M51" i="9" s="1"/>
  <c r="M52" i="9" s="1"/>
  <c r="M53" i="9" s="1"/>
  <c r="M54" i="9" s="1"/>
  <c r="M55" i="9" s="1"/>
  <c r="M56" i="9" s="1"/>
  <c r="M57" i="9" s="1"/>
  <c r="E60" i="9" a="1"/>
  <c r="I21" i="10"/>
  <c r="J21" i="10"/>
  <c r="M21" i="10"/>
  <c r="Y21" i="10"/>
  <c r="E22" i="10"/>
  <c r="F22" i="10"/>
  <c r="K22" i="10"/>
  <c r="S22" i="10"/>
  <c r="W22" i="10"/>
  <c r="H21" i="10"/>
  <c r="X22" i="10"/>
  <c r="Y22" i="10"/>
  <c r="Z21" i="10"/>
  <c r="D22" i="10"/>
  <c r="N21" i="10"/>
  <c r="O21" i="10"/>
  <c r="G22" i="10"/>
  <c r="P21" i="10"/>
  <c r="B21" i="10"/>
  <c r="B23" i="10" s="1"/>
  <c r="R21" i="10"/>
  <c r="L22" i="10"/>
  <c r="T21" i="10"/>
  <c r="P22" i="10"/>
  <c r="U21" i="10"/>
  <c r="Q22" i="10"/>
  <c r="S21" i="10"/>
  <c r="M22" i="10"/>
  <c r="D21" i="10"/>
  <c r="F21" i="10"/>
  <c r="G21" i="10"/>
  <c r="V21" i="10"/>
  <c r="R22" i="10"/>
  <c r="C16" i="10"/>
  <c r="E34" i="10"/>
  <c r="F34" i="10" s="1"/>
  <c r="G34" i="10" s="1"/>
  <c r="H34" i="10" s="1"/>
  <c r="I34" i="10" s="1"/>
  <c r="J34" i="10" s="1"/>
  <c r="K34" i="10" s="1"/>
  <c r="H22" i="10"/>
  <c r="T22" i="10"/>
  <c r="K21" i="10"/>
  <c r="W21" i="10"/>
  <c r="I22" i="10"/>
  <c r="U22" i="10"/>
  <c r="L21" i="10"/>
  <c r="X21" i="10"/>
  <c r="J22" i="10"/>
  <c r="V22" i="10"/>
  <c r="B22" i="10"/>
  <c r="N22" i="10"/>
  <c r="Z22" i="10"/>
  <c r="E21" i="10"/>
  <c r="S24" i="9"/>
  <c r="O23" i="9" s="1"/>
  <c r="O34" i="9" l="1"/>
  <c r="O25" i="9"/>
  <c r="O33" i="9"/>
  <c r="O22" i="9"/>
  <c r="O20" i="9"/>
  <c r="O24" i="9"/>
  <c r="O21" i="9"/>
  <c r="O26" i="9"/>
  <c r="O28" i="9"/>
  <c r="O30" i="9"/>
  <c r="O27" i="9"/>
  <c r="O31" i="9"/>
  <c r="O29" i="9"/>
  <c r="O32" i="9"/>
  <c r="L34" i="10"/>
  <c r="M34" i="10" s="1"/>
  <c r="L42" i="9"/>
  <c r="L43" i="9" s="1"/>
  <c r="L44" i="9" s="1"/>
  <c r="L45" i="9" s="1"/>
  <c r="L46" i="9" s="1"/>
  <c r="L47" i="9" s="1"/>
  <c r="L48" i="9" s="1"/>
  <c r="L49" i="9" s="1"/>
  <c r="L50" i="9" s="1"/>
  <c r="L51" i="9" s="1"/>
  <c r="L52" i="9" s="1"/>
  <c r="L53" i="9" s="1"/>
  <c r="L54" i="9" s="1"/>
  <c r="L55" i="9" s="1"/>
  <c r="L56" i="9" s="1"/>
  <c r="L57" i="9" s="1"/>
  <c r="E60" i="9"/>
  <c r="F60" i="9"/>
  <c r="D16" i="10"/>
  <c r="C23" i="10"/>
  <c r="C41" i="10"/>
  <c r="AB21" i="10"/>
  <c r="AB22" i="10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6" i="5"/>
  <c r="C8" i="6"/>
  <c r="B18" i="6" s="1"/>
  <c r="B19" i="6"/>
  <c r="D40" i="10" l="1"/>
  <c r="B40" i="10"/>
  <c r="C40" i="10"/>
  <c r="N34" i="10"/>
  <c r="O34" i="10" s="1"/>
  <c r="P34" i="10" s="1"/>
  <c r="Q34" i="10" s="1"/>
  <c r="R34" i="10" s="1"/>
  <c r="S34" i="10" s="1"/>
  <c r="T34" i="10" s="1"/>
  <c r="U34" i="10" s="1"/>
  <c r="V34" i="10" s="1"/>
  <c r="W34" i="10" s="1"/>
  <c r="X34" i="10" s="1"/>
  <c r="Y34" i="10" s="1"/>
  <c r="Z34" i="10" s="1"/>
  <c r="AB34" i="10" s="1"/>
  <c r="E56" i="9" a="1"/>
  <c r="D41" i="10"/>
  <c r="E16" i="10"/>
  <c r="E40" i="10" s="1"/>
  <c r="D23" i="10"/>
  <c r="AA34" i="10" l="1"/>
  <c r="E56" i="9"/>
  <c r="F56" i="9"/>
  <c r="E41" i="10"/>
  <c r="F16" i="10"/>
  <c r="F40" i="10" s="1"/>
  <c r="E23" i="10"/>
  <c r="E55" i="5"/>
  <c r="A1" i="5"/>
  <c r="B48" i="1"/>
  <c r="B42" i="1"/>
  <c r="B43" i="1"/>
  <c r="B17" i="11" l="1"/>
  <c r="B36" i="11" s="1"/>
  <c r="F41" i="10"/>
  <c r="G16" i="10"/>
  <c r="G40" i="10" s="1"/>
  <c r="F23" i="10"/>
  <c r="B17" i="10" l="1"/>
  <c r="B24" i="10" s="1"/>
  <c r="B25" i="10" s="1"/>
  <c r="C17" i="11"/>
  <c r="B21" i="11"/>
  <c r="H16" i="10"/>
  <c r="H40" i="10" s="1"/>
  <c r="G41" i="10"/>
  <c r="G23" i="10"/>
  <c r="C17" i="10" l="1"/>
  <c r="C24" i="10" s="1"/>
  <c r="C25" i="10" s="1"/>
  <c r="B39" i="10"/>
  <c r="B43" i="10" s="1"/>
  <c r="B47" i="10" s="1"/>
  <c r="B17" i="6"/>
  <c r="B32" i="6"/>
  <c r="B23" i="6"/>
  <c r="E23" i="6" s="1"/>
  <c r="C36" i="11"/>
  <c r="C21" i="11"/>
  <c r="C39" i="10"/>
  <c r="C43" i="10" s="1"/>
  <c r="C47" i="10" s="1"/>
  <c r="D17" i="11"/>
  <c r="D17" i="10"/>
  <c r="D24" i="10" s="1"/>
  <c r="D25" i="10" s="1"/>
  <c r="B42" i="10"/>
  <c r="I16" i="10"/>
  <c r="I40" i="10" s="1"/>
  <c r="H41" i="10"/>
  <c r="H23" i="10"/>
  <c r="J6" i="5"/>
  <c r="C42" i="10" l="1"/>
  <c r="D21" i="11"/>
  <c r="E17" i="11"/>
  <c r="D36" i="11"/>
  <c r="D39" i="10"/>
  <c r="E17" i="10"/>
  <c r="E24" i="10" s="1"/>
  <c r="E25" i="10" s="1"/>
  <c r="J16" i="10"/>
  <c r="J40" i="10" s="1"/>
  <c r="I41" i="10"/>
  <c r="I23" i="10"/>
  <c r="J54" i="5"/>
  <c r="E39" i="10" l="1"/>
  <c r="E42" i="10" s="1"/>
  <c r="D43" i="10"/>
  <c r="D47" i="10" s="1"/>
  <c r="D42" i="10"/>
  <c r="F17" i="11"/>
  <c r="E21" i="11"/>
  <c r="E36" i="11"/>
  <c r="F17" i="10"/>
  <c r="F24" i="10" s="1"/>
  <c r="F25" i="10" s="1"/>
  <c r="K16" i="10"/>
  <c r="K40" i="10" s="1"/>
  <c r="J41" i="10"/>
  <c r="J23" i="10"/>
  <c r="D22" i="8"/>
  <c r="E43" i="10" l="1"/>
  <c r="E47" i="10" s="1"/>
  <c r="F39" i="10"/>
  <c r="F43" i="10" s="1"/>
  <c r="F47" i="10" s="1"/>
  <c r="G17" i="10"/>
  <c r="G24" i="10" s="1"/>
  <c r="G25" i="10" s="1"/>
  <c r="F21" i="11"/>
  <c r="G17" i="11"/>
  <c r="F36" i="11"/>
  <c r="K41" i="10"/>
  <c r="L16" i="10"/>
  <c r="L40" i="10" s="1"/>
  <c r="K23" i="10"/>
  <c r="D20" i="8"/>
  <c r="D7" i="8"/>
  <c r="D6" i="8"/>
  <c r="D8" i="8" s="1"/>
  <c r="D10" i="8" s="1"/>
  <c r="F42" i="10" l="1"/>
  <c r="H17" i="10"/>
  <c r="H24" i="10" s="1"/>
  <c r="H25" i="10" s="1"/>
  <c r="G39" i="10"/>
  <c r="G43" i="10" s="1"/>
  <c r="G47" i="10" s="1"/>
  <c r="G21" i="11"/>
  <c r="H17" i="11"/>
  <c r="G36" i="11"/>
  <c r="L41" i="10"/>
  <c r="M16" i="10"/>
  <c r="M40" i="10" s="1"/>
  <c r="L23" i="10"/>
  <c r="D11" i="8"/>
  <c r="H39" i="10" l="1"/>
  <c r="H43" i="10" s="1"/>
  <c r="H47" i="10" s="1"/>
  <c r="I17" i="10"/>
  <c r="I24" i="10" s="1"/>
  <c r="I25" i="10" s="1"/>
  <c r="G42" i="10"/>
  <c r="H21" i="11"/>
  <c r="I17" i="11"/>
  <c r="H36" i="11"/>
  <c r="N16" i="10"/>
  <c r="N40" i="10" s="1"/>
  <c r="M41" i="10"/>
  <c r="M23" i="10"/>
  <c r="M5" i="3"/>
  <c r="M4" i="3"/>
  <c r="J17" i="10" l="1"/>
  <c r="J24" i="10" s="1"/>
  <c r="I39" i="10"/>
  <c r="I43" i="10" s="1"/>
  <c r="I47" i="10" s="1"/>
  <c r="H42" i="10"/>
  <c r="I21" i="11"/>
  <c r="J17" i="11"/>
  <c r="I36" i="11"/>
  <c r="K17" i="10"/>
  <c r="K24" i="10" s="1"/>
  <c r="J39" i="10"/>
  <c r="J43" i="10" s="1"/>
  <c r="J25" i="10"/>
  <c r="N23" i="10"/>
  <c r="N41" i="10"/>
  <c r="O16" i="10"/>
  <c r="O40" i="10" s="1"/>
  <c r="I42" i="10" l="1"/>
  <c r="J47" i="10"/>
  <c r="K17" i="11"/>
  <c r="J21" i="11"/>
  <c r="J36" i="11"/>
  <c r="J42" i="10"/>
  <c r="F23" i="6"/>
  <c r="G23" i="6" s="1"/>
  <c r="H23" i="6" s="1"/>
  <c r="I23" i="6" s="1"/>
  <c r="J23" i="6" s="1"/>
  <c r="K23" i="6" s="1"/>
  <c r="L23" i="6" s="1"/>
  <c r="M23" i="6" s="1"/>
  <c r="N23" i="6" s="1"/>
  <c r="O23" i="6" s="1"/>
  <c r="P23" i="6" s="1"/>
  <c r="Q23" i="6" s="1"/>
  <c r="R23" i="6" s="1"/>
  <c r="S23" i="6" s="1"/>
  <c r="T23" i="6" s="1"/>
  <c r="U23" i="6" s="1"/>
  <c r="V23" i="6" s="1"/>
  <c r="W23" i="6" s="1"/>
  <c r="X23" i="6" s="1"/>
  <c r="Y23" i="6" s="1"/>
  <c r="Z23" i="6" s="1"/>
  <c r="AA23" i="6" s="1"/>
  <c r="AB23" i="6" s="1"/>
  <c r="AC23" i="6" s="1"/>
  <c r="L17" i="10"/>
  <c r="L24" i="10" s="1"/>
  <c r="K39" i="10"/>
  <c r="K43" i="10" s="1"/>
  <c r="K25" i="10"/>
  <c r="P16" i="10"/>
  <c r="P40" i="10" s="1"/>
  <c r="O41" i="10"/>
  <c r="O23" i="10"/>
  <c r="L17" i="11" l="1"/>
  <c r="K21" i="11"/>
  <c r="K36" i="11"/>
  <c r="K47" i="10"/>
  <c r="K42" i="10"/>
  <c r="M17" i="10"/>
  <c r="M24" i="10" s="1"/>
  <c r="L39" i="10"/>
  <c r="L43" i="10" s="1"/>
  <c r="L25" i="10"/>
  <c r="P41" i="10"/>
  <c r="Q16" i="10"/>
  <c r="Q40" i="10" s="1"/>
  <c r="P23" i="10"/>
  <c r="L21" i="11" l="1"/>
  <c r="M17" i="11"/>
  <c r="L36" i="11"/>
  <c r="L47" i="10"/>
  <c r="L42" i="10"/>
  <c r="N17" i="10"/>
  <c r="N24" i="10" s="1"/>
  <c r="M39" i="10"/>
  <c r="M43" i="10" s="1"/>
  <c r="M25" i="10"/>
  <c r="Q41" i="10"/>
  <c r="R16" i="10"/>
  <c r="R40" i="10" s="1"/>
  <c r="Q23" i="10"/>
  <c r="M47" i="10" l="1"/>
  <c r="N17" i="11"/>
  <c r="M21" i="11"/>
  <c r="M36" i="11"/>
  <c r="M42" i="10"/>
  <c r="O17" i="10"/>
  <c r="O24" i="10" s="1"/>
  <c r="N39" i="10"/>
  <c r="N43" i="10" s="1"/>
  <c r="N25" i="10"/>
  <c r="R41" i="10"/>
  <c r="S16" i="10"/>
  <c r="S40" i="10" s="1"/>
  <c r="R23" i="10"/>
  <c r="B41" i="1"/>
  <c r="N47" i="10" l="1"/>
  <c r="N21" i="11"/>
  <c r="O17" i="11"/>
  <c r="N36" i="11"/>
  <c r="N42" i="10"/>
  <c r="P17" i="10"/>
  <c r="P24" i="10" s="1"/>
  <c r="O39" i="10"/>
  <c r="O43" i="10" s="1"/>
  <c r="O25" i="10"/>
  <c r="S41" i="10"/>
  <c r="T16" i="10"/>
  <c r="T40" i="10" s="1"/>
  <c r="S23" i="10"/>
  <c r="B5" i="1"/>
  <c r="O47" i="10" l="1"/>
  <c r="O21" i="11"/>
  <c r="P17" i="11"/>
  <c r="O36" i="11"/>
  <c r="O42" i="10"/>
  <c r="Q17" i="10"/>
  <c r="Q24" i="10" s="1"/>
  <c r="P25" i="10"/>
  <c r="P39" i="10"/>
  <c r="P43" i="10" s="1"/>
  <c r="T41" i="10"/>
  <c r="U16" i="10"/>
  <c r="U40" i="10" s="1"/>
  <c r="T23" i="10"/>
  <c r="C5" i="1"/>
  <c r="P47" i="10" l="1"/>
  <c r="Q17" i="11"/>
  <c r="P21" i="11"/>
  <c r="P36" i="11"/>
  <c r="P42" i="10"/>
  <c r="R17" i="10"/>
  <c r="R24" i="10" s="1"/>
  <c r="Q39" i="10"/>
  <c r="Q43" i="10" s="1"/>
  <c r="Q25" i="10"/>
  <c r="V16" i="10"/>
  <c r="V40" i="10" s="1"/>
  <c r="U41" i="10"/>
  <c r="U42" i="10" s="1"/>
  <c r="U23" i="10"/>
  <c r="U43" i="10" l="1"/>
  <c r="Q47" i="10"/>
  <c r="R17" i="11"/>
  <c r="Q21" i="11"/>
  <c r="Q36" i="11"/>
  <c r="Q42" i="10"/>
  <c r="S17" i="10"/>
  <c r="S24" i="10" s="1"/>
  <c r="R39" i="10"/>
  <c r="R43" i="10" s="1"/>
  <c r="R25" i="10"/>
  <c r="W16" i="10"/>
  <c r="W40" i="10" s="1"/>
  <c r="V41" i="10"/>
  <c r="V42" i="10" s="1"/>
  <c r="V23" i="10"/>
  <c r="J124" i="3"/>
  <c r="J122" i="3"/>
  <c r="K112" i="3"/>
  <c r="J112" i="3"/>
  <c r="K111" i="3"/>
  <c r="J111" i="3"/>
  <c r="K110" i="3"/>
  <c r="J110" i="3"/>
  <c r="K109" i="3"/>
  <c r="J109" i="3"/>
  <c r="J108" i="3"/>
  <c r="K108" i="3"/>
  <c r="L108" i="3"/>
  <c r="L109" i="3"/>
  <c r="L110" i="3"/>
  <c r="L111" i="3"/>
  <c r="L112" i="3"/>
  <c r="V43" i="10" l="1"/>
  <c r="R47" i="10"/>
  <c r="S17" i="11"/>
  <c r="R21" i="11"/>
  <c r="R36" i="11"/>
  <c r="R42" i="10"/>
  <c r="T17" i="10"/>
  <c r="T24" i="10" s="1"/>
  <c r="S39" i="10"/>
  <c r="S43" i="10" s="1"/>
  <c r="S25" i="10"/>
  <c r="W41" i="10"/>
  <c r="W42" i="10" s="1"/>
  <c r="X16" i="10"/>
  <c r="X40" i="10" s="1"/>
  <c r="W23" i="10"/>
  <c r="M111" i="3"/>
  <c r="M109" i="3"/>
  <c r="M108" i="3"/>
  <c r="M110" i="3"/>
  <c r="M112" i="3"/>
  <c r="W43" i="10" l="1"/>
  <c r="S47" i="10"/>
  <c r="T17" i="11"/>
  <c r="S21" i="11"/>
  <c r="S36" i="11"/>
  <c r="S42" i="10"/>
  <c r="U17" i="10"/>
  <c r="U24" i="10" s="1"/>
  <c r="T25" i="10"/>
  <c r="T39" i="10"/>
  <c r="X41" i="10"/>
  <c r="X43" i="10" s="1"/>
  <c r="Y16" i="10"/>
  <c r="Y40" i="10" s="1"/>
  <c r="X23" i="10"/>
  <c r="J117" i="3"/>
  <c r="K117" i="3"/>
  <c r="L117" i="3"/>
  <c r="J118" i="3"/>
  <c r="K118" i="3"/>
  <c r="L118" i="3"/>
  <c r="L96" i="3"/>
  <c r="K96" i="3"/>
  <c r="J96" i="3"/>
  <c r="M96" i="3" s="1"/>
  <c r="L101" i="3"/>
  <c r="K101" i="3"/>
  <c r="J101" i="3"/>
  <c r="L89" i="3"/>
  <c r="K89" i="3"/>
  <c r="J89" i="3"/>
  <c r="L79" i="3"/>
  <c r="K79" i="3"/>
  <c r="J79" i="3"/>
  <c r="J90" i="3"/>
  <c r="K90" i="3"/>
  <c r="L90" i="3"/>
  <c r="J91" i="3"/>
  <c r="K91" i="3"/>
  <c r="L91" i="3"/>
  <c r="J92" i="3"/>
  <c r="K92" i="3"/>
  <c r="L92" i="3"/>
  <c r="J93" i="3"/>
  <c r="K93" i="3"/>
  <c r="L93" i="3"/>
  <c r="J94" i="3"/>
  <c r="K94" i="3"/>
  <c r="L94" i="3"/>
  <c r="J95" i="3"/>
  <c r="K95" i="3"/>
  <c r="L95" i="3"/>
  <c r="M95" i="3"/>
  <c r="J97" i="3"/>
  <c r="K97" i="3"/>
  <c r="L97" i="3"/>
  <c r="J98" i="3"/>
  <c r="K98" i="3"/>
  <c r="M98" i="3" s="1"/>
  <c r="L98" i="3"/>
  <c r="J99" i="3"/>
  <c r="K99" i="3"/>
  <c r="L99" i="3"/>
  <c r="T43" i="10" l="1"/>
  <c r="T47" i="10" s="1"/>
  <c r="X42" i="10"/>
  <c r="U17" i="11"/>
  <c r="T21" i="11"/>
  <c r="T36" i="11"/>
  <c r="T42" i="10"/>
  <c r="V17" i="10"/>
  <c r="V24" i="10" s="1"/>
  <c r="U25" i="10"/>
  <c r="Y41" i="10"/>
  <c r="Y43" i="10" s="1"/>
  <c r="Z16" i="10"/>
  <c r="Z40" i="10" s="1"/>
  <c r="Y23" i="10"/>
  <c r="M89" i="3"/>
  <c r="M117" i="3"/>
  <c r="M118" i="3"/>
  <c r="M97" i="3"/>
  <c r="M99" i="3"/>
  <c r="M79" i="3"/>
  <c r="M94" i="3"/>
  <c r="M91" i="3"/>
  <c r="M92" i="3"/>
  <c r="M101" i="3"/>
  <c r="M90" i="3"/>
  <c r="M93" i="3"/>
  <c r="E36" i="2"/>
  <c r="U47" i="10" l="1"/>
  <c r="U21" i="11"/>
  <c r="V17" i="11"/>
  <c r="U36" i="11"/>
  <c r="Y42" i="10"/>
  <c r="W17" i="10"/>
  <c r="W24" i="10" s="1"/>
  <c r="V25" i="10"/>
  <c r="Z41" i="10"/>
  <c r="Z42" i="10" s="1"/>
  <c r="Z23" i="10"/>
  <c r="AB16" i="10"/>
  <c r="AA16" i="10"/>
  <c r="J116" i="3"/>
  <c r="J102" i="3"/>
  <c r="K102" i="3"/>
  <c r="L102" i="3"/>
  <c r="J103" i="3"/>
  <c r="K103" i="3"/>
  <c r="L103" i="3"/>
  <c r="J104" i="3"/>
  <c r="K104" i="3"/>
  <c r="L104" i="3"/>
  <c r="J105" i="3"/>
  <c r="K105" i="3"/>
  <c r="L105" i="3"/>
  <c r="J106" i="3"/>
  <c r="K106" i="3"/>
  <c r="L106" i="3"/>
  <c r="J107" i="3"/>
  <c r="K107" i="3"/>
  <c r="L107" i="3"/>
  <c r="J113" i="3"/>
  <c r="K113" i="3"/>
  <c r="L113" i="3"/>
  <c r="J114" i="3"/>
  <c r="K114" i="3"/>
  <c r="L114" i="3"/>
  <c r="J115" i="3"/>
  <c r="K115" i="3"/>
  <c r="L115" i="3"/>
  <c r="L116" i="3"/>
  <c r="C28" i="1"/>
  <c r="B12" i="10" l="1"/>
  <c r="Z43" i="10"/>
  <c r="V47" i="10"/>
  <c r="W17" i="11"/>
  <c r="V21" i="11"/>
  <c r="X17" i="10"/>
  <c r="X24" i="10" s="1"/>
  <c r="W25" i="10"/>
  <c r="AB23" i="10"/>
  <c r="AA23" i="10"/>
  <c r="M102" i="3"/>
  <c r="M115" i="3"/>
  <c r="M107" i="3"/>
  <c r="M104" i="3"/>
  <c r="M105" i="3"/>
  <c r="M113" i="3"/>
  <c r="M103" i="3"/>
  <c r="M106" i="3"/>
  <c r="M114" i="3"/>
  <c r="K116" i="3"/>
  <c r="M116" i="3" s="1"/>
  <c r="C16" i="1"/>
  <c r="D16" i="1" s="1"/>
  <c r="E16" i="1" s="1"/>
  <c r="F16" i="1" s="1"/>
  <c r="G16" i="1" s="1"/>
  <c r="H16" i="1" s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AA16" i="1" s="1"/>
  <c r="C14" i="1"/>
  <c r="D14" i="1" s="1"/>
  <c r="E14" i="1" s="1"/>
  <c r="F14" i="1" s="1"/>
  <c r="G14" i="1" s="1"/>
  <c r="H14" i="1" s="1"/>
  <c r="I14" i="1" s="1"/>
  <c r="J14" i="1" s="1"/>
  <c r="K14" i="1" s="1"/>
  <c r="L14" i="1" s="1"/>
  <c r="M14" i="1" s="1"/>
  <c r="N14" i="1" s="1"/>
  <c r="O14" i="1" s="1"/>
  <c r="P14" i="1" s="1"/>
  <c r="Q14" i="1" s="1"/>
  <c r="R14" i="1" s="1"/>
  <c r="S14" i="1" s="1"/>
  <c r="T14" i="1" s="1"/>
  <c r="U14" i="1" s="1"/>
  <c r="V14" i="1" s="1"/>
  <c r="W14" i="1" s="1"/>
  <c r="X14" i="1" s="1"/>
  <c r="Y14" i="1" s="1"/>
  <c r="Z14" i="1" s="1"/>
  <c r="AA14" i="1" s="1"/>
  <c r="W47" i="10" l="1"/>
  <c r="X17" i="11"/>
  <c r="W21" i="11"/>
  <c r="Y17" i="10"/>
  <c r="Y24" i="10" s="1"/>
  <c r="L100" i="3"/>
  <c r="K100" i="3"/>
  <c r="J100" i="3"/>
  <c r="L88" i="3"/>
  <c r="K88" i="3"/>
  <c r="J88" i="3"/>
  <c r="M88" i="3" s="1"/>
  <c r="L87" i="3"/>
  <c r="K87" i="3"/>
  <c r="J87" i="3"/>
  <c r="L86" i="3"/>
  <c r="K86" i="3"/>
  <c r="J86" i="3"/>
  <c r="L85" i="3"/>
  <c r="K85" i="3"/>
  <c r="J85" i="3"/>
  <c r="L84" i="3"/>
  <c r="K84" i="3"/>
  <c r="J84" i="3"/>
  <c r="L83" i="3"/>
  <c r="K83" i="3"/>
  <c r="J83" i="3"/>
  <c r="L82" i="3"/>
  <c r="K82" i="3"/>
  <c r="J82" i="3"/>
  <c r="L81" i="3"/>
  <c r="K81" i="3"/>
  <c r="J81" i="3"/>
  <c r="L80" i="3"/>
  <c r="K80" i="3"/>
  <c r="J80" i="3"/>
  <c r="L78" i="3"/>
  <c r="K78" i="3"/>
  <c r="J78" i="3"/>
  <c r="L77" i="3"/>
  <c r="K77" i="3"/>
  <c r="J77" i="3"/>
  <c r="L76" i="3"/>
  <c r="K76" i="3"/>
  <c r="J76" i="3"/>
  <c r="L75" i="3"/>
  <c r="K75" i="3"/>
  <c r="J75" i="3"/>
  <c r="L74" i="3"/>
  <c r="K74" i="3"/>
  <c r="J74" i="3"/>
  <c r="L73" i="3"/>
  <c r="K73" i="3"/>
  <c r="J73" i="3"/>
  <c r="L72" i="3"/>
  <c r="K72" i="3"/>
  <c r="J72" i="3"/>
  <c r="L71" i="3"/>
  <c r="K71" i="3"/>
  <c r="J71" i="3"/>
  <c r="L70" i="3"/>
  <c r="K70" i="3"/>
  <c r="J70" i="3"/>
  <c r="L67" i="3"/>
  <c r="K67" i="3"/>
  <c r="J67" i="3"/>
  <c r="L66" i="3"/>
  <c r="K66" i="3"/>
  <c r="J66" i="3"/>
  <c r="L65" i="3"/>
  <c r="K65" i="3"/>
  <c r="J65" i="3"/>
  <c r="L64" i="3"/>
  <c r="K64" i="3"/>
  <c r="J64" i="3"/>
  <c r="L63" i="3"/>
  <c r="K63" i="3"/>
  <c r="J63" i="3"/>
  <c r="L62" i="3"/>
  <c r="K62" i="3"/>
  <c r="J62" i="3"/>
  <c r="L61" i="3"/>
  <c r="K61" i="3"/>
  <c r="J61" i="3"/>
  <c r="L60" i="3"/>
  <c r="K60" i="3"/>
  <c r="J60" i="3"/>
  <c r="L59" i="3"/>
  <c r="K59" i="3"/>
  <c r="J59" i="3"/>
  <c r="L58" i="3"/>
  <c r="K58" i="3"/>
  <c r="J58" i="3"/>
  <c r="L57" i="3"/>
  <c r="K57" i="3"/>
  <c r="J57" i="3"/>
  <c r="L56" i="3"/>
  <c r="K56" i="3"/>
  <c r="J56" i="3"/>
  <c r="L55" i="3"/>
  <c r="K55" i="3"/>
  <c r="J55" i="3"/>
  <c r="L52" i="3"/>
  <c r="K52" i="3"/>
  <c r="J52" i="3"/>
  <c r="L51" i="3"/>
  <c r="K51" i="3"/>
  <c r="J51" i="3"/>
  <c r="L50" i="3"/>
  <c r="K50" i="3"/>
  <c r="J50" i="3"/>
  <c r="L49" i="3"/>
  <c r="K49" i="3"/>
  <c r="J49" i="3"/>
  <c r="L48" i="3"/>
  <c r="K48" i="3"/>
  <c r="J48" i="3"/>
  <c r="L47" i="3"/>
  <c r="K47" i="3"/>
  <c r="J47" i="3"/>
  <c r="L46" i="3"/>
  <c r="K46" i="3"/>
  <c r="J46" i="3"/>
  <c r="L45" i="3"/>
  <c r="K45" i="3"/>
  <c r="J45" i="3"/>
  <c r="L44" i="3"/>
  <c r="K44" i="3"/>
  <c r="J44" i="3"/>
  <c r="L43" i="3"/>
  <c r="K43" i="3"/>
  <c r="J43" i="3"/>
  <c r="L42" i="3"/>
  <c r="K42" i="3"/>
  <c r="J42" i="3"/>
  <c r="L41" i="3"/>
  <c r="K41" i="3"/>
  <c r="J41" i="3"/>
  <c r="L40" i="3"/>
  <c r="K40" i="3"/>
  <c r="J40" i="3"/>
  <c r="L39" i="3"/>
  <c r="K39" i="3"/>
  <c r="J39" i="3"/>
  <c r="L36" i="3"/>
  <c r="K36" i="3"/>
  <c r="J36" i="3"/>
  <c r="L35" i="3"/>
  <c r="K35" i="3"/>
  <c r="J35" i="3"/>
  <c r="L34" i="3"/>
  <c r="K34" i="3"/>
  <c r="J34" i="3"/>
  <c r="L33" i="3"/>
  <c r="K33" i="3"/>
  <c r="J33" i="3"/>
  <c r="L32" i="3"/>
  <c r="K32" i="3"/>
  <c r="J32" i="3"/>
  <c r="L31" i="3"/>
  <c r="K31" i="3"/>
  <c r="J31" i="3"/>
  <c r="L30" i="3"/>
  <c r="K30" i="3"/>
  <c r="J30" i="3"/>
  <c r="L29" i="3"/>
  <c r="K29" i="3"/>
  <c r="J29" i="3"/>
  <c r="L28" i="3"/>
  <c r="K28" i="3"/>
  <c r="J28" i="3"/>
  <c r="L27" i="3"/>
  <c r="K27" i="3"/>
  <c r="J27" i="3"/>
  <c r="L26" i="3"/>
  <c r="K26" i="3"/>
  <c r="J26" i="3"/>
  <c r="L25" i="3"/>
  <c r="K25" i="3"/>
  <c r="J25" i="3"/>
  <c r="L24" i="3"/>
  <c r="K24" i="3"/>
  <c r="J24" i="3"/>
  <c r="L21" i="3"/>
  <c r="K21" i="3"/>
  <c r="J21" i="3"/>
  <c r="L20" i="3"/>
  <c r="K20" i="3"/>
  <c r="J20" i="3"/>
  <c r="L19" i="3"/>
  <c r="K19" i="3"/>
  <c r="J19" i="3"/>
  <c r="L18" i="3"/>
  <c r="K18" i="3"/>
  <c r="J18" i="3"/>
  <c r="L17" i="3"/>
  <c r="K17" i="3"/>
  <c r="J17" i="3"/>
  <c r="L16" i="3"/>
  <c r="K16" i="3"/>
  <c r="J16" i="3"/>
  <c r="L15" i="3"/>
  <c r="K15" i="3"/>
  <c r="J15" i="3"/>
  <c r="L14" i="3"/>
  <c r="K14" i="3"/>
  <c r="J14" i="3"/>
  <c r="L13" i="3"/>
  <c r="K13" i="3"/>
  <c r="J13" i="3"/>
  <c r="L12" i="3"/>
  <c r="K12" i="3"/>
  <c r="J12" i="3"/>
  <c r="L11" i="3"/>
  <c r="K11" i="3"/>
  <c r="J11" i="3"/>
  <c r="L10" i="3"/>
  <c r="K10" i="3"/>
  <c r="J10" i="3"/>
  <c r="B18" i="1"/>
  <c r="B17" i="1"/>
  <c r="C23" i="1"/>
  <c r="D23" i="1" s="1"/>
  <c r="E23" i="1" s="1"/>
  <c r="F23" i="1" s="1"/>
  <c r="G23" i="1" s="1"/>
  <c r="H23" i="1" s="1"/>
  <c r="I23" i="1" s="1"/>
  <c r="J23" i="1" s="1"/>
  <c r="K23" i="1" s="1"/>
  <c r="L23" i="1" s="1"/>
  <c r="M23" i="1" s="1"/>
  <c r="N23" i="1" s="1"/>
  <c r="O23" i="1" s="1"/>
  <c r="P23" i="1" s="1"/>
  <c r="Q23" i="1" s="1"/>
  <c r="R23" i="1" s="1"/>
  <c r="S23" i="1" s="1"/>
  <c r="T23" i="1" s="1"/>
  <c r="U23" i="1" s="1"/>
  <c r="V23" i="1" s="1"/>
  <c r="W23" i="1" s="1"/>
  <c r="X23" i="1" s="1"/>
  <c r="Y23" i="1" s="1"/>
  <c r="Z23" i="1" s="1"/>
  <c r="C22" i="1"/>
  <c r="D22" i="1" s="1"/>
  <c r="E22" i="1" s="1"/>
  <c r="F22" i="1" s="1"/>
  <c r="G22" i="1" s="1"/>
  <c r="H22" i="1" s="1"/>
  <c r="I22" i="1" s="1"/>
  <c r="J22" i="1" s="1"/>
  <c r="K22" i="1" s="1"/>
  <c r="L22" i="1" s="1"/>
  <c r="M22" i="1" s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Y17" i="11" l="1"/>
  <c r="X21" i="11"/>
  <c r="X25" i="10"/>
  <c r="X47" i="10" s="1"/>
  <c r="Z17" i="10"/>
  <c r="Z24" i="10" s="1"/>
  <c r="Y25" i="10"/>
  <c r="M20" i="3"/>
  <c r="M44" i="3"/>
  <c r="M52" i="3"/>
  <c r="M76" i="3"/>
  <c r="M80" i="3"/>
  <c r="M55" i="3"/>
  <c r="M71" i="3"/>
  <c r="M14" i="3"/>
  <c r="M26" i="3"/>
  <c r="M34" i="3"/>
  <c r="M46" i="3"/>
  <c r="M58" i="3"/>
  <c r="M70" i="3"/>
  <c r="M74" i="3"/>
  <c r="M82" i="3"/>
  <c r="M86" i="3"/>
  <c r="M39" i="3"/>
  <c r="M63" i="3"/>
  <c r="C18" i="1"/>
  <c r="D18" i="1" s="1"/>
  <c r="E18" i="1" s="1"/>
  <c r="F18" i="1" s="1"/>
  <c r="G18" i="1" s="1"/>
  <c r="H18" i="1" s="1"/>
  <c r="I18" i="1" s="1"/>
  <c r="J18" i="1" s="1"/>
  <c r="K18" i="1" s="1"/>
  <c r="L18" i="1" s="1"/>
  <c r="M18" i="1" s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C17" i="1"/>
  <c r="M75" i="3"/>
  <c r="M85" i="3"/>
  <c r="M100" i="3"/>
  <c r="M62" i="3"/>
  <c r="M61" i="3"/>
  <c r="M65" i="3"/>
  <c r="M57" i="3"/>
  <c r="M66" i="3"/>
  <c r="M59" i="3"/>
  <c r="M67" i="3"/>
  <c r="M56" i="3"/>
  <c r="M64" i="3"/>
  <c r="M60" i="3"/>
  <c r="M33" i="3"/>
  <c r="M28" i="3"/>
  <c r="M16" i="3"/>
  <c r="M50" i="3"/>
  <c r="M10" i="3"/>
  <c r="M21" i="3"/>
  <c r="M72" i="3"/>
  <c r="M73" i="3"/>
  <c r="M77" i="3"/>
  <c r="M78" i="3"/>
  <c r="M51" i="3"/>
  <c r="M40" i="3"/>
  <c r="M36" i="3"/>
  <c r="M48" i="3"/>
  <c r="M41" i="3"/>
  <c r="M49" i="3"/>
  <c r="M47" i="3"/>
  <c r="M83" i="3"/>
  <c r="M87" i="3"/>
  <c r="M81" i="3"/>
  <c r="M84" i="3"/>
  <c r="M42" i="3"/>
  <c r="M45" i="3"/>
  <c r="M43" i="3"/>
  <c r="M11" i="3"/>
  <c r="M19" i="3"/>
  <c r="M31" i="3"/>
  <c r="M35" i="3"/>
  <c r="M13" i="3"/>
  <c r="M17" i="3"/>
  <c r="M25" i="3"/>
  <c r="M29" i="3"/>
  <c r="M18" i="3"/>
  <c r="M30" i="3"/>
  <c r="M15" i="3"/>
  <c r="M27" i="3"/>
  <c r="M32" i="3"/>
  <c r="M24" i="3"/>
  <c r="M12" i="3"/>
  <c r="AB23" i="1"/>
  <c r="AA23" i="1"/>
  <c r="AB22" i="1"/>
  <c r="AA22" i="1"/>
  <c r="L46" i="2"/>
  <c r="K46" i="2"/>
  <c r="J46" i="2"/>
  <c r="K25" i="2"/>
  <c r="J42" i="2"/>
  <c r="K42" i="2"/>
  <c r="L42" i="2"/>
  <c r="J43" i="2"/>
  <c r="K43" i="2"/>
  <c r="L43" i="2"/>
  <c r="J44" i="2"/>
  <c r="K44" i="2"/>
  <c r="L44" i="2"/>
  <c r="J45" i="2"/>
  <c r="K45" i="2"/>
  <c r="L45" i="2"/>
  <c r="J47" i="2"/>
  <c r="K47" i="2"/>
  <c r="L47" i="2"/>
  <c r="J48" i="2"/>
  <c r="K48" i="2"/>
  <c r="L48" i="2"/>
  <c r="J49" i="2"/>
  <c r="K49" i="2"/>
  <c r="L49" i="2"/>
  <c r="J50" i="2"/>
  <c r="K50" i="2"/>
  <c r="L50" i="2"/>
  <c r="J51" i="2"/>
  <c r="K51" i="2"/>
  <c r="L51" i="2"/>
  <c r="J52" i="2"/>
  <c r="K52" i="2"/>
  <c r="L52" i="2"/>
  <c r="J53" i="2"/>
  <c r="K53" i="2"/>
  <c r="L53" i="2"/>
  <c r="J54" i="2"/>
  <c r="K54" i="2"/>
  <c r="L54" i="2"/>
  <c r="J55" i="2"/>
  <c r="K55" i="2"/>
  <c r="L55" i="2"/>
  <c r="J56" i="2"/>
  <c r="K56" i="2"/>
  <c r="L56" i="2"/>
  <c r="J57" i="2"/>
  <c r="K57" i="2"/>
  <c r="L57" i="2"/>
  <c r="J58" i="2"/>
  <c r="K58" i="2"/>
  <c r="L58" i="2"/>
  <c r="J59" i="2"/>
  <c r="K59" i="2"/>
  <c r="L59" i="2"/>
  <c r="J60" i="2"/>
  <c r="K60" i="2"/>
  <c r="L60" i="2"/>
  <c r="J61" i="2"/>
  <c r="K61" i="2"/>
  <c r="L61" i="2"/>
  <c r="J62" i="2"/>
  <c r="K62" i="2"/>
  <c r="L62" i="2"/>
  <c r="J63" i="2"/>
  <c r="K63" i="2"/>
  <c r="L63" i="2"/>
  <c r="J64" i="2"/>
  <c r="K64" i="2"/>
  <c r="L64" i="2"/>
  <c r="J65" i="2"/>
  <c r="K65" i="2"/>
  <c r="L65" i="2"/>
  <c r="J66" i="2"/>
  <c r="K66" i="2"/>
  <c r="L66" i="2"/>
  <c r="J67" i="2"/>
  <c r="K67" i="2"/>
  <c r="L67" i="2"/>
  <c r="J68" i="2"/>
  <c r="K68" i="2"/>
  <c r="L68" i="2"/>
  <c r="J69" i="2"/>
  <c r="K69" i="2"/>
  <c r="L69" i="2"/>
  <c r="L39" i="2"/>
  <c r="K39" i="2"/>
  <c r="J39" i="2"/>
  <c r="K27" i="2"/>
  <c r="L27" i="2"/>
  <c r="K28" i="2"/>
  <c r="L28" i="2"/>
  <c r="K29" i="2"/>
  <c r="L29" i="2"/>
  <c r="K30" i="2"/>
  <c r="L30" i="2"/>
  <c r="K31" i="2"/>
  <c r="L31" i="2"/>
  <c r="K32" i="2"/>
  <c r="L32" i="2"/>
  <c r="K33" i="2"/>
  <c r="L33" i="2"/>
  <c r="K34" i="2"/>
  <c r="L34" i="2"/>
  <c r="K35" i="2"/>
  <c r="L35" i="2"/>
  <c r="K36" i="2"/>
  <c r="L36" i="2"/>
  <c r="K37" i="2"/>
  <c r="L37" i="2"/>
  <c r="K38" i="2"/>
  <c r="L38" i="2"/>
  <c r="K40" i="2"/>
  <c r="L40" i="2"/>
  <c r="K41" i="2"/>
  <c r="L41" i="2"/>
  <c r="K70" i="2"/>
  <c r="L70" i="2"/>
  <c r="K71" i="2"/>
  <c r="L71" i="2"/>
  <c r="K72" i="2"/>
  <c r="L72" i="2"/>
  <c r="K73" i="2"/>
  <c r="L73" i="2"/>
  <c r="K74" i="2"/>
  <c r="L74" i="2"/>
  <c r="K75" i="2"/>
  <c r="L75" i="2"/>
  <c r="K76" i="2"/>
  <c r="L76" i="2"/>
  <c r="K77" i="2"/>
  <c r="L77" i="2"/>
  <c r="K78" i="2"/>
  <c r="L78" i="2"/>
  <c r="K79" i="2"/>
  <c r="L79" i="2"/>
  <c r="K80" i="2"/>
  <c r="L80" i="2"/>
  <c r="K81" i="2"/>
  <c r="L81" i="2"/>
  <c r="K82" i="2"/>
  <c r="L82" i="2"/>
  <c r="K83" i="2"/>
  <c r="L83" i="2"/>
  <c r="K84" i="2"/>
  <c r="L84" i="2"/>
  <c r="K85" i="2"/>
  <c r="L85" i="2"/>
  <c r="K86" i="2"/>
  <c r="L86" i="2"/>
  <c r="K87" i="2"/>
  <c r="L87" i="2"/>
  <c r="K88" i="2"/>
  <c r="L88" i="2"/>
  <c r="K89" i="2"/>
  <c r="L89" i="2"/>
  <c r="K90" i="2"/>
  <c r="L90" i="2"/>
  <c r="K91" i="2"/>
  <c r="L91" i="2"/>
  <c r="K92" i="2"/>
  <c r="L92" i="2"/>
  <c r="J27" i="2"/>
  <c r="J28" i="2"/>
  <c r="M28" i="2" s="1"/>
  <c r="J29" i="2"/>
  <c r="J30" i="2"/>
  <c r="J31" i="2"/>
  <c r="J32" i="2"/>
  <c r="J33" i="2"/>
  <c r="J34" i="2"/>
  <c r="J35" i="2"/>
  <c r="J36" i="2"/>
  <c r="J37" i="2"/>
  <c r="J38" i="2"/>
  <c r="J40" i="2"/>
  <c r="J41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L24" i="2"/>
  <c r="L21" i="2"/>
  <c r="L97" i="2"/>
  <c r="K97" i="2"/>
  <c r="J98" i="2"/>
  <c r="Y47" i="10" l="1"/>
  <c r="Z17" i="11"/>
  <c r="Y21" i="11"/>
  <c r="AA17" i="10"/>
  <c r="AB17" i="10"/>
  <c r="D17" i="1"/>
  <c r="E17" i="1" s="1"/>
  <c r="F17" i="1" s="1"/>
  <c r="G17" i="1" s="1"/>
  <c r="H17" i="1" s="1"/>
  <c r="I17" i="1" s="1"/>
  <c r="J17" i="1" s="1"/>
  <c r="K17" i="1" s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W17" i="1" s="1"/>
  <c r="X17" i="1" s="1"/>
  <c r="Y17" i="1" s="1"/>
  <c r="Z17" i="1" s="1"/>
  <c r="M46" i="2"/>
  <c r="M75" i="2"/>
  <c r="M69" i="2"/>
  <c r="M65" i="2"/>
  <c r="M57" i="2"/>
  <c r="M53" i="2"/>
  <c r="M49" i="2"/>
  <c r="M68" i="2"/>
  <c r="M64" i="2"/>
  <c r="M60" i="2"/>
  <c r="M56" i="2"/>
  <c r="M52" i="2"/>
  <c r="M48" i="2"/>
  <c r="M61" i="2"/>
  <c r="M63" i="2"/>
  <c r="M59" i="2"/>
  <c r="M55" i="2"/>
  <c r="M47" i="2"/>
  <c r="M39" i="2"/>
  <c r="M66" i="2"/>
  <c r="M62" i="2"/>
  <c r="M58" i="2"/>
  <c r="M54" i="2"/>
  <c r="M50" i="2"/>
  <c r="M67" i="2"/>
  <c r="M51" i="2"/>
  <c r="M88" i="2"/>
  <c r="M120" i="3"/>
  <c r="M45" i="2"/>
  <c r="M43" i="2"/>
  <c r="M42" i="2"/>
  <c r="M44" i="2"/>
  <c r="M37" i="2"/>
  <c r="M36" i="2"/>
  <c r="M77" i="2"/>
  <c r="M33" i="2"/>
  <c r="M78" i="2"/>
  <c r="M72" i="2"/>
  <c r="M92" i="2"/>
  <c r="M32" i="2"/>
  <c r="M29" i="2"/>
  <c r="M89" i="2"/>
  <c r="M73" i="2"/>
  <c r="M71" i="2"/>
  <c r="M27" i="2"/>
  <c r="M87" i="2"/>
  <c r="M83" i="2"/>
  <c r="M84" i="2"/>
  <c r="M81" i="2"/>
  <c r="M35" i="2"/>
  <c r="M41" i="2"/>
  <c r="M31" i="2"/>
  <c r="M80" i="2"/>
  <c r="M40" i="2"/>
  <c r="M82" i="2"/>
  <c r="M85" i="2"/>
  <c r="M91" i="2"/>
  <c r="M79" i="2"/>
  <c r="M76" i="2"/>
  <c r="M90" i="2"/>
  <c r="M38" i="2"/>
  <c r="M70" i="2"/>
  <c r="M30" i="2"/>
  <c r="M34" i="2"/>
  <c r="M74" i="2"/>
  <c r="M86" i="2"/>
  <c r="L12" i="2"/>
  <c r="L15" i="2"/>
  <c r="L18" i="2"/>
  <c r="L93" i="2"/>
  <c r="L96" i="2"/>
  <c r="J12" i="2"/>
  <c r="J15" i="2"/>
  <c r="J18" i="2"/>
  <c r="J21" i="2"/>
  <c r="J24" i="2"/>
  <c r="J93" i="2"/>
  <c r="J96" i="2"/>
  <c r="J99" i="2"/>
  <c r="K12" i="2"/>
  <c r="K15" i="2"/>
  <c r="K18" i="2"/>
  <c r="K21" i="2"/>
  <c r="K24" i="2"/>
  <c r="K93" i="2"/>
  <c r="K96" i="2"/>
  <c r="K11" i="2"/>
  <c r="K14" i="2"/>
  <c r="K17" i="2"/>
  <c r="K20" i="2"/>
  <c r="K23" i="2"/>
  <c r="K26" i="2"/>
  <c r="K95" i="2"/>
  <c r="K98" i="2"/>
  <c r="L11" i="2"/>
  <c r="L14" i="2"/>
  <c r="L17" i="2"/>
  <c r="L20" i="2"/>
  <c r="L23" i="2"/>
  <c r="L26" i="2"/>
  <c r="L95" i="2"/>
  <c r="L98" i="2"/>
  <c r="K99" i="2"/>
  <c r="L99" i="2"/>
  <c r="J100" i="2"/>
  <c r="K100" i="2"/>
  <c r="L100" i="2"/>
  <c r="J10" i="2"/>
  <c r="J13" i="2"/>
  <c r="J16" i="2"/>
  <c r="J19" i="2"/>
  <c r="J22" i="2"/>
  <c r="J25" i="2"/>
  <c r="J94" i="2"/>
  <c r="J97" i="2"/>
  <c r="M97" i="2" s="1"/>
  <c r="K10" i="2"/>
  <c r="K13" i="2"/>
  <c r="K16" i="2"/>
  <c r="K19" i="2"/>
  <c r="K22" i="2"/>
  <c r="K94" i="2"/>
  <c r="L10" i="2"/>
  <c r="L13" i="2"/>
  <c r="L16" i="2"/>
  <c r="L19" i="2"/>
  <c r="L22" i="2"/>
  <c r="L25" i="2"/>
  <c r="L94" i="2"/>
  <c r="J11" i="2"/>
  <c r="J14" i="2"/>
  <c r="J17" i="2"/>
  <c r="J20" i="2"/>
  <c r="J23" i="2"/>
  <c r="J26" i="2"/>
  <c r="J95" i="2"/>
  <c r="Z21" i="11" l="1"/>
  <c r="AA17" i="11"/>
  <c r="AB17" i="11"/>
  <c r="Z25" i="10"/>
  <c r="Z47" i="10" s="1"/>
  <c r="AB24" i="10"/>
  <c r="AA24" i="10"/>
  <c r="D27" i="1"/>
  <c r="C27" i="1" s="1"/>
  <c r="M121" i="3"/>
  <c r="M122" i="3" s="1"/>
  <c r="M123" i="3" s="1"/>
  <c r="M124" i="3" s="1"/>
  <c r="M21" i="2"/>
  <c r="M96" i="2"/>
  <c r="M11" i="2"/>
  <c r="M98" i="2"/>
  <c r="M100" i="2"/>
  <c r="M20" i="2"/>
  <c r="M17" i="2"/>
  <c r="M10" i="2"/>
  <c r="M99" i="2"/>
  <c r="M94" i="2"/>
  <c r="M25" i="2"/>
  <c r="M93" i="2"/>
  <c r="M22" i="2"/>
  <c r="M24" i="2"/>
  <c r="M26" i="2"/>
  <c r="M19" i="2"/>
  <c r="M95" i="2"/>
  <c r="M23" i="2"/>
  <c r="M16" i="2"/>
  <c r="M18" i="2"/>
  <c r="M13" i="2"/>
  <c r="M15" i="2"/>
  <c r="M12" i="2"/>
  <c r="M14" i="2"/>
  <c r="B51" i="10" l="1"/>
  <c r="B52" i="10" s="1"/>
  <c r="AA21" i="11"/>
  <c r="AB21" i="11"/>
  <c r="AB25" i="10"/>
  <c r="AA25" i="10"/>
  <c r="A12" i="10" s="1"/>
  <c r="B27" i="1"/>
  <c r="E27" i="1" s="1"/>
  <c r="M104" i="2"/>
  <c r="AA47" i="10" l="1"/>
  <c r="M105" i="2"/>
  <c r="M106" i="2" s="1"/>
  <c r="M107" i="2" l="1"/>
  <c r="M108" i="2" s="1"/>
  <c r="B28" i="1" l="1"/>
  <c r="E28" i="1" s="1"/>
  <c r="AB14" i="1"/>
  <c r="AB18" i="1" l="1"/>
  <c r="AB17" i="1"/>
  <c r="AB16" i="1"/>
  <c r="J28" i="5" l="1"/>
  <c r="J11" i="5"/>
  <c r="J53" i="5"/>
  <c r="J40" i="5"/>
  <c r="J23" i="5"/>
  <c r="J33" i="5"/>
  <c r="J15" i="5"/>
  <c r="J35" i="5"/>
  <c r="J48" i="5"/>
  <c r="J14" i="5"/>
  <c r="J36" i="5"/>
  <c r="J17" i="5"/>
  <c r="J12" i="5"/>
  <c r="J42" i="5"/>
  <c r="J37" i="5"/>
  <c r="J24" i="5"/>
  <c r="J7" i="5"/>
  <c r="J13" i="5"/>
  <c r="J30" i="5"/>
  <c r="J50" i="5"/>
  <c r="J16" i="5"/>
  <c r="J49" i="5"/>
  <c r="J51" i="5"/>
  <c r="J25" i="5"/>
  <c r="J43" i="5"/>
  <c r="J26" i="5"/>
  <c r="J45" i="5"/>
  <c r="J8" i="5"/>
  <c r="J38" i="5"/>
  <c r="J32" i="5"/>
  <c r="J52" i="5"/>
  <c r="J18" i="5"/>
  <c r="J31" i="5"/>
  <c r="J29" i="5"/>
  <c r="J19" i="5"/>
  <c r="J44" i="5"/>
  <c r="J27" i="5"/>
  <c r="J10" i="5"/>
  <c r="J9" i="5"/>
  <c r="J39" i="5"/>
  <c r="J22" i="5"/>
  <c r="J47" i="5"/>
  <c r="J20" i="5"/>
  <c r="J21" i="5"/>
  <c r="J46" i="5"/>
  <c r="J41" i="5"/>
  <c r="J34" i="5"/>
  <c r="B15" i="1" l="1"/>
  <c r="C15" i="1" l="1"/>
  <c r="B34" i="1"/>
  <c r="D15" i="1" l="1"/>
  <c r="C34" i="1"/>
  <c r="E15" i="1" l="1"/>
  <c r="D34" i="1"/>
  <c r="E34" i="1" l="1"/>
  <c r="F15" i="1"/>
  <c r="G15" i="1" l="1"/>
  <c r="F34" i="1"/>
  <c r="H15" i="1" l="1"/>
  <c r="G34" i="1"/>
  <c r="I15" i="1" l="1"/>
  <c r="H34" i="1"/>
  <c r="J15" i="1" l="1"/>
  <c r="I34" i="1"/>
  <c r="K15" i="1" l="1"/>
  <c r="J34" i="1"/>
  <c r="L15" i="1" l="1"/>
  <c r="K34" i="1"/>
  <c r="M15" i="1" l="1"/>
  <c r="L34" i="1"/>
  <c r="N15" i="1" l="1"/>
  <c r="M34" i="1"/>
  <c r="N34" i="1" l="1"/>
  <c r="O15" i="1"/>
  <c r="O34" i="1" l="1"/>
  <c r="P15" i="1"/>
  <c r="Q15" i="1" l="1"/>
  <c r="P34" i="1"/>
  <c r="Q34" i="1" l="1"/>
  <c r="R15" i="1"/>
  <c r="S15" i="1" l="1"/>
  <c r="R34" i="1"/>
  <c r="T15" i="1" l="1"/>
  <c r="S34" i="1"/>
  <c r="U15" i="1" l="1"/>
  <c r="T34" i="1"/>
  <c r="U34" i="1" l="1"/>
  <c r="V15" i="1"/>
  <c r="AA34" i="1" l="1"/>
  <c r="W15" i="1"/>
  <c r="V34" i="1"/>
  <c r="W34" i="1" l="1"/>
  <c r="X15" i="1"/>
  <c r="Y15" i="1" l="1"/>
  <c r="X34" i="1"/>
  <c r="Y34" i="1" l="1"/>
  <c r="Z15" i="1"/>
  <c r="AB15" i="1" l="1"/>
  <c r="AA15" i="1"/>
  <c r="Z34" i="1"/>
  <c r="AD23" i="6" l="1"/>
  <c r="D13" i="8" l="1"/>
  <c r="D24" i="8" l="1"/>
  <c r="D14" i="8"/>
  <c r="G15" i="8" s="1"/>
  <c r="D15" i="8"/>
  <c r="D26" i="8" l="1"/>
  <c r="D25" i="8"/>
  <c r="C54" i="6" l="1"/>
  <c r="AA43" i="10" l="1"/>
  <c r="C6" i="5" l="1"/>
  <c r="B6" i="5"/>
  <c r="G6" i="5" l="1"/>
  <c r="C53" i="5"/>
  <c r="G53" i="5" s="1"/>
  <c r="C45" i="5"/>
  <c r="G45" i="5" s="1"/>
  <c r="C37" i="5"/>
  <c r="G37" i="5" s="1"/>
  <c r="C29" i="5"/>
  <c r="G29" i="5" s="1"/>
  <c r="C13" i="5"/>
  <c r="G13" i="5" s="1"/>
  <c r="C48" i="5"/>
  <c r="G48" i="5" s="1"/>
  <c r="C40" i="5"/>
  <c r="G40" i="5" s="1"/>
  <c r="C32" i="5"/>
  <c r="G32" i="5" s="1"/>
  <c r="C24" i="5"/>
  <c r="G24" i="5" s="1"/>
  <c r="C16" i="5"/>
  <c r="G16" i="5" s="1"/>
  <c r="C8" i="5"/>
  <c r="G8" i="5" s="1"/>
  <c r="C51" i="5"/>
  <c r="G51" i="5" s="1"/>
  <c r="C47" i="5"/>
  <c r="G47" i="5" s="1"/>
  <c r="C43" i="5"/>
  <c r="G43" i="5" s="1"/>
  <c r="C39" i="5"/>
  <c r="G39" i="5" s="1"/>
  <c r="C35" i="5"/>
  <c r="G35" i="5" s="1"/>
  <c r="C31" i="5"/>
  <c r="G31" i="5" s="1"/>
  <c r="C27" i="5"/>
  <c r="G27" i="5" s="1"/>
  <c r="C23" i="5"/>
  <c r="G23" i="5" s="1"/>
  <c r="C19" i="5"/>
  <c r="G19" i="5" s="1"/>
  <c r="C15" i="5"/>
  <c r="G15" i="5" s="1"/>
  <c r="C11" i="5"/>
  <c r="G11" i="5" s="1"/>
  <c r="C7" i="5"/>
  <c r="C49" i="5"/>
  <c r="G49" i="5" s="1"/>
  <c r="C41" i="5"/>
  <c r="G41" i="5" s="1"/>
  <c r="C33" i="5"/>
  <c r="G33" i="5" s="1"/>
  <c r="C25" i="5"/>
  <c r="G25" i="5" s="1"/>
  <c r="C21" i="5"/>
  <c r="G21" i="5" s="1"/>
  <c r="C17" i="5"/>
  <c r="G17" i="5" s="1"/>
  <c r="C9" i="5"/>
  <c r="G9" i="5" s="1"/>
  <c r="C52" i="5"/>
  <c r="G52" i="5" s="1"/>
  <c r="C44" i="5"/>
  <c r="G44" i="5" s="1"/>
  <c r="C36" i="5"/>
  <c r="G36" i="5" s="1"/>
  <c r="C28" i="5"/>
  <c r="G28" i="5" s="1"/>
  <c r="C20" i="5"/>
  <c r="G20" i="5" s="1"/>
  <c r="C12" i="5"/>
  <c r="G12" i="5" s="1"/>
  <c r="C54" i="5"/>
  <c r="G54" i="5" s="1"/>
  <c r="C50" i="5"/>
  <c r="G50" i="5" s="1"/>
  <c r="C46" i="5"/>
  <c r="G46" i="5" s="1"/>
  <c r="C42" i="5"/>
  <c r="C38" i="5"/>
  <c r="G38" i="5" s="1"/>
  <c r="C34" i="5"/>
  <c r="G34" i="5" s="1"/>
  <c r="C30" i="5"/>
  <c r="G30" i="5" s="1"/>
  <c r="C26" i="5"/>
  <c r="G26" i="5" s="1"/>
  <c r="C22" i="5"/>
  <c r="G22" i="5" s="1"/>
  <c r="C18" i="5"/>
  <c r="G18" i="5" s="1"/>
  <c r="C14" i="5"/>
  <c r="G14" i="5" s="1"/>
  <c r="C10" i="5"/>
  <c r="G10" i="5" s="1"/>
  <c r="B53" i="5"/>
  <c r="B49" i="5"/>
  <c r="B45" i="5"/>
  <c r="B41" i="5"/>
  <c r="B37" i="5"/>
  <c r="B33" i="5"/>
  <c r="B29" i="5"/>
  <c r="B25" i="5"/>
  <c r="B21" i="5"/>
  <c r="B17" i="5"/>
  <c r="B13" i="5"/>
  <c r="B9" i="5"/>
  <c r="B52" i="5"/>
  <c r="B48" i="5"/>
  <c r="B44" i="5"/>
  <c r="B40" i="5"/>
  <c r="B36" i="5"/>
  <c r="B32" i="5"/>
  <c r="B28" i="5"/>
  <c r="B24" i="5"/>
  <c r="B20" i="5"/>
  <c r="B16" i="5"/>
  <c r="B12" i="5"/>
  <c r="B8" i="5"/>
  <c r="B51" i="5"/>
  <c r="B47" i="5"/>
  <c r="B43" i="5"/>
  <c r="B39" i="5"/>
  <c r="B35" i="5"/>
  <c r="B31" i="5"/>
  <c r="B27" i="5"/>
  <c r="B23" i="5"/>
  <c r="B19" i="5"/>
  <c r="B15" i="5"/>
  <c r="B11" i="5"/>
  <c r="B7" i="5"/>
  <c r="B54" i="5"/>
  <c r="B50" i="5"/>
  <c r="B46" i="5"/>
  <c r="B42" i="5"/>
  <c r="B38" i="5"/>
  <c r="B34" i="5"/>
  <c r="B30" i="5"/>
  <c r="B26" i="5"/>
  <c r="B22" i="5"/>
  <c r="B18" i="5"/>
  <c r="B14" i="5"/>
  <c r="B10" i="5"/>
  <c r="G42" i="5" l="1"/>
  <c r="C58" i="5"/>
  <c r="G7" i="5"/>
  <c r="C57" i="5"/>
  <c r="C55" i="5"/>
  <c r="C56" i="5"/>
  <c r="A8" i="10"/>
  <c r="G14" i="8"/>
  <c r="G16" i="8" s="1"/>
  <c r="A5" i="1"/>
  <c r="A8" i="6"/>
  <c r="D24" i="5" l="1"/>
  <c r="F24" i="5" s="1"/>
  <c r="D16" i="5"/>
  <c r="F16" i="5" s="1"/>
  <c r="D50" i="5"/>
  <c r="F50" i="5" s="1"/>
  <c r="D38" i="5"/>
  <c r="F38" i="5" s="1"/>
  <c r="D43" i="5"/>
  <c r="F43" i="5" s="1"/>
  <c r="D30" i="5"/>
  <c r="F30" i="5" s="1"/>
  <c r="D14" i="5"/>
  <c r="F14" i="5" s="1"/>
  <c r="D15" i="5"/>
  <c r="F15" i="5" s="1"/>
  <c r="D37" i="5"/>
  <c r="F37" i="5" s="1"/>
  <c r="D29" i="5"/>
  <c r="F29" i="5" s="1"/>
  <c r="D45" i="5"/>
  <c r="F45" i="5" s="1"/>
  <c r="D31" i="5"/>
  <c r="F31" i="5" s="1"/>
  <c r="D36" i="5"/>
  <c r="F36" i="5" s="1"/>
  <c r="D34" i="5"/>
  <c r="F34" i="5" s="1"/>
  <c r="D8" i="5"/>
  <c r="F8" i="5" s="1"/>
  <c r="D54" i="5"/>
  <c r="F54" i="5" s="1"/>
  <c r="D23" i="5"/>
  <c r="F23" i="5" s="1"/>
  <c r="D39" i="5"/>
  <c r="F39" i="5" s="1"/>
  <c r="D12" i="5"/>
  <c r="F12" i="5" s="1"/>
  <c r="D27" i="5"/>
  <c r="F27" i="5" s="1"/>
  <c r="D47" i="5"/>
  <c r="F47" i="5" s="1"/>
  <c r="D53" i="5"/>
  <c r="F53" i="5" s="1"/>
  <c r="D28" i="5"/>
  <c r="F28" i="5" s="1"/>
  <c r="D11" i="5"/>
  <c r="F11" i="5" s="1"/>
  <c r="D40" i="5"/>
  <c r="F40" i="5" s="1"/>
  <c r="D21" i="5"/>
  <c r="F21" i="5" s="1"/>
  <c r="D46" i="5"/>
  <c r="F46" i="5" s="1"/>
  <c r="D35" i="5"/>
  <c r="F35" i="5" s="1"/>
  <c r="D25" i="5"/>
  <c r="D32" i="5"/>
  <c r="F32" i="5" s="1"/>
  <c r="D7" i="5"/>
  <c r="D6" i="5"/>
  <c r="D56" i="5" s="1"/>
  <c r="D17" i="5"/>
  <c r="F17" i="5" s="1"/>
  <c r="D19" i="5"/>
  <c r="F19" i="5" s="1"/>
  <c r="D48" i="5"/>
  <c r="F48" i="5" s="1"/>
  <c r="D41" i="5"/>
  <c r="F41" i="5" s="1"/>
  <c r="D18" i="5"/>
  <c r="F18" i="5" s="1"/>
  <c r="D10" i="5"/>
  <c r="F10" i="5" s="1"/>
  <c r="D49" i="5"/>
  <c r="F49" i="5" s="1"/>
  <c r="D26" i="5"/>
  <c r="F26" i="5" s="1"/>
  <c r="D51" i="5"/>
  <c r="F51" i="5" s="1"/>
  <c r="D22" i="5"/>
  <c r="F22" i="5" s="1"/>
  <c r="D20" i="5"/>
  <c r="F20" i="5" s="1"/>
  <c r="D44" i="5"/>
  <c r="F44" i="5" s="1"/>
  <c r="D13" i="5"/>
  <c r="F13" i="5" s="1"/>
  <c r="D52" i="5"/>
  <c r="F52" i="5" s="1"/>
  <c r="D42" i="5"/>
  <c r="D33" i="5"/>
  <c r="F33" i="5" s="1"/>
  <c r="D9" i="5"/>
  <c r="F9" i="5" s="1"/>
  <c r="F42" i="5" l="1"/>
  <c r="D58" i="5"/>
  <c r="F7" i="5"/>
  <c r="D57" i="5"/>
  <c r="F25" i="5"/>
  <c r="D55" i="5"/>
  <c r="B16" i="11" s="1"/>
  <c r="B27" i="11" s="1"/>
  <c r="F6" i="5"/>
  <c r="B13" i="1" l="1"/>
  <c r="C13" i="1" s="1"/>
  <c r="B33" i="1"/>
  <c r="C16" i="11" l="1"/>
  <c r="C20" i="11" s="1"/>
  <c r="C27" i="11"/>
  <c r="D27" i="11" s="1"/>
  <c r="E27" i="11" s="1"/>
  <c r="F27" i="11" s="1"/>
  <c r="G27" i="11" s="1"/>
  <c r="H27" i="11" s="1"/>
  <c r="I27" i="11" s="1"/>
  <c r="J27" i="11" s="1"/>
  <c r="K27" i="11" s="1"/>
  <c r="L27" i="11" s="1"/>
  <c r="M27" i="11" s="1"/>
  <c r="N27" i="11" s="1"/>
  <c r="O27" i="11" s="1"/>
  <c r="P27" i="11" s="1"/>
  <c r="Q27" i="11" s="1"/>
  <c r="R27" i="11" s="1"/>
  <c r="S27" i="11" s="1"/>
  <c r="T27" i="11" s="1"/>
  <c r="U27" i="11" s="1"/>
  <c r="V27" i="11" s="1"/>
  <c r="W27" i="11" s="1"/>
  <c r="X27" i="11" s="1"/>
  <c r="Y27" i="11" s="1"/>
  <c r="Z27" i="11" s="1"/>
  <c r="B37" i="11"/>
  <c r="B20" i="11"/>
  <c r="B16" i="6"/>
  <c r="B38" i="11"/>
  <c r="B35" i="1"/>
  <c r="C33" i="1"/>
  <c r="C35" i="1" s="1"/>
  <c r="C48" i="1" s="1"/>
  <c r="D13" i="1"/>
  <c r="B40" i="11" l="1"/>
  <c r="B39" i="11"/>
  <c r="D38" i="6" s="1"/>
  <c r="B33" i="6"/>
  <c r="B22" i="6"/>
  <c r="B34" i="6"/>
  <c r="B22" i="11"/>
  <c r="C22" i="11"/>
  <c r="C38" i="11"/>
  <c r="D16" i="11"/>
  <c r="C37" i="11"/>
  <c r="B45" i="11"/>
  <c r="C45" i="11" s="1"/>
  <c r="B50" i="11" s="1"/>
  <c r="B44" i="6"/>
  <c r="C44" i="6" s="1"/>
  <c r="B50" i="6" s="1"/>
  <c r="E13" i="1"/>
  <c r="D33" i="1"/>
  <c r="D35" i="1" s="1"/>
  <c r="D48" i="1" s="1"/>
  <c r="E22" i="6" l="1"/>
  <c r="B24" i="6"/>
  <c r="F22" i="6"/>
  <c r="G22" i="6" s="1"/>
  <c r="H22" i="6" s="1"/>
  <c r="I22" i="6" s="1"/>
  <c r="J22" i="6" s="1"/>
  <c r="K22" i="6" s="1"/>
  <c r="L22" i="6" s="1"/>
  <c r="M22" i="6" s="1"/>
  <c r="N22" i="6" s="1"/>
  <c r="O22" i="6" s="1"/>
  <c r="P22" i="6" s="1"/>
  <c r="Q22" i="6" s="1"/>
  <c r="R22" i="6" s="1"/>
  <c r="S22" i="6" s="1"/>
  <c r="T22" i="6" s="1"/>
  <c r="U22" i="6" s="1"/>
  <c r="V22" i="6" s="1"/>
  <c r="W22" i="6" s="1"/>
  <c r="X22" i="6" s="1"/>
  <c r="Y22" i="6" s="1"/>
  <c r="Z22" i="6" s="1"/>
  <c r="AA22" i="6" s="1"/>
  <c r="AB22" i="6" s="1"/>
  <c r="AC22" i="6" s="1"/>
  <c r="E16" i="11"/>
  <c r="D20" i="11"/>
  <c r="D37" i="11"/>
  <c r="D38" i="11"/>
  <c r="C40" i="11"/>
  <c r="E39" i="6" s="1"/>
  <c r="C39" i="11"/>
  <c r="E38" i="6" s="1"/>
  <c r="D39" i="6"/>
  <c r="D54" i="6" s="1"/>
  <c r="B39" i="6"/>
  <c r="B44" i="11"/>
  <c r="C44" i="11" s="1"/>
  <c r="B49" i="11" s="1"/>
  <c r="B53" i="11" s="1"/>
  <c r="B59" i="10" s="1"/>
  <c r="B43" i="6"/>
  <c r="F13" i="1"/>
  <c r="E33" i="1"/>
  <c r="E50" i="6"/>
  <c r="F50" i="6"/>
  <c r="G50" i="6" s="1"/>
  <c r="H50" i="6" s="1"/>
  <c r="I50" i="6" s="1"/>
  <c r="J50" i="6" s="1"/>
  <c r="K50" i="6" s="1"/>
  <c r="L50" i="6" s="1"/>
  <c r="M50" i="6" s="1"/>
  <c r="N50" i="6" s="1"/>
  <c r="O50" i="6" s="1"/>
  <c r="P50" i="6" s="1"/>
  <c r="Q50" i="6" s="1"/>
  <c r="R50" i="6" s="1"/>
  <c r="S50" i="6" s="1"/>
  <c r="T50" i="6" s="1"/>
  <c r="U50" i="6" s="1"/>
  <c r="V50" i="6" s="1"/>
  <c r="W50" i="6" s="1"/>
  <c r="X50" i="6" s="1"/>
  <c r="Y50" i="6" s="1"/>
  <c r="Z50" i="6" s="1"/>
  <c r="AA50" i="6" s="1"/>
  <c r="AB50" i="6" s="1"/>
  <c r="B29" i="6"/>
  <c r="C31" i="11"/>
  <c r="C50" i="11"/>
  <c r="D50" i="11" s="1"/>
  <c r="E50" i="11" s="1"/>
  <c r="F50" i="11" s="1"/>
  <c r="G50" i="11" s="1"/>
  <c r="H50" i="11" s="1"/>
  <c r="I50" i="11" s="1"/>
  <c r="J50" i="11" s="1"/>
  <c r="K50" i="11" s="1"/>
  <c r="L50" i="11" s="1"/>
  <c r="M50" i="11" s="1"/>
  <c r="N50" i="11" s="1"/>
  <c r="O50" i="11" s="1"/>
  <c r="P50" i="11" s="1"/>
  <c r="Q50" i="11" s="1"/>
  <c r="R50" i="11" s="1"/>
  <c r="S50" i="11" s="1"/>
  <c r="T50" i="11" s="1"/>
  <c r="U50" i="11" s="1"/>
  <c r="V50" i="11" s="1"/>
  <c r="W50" i="11" s="1"/>
  <c r="X50" i="11" s="1"/>
  <c r="Y50" i="11" s="1"/>
  <c r="Z50" i="11" s="1"/>
  <c r="D40" i="11" l="1"/>
  <c r="F39" i="6" s="1"/>
  <c r="D39" i="11"/>
  <c r="F38" i="6" s="1"/>
  <c r="D22" i="11"/>
  <c r="AD22" i="6"/>
  <c r="E20" i="11"/>
  <c r="E22" i="11" s="1"/>
  <c r="F16" i="11"/>
  <c r="E38" i="11"/>
  <c r="E37" i="11"/>
  <c r="E40" i="6"/>
  <c r="E24" i="6"/>
  <c r="F24" i="6"/>
  <c r="G24" i="6" s="1"/>
  <c r="H24" i="6" s="1"/>
  <c r="I24" i="6" s="1"/>
  <c r="J24" i="6" s="1"/>
  <c r="K24" i="6" s="1"/>
  <c r="L24" i="6" s="1"/>
  <c r="M24" i="6" s="1"/>
  <c r="N24" i="6" s="1"/>
  <c r="O24" i="6" s="1"/>
  <c r="P24" i="6" s="1"/>
  <c r="Q24" i="6" s="1"/>
  <c r="R24" i="6" s="1"/>
  <c r="S24" i="6" s="1"/>
  <c r="T24" i="6" s="1"/>
  <c r="U24" i="6" s="1"/>
  <c r="V24" i="6" s="1"/>
  <c r="W24" i="6" s="1"/>
  <c r="X24" i="6" s="1"/>
  <c r="Y24" i="6" s="1"/>
  <c r="Z24" i="6" s="1"/>
  <c r="AA24" i="6" s="1"/>
  <c r="AB24" i="6" s="1"/>
  <c r="AC50" i="6"/>
  <c r="AA50" i="11"/>
  <c r="E35" i="1"/>
  <c r="F33" i="1"/>
  <c r="F35" i="1" s="1"/>
  <c r="F48" i="1" s="1"/>
  <c r="G13" i="1"/>
  <c r="C43" i="6"/>
  <c r="B45" i="6"/>
  <c r="B56" i="11"/>
  <c r="B51" i="11"/>
  <c r="C49" i="11"/>
  <c r="D31" i="11"/>
  <c r="F29" i="6"/>
  <c r="E29" i="6"/>
  <c r="E40" i="11" l="1"/>
  <c r="G39" i="6" s="1"/>
  <c r="E39" i="11"/>
  <c r="G38" i="6" s="1"/>
  <c r="G40" i="6" s="1"/>
  <c r="G16" i="11"/>
  <c r="F20" i="11"/>
  <c r="F22" i="11" s="1"/>
  <c r="F37" i="11"/>
  <c r="F38" i="11"/>
  <c r="AD24" i="6"/>
  <c r="AC24" i="6"/>
  <c r="A12" i="6" s="1"/>
  <c r="F40" i="6"/>
  <c r="E31" i="11"/>
  <c r="B49" i="6"/>
  <c r="C45" i="6"/>
  <c r="D49" i="11"/>
  <c r="C51" i="11"/>
  <c r="H13" i="1"/>
  <c r="G33" i="1"/>
  <c r="G35" i="1" s="1"/>
  <c r="G48" i="1" s="1"/>
  <c r="G29" i="6"/>
  <c r="E48" i="1"/>
  <c r="C53" i="11"/>
  <c r="C59" i="10" s="1"/>
  <c r="F40" i="11" l="1"/>
  <c r="H39" i="6" s="1"/>
  <c r="F39" i="11"/>
  <c r="H38" i="6" s="1"/>
  <c r="G38" i="11"/>
  <c r="G37" i="11"/>
  <c r="H16" i="11"/>
  <c r="G20" i="11"/>
  <c r="I13" i="1"/>
  <c r="H33" i="1"/>
  <c r="D51" i="11"/>
  <c r="E49" i="11"/>
  <c r="E53" i="11" s="1"/>
  <c r="E59" i="10" s="1"/>
  <c r="H29" i="6"/>
  <c r="B51" i="6"/>
  <c r="E49" i="6"/>
  <c r="F49" i="6"/>
  <c r="G49" i="6" s="1"/>
  <c r="H49" i="6" s="1"/>
  <c r="I49" i="6" s="1"/>
  <c r="J49" i="6" s="1"/>
  <c r="K49" i="6" s="1"/>
  <c r="L49" i="6" s="1"/>
  <c r="M49" i="6" s="1"/>
  <c r="N49" i="6" s="1"/>
  <c r="O49" i="6" s="1"/>
  <c r="P49" i="6" s="1"/>
  <c r="Q49" i="6" s="1"/>
  <c r="R49" i="6" s="1"/>
  <c r="S49" i="6" s="1"/>
  <c r="T49" i="6" s="1"/>
  <c r="U49" i="6" s="1"/>
  <c r="V49" i="6" s="1"/>
  <c r="W49" i="6" s="1"/>
  <c r="X49" i="6" s="1"/>
  <c r="Y49" i="6" s="1"/>
  <c r="Z49" i="6" s="1"/>
  <c r="AA49" i="6" s="1"/>
  <c r="AB49" i="6" s="1"/>
  <c r="D53" i="11"/>
  <c r="D59" i="10" s="1"/>
  <c r="F31" i="11"/>
  <c r="H38" i="11" l="1"/>
  <c r="I16" i="11"/>
  <c r="H37" i="11"/>
  <c r="H20" i="11"/>
  <c r="H22" i="11" s="1"/>
  <c r="H40" i="6"/>
  <c r="G22" i="11"/>
  <c r="G40" i="11"/>
  <c r="I39" i="6" s="1"/>
  <c r="G39" i="11"/>
  <c r="I38" i="6" s="1"/>
  <c r="I29" i="6"/>
  <c r="F49" i="11"/>
  <c r="F53" i="11" s="1"/>
  <c r="F59" i="10" s="1"/>
  <c r="E51" i="11"/>
  <c r="H35" i="1"/>
  <c r="G31" i="11"/>
  <c r="AC49" i="6"/>
  <c r="J13" i="1"/>
  <c r="I33" i="1"/>
  <c r="I35" i="1" s="1"/>
  <c r="I48" i="1" s="1"/>
  <c r="B54" i="6"/>
  <c r="E51" i="6"/>
  <c r="F51" i="6"/>
  <c r="H40" i="11" l="1"/>
  <c r="J39" i="6" s="1"/>
  <c r="H39" i="11"/>
  <c r="J38" i="6" s="1"/>
  <c r="J16" i="11"/>
  <c r="I37" i="11"/>
  <c r="I20" i="11"/>
  <c r="I38" i="11"/>
  <c r="I40" i="6"/>
  <c r="G51" i="6"/>
  <c r="F54" i="6"/>
  <c r="F51" i="11"/>
  <c r="G49" i="11"/>
  <c r="H31" i="11"/>
  <c r="J29" i="6"/>
  <c r="E54" i="6"/>
  <c r="H48" i="1"/>
  <c r="J33" i="1"/>
  <c r="J35" i="1" s="1"/>
  <c r="J48" i="1" s="1"/>
  <c r="K13" i="1"/>
  <c r="I40" i="11" l="1"/>
  <c r="K39" i="6" s="1"/>
  <c r="I39" i="11"/>
  <c r="K38" i="6" s="1"/>
  <c r="K40" i="6" s="1"/>
  <c r="K16" i="11"/>
  <c r="J20" i="11"/>
  <c r="J22" i="11" s="1"/>
  <c r="J38" i="11"/>
  <c r="J37" i="11"/>
  <c r="I22" i="11"/>
  <c r="J40" i="6"/>
  <c r="I31" i="11"/>
  <c r="H49" i="11"/>
  <c r="G51" i="11"/>
  <c r="K33" i="1"/>
  <c r="K35" i="1" s="1"/>
  <c r="L13" i="1"/>
  <c r="K29" i="6"/>
  <c r="G53" i="11"/>
  <c r="G59" i="10" s="1"/>
  <c r="H51" i="6"/>
  <c r="G54" i="6"/>
  <c r="J40" i="11" l="1"/>
  <c r="L39" i="6" s="1"/>
  <c r="J39" i="11"/>
  <c r="L38" i="6" s="1"/>
  <c r="L40" i="6" s="1"/>
  <c r="K37" i="11"/>
  <c r="L16" i="11"/>
  <c r="K20" i="11"/>
  <c r="K22" i="11" s="1"/>
  <c r="K38" i="11"/>
  <c r="M13" i="1"/>
  <c r="L33" i="1"/>
  <c r="L35" i="1" s="1"/>
  <c r="L48" i="1" s="1"/>
  <c r="K48" i="1"/>
  <c r="I51" i="6"/>
  <c r="H54" i="6"/>
  <c r="H51" i="11"/>
  <c r="I49" i="11"/>
  <c r="H53" i="11"/>
  <c r="H59" i="10" s="1"/>
  <c r="L29" i="6"/>
  <c r="J31" i="11"/>
  <c r="L37" i="11" l="1"/>
  <c r="M16" i="11"/>
  <c r="L20" i="11"/>
  <c r="L22" i="11" s="1"/>
  <c r="L38" i="11"/>
  <c r="K39" i="11"/>
  <c r="M38" i="6" s="1"/>
  <c r="M40" i="6" s="1"/>
  <c r="K40" i="11"/>
  <c r="M39" i="6" s="1"/>
  <c r="J51" i="6"/>
  <c r="I54" i="6"/>
  <c r="M29" i="6"/>
  <c r="J49" i="11"/>
  <c r="J53" i="11" s="1"/>
  <c r="J59" i="10" s="1"/>
  <c r="I51" i="11"/>
  <c r="I53" i="11"/>
  <c r="I59" i="10" s="1"/>
  <c r="N13" i="1"/>
  <c r="M33" i="1"/>
  <c r="M35" i="1" s="1"/>
  <c r="M48" i="1" s="1"/>
  <c r="K31" i="11"/>
  <c r="M20" i="11" l="1"/>
  <c r="M22" i="11" s="1"/>
  <c r="M38" i="11"/>
  <c r="N16" i="11"/>
  <c r="M37" i="11"/>
  <c r="L40" i="11"/>
  <c r="N39" i="6" s="1"/>
  <c r="L39" i="11"/>
  <c r="N38" i="6" s="1"/>
  <c r="L31" i="11"/>
  <c r="K49" i="11"/>
  <c r="J51" i="11"/>
  <c r="N33" i="1"/>
  <c r="N35" i="1" s="1"/>
  <c r="N48" i="1" s="1"/>
  <c r="O13" i="1"/>
  <c r="N29" i="6"/>
  <c r="K51" i="6"/>
  <c r="J54" i="6"/>
  <c r="M39" i="11" l="1"/>
  <c r="O38" i="6" s="1"/>
  <c r="O40" i="6" s="1"/>
  <c r="M40" i="11"/>
  <c r="O39" i="6" s="1"/>
  <c r="N37" i="11"/>
  <c r="O16" i="11"/>
  <c r="N38" i="11"/>
  <c r="N20" i="11"/>
  <c r="N22" i="11" s="1"/>
  <c r="N40" i="6"/>
  <c r="O29" i="6"/>
  <c r="O33" i="1"/>
  <c r="O35" i="1" s="1"/>
  <c r="O48" i="1" s="1"/>
  <c r="P13" i="1"/>
  <c r="L49" i="11"/>
  <c r="K51" i="11"/>
  <c r="K53" i="11"/>
  <c r="K59" i="10" s="1"/>
  <c r="L51" i="6"/>
  <c r="K54" i="6"/>
  <c r="M31" i="11"/>
  <c r="O38" i="11" l="1"/>
  <c r="P16" i="11"/>
  <c r="O37" i="11"/>
  <c r="O20" i="11"/>
  <c r="O22" i="11" s="1"/>
  <c r="N40" i="11"/>
  <c r="P39" i="6" s="1"/>
  <c r="N39" i="11"/>
  <c r="P38" i="6" s="1"/>
  <c r="M51" i="6"/>
  <c r="L54" i="6"/>
  <c r="M49" i="11"/>
  <c r="L51" i="11"/>
  <c r="Q13" i="1"/>
  <c r="P33" i="1"/>
  <c r="P35" i="1" s="1"/>
  <c r="P48" i="1" s="1"/>
  <c r="N31" i="11"/>
  <c r="L53" i="11"/>
  <c r="L59" i="10" s="1"/>
  <c r="P29" i="6"/>
  <c r="P40" i="6" l="1"/>
  <c r="O40" i="11"/>
  <c r="Q39" i="6" s="1"/>
  <c r="O39" i="11"/>
  <c r="Q38" i="6" s="1"/>
  <c r="P20" i="11"/>
  <c r="P22" i="11" s="1"/>
  <c r="P38" i="11"/>
  <c r="Q16" i="11"/>
  <c r="P37" i="11"/>
  <c r="M51" i="11"/>
  <c r="N49" i="11"/>
  <c r="N53" i="11" s="1"/>
  <c r="N59" i="10" s="1"/>
  <c r="R13" i="1"/>
  <c r="Q33" i="1"/>
  <c r="Q35" i="1" s="1"/>
  <c r="Q48" i="1" s="1"/>
  <c r="Q29" i="6"/>
  <c r="O31" i="11"/>
  <c r="M53" i="11"/>
  <c r="M59" i="10" s="1"/>
  <c r="N51" i="6"/>
  <c r="M54" i="6"/>
  <c r="P40" i="11" l="1"/>
  <c r="R39" i="6" s="1"/>
  <c r="P39" i="11"/>
  <c r="R38" i="6" s="1"/>
  <c r="R40" i="6" s="1"/>
  <c r="Q20" i="11"/>
  <c r="Q22" i="11" s="1"/>
  <c r="Q37" i="11"/>
  <c r="R16" i="11"/>
  <c r="Q38" i="11"/>
  <c r="Q40" i="6"/>
  <c r="P31" i="11"/>
  <c r="R29" i="6"/>
  <c r="S13" i="1"/>
  <c r="R33" i="1"/>
  <c r="R35" i="1" s="1"/>
  <c r="R48" i="1" s="1"/>
  <c r="O51" i="6"/>
  <c r="N54" i="6"/>
  <c r="O49" i="11"/>
  <c r="N51" i="11"/>
  <c r="F34" i="6" l="1"/>
  <c r="E34" i="6"/>
  <c r="S16" i="11"/>
  <c r="R37" i="11"/>
  <c r="R38" i="11"/>
  <c r="R20" i="11"/>
  <c r="R22" i="11" s="1"/>
  <c r="Q40" i="11"/>
  <c r="S39" i="6" s="1"/>
  <c r="Q39" i="11"/>
  <c r="S38" i="6" s="1"/>
  <c r="S40" i="6" s="1"/>
  <c r="P51" i="6"/>
  <c r="O54" i="6"/>
  <c r="T13" i="1"/>
  <c r="S33" i="1"/>
  <c r="S35" i="1" s="1"/>
  <c r="S48" i="1" s="1"/>
  <c r="S29" i="6"/>
  <c r="P49" i="11"/>
  <c r="O51" i="11"/>
  <c r="O53" i="11"/>
  <c r="O59" i="10" s="1"/>
  <c r="Q31" i="11"/>
  <c r="R40" i="11" l="1"/>
  <c r="T39" i="6" s="1"/>
  <c r="R39" i="11"/>
  <c r="T38" i="6" s="1"/>
  <c r="T40" i="6" s="1"/>
  <c r="T16" i="11"/>
  <c r="S20" i="11"/>
  <c r="S22" i="11" s="1"/>
  <c r="S38" i="11"/>
  <c r="S37" i="11"/>
  <c r="T29" i="6"/>
  <c r="P51" i="11"/>
  <c r="Q49" i="11"/>
  <c r="U13" i="1"/>
  <c r="T33" i="1"/>
  <c r="T35" i="1" s="1"/>
  <c r="T48" i="1" s="1"/>
  <c r="P53" i="11"/>
  <c r="P59" i="10" s="1"/>
  <c r="R31" i="11"/>
  <c r="Q51" i="6"/>
  <c r="P54" i="6"/>
  <c r="S40" i="11" l="1"/>
  <c r="U39" i="6" s="1"/>
  <c r="S39" i="11"/>
  <c r="U38" i="6" s="1"/>
  <c r="U40" i="6" s="1"/>
  <c r="U16" i="11"/>
  <c r="T37" i="11"/>
  <c r="T20" i="11"/>
  <c r="T22" i="11" s="1"/>
  <c r="T38" i="11"/>
  <c r="U33" i="1"/>
  <c r="V13" i="1"/>
  <c r="R49" i="11"/>
  <c r="R53" i="11" s="1"/>
  <c r="R59" i="10" s="1"/>
  <c r="Q51" i="11"/>
  <c r="R51" i="6"/>
  <c r="Q54" i="6"/>
  <c r="S31" i="11"/>
  <c r="Q53" i="11"/>
  <c r="Q59" i="10" s="1"/>
  <c r="U29" i="6"/>
  <c r="T40" i="11" l="1"/>
  <c r="V39" i="6" s="1"/>
  <c r="T39" i="11"/>
  <c r="V38" i="6" s="1"/>
  <c r="V40" i="6" s="1"/>
  <c r="U20" i="11"/>
  <c r="U22" i="11" s="1"/>
  <c r="U38" i="11"/>
  <c r="V16" i="11"/>
  <c r="U37" i="11"/>
  <c r="T31" i="11"/>
  <c r="S51" i="6"/>
  <c r="R54" i="6"/>
  <c r="S49" i="11"/>
  <c r="R51" i="11"/>
  <c r="V29" i="6"/>
  <c r="W13" i="1"/>
  <c r="V33" i="1"/>
  <c r="V35" i="1" s="1"/>
  <c r="V48" i="1" s="1"/>
  <c r="U35" i="1"/>
  <c r="AA33" i="1"/>
  <c r="U40" i="11" l="1"/>
  <c r="W39" i="6" s="1"/>
  <c r="U39" i="11"/>
  <c r="W38" i="6" s="1"/>
  <c r="V20" i="11"/>
  <c r="V22" i="11" s="1"/>
  <c r="V38" i="11"/>
  <c r="W16" i="11"/>
  <c r="W29" i="6"/>
  <c r="S51" i="11"/>
  <c r="T49" i="11"/>
  <c r="T53" i="11" s="1"/>
  <c r="T59" i="10" s="1"/>
  <c r="U48" i="1"/>
  <c r="AA35" i="1"/>
  <c r="T51" i="6"/>
  <c r="S54" i="6"/>
  <c r="S53" i="11"/>
  <c r="S59" i="10" s="1"/>
  <c r="W33" i="1"/>
  <c r="W35" i="1" s="1"/>
  <c r="W48" i="1" s="1"/>
  <c r="X13" i="1"/>
  <c r="U31" i="11"/>
  <c r="W38" i="11" l="1"/>
  <c r="X16" i="11"/>
  <c r="W20" i="11"/>
  <c r="W22" i="11" s="1"/>
  <c r="V40" i="11"/>
  <c r="X39" i="6" s="1"/>
  <c r="V39" i="11"/>
  <c r="X38" i="6" s="1"/>
  <c r="V31" i="11"/>
  <c r="T51" i="11"/>
  <c r="U49" i="11"/>
  <c r="U51" i="6"/>
  <c r="T54" i="6"/>
  <c r="Y13" i="1"/>
  <c r="X33" i="1"/>
  <c r="X35" i="1" s="1"/>
  <c r="X48" i="1" s="1"/>
  <c r="X29" i="6"/>
  <c r="Y16" i="11" l="1"/>
  <c r="X38" i="11"/>
  <c r="X20" i="11"/>
  <c r="X22" i="11" s="1"/>
  <c r="W40" i="11"/>
  <c r="Y39" i="6" s="1"/>
  <c r="W39" i="11"/>
  <c r="Y38" i="6" s="1"/>
  <c r="Z13" i="1"/>
  <c r="Y33" i="1"/>
  <c r="Y35" i="1" s="1"/>
  <c r="Y48" i="1" s="1"/>
  <c r="V51" i="6"/>
  <c r="U54" i="6"/>
  <c r="V49" i="11"/>
  <c r="U51" i="11"/>
  <c r="U53" i="11"/>
  <c r="U59" i="10" s="1"/>
  <c r="Y29" i="6"/>
  <c r="W31" i="11"/>
  <c r="X40" i="11" l="1"/>
  <c r="Z39" i="6" s="1"/>
  <c r="X39" i="11"/>
  <c r="Z38" i="6" s="1"/>
  <c r="Z16" i="11"/>
  <c r="Y38" i="11"/>
  <c r="Y20" i="11"/>
  <c r="Y22" i="11" s="1"/>
  <c r="Z29" i="6"/>
  <c r="V51" i="11"/>
  <c r="W49" i="11"/>
  <c r="V53" i="11"/>
  <c r="V59" i="10" s="1"/>
  <c r="W51" i="6"/>
  <c r="V54" i="6"/>
  <c r="X31" i="11"/>
  <c r="AA13" i="1"/>
  <c r="Z33" i="1"/>
  <c r="Z35" i="1" s="1"/>
  <c r="AB13" i="1"/>
  <c r="Y40" i="11" l="1"/>
  <c r="AA39" i="6" s="1"/>
  <c r="Y39" i="11"/>
  <c r="AA38" i="6" s="1"/>
  <c r="Z38" i="11"/>
  <c r="Z20" i="11"/>
  <c r="AB16" i="11"/>
  <c r="AA16" i="11"/>
  <c r="Y31" i="11"/>
  <c r="X51" i="6"/>
  <c r="W54" i="6"/>
  <c r="W51" i="11"/>
  <c r="X49" i="11"/>
  <c r="A9" i="1"/>
  <c r="Z48" i="1"/>
  <c r="W53" i="11"/>
  <c r="W59" i="10" s="1"/>
  <c r="AA29" i="6"/>
  <c r="Z22" i="11" l="1"/>
  <c r="AB20" i="11"/>
  <c r="AA20" i="11"/>
  <c r="Z40" i="11"/>
  <c r="AB39" i="6" s="1"/>
  <c r="AC39" i="6" s="1"/>
  <c r="Z39" i="11"/>
  <c r="AB38" i="6" s="1"/>
  <c r="AC38" i="6" s="1"/>
  <c r="B12" i="6" s="1"/>
  <c r="B12" i="11"/>
  <c r="X51" i="11"/>
  <c r="Y49" i="11"/>
  <c r="Y53" i="11" s="1"/>
  <c r="Y59" i="10" s="1"/>
  <c r="Y51" i="6"/>
  <c r="X54" i="6"/>
  <c r="B9" i="1"/>
  <c r="B49" i="1"/>
  <c r="AB29" i="6"/>
  <c r="X53" i="11"/>
  <c r="X59" i="10" s="1"/>
  <c r="Z31" i="11"/>
  <c r="AA22" i="11" l="1"/>
  <c r="A12" i="11" s="1"/>
  <c r="AB22" i="11"/>
  <c r="AC29" i="6"/>
  <c r="AD29" i="6"/>
  <c r="Z51" i="6"/>
  <c r="Y54" i="6"/>
  <c r="AB31" i="11"/>
  <c r="AA31" i="11"/>
  <c r="Z49" i="11"/>
  <c r="Z53" i="11" s="1"/>
  <c r="Z59" i="10" s="1"/>
  <c r="Y51" i="11"/>
  <c r="AA53" i="11" l="1"/>
  <c r="AA59" i="10" s="1"/>
  <c r="B57" i="11"/>
  <c r="AA51" i="6"/>
  <c r="Z54" i="6"/>
  <c r="Z51" i="11"/>
  <c r="AA49" i="11"/>
  <c r="AA51" i="11" s="1"/>
  <c r="AB51" i="6" l="1"/>
  <c r="AA54" i="6"/>
  <c r="AC51" i="6" l="1"/>
  <c r="AB54" i="6"/>
  <c r="B57" i="6" l="1"/>
  <c r="AC54" i="6"/>
</calcChain>
</file>

<file path=xl/sharedStrings.xml><?xml version="1.0" encoding="utf-8"?>
<sst xmlns="http://schemas.openxmlformats.org/spreadsheetml/2006/main" count="1059" uniqueCount="401">
  <si>
    <t>Syracuse District Energy</t>
  </si>
  <si>
    <t>Baseline LCA Calculation</t>
  </si>
  <si>
    <t>Total buildings square footage</t>
  </si>
  <si>
    <t>Blended Electric Rate</t>
  </si>
  <si>
    <t>Gas Utility Rate</t>
  </si>
  <si>
    <t>($/kWh)</t>
  </si>
  <si>
    <t>($/therm)</t>
  </si>
  <si>
    <t>System Efficiency Degredation/year</t>
  </si>
  <si>
    <t>General Inflation Rate (%)</t>
  </si>
  <si>
    <t>Utility Inflation Rate (%)</t>
  </si>
  <si>
    <r>
      <t>Electric CO</t>
    </r>
    <r>
      <rPr>
        <sz val="11"/>
        <color rgb="FFFF0000"/>
        <rFont val="Calibri"/>
        <family val="2"/>
      </rPr>
      <t>₂ Equivalency</t>
    </r>
    <r>
      <rPr>
        <sz val="11"/>
        <color rgb="FFFF0000"/>
        <rFont val="Calibri"/>
        <family val="2"/>
        <scheme val="minor"/>
      </rPr>
      <t xml:space="preserve"> (kg/kWh)</t>
    </r>
  </si>
  <si>
    <t>25 Year Energy Savings</t>
  </si>
  <si>
    <t>25 Year tCO2e Reduction</t>
  </si>
  <si>
    <r>
      <t>Gas CO</t>
    </r>
    <r>
      <rPr>
        <sz val="11"/>
        <color rgb="FFFF0000"/>
        <rFont val="Calibri"/>
        <family val="2"/>
      </rPr>
      <t>₂ Equivalency</t>
    </r>
    <r>
      <rPr>
        <sz val="11"/>
        <color rgb="FFFF0000"/>
        <rFont val="Calibri"/>
        <family val="2"/>
        <scheme val="minor"/>
      </rPr>
      <t xml:space="preserve"> (ton/MMBtu)</t>
    </r>
  </si>
  <si>
    <t>25 Year Energy Consumption Comparison (Direct Benefit)</t>
  </si>
  <si>
    <t>Nat Gas Energy Savings (Therms)</t>
  </si>
  <si>
    <t>Baseline Scenario Electric Energy Savings (kWh)</t>
  </si>
  <si>
    <t>Natural Gas Utility Rate ($/Therm)</t>
  </si>
  <si>
    <t>Electric Utility Rate ($/kWh)</t>
  </si>
  <si>
    <t>Estimated First Cost</t>
  </si>
  <si>
    <t>Year 0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</si>
  <si>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</si>
  <si>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</si>
  <si>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</si>
  <si>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</si>
  <si>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</si>
  <si>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</si>
  <si>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</si>
  <si>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</si>
  <si>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</si>
  <si>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</si>
  <si>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</si>
  <si>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</si>
  <si>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</si>
  <si>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</si>
  <si>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</si>
  <si>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</si>
  <si>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</si>
  <si>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</si>
  <si>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</si>
  <si>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</si>
  <si>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</si>
  <si>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</si>
  <si>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</si>
  <si>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</si>
  <si>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</si>
  <si>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Total</t>
  </si>
  <si>
    <t>Average</t>
  </si>
  <si>
    <t>Gas Cost ($)</t>
  </si>
  <si>
    <t>Electric Cost ($)</t>
  </si>
  <si>
    <t>Total Customer Energy Savings ($)</t>
  </si>
  <si>
    <t>Operations and Maintenance (Direct Benefit)</t>
  </si>
  <si>
    <t>Total Cost</t>
  </si>
  <si>
    <t>Avoided Customer O&amp;M - Baseline Scenario</t>
  </si>
  <si>
    <t>Carbon Reduction Social Benefit (Indirect Benefit)</t>
  </si>
  <si>
    <r>
      <t>CO</t>
    </r>
    <r>
      <rPr>
        <sz val="11"/>
        <color theme="1"/>
        <rFont val="Calibri"/>
        <family val="2"/>
      </rPr>
      <t>₂ Emissions</t>
    </r>
    <r>
      <rPr>
        <sz val="11"/>
        <color theme="1"/>
        <rFont val="Calibri"/>
        <family val="2"/>
        <scheme val="minor"/>
      </rPr>
      <t xml:space="preserve"> - Electricity(tons)</t>
    </r>
  </si>
  <si>
    <r>
      <t>CO</t>
    </r>
    <r>
      <rPr>
        <sz val="11"/>
        <color theme="1"/>
        <rFont val="Calibri"/>
        <family val="2"/>
      </rPr>
      <t>₂ Emissions</t>
    </r>
    <r>
      <rPr>
        <sz val="11"/>
        <color theme="1"/>
        <rFont val="Calibri"/>
        <family val="2"/>
        <scheme val="minor"/>
      </rPr>
      <t xml:space="preserve"> - NG(tons)</t>
    </r>
  </si>
  <si>
    <t>Associated Methane Leakage (tons)</t>
  </si>
  <si>
    <t>Total Ton Reduction</t>
  </si>
  <si>
    <t>Carbon Reduction Social Benefit</t>
  </si>
  <si>
    <t>Equipment Replacement Cost at the End of Equipment Life (Direct Benefit)</t>
  </si>
  <si>
    <t>Total Cost of Recondition</t>
  </si>
  <si>
    <t>At 10% per Year</t>
  </si>
  <si>
    <t>Tower Costs - Baseline Scenario</t>
  </si>
  <si>
    <t>Boiler Costs - Baseline Scenario</t>
  </si>
  <si>
    <t xml:space="preserve"> </t>
  </si>
  <si>
    <t>Total Cost - Baseline Scenario</t>
  </si>
  <si>
    <t>Tower Recondition Costs - Baseline Scenario</t>
  </si>
  <si>
    <t>Boiler Replacement Costs - Baseline Scenario</t>
  </si>
  <si>
    <t>Total Avoided Customer Equipment Recondition</t>
  </si>
  <si>
    <t>Baseline Cashflow</t>
  </si>
  <si>
    <t>Discount Rate</t>
  </si>
  <si>
    <t>Net Present Value Life Cycle Cost</t>
  </si>
  <si>
    <t>25 Year Energy Cost</t>
  </si>
  <si>
    <t>25 Year tCO2e</t>
  </si>
  <si>
    <t>25 Year Energy Consumption Comparison (system efficiency deteriorates by 0.25% every year)</t>
  </si>
  <si>
    <t>Baseline Scenario Nat Gas Energy Consumption (Therms)</t>
  </si>
  <si>
    <t>Baseline Scenario Electric Energy Consumption (kWh)</t>
  </si>
  <si>
    <t>Total Cost ($)</t>
  </si>
  <si>
    <t>Natural Gas Rate Escalation Factor</t>
  </si>
  <si>
    <t>Electricity Rate Escalation Factor</t>
  </si>
  <si>
    <t>Operations and Maintenance</t>
  </si>
  <si>
    <t>Year</t>
  </si>
  <si>
    <t>O&amp;M - Baseline Scenario</t>
  </si>
  <si>
    <t>Carbon Emissions</t>
  </si>
  <si>
    <r>
      <t>CO</t>
    </r>
    <r>
      <rPr>
        <b/>
        <sz val="11"/>
        <color theme="1"/>
        <rFont val="Calibri"/>
        <family val="2"/>
      </rPr>
      <t>₂ Emissions</t>
    </r>
    <r>
      <rPr>
        <b/>
        <sz val="11"/>
        <color theme="1"/>
        <rFont val="Calibri"/>
        <family val="2"/>
        <scheme val="minor"/>
      </rPr>
      <t xml:space="preserve"> - Electricity(tons)</t>
    </r>
  </si>
  <si>
    <r>
      <t>CO</t>
    </r>
    <r>
      <rPr>
        <b/>
        <sz val="11"/>
        <color theme="1"/>
        <rFont val="Calibri"/>
        <family val="2"/>
      </rPr>
      <t>₂ Emissions</t>
    </r>
    <r>
      <rPr>
        <b/>
        <sz val="11"/>
        <color theme="1"/>
        <rFont val="Calibri"/>
        <family val="2"/>
        <scheme val="minor"/>
      </rPr>
      <t xml:space="preserve"> - NG(tons)</t>
    </r>
  </si>
  <si>
    <t>Social Cost of Carbon</t>
  </si>
  <si>
    <t>Equipment Replacement Cost at the End of Equipment Life</t>
  </si>
  <si>
    <t>Initial OpEx- Year 1</t>
  </si>
  <si>
    <t>DES LCA Calculation</t>
  </si>
  <si>
    <t>Central Plant Electric Rate</t>
  </si>
  <si>
    <t>Cooling System Improvement</t>
  </si>
  <si>
    <t>25 Year Proposed Energy Consumption  (system efficiency deteriorates by 0.25% every year)</t>
  </si>
  <si>
    <t>DES Scenario Nat Gas Energy Consumption (Therms)</t>
  </si>
  <si>
    <t>DES Scenario Electric Energy Consumption (kWh)</t>
  </si>
  <si>
    <t>DES Plant Electric Energy Consumption (kWh)</t>
  </si>
  <si>
    <t>DES Energy Served (MMBTU)</t>
  </si>
  <si>
    <t>DES Rate ($/MMBTU)</t>
  </si>
  <si>
    <t>Central Plant O&amp;M</t>
  </si>
  <si>
    <t>Societal Cost of Carbon Reduction</t>
  </si>
  <si>
    <t xml:space="preserve">Cashflow </t>
  </si>
  <si>
    <t>Net Present Value Life Cycle Cost (w/o Emissions)</t>
  </si>
  <si>
    <t>Initial Capital Investent - Year 1</t>
  </si>
  <si>
    <t>Savings</t>
  </si>
  <si>
    <t>E(0.09) G(0.7)</t>
  </si>
  <si>
    <t>E(0.10) G(0.8)</t>
  </si>
  <si>
    <t>E(0.11) G(0.9)</t>
  </si>
  <si>
    <t>E(0.12) G(1.0)</t>
  </si>
  <si>
    <t>Discount</t>
  </si>
  <si>
    <t>Electricity</t>
  </si>
  <si>
    <t>Rate</t>
  </si>
  <si>
    <t>Natural Gas</t>
  </si>
  <si>
    <t>https://www.dec.ny.gov/docs/administration_pdf/vocguidrev.pdf</t>
  </si>
  <si>
    <t xml:space="preserve">Total CO2 </t>
  </si>
  <si>
    <t>Annual Benefit</t>
  </si>
  <si>
    <t>Benefit Rate</t>
  </si>
  <si>
    <t xml:space="preserve">Methane </t>
  </si>
  <si>
    <t>(tons)</t>
  </si>
  <si>
    <t>($)</t>
  </si>
  <si>
    <t>Benefit Rate Regression</t>
  </si>
  <si>
    <t>X</t>
  </si>
  <si>
    <t>Const</t>
  </si>
  <si>
    <t>kg/kWh</t>
  </si>
  <si>
    <t>tons/MMBtu</t>
  </si>
  <si>
    <t>Regression - kWh</t>
  </si>
  <si>
    <t>Regression - MMBtu</t>
  </si>
  <si>
    <t xml:space="preserve">40 Btu/sf </t>
  </si>
  <si>
    <t>sizing of heating system</t>
  </si>
  <si>
    <t>Heating</t>
  </si>
  <si>
    <t>Cooling</t>
  </si>
  <si>
    <t>Building</t>
  </si>
  <si>
    <t>Sq-ft</t>
  </si>
  <si>
    <t>MMBtu/yr</t>
  </si>
  <si>
    <t>Htg EUI</t>
  </si>
  <si>
    <t>Clg EUI</t>
  </si>
  <si>
    <t>MMBtu/hr</t>
  </si>
  <si>
    <t>Peak Htg (MBH)</t>
  </si>
  <si>
    <t>Boilers</t>
  </si>
  <si>
    <t>Pumps</t>
  </si>
  <si>
    <t>Clg Tons</t>
  </si>
  <si>
    <t>Chiller</t>
  </si>
  <si>
    <t>Tower</t>
  </si>
  <si>
    <t>Barclay Damon</t>
  </si>
  <si>
    <t>One Clinton Square</t>
  </si>
  <si>
    <t>Atrium</t>
  </si>
  <si>
    <t>State Tower</t>
  </si>
  <si>
    <t>Courtyard Marriott</t>
  </si>
  <si>
    <t>US Social Security Admin</t>
  </si>
  <si>
    <t>M&amp;T Bank</t>
  </si>
  <si>
    <t>State Office Building</t>
  </si>
  <si>
    <t>SU-Warehouse</t>
  </si>
  <si>
    <t>300 S State St</t>
  </si>
  <si>
    <t>Key Bank Building</t>
  </si>
  <si>
    <t>100 East Washington St</t>
  </si>
  <si>
    <t>Ramboll</t>
  </si>
  <si>
    <t>City Hall</t>
  </si>
  <si>
    <t>1 Lincoln Center</t>
  </si>
  <si>
    <t>SUNY Oswego MetroCenter</t>
  </si>
  <si>
    <t>217 Montgomery St</t>
  </si>
  <si>
    <t>City Hall Commons</t>
  </si>
  <si>
    <t>Salinas Place</t>
  </si>
  <si>
    <t>AXA Towers</t>
  </si>
  <si>
    <t>Onondaga County DH&amp;C Plant</t>
  </si>
  <si>
    <t>Hotel Syracuse</t>
  </si>
  <si>
    <t>Tech Garden</t>
  </si>
  <si>
    <t>Bank of America</t>
  </si>
  <si>
    <t>Clinton Exchange</t>
  </si>
  <si>
    <t>National Grid</t>
  </si>
  <si>
    <t>Post Standard</t>
  </si>
  <si>
    <t>Galleries of Syracuse</t>
  </si>
  <si>
    <t>100 Clinton Sq</t>
  </si>
  <si>
    <t>City of Syr Criminal Court House</t>
  </si>
  <si>
    <t>550 Harrison Building</t>
  </si>
  <si>
    <t>Jefferson Clinton Hotel</t>
  </si>
  <si>
    <t>Sky Armory</t>
  </si>
  <si>
    <t>Clinton Plaza</t>
  </si>
  <si>
    <t>MOST</t>
  </si>
  <si>
    <t>600 Montgomery St</t>
  </si>
  <si>
    <t>SU-Peck Hall</t>
  </si>
  <si>
    <t>Parcel 1</t>
  </si>
  <si>
    <t>Parcel 2</t>
  </si>
  <si>
    <t>Parcel 3</t>
  </si>
  <si>
    <t>Parcel 4</t>
  </si>
  <si>
    <t>Parcel 5</t>
  </si>
  <si>
    <t>Parcel 6</t>
  </si>
  <si>
    <t>Parcel 7</t>
  </si>
  <si>
    <t>Parcel 8</t>
  </si>
  <si>
    <t>Parcel 9</t>
  </si>
  <si>
    <t>Parcel 10</t>
  </si>
  <si>
    <t>Parcel 11</t>
  </si>
  <si>
    <t>Parcel 12</t>
  </si>
  <si>
    <t>Medical Office Bldg</t>
  </si>
  <si>
    <t>WSHP Heat Pump Cost</t>
  </si>
  <si>
    <t>20 MBH WSHP</t>
  </si>
  <si>
    <t>Material</t>
  </si>
  <si>
    <t>Labor</t>
  </si>
  <si>
    <t>WSHP Unit</t>
  </si>
  <si>
    <t>Piping in Bldg</t>
  </si>
  <si>
    <t>MBH Rating</t>
  </si>
  <si>
    <t>Initial Cost per MBH</t>
  </si>
  <si>
    <t>Replacement Cost per MBH</t>
  </si>
  <si>
    <t>Total MBH</t>
  </si>
  <si>
    <t>Total Initial Cost</t>
  </si>
  <si>
    <t>Total Area (SF)</t>
  </si>
  <si>
    <t>SF</t>
  </si>
  <si>
    <t>Total Replacement Cost</t>
  </si>
  <si>
    <t xml:space="preserve">Total Terminal Unit Cost </t>
  </si>
  <si>
    <t>PTAC with hot water heat and dx cooling</t>
  </si>
  <si>
    <t>20 MBH Heat</t>
  </si>
  <si>
    <t>PTAC Unit</t>
  </si>
  <si>
    <t>Cost per MBH</t>
  </si>
  <si>
    <t>LCA Calculation for Syracuse DES Geothermal</t>
  </si>
  <si>
    <t>Electricity Cost  Escalation</t>
  </si>
  <si>
    <t>Natural Gas Cost Escalation</t>
  </si>
  <si>
    <t>O&amp;M Growth Rate (%)</t>
  </si>
  <si>
    <t>25 Year Energy Cost Savings &amp; Revenue</t>
  </si>
  <si>
    <t>25 Year Project Savings (Construction Cost - Energy Savings)</t>
  </si>
  <si>
    <t>Total kWh</t>
  </si>
  <si>
    <t>Baseline scenario Nat Gas energy consumption (Therms)</t>
  </si>
  <si>
    <t>Heat Pump scenario Nat Gas energy consumption (Therms)</t>
  </si>
  <si>
    <t>Baseline scenario electric energy consumption (kWh)</t>
  </si>
  <si>
    <t>Heat Pump scenario electric energy consumption (kWh)</t>
  </si>
  <si>
    <t>Baseline Scenario</t>
  </si>
  <si>
    <t xml:space="preserve">Heat Pump (DES) Scenario </t>
  </si>
  <si>
    <t>Replacement Cost at the End of Equipment Life</t>
  </si>
  <si>
    <t>Present Worth</t>
  </si>
  <si>
    <t>Year 20*</t>
  </si>
  <si>
    <t>Total Life Cycle Cost</t>
  </si>
  <si>
    <t xml:space="preserve">* Boiler and Chiller Replacement Cost </t>
  </si>
  <si>
    <t>Energy Cost Savings</t>
  </si>
  <si>
    <t>Totals</t>
  </si>
  <si>
    <t>Natural Gas Cost Savings</t>
  </si>
  <si>
    <t>Electric Cost Savings</t>
  </si>
  <si>
    <t>Total Energy  Savings</t>
  </si>
  <si>
    <t xml:space="preserve">NPV ANALYSIS </t>
  </si>
  <si>
    <t>Initial Capital Investment - WSHP (DES)</t>
  </si>
  <si>
    <t>Initial Capital Investment - Boiler/Ch/Twr</t>
  </si>
  <si>
    <t>Net Investment</t>
  </si>
  <si>
    <t xml:space="preserve">Project Cash Flow </t>
  </si>
  <si>
    <t>Net Present Worth of Investment</t>
  </si>
  <si>
    <t>City of Troy</t>
  </si>
  <si>
    <t>Multipliers</t>
  </si>
  <si>
    <t>Material:</t>
  </si>
  <si>
    <t>Labor:</t>
  </si>
  <si>
    <t>WSHP District Energy</t>
  </si>
  <si>
    <t>Equipment:</t>
  </si>
  <si>
    <t>Description</t>
  </si>
  <si>
    <t>QTY</t>
  </si>
  <si>
    <t>UNIT</t>
  </si>
  <si>
    <t>UNIT COSTS</t>
  </si>
  <si>
    <t>SUBTOTAL COSTS</t>
  </si>
  <si>
    <t>TOTAL COST</t>
  </si>
  <si>
    <t>REMARKS</t>
  </si>
  <si>
    <t>MAT.</t>
  </si>
  <si>
    <t>LABOR</t>
  </si>
  <si>
    <t>EQUIP.</t>
  </si>
  <si>
    <t>Central Plant Building</t>
  </si>
  <si>
    <t>Pump Station</t>
  </si>
  <si>
    <t>Excavation and backfill</t>
  </si>
  <si>
    <t>LF</t>
  </si>
  <si>
    <t>Compact backfill</t>
  </si>
  <si>
    <t>HDPE Piping</t>
  </si>
  <si>
    <t>Hardscape Restroration</t>
  </si>
  <si>
    <t>Parking Lot Restoration</t>
  </si>
  <si>
    <t>Source Side</t>
  </si>
  <si>
    <t>Loop Pumps - 40 HP</t>
  </si>
  <si>
    <t>EA</t>
  </si>
  <si>
    <t>Pump VFD - 40 HP</t>
  </si>
  <si>
    <t>Borefield Pumps - 20 HP</t>
  </si>
  <si>
    <t>Pump VFD - 20 HP</t>
  </si>
  <si>
    <t>Borefield Pumps - 10 HP</t>
  </si>
  <si>
    <t>Pump VFD - 10 HP</t>
  </si>
  <si>
    <t>6" Black Iron Pipe</t>
  </si>
  <si>
    <t>Steel Fittings</t>
  </si>
  <si>
    <t>LS</t>
  </si>
  <si>
    <t>4" HDPE</t>
  </si>
  <si>
    <t>Site Trenching and backfill</t>
  </si>
  <si>
    <t>3' HDPE</t>
  </si>
  <si>
    <t>2 1/2" HDPE</t>
  </si>
  <si>
    <t>2" HDPE</t>
  </si>
  <si>
    <t>1 1/2" HDPE</t>
  </si>
  <si>
    <t>HDPE Fittings</t>
  </si>
  <si>
    <t xml:space="preserve">Air Separator - 6" </t>
  </si>
  <si>
    <t>Expansion Tanks -300 gal</t>
  </si>
  <si>
    <t>Geothermal Boreholes (180 Boreholes x 500 ft)</t>
  </si>
  <si>
    <t>Heat Exchanger</t>
  </si>
  <si>
    <t>Electrical</t>
  </si>
  <si>
    <t>75 kVA Transfomer</t>
  </si>
  <si>
    <t>100 A Panel - 460 V/3 Ph</t>
  </si>
  <si>
    <t>100 A Panel - 240V/1Ph</t>
  </si>
  <si>
    <t>Equipment Connection - Pumps</t>
  </si>
  <si>
    <t>Misc Elec</t>
  </si>
  <si>
    <t>HVAC Controls</t>
  </si>
  <si>
    <t>Front End</t>
  </si>
  <si>
    <t>Startup &amp; Testing</t>
  </si>
  <si>
    <t>HRS</t>
  </si>
  <si>
    <t>Subtotal</t>
  </si>
  <si>
    <t>Contingency</t>
  </si>
  <si>
    <t>Contractor O&amp;P</t>
  </si>
  <si>
    <t>Engineering</t>
  </si>
  <si>
    <t>Boiler Replacement</t>
  </si>
  <si>
    <t>Boiler_Chiller_Tower System</t>
  </si>
  <si>
    <t>Chiller Replacement</t>
  </si>
  <si>
    <t>Taylor 1 -2 x 1500 MBH</t>
  </si>
  <si>
    <t>Taylor 2 -2 x 1500 MBH</t>
  </si>
  <si>
    <t>Taylor 3 -2 x 1500 MBH</t>
  </si>
  <si>
    <t>Taylor 4 -2 x 1500 MBH</t>
  </si>
  <si>
    <t>155 River Street -2 x 500 MBH</t>
  </si>
  <si>
    <t>171 River Street -1 x 500 MBH</t>
  </si>
  <si>
    <t>213 River Street -1 x 500 MBH</t>
  </si>
  <si>
    <t>219 River Street -1 x 500 MBH</t>
  </si>
  <si>
    <t>221-223 River Street - 75 MBH Furnace</t>
  </si>
  <si>
    <t>231-249 River Street -2 x 1000 MBH</t>
  </si>
  <si>
    <t>251 River Street -2 x 1000 MBH</t>
  </si>
  <si>
    <t>261-269 River Street -2 x 1500 MBH</t>
  </si>
  <si>
    <t>Main Pumps</t>
  </si>
  <si>
    <t>Taylor 1 -2x10 HP  Pump</t>
  </si>
  <si>
    <t>Taylor 2 -2x10 HP  Pump</t>
  </si>
  <si>
    <t>Taylor 3 -2x10 HP  Pump</t>
  </si>
  <si>
    <t>Taylor 4 -2x10 HP  Pump</t>
  </si>
  <si>
    <t>155 River Street -2x5 HP  Pump</t>
  </si>
  <si>
    <t>171 River Street -2x5 HP  Pump</t>
  </si>
  <si>
    <t>213 River Street -2x5 HP  Pump</t>
  </si>
  <si>
    <t>219 River Street -2x5 HP  Pump</t>
  </si>
  <si>
    <t>221-223 River Street -  Pump</t>
  </si>
  <si>
    <t>231-249 River Street -2x7.5 HP  Pump</t>
  </si>
  <si>
    <t>251 River Street -2x7.5 HP  Pump</t>
  </si>
  <si>
    <t>261-269 River Street -2x10 HP  Pump</t>
  </si>
  <si>
    <t>Chillers &amp; Tower</t>
  </si>
  <si>
    <t>Air Separator</t>
  </si>
  <si>
    <t>Expansion Tank</t>
  </si>
  <si>
    <t>Taylor 1 - 4  500 Ton Chiller</t>
  </si>
  <si>
    <t>650 Ton Tower</t>
  </si>
  <si>
    <t>155 River Street -50 Ton</t>
  </si>
  <si>
    <t>171 River Street -50 Ton</t>
  </si>
  <si>
    <t>213 River Street -30 Ton</t>
  </si>
  <si>
    <t>219 River Street -30 Ton</t>
  </si>
  <si>
    <t>221-223 River Street - 10 T DX</t>
  </si>
  <si>
    <t>231-249 River Street -100 Ton</t>
  </si>
  <si>
    <t>251 River Street -50 Ton</t>
  </si>
  <si>
    <t>261-269 River Street -100 Ton</t>
  </si>
  <si>
    <t>Circ Pumps</t>
  </si>
  <si>
    <t>Taylor 1 -Circulation Pumps</t>
  </si>
  <si>
    <t>3-HP</t>
  </si>
  <si>
    <t>Taylor 2 -Circulation Pumps</t>
  </si>
  <si>
    <t>Taylor 3 -Circulation Pumps</t>
  </si>
  <si>
    <t>Taylor 4 -Circulation Pumps</t>
  </si>
  <si>
    <t>155 River Street -Circulation Pumps - 1 HP</t>
  </si>
  <si>
    <t>171 River Street -Circulation Pumps - 1 HP</t>
  </si>
  <si>
    <t>213 River Street -Circulation Pumps - 1 HP</t>
  </si>
  <si>
    <t>219 River Street -Circulation Pumps  - 1 HP</t>
  </si>
  <si>
    <t xml:space="preserve">221-223 River Street -Circulation Pumps </t>
  </si>
  <si>
    <t>231-249 River Street -Circulation Pumps- 2HP</t>
  </si>
  <si>
    <t>251 River Street -Circulation Pumps - 2HP</t>
  </si>
  <si>
    <t>261-269 River Street -Circulation Pumps - 3HP</t>
  </si>
  <si>
    <t>Boilers - Sage</t>
  </si>
  <si>
    <t>Cowee Hall + Swimming Pool -2 x 500 MBH</t>
  </si>
  <si>
    <t>Slingerland Alumnae House - 100 MBH Furnace</t>
  </si>
  <si>
    <t>Roy Courtyard - 150 MBH Furnace</t>
  </si>
  <si>
    <t>Hart Hall - 1 x 500 MBH</t>
  </si>
  <si>
    <t>Ricketts Hall - 2 x 500 MBH</t>
  </si>
  <si>
    <t>Manning Hall - 2 x 500 MBH</t>
  </si>
  <si>
    <t>Esteves School of Education - 1 x 300 MBH</t>
  </si>
  <si>
    <t>Plum Memorial - 200 MBH Furnace</t>
  </si>
  <si>
    <t>Chillers - Sage</t>
  </si>
  <si>
    <t>Cowee Hall + Swimming Pool - 30 Ton</t>
  </si>
  <si>
    <t>Slingerland Alumnae House - 10 Ton dx</t>
  </si>
  <si>
    <t>Roy Courtyard - 10 Ton dx</t>
  </si>
  <si>
    <t>Hart Hall - 30 Ton</t>
  </si>
  <si>
    <t>Ricketts Hall - 50 Ton</t>
  </si>
  <si>
    <t>Manning Hall - 30 Ton</t>
  </si>
  <si>
    <t>Esteves School of Education - 15 Ton dx</t>
  </si>
  <si>
    <t>Plum Memorial - 10 Ton dx</t>
  </si>
  <si>
    <t>Main Pumps - Sage</t>
  </si>
  <si>
    <t>Cowee Hall + Swimming Pool - 2x5 HP</t>
  </si>
  <si>
    <t>Hart Hall - 2x5 HP</t>
  </si>
  <si>
    <t>Ricketts Hall - 2x5 HP</t>
  </si>
  <si>
    <t>Manning Hall - 2x5 HP</t>
  </si>
  <si>
    <t>Esteves School of Education - 2x3 HP</t>
  </si>
  <si>
    <t>Circ Pumps - Sage</t>
  </si>
  <si>
    <t>Cowee Hall + Swimming Pool - 1 HP</t>
  </si>
  <si>
    <t>Hart Hall - 1 HP</t>
  </si>
  <si>
    <t>Ricketts Hall - 1 HP</t>
  </si>
  <si>
    <t>Manning Hall - 1 HP</t>
  </si>
  <si>
    <t>Esteves School of Education - 3/4 HP</t>
  </si>
  <si>
    <t>For four new buildings/ Use existing for all others.</t>
  </si>
  <si>
    <t>Misc Electricals - xformer/ Panel/ Switchgear</t>
  </si>
  <si>
    <t>Chemical Tratment</t>
  </si>
  <si>
    <t>Concrete Pad - Primary Boilers</t>
  </si>
  <si>
    <t>Boiler Rigging - All Boilers</t>
  </si>
  <si>
    <t>Boiler - Flue Venting (double wall stainless steel AL-294c)</t>
  </si>
  <si>
    <t>Gas Piping</t>
  </si>
  <si>
    <t>Boiler Controls and Wiring</t>
  </si>
  <si>
    <t>Power Wiring to new equipment</t>
  </si>
  <si>
    <t>A</t>
  </si>
  <si>
    <t>B</t>
  </si>
  <si>
    <t>C</t>
  </si>
  <si>
    <t>Fuel Indices</t>
  </si>
  <si>
    <t>Cost of Carbon</t>
  </si>
  <si>
    <t>Sizing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</si>
</sst>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&quot;$&quot;#,##0"/>
    <numFmt numFmtId="167" formatCode="_(&quot;$&quot;* #,##0.0_);_(&quot;$&quot;* \(#,##0.0\);_(&quot;$&quot;* &quot;-&quot;_);_(@_)"/>
    <numFmt numFmtId="168" formatCode="0.000%"/>
    <numFmt numFmtId="169" formatCode="0.0%"/>
    <numFmt numFmtId="170" formatCode="0.0"/>
    <numFmt numFmtId="171" formatCode="_(&quot;$&quot;* #,##0.00_);_(&quot;$&quot;* \(#,##0.00\);_(&quot;$&quot;* &quot;-&quot;_);_(@_)"/>
    <numFmt numFmtId="172" formatCode="&quot;$&quot;#,##0.000_);\(&quot;$&quot;#,##0.000\)"/>
    <numFmt numFmtId="173" formatCode="#,##0.0"/>
    <numFmt numFmtId="174" formatCode="&quot;$&quot;#,##0.00"/>
    <numFmt numFmtId="175" formatCode="#,##0.000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43" fontId="12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590">
    <xf numFmtId="0" fontId="0" fillId="0" borderId="0" xfId="0"/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vertical="center"/>
    </xf>
    <xf numFmtId="16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0" fontId="7" fillId="0" borderId="0" xfId="0" applyFont="1"/>
    <xf numFmtId="44" fontId="0" fillId="0" borderId="0" xfId="0" applyNumberFormat="1" applyAlignment="1">
      <alignment horizontal="center"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vertical="center" wrapText="1"/>
    </xf>
    <xf numFmtId="43" fontId="11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3" fillId="0" borderId="0" xfId="0" applyFont="1"/>
    <xf numFmtId="0" fontId="14" fillId="0" borderId="0" xfId="0" applyFont="1"/>
    <xf numFmtId="44" fontId="0" fillId="0" borderId="2" xfId="0" applyNumberFormat="1" applyBorder="1"/>
    <xf numFmtId="44" fontId="0" fillId="0" borderId="3" xfId="0" applyNumberFormat="1" applyBorder="1"/>
    <xf numFmtId="44" fontId="0" fillId="0" borderId="4" xfId="0" applyNumberFormat="1" applyBorder="1"/>
    <xf numFmtId="0" fontId="0" fillId="0" borderId="0" xfId="0" applyAlignment="1">
      <alignment horizontal="center"/>
    </xf>
    <xf numFmtId="44" fontId="0" fillId="0" borderId="5" xfId="0" applyNumberFormat="1" applyBorder="1"/>
    <xf numFmtId="44" fontId="0" fillId="0" borderId="6" xfId="0" applyNumberFormat="1" applyBorder="1" applyAlignment="1">
      <alignment horizontal="right"/>
    </xf>
    <xf numFmtId="39" fontId="0" fillId="0" borderId="7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6" fillId="0" borderId="0" xfId="3" applyFont="1"/>
    <xf numFmtId="44" fontId="0" fillId="0" borderId="8" xfId="0" applyNumberFormat="1" applyBorder="1"/>
    <xf numFmtId="44" fontId="0" fillId="0" borderId="9" xfId="0" applyNumberFormat="1" applyBorder="1" applyAlignment="1">
      <alignment horizontal="right"/>
    </xf>
    <xf numFmtId="39" fontId="0" fillId="0" borderId="10" xfId="0" applyNumberFormat="1" applyBorder="1" applyAlignment="1">
      <alignment horizontal="center"/>
    </xf>
    <xf numFmtId="44" fontId="0" fillId="0" borderId="0" xfId="0" applyNumberFormat="1"/>
    <xf numFmtId="44" fontId="0" fillId="0" borderId="19" xfId="0" applyNumberFormat="1" applyBorder="1" applyAlignment="1">
      <alignment horizontal="center"/>
    </xf>
    <xf numFmtId="44" fontId="0" fillId="0" borderId="20" xfId="0" applyNumberFormat="1" applyBorder="1" applyAlignment="1">
      <alignment horizontal="center"/>
    </xf>
    <xf numFmtId="44" fontId="0" fillId="0" borderId="21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14" fillId="0" borderId="27" xfId="0" applyFont="1" applyBorder="1"/>
    <xf numFmtId="0" fontId="0" fillId="0" borderId="28" xfId="0" applyBorder="1" applyAlignment="1">
      <alignment horizontal="center"/>
    </xf>
    <xf numFmtId="42" fontId="12" fillId="0" borderId="1" xfId="1" applyNumberFormat="1" applyBorder="1"/>
    <xf numFmtId="42" fontId="15" fillId="0" borderId="1" xfId="1" applyNumberFormat="1" applyFont="1" applyBorder="1"/>
    <xf numFmtId="42" fontId="12" fillId="0" borderId="29" xfId="1" applyNumberFormat="1" applyBorder="1"/>
    <xf numFmtId="42" fontId="12" fillId="0" borderId="30" xfId="1" applyNumberFormat="1" applyBorder="1"/>
    <xf numFmtId="42" fontId="12" fillId="0" borderId="31" xfId="1" applyNumberFormat="1" applyBorder="1" applyAlignment="1">
      <alignment horizontal="center"/>
    </xf>
    <xf numFmtId="0" fontId="15" fillId="0" borderId="5" xfId="0" applyFont="1" applyBorder="1" applyAlignment="1">
      <alignment horizontal="left" indent="2"/>
    </xf>
    <xf numFmtId="0" fontId="0" fillId="0" borderId="6" xfId="0" applyBorder="1"/>
    <xf numFmtId="0" fontId="15" fillId="0" borderId="28" xfId="0" applyFont="1" applyBorder="1" applyAlignment="1">
      <alignment horizontal="center"/>
    </xf>
    <xf numFmtId="42" fontId="12" fillId="0" borderId="28" xfId="1" applyNumberFormat="1" applyBorder="1" applyAlignment="1">
      <alignment horizontal="center"/>
    </xf>
    <xf numFmtId="0" fontId="0" fillId="0" borderId="5" xfId="0" applyBorder="1" applyAlignment="1">
      <alignment horizontal="left" wrapText="1"/>
    </xf>
    <xf numFmtId="0" fontId="0" fillId="0" borderId="34" xfId="0" applyBorder="1" applyAlignment="1">
      <alignment horizontal="left" wrapText="1"/>
    </xf>
    <xf numFmtId="42" fontId="12" fillId="0" borderId="5" xfId="1" applyNumberFormat="1" applyBorder="1" applyAlignment="1">
      <alignment horizontal="left"/>
    </xf>
    <xf numFmtId="42" fontId="12" fillId="0" borderId="34" xfId="1" applyNumberFormat="1" applyBorder="1" applyAlignment="1">
      <alignment horizontal="left"/>
    </xf>
    <xf numFmtId="42" fontId="15" fillId="0" borderId="5" xfId="1" applyNumberFormat="1" applyFont="1" applyBorder="1" applyAlignment="1">
      <alignment horizontal="left"/>
    </xf>
    <xf numFmtId="0" fontId="15" fillId="0" borderId="35" xfId="4" applyBorder="1" applyAlignment="1">
      <alignment horizontal="left"/>
    </xf>
    <xf numFmtId="0" fontId="15" fillId="0" borderId="5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5" fillId="0" borderId="8" xfId="0" applyFont="1" applyBorder="1"/>
    <xf numFmtId="0" fontId="0" fillId="0" borderId="9" xfId="0" applyBorder="1"/>
    <xf numFmtId="0" fontId="0" fillId="0" borderId="36" xfId="0" applyBorder="1" applyAlignment="1">
      <alignment horizontal="center"/>
    </xf>
    <xf numFmtId="42" fontId="12" fillId="0" borderId="37" xfId="1" applyNumberFormat="1" applyBorder="1"/>
    <xf numFmtId="42" fontId="12" fillId="0" borderId="38" xfId="1" applyNumberFormat="1" applyBorder="1" applyAlignment="1">
      <alignment horizontal="center"/>
    </xf>
    <xf numFmtId="42" fontId="12" fillId="0" borderId="39" xfId="1" applyNumberFormat="1" applyBorder="1" applyAlignment="1">
      <alignment horizontal="left"/>
    </xf>
    <xf numFmtId="42" fontId="12" fillId="0" borderId="40" xfId="1" applyNumberFormat="1" applyBorder="1" applyAlignment="1">
      <alignment horizontal="left"/>
    </xf>
    <xf numFmtId="0" fontId="0" fillId="0" borderId="12" xfId="0" applyBorder="1"/>
    <xf numFmtId="0" fontId="0" fillId="0" borderId="12" xfId="0" applyBorder="1" applyAlignment="1">
      <alignment horizontal="center"/>
    </xf>
    <xf numFmtId="42" fontId="0" fillId="0" borderId="12" xfId="0" applyNumberFormat="1" applyBorder="1"/>
    <xf numFmtId="42" fontId="0" fillId="0" borderId="41" xfId="0" applyNumberFormat="1" applyBorder="1" applyAlignment="1">
      <alignment horizontal="center"/>
    </xf>
    <xf numFmtId="42" fontId="0" fillId="0" borderId="0" xfId="0" applyNumberFormat="1" applyAlignment="1">
      <alignment horizontal="left"/>
    </xf>
    <xf numFmtId="42" fontId="0" fillId="0" borderId="0" xfId="0" applyNumberFormat="1"/>
    <xf numFmtId="42" fontId="0" fillId="0" borderId="42" xfId="0" applyNumberFormat="1" applyBorder="1" applyAlignment="1">
      <alignment horizontal="center"/>
    </xf>
    <xf numFmtId="0" fontId="0" fillId="0" borderId="43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164" fontId="12" fillId="0" borderId="25" xfId="1" applyNumberFormat="1" applyBorder="1" applyAlignment="1">
      <alignment horizontal="center"/>
    </xf>
    <xf numFmtId="9" fontId="15" fillId="0" borderId="44" xfId="2" applyFont="1" applyBorder="1" applyAlignment="1">
      <alignment horizontal="right"/>
    </xf>
    <xf numFmtId="0" fontId="15" fillId="0" borderId="34" xfId="0" applyFont="1" applyBorder="1" applyAlignment="1">
      <alignment horizontal="left" wrapText="1"/>
    </xf>
    <xf numFmtId="42" fontId="0" fillId="0" borderId="25" xfId="0" applyNumberFormat="1" applyBorder="1" applyAlignment="1">
      <alignment horizontal="center"/>
    </xf>
    <xf numFmtId="0" fontId="15" fillId="0" borderId="0" xfId="0" applyFont="1" applyAlignment="1">
      <alignment horizontal="center"/>
    </xf>
    <xf numFmtId="42" fontId="15" fillId="0" borderId="0" xfId="0" applyNumberFormat="1" applyFont="1"/>
    <xf numFmtId="42" fontId="13" fillId="0" borderId="8" xfId="0" applyNumberFormat="1" applyFont="1" applyBorder="1" applyAlignment="1">
      <alignment horizontal="center" vertical="center"/>
    </xf>
    <xf numFmtId="44" fontId="15" fillId="0" borderId="0" xfId="1" applyFont="1"/>
    <xf numFmtId="44" fontId="12" fillId="0" borderId="0" xfId="1"/>
    <xf numFmtId="0" fontId="2" fillId="0" borderId="26" xfId="0" applyFont="1" applyBorder="1"/>
    <xf numFmtId="166" fontId="0" fillId="0" borderId="0" xfId="0" applyNumberFormat="1" applyAlignment="1">
      <alignment horizontal="center"/>
    </xf>
    <xf numFmtId="167" fontId="12" fillId="0" borderId="1" xfId="1" applyNumberFormat="1" applyBorder="1"/>
    <xf numFmtId="0" fontId="7" fillId="0" borderId="28" xfId="0" applyFont="1" applyBorder="1" applyAlignment="1">
      <alignment horizontal="center"/>
    </xf>
    <xf numFmtId="42" fontId="7" fillId="0" borderId="1" xfId="1" applyNumberFormat="1" applyFont="1" applyBorder="1"/>
    <xf numFmtId="0" fontId="7" fillId="4" borderId="6" xfId="0" applyFont="1" applyFill="1" applyBorder="1"/>
    <xf numFmtId="0" fontId="14" fillId="4" borderId="27" xfId="0" applyFont="1" applyFill="1" applyBorder="1"/>
    <xf numFmtId="0" fontId="7" fillId="4" borderId="28" xfId="0" applyFont="1" applyFill="1" applyBorder="1" applyAlignment="1">
      <alignment horizontal="center"/>
    </xf>
    <xf numFmtId="42" fontId="7" fillId="4" borderId="1" xfId="1" applyNumberFormat="1" applyFont="1" applyFill="1" applyBorder="1"/>
    <xf numFmtId="42" fontId="7" fillId="4" borderId="29" xfId="1" applyNumberFormat="1" applyFont="1" applyFill="1" applyBorder="1"/>
    <xf numFmtId="42" fontId="7" fillId="4" borderId="30" xfId="1" applyNumberFormat="1" applyFont="1" applyFill="1" applyBorder="1"/>
    <xf numFmtId="42" fontId="7" fillId="4" borderId="31" xfId="1" applyNumberFormat="1" applyFont="1" applyFill="1" applyBorder="1" applyAlignment="1">
      <alignment horizontal="center"/>
    </xf>
    <xf numFmtId="42" fontId="15" fillId="4" borderId="5" xfId="1" applyNumberFormat="1" applyFont="1" applyFill="1" applyBorder="1" applyAlignment="1">
      <alignment horizontal="left"/>
    </xf>
    <xf numFmtId="42" fontId="7" fillId="4" borderId="34" xfId="1" applyNumberFormat="1" applyFont="1" applyFill="1" applyBorder="1" applyAlignment="1">
      <alignment horizontal="left"/>
    </xf>
    <xf numFmtId="0" fontId="13" fillId="4" borderId="5" xfId="0" applyFont="1" applyFill="1" applyBorder="1" applyAlignment="1">
      <alignment horizontal="left" indent="1"/>
    </xf>
    <xf numFmtId="0" fontId="13" fillId="4" borderId="25" xfId="0" applyFont="1" applyFill="1" applyBorder="1" applyAlignment="1">
      <alignment horizontal="left"/>
    </xf>
    <xf numFmtId="0" fontId="15" fillId="4" borderId="26" xfId="0" applyFont="1" applyFill="1" applyBorder="1"/>
    <xf numFmtId="0" fontId="0" fillId="4" borderId="28" xfId="0" applyFill="1" applyBorder="1" applyAlignment="1">
      <alignment horizontal="center"/>
    </xf>
    <xf numFmtId="42" fontId="12" fillId="4" borderId="1" xfId="1" applyNumberFormat="1" applyFill="1" applyBorder="1"/>
    <xf numFmtId="42" fontId="15" fillId="4" borderId="1" xfId="1" applyNumberFormat="1" applyFont="1" applyFill="1" applyBorder="1"/>
    <xf numFmtId="42" fontId="12" fillId="4" borderId="29" xfId="1" applyNumberFormat="1" applyFill="1" applyBorder="1"/>
    <xf numFmtId="42" fontId="12" fillId="4" borderId="30" xfId="1" applyNumberFormat="1" applyFill="1" applyBorder="1"/>
    <xf numFmtId="42" fontId="12" fillId="4" borderId="31" xfId="1" applyNumberFormat="1" applyFill="1" applyBorder="1" applyAlignment="1">
      <alignment horizontal="center"/>
    </xf>
    <xf numFmtId="42" fontId="12" fillId="4" borderId="32" xfId="1" applyNumberFormat="1" applyFill="1" applyBorder="1" applyAlignment="1">
      <alignment horizontal="left"/>
    </xf>
    <xf numFmtId="42" fontId="12" fillId="4" borderId="33" xfId="1" applyNumberFormat="1" applyFill="1" applyBorder="1" applyAlignment="1">
      <alignment horizontal="left"/>
    </xf>
    <xf numFmtId="7" fontId="0" fillId="2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44" fontId="2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6" xfId="0" applyFont="1" applyBorder="1"/>
    <xf numFmtId="42" fontId="7" fillId="0" borderId="1" xfId="1" applyNumberFormat="1" applyFont="1" applyFill="1" applyBorder="1"/>
    <xf numFmtId="42" fontId="7" fillId="0" borderId="29" xfId="1" applyNumberFormat="1" applyFont="1" applyFill="1" applyBorder="1"/>
    <xf numFmtId="42" fontId="7" fillId="0" borderId="30" xfId="1" applyNumberFormat="1" applyFont="1" applyFill="1" applyBorder="1"/>
    <xf numFmtId="42" fontId="7" fillId="0" borderId="31" xfId="1" applyNumberFormat="1" applyFont="1" applyFill="1" applyBorder="1" applyAlignment="1">
      <alignment horizontal="center"/>
    </xf>
    <xf numFmtId="42" fontId="15" fillId="0" borderId="5" xfId="1" applyNumberFormat="1" applyFont="1" applyFill="1" applyBorder="1" applyAlignment="1">
      <alignment horizontal="left"/>
    </xf>
    <xf numFmtId="42" fontId="7" fillId="0" borderId="34" xfId="1" applyNumberFormat="1" applyFont="1" applyFill="1" applyBorder="1" applyAlignment="1">
      <alignment horizontal="left"/>
    </xf>
    <xf numFmtId="164" fontId="0" fillId="0" borderId="0" xfId="0" applyNumberFormat="1"/>
    <xf numFmtId="0" fontId="0" fillId="4" borderId="6" xfId="0" applyFill="1" applyBorder="1"/>
    <xf numFmtId="0" fontId="15" fillId="4" borderId="28" xfId="0" applyFont="1" applyFill="1" applyBorder="1" applyAlignment="1">
      <alignment horizontal="center"/>
    </xf>
    <xf numFmtId="42" fontId="12" fillId="4" borderId="34" xfId="1" applyNumberForma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5" fontId="7" fillId="0" borderId="0" xfId="0" applyNumberFormat="1" applyFont="1" applyAlignment="1">
      <alignment vertical="center"/>
    </xf>
    <xf numFmtId="165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 wrapText="1"/>
    </xf>
    <xf numFmtId="165" fontId="0" fillId="0" borderId="0" xfId="0" applyNumberFormat="1" applyAlignment="1">
      <alignment horizontal="left" vertical="center"/>
    </xf>
    <xf numFmtId="42" fontId="12" fillId="0" borderId="1" xfId="1" applyNumberFormat="1" applyFill="1" applyBorder="1"/>
    <xf numFmtId="42" fontId="12" fillId="0" borderId="29" xfId="1" applyNumberFormat="1" applyFill="1" applyBorder="1"/>
    <xf numFmtId="42" fontId="12" fillId="0" borderId="30" xfId="1" applyNumberFormat="1" applyFill="1" applyBorder="1"/>
    <xf numFmtId="42" fontId="12" fillId="0" borderId="31" xfId="1" applyNumberFormat="1" applyFill="1" applyBorder="1" applyAlignment="1">
      <alignment horizontal="center"/>
    </xf>
    <xf numFmtId="42" fontId="12" fillId="0" borderId="34" xfId="1" applyNumberForma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171" fontId="15" fillId="0" borderId="0" xfId="0" applyNumberFormat="1" applyFont="1"/>
    <xf numFmtId="3" fontId="0" fillId="0" borderId="1" xfId="0" applyNumberFormat="1" applyBorder="1" applyAlignment="1">
      <alignment horizontal="center"/>
    </xf>
    <xf numFmtId="170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51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37" fontId="0" fillId="2" borderId="1" xfId="0" applyNumberForma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5" fontId="0" fillId="2" borderId="20" xfId="0" applyNumberFormat="1" applyFill="1" applyBorder="1" applyAlignment="1">
      <alignment horizontal="center" vertical="center"/>
    </xf>
    <xf numFmtId="5" fontId="0" fillId="2" borderId="54" xfId="0" applyNumberFormat="1" applyFill="1" applyBorder="1" applyAlignment="1">
      <alignment horizontal="center" vertical="center"/>
    </xf>
    <xf numFmtId="5" fontId="7" fillId="0" borderId="62" xfId="0" applyNumberFormat="1" applyFont="1" applyBorder="1" applyAlignment="1">
      <alignment horizontal="center" vertical="center"/>
    </xf>
    <xf numFmtId="5" fontId="0" fillId="2" borderId="30" xfId="0" applyNumberFormat="1" applyFill="1" applyBorder="1" applyAlignment="1">
      <alignment horizontal="center" vertical="center"/>
    </xf>
    <xf numFmtId="5" fontId="0" fillId="2" borderId="55" xfId="0" applyNumberFormat="1" applyFill="1" applyBorder="1" applyAlignment="1">
      <alignment horizontal="center" vertical="center"/>
    </xf>
    <xf numFmtId="5" fontId="7" fillId="0" borderId="63" xfId="0" applyNumberFormat="1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37" fontId="0" fillId="2" borderId="49" xfId="0" applyNumberFormat="1" applyFill="1" applyBorder="1" applyAlignment="1">
      <alignment horizontal="center" vertical="center"/>
    </xf>
    <xf numFmtId="172" fontId="0" fillId="2" borderId="20" xfId="0" applyNumberFormat="1" applyFill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37" fontId="0" fillId="2" borderId="65" xfId="0" applyNumberFormat="1" applyFill="1" applyBorder="1" applyAlignment="1">
      <alignment horizontal="center" vertical="center"/>
    </xf>
    <xf numFmtId="37" fontId="0" fillId="2" borderId="44" xfId="0" applyNumberFormat="1" applyFill="1" applyBorder="1" applyAlignment="1">
      <alignment horizontal="center" vertical="center"/>
    </xf>
    <xf numFmtId="165" fontId="0" fillId="5" borderId="44" xfId="0" applyNumberFormat="1" applyFill="1" applyBorder="1" applyAlignment="1">
      <alignment horizontal="center" vertical="center"/>
    </xf>
    <xf numFmtId="165" fontId="0" fillId="5" borderId="66" xfId="0" applyNumberFormat="1" applyFill="1" applyBorder="1" applyAlignment="1">
      <alignment horizontal="center" vertical="center"/>
    </xf>
    <xf numFmtId="0" fontId="7" fillId="0" borderId="47" xfId="0" applyFont="1" applyBorder="1" applyAlignment="1">
      <alignment vertical="center"/>
    </xf>
    <xf numFmtId="37" fontId="7" fillId="0" borderId="60" xfId="0" applyNumberFormat="1" applyFont="1" applyBorder="1" applyAlignment="1">
      <alignment horizontal="center" vertical="center"/>
    </xf>
    <xf numFmtId="37" fontId="7" fillId="0" borderId="61" xfId="0" applyNumberFormat="1" applyFont="1" applyBorder="1" applyAlignment="1">
      <alignment horizontal="center" vertical="center"/>
    </xf>
    <xf numFmtId="7" fontId="7" fillId="0" borderId="61" xfId="0" applyNumberFormat="1" applyFont="1" applyBorder="1" applyAlignment="1">
      <alignment horizontal="center" vertical="center"/>
    </xf>
    <xf numFmtId="7" fontId="7" fillId="0" borderId="62" xfId="0" applyNumberFormat="1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 wrapText="1"/>
    </xf>
    <xf numFmtId="5" fontId="0" fillId="0" borderId="20" xfId="0" applyNumberFormat="1" applyBorder="1" applyAlignment="1">
      <alignment horizontal="center" vertical="center"/>
    </xf>
    <xf numFmtId="5" fontId="0" fillId="0" borderId="30" xfId="0" applyNumberFormat="1" applyBorder="1" applyAlignment="1">
      <alignment horizontal="center" vertical="center"/>
    </xf>
    <xf numFmtId="5" fontId="1" fillId="3" borderId="67" xfId="0" applyNumberFormat="1" applyFont="1" applyFill="1" applyBorder="1" applyAlignment="1">
      <alignment horizontal="center" vertical="center"/>
    </xf>
    <xf numFmtId="5" fontId="1" fillId="3" borderId="66" xfId="0" applyNumberFormat="1" applyFont="1" applyFill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5" fontId="2" fillId="0" borderId="63" xfId="0" applyNumberFormat="1" applyFont="1" applyBorder="1" applyAlignment="1">
      <alignment horizontal="center" vertical="center"/>
    </xf>
    <xf numFmtId="5" fontId="2" fillId="0" borderId="62" xfId="0" applyNumberFormat="1" applyFont="1" applyBorder="1" applyAlignment="1">
      <alignment horizontal="center" vertical="center"/>
    </xf>
    <xf numFmtId="5" fontId="0" fillId="2" borderId="59" xfId="0" applyNumberFormat="1" applyFill="1" applyBorder="1" applyAlignment="1">
      <alignment horizontal="center" vertical="center"/>
    </xf>
    <xf numFmtId="5" fontId="2" fillId="2" borderId="57" xfId="0" applyNumberFormat="1" applyFont="1" applyFill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5" fontId="0" fillId="2" borderId="69" xfId="0" applyNumberFormat="1" applyFill="1" applyBorder="1" applyAlignment="1">
      <alignment horizontal="center" vertical="center"/>
    </xf>
    <xf numFmtId="5" fontId="0" fillId="2" borderId="70" xfId="0" applyNumberFormat="1" applyFill="1" applyBorder="1" applyAlignment="1">
      <alignment horizontal="center" vertical="center"/>
    </xf>
    <xf numFmtId="5" fontId="2" fillId="2" borderId="68" xfId="0" applyNumberFormat="1" applyFont="1" applyFill="1" applyBorder="1" applyAlignment="1">
      <alignment horizontal="center" vertical="center"/>
    </xf>
    <xf numFmtId="0" fontId="4" fillId="0" borderId="47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71" xfId="0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37" fontId="7" fillId="3" borderId="72" xfId="0" applyNumberFormat="1" applyFont="1" applyFill="1" applyBorder="1" applyAlignment="1">
      <alignment horizontal="center" vertical="center"/>
    </xf>
    <xf numFmtId="37" fontId="1" fillId="3" borderId="46" xfId="0" applyNumberFormat="1" applyFont="1" applyFill="1" applyBorder="1" applyAlignment="1">
      <alignment horizontal="center" vertical="center"/>
    </xf>
    <xf numFmtId="37" fontId="7" fillId="3" borderId="46" xfId="0" applyNumberFormat="1" applyFont="1" applyFill="1" applyBorder="1" applyAlignment="1">
      <alignment horizontal="center" vertical="center"/>
    </xf>
    <xf numFmtId="7" fontId="0" fillId="2" borderId="46" xfId="0" applyNumberFormat="1" applyFill="1" applyBorder="1" applyAlignment="1">
      <alignment horizontal="center" vertical="center"/>
    </xf>
    <xf numFmtId="172" fontId="0" fillId="2" borderId="73" xfId="0" applyNumberForma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5" fontId="1" fillId="3" borderId="69" xfId="0" applyNumberFormat="1" applyFont="1" applyFill="1" applyBorder="1" applyAlignment="1">
      <alignment horizontal="center" vertical="center"/>
    </xf>
    <xf numFmtId="5" fontId="1" fillId="3" borderId="73" xfId="0" applyNumberFormat="1" applyFont="1" applyFill="1" applyBorder="1" applyAlignment="1">
      <alignment horizontal="center" vertical="center"/>
    </xf>
    <xf numFmtId="0" fontId="2" fillId="0" borderId="63" xfId="0" applyFont="1" applyBorder="1" applyAlignment="1">
      <alignment horizontal="center" vertical="center" wrapText="1"/>
    </xf>
    <xf numFmtId="5" fontId="0" fillId="2" borderId="67" xfId="0" applyNumberFormat="1" applyFill="1" applyBorder="1" applyAlignment="1">
      <alignment horizontal="center" vertical="center"/>
    </xf>
    <xf numFmtId="5" fontId="0" fillId="2" borderId="74" xfId="0" applyNumberFormat="1" applyFill="1" applyBorder="1" applyAlignment="1">
      <alignment horizontal="center" vertical="center"/>
    </xf>
    <xf numFmtId="5" fontId="2" fillId="2" borderId="64" xfId="0" applyNumberFormat="1" applyFont="1" applyFill="1" applyBorder="1" applyAlignment="1">
      <alignment horizontal="center" vertical="center"/>
    </xf>
    <xf numFmtId="5" fontId="0" fillId="2" borderId="63" xfId="0" applyNumberFormat="1" applyFill="1" applyBorder="1" applyAlignment="1">
      <alignment horizontal="center" vertical="center"/>
    </xf>
    <xf numFmtId="5" fontId="0" fillId="2" borderId="71" xfId="0" applyNumberFormat="1" applyFill="1" applyBorder="1" applyAlignment="1">
      <alignment horizontal="center" vertical="center"/>
    </xf>
    <xf numFmtId="5" fontId="2" fillId="2" borderId="47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5" fontId="0" fillId="2" borderId="60" xfId="0" applyNumberFormat="1" applyFill="1" applyBorder="1" applyAlignment="1">
      <alignment horizontal="center" vertical="center"/>
    </xf>
    <xf numFmtId="5" fontId="0" fillId="2" borderId="61" xfId="0" applyNumberFormat="1" applyFill="1" applyBorder="1" applyAlignment="1">
      <alignment horizontal="center" vertical="center"/>
    </xf>
    <xf numFmtId="169" fontId="1" fillId="3" borderId="62" xfId="0" applyNumberFormat="1" applyFont="1" applyFill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166" fontId="0" fillId="0" borderId="54" xfId="0" applyNumberForma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166" fontId="0" fillId="0" borderId="73" xfId="0" applyNumberFormat="1" applyBorder="1" applyAlignment="1">
      <alignment horizontal="center" vertical="center"/>
    </xf>
    <xf numFmtId="0" fontId="4" fillId="0" borderId="60" xfId="0" applyFont="1" applyBorder="1" applyAlignment="1">
      <alignment horizontal="center" vertical="center" wrapText="1"/>
    </xf>
    <xf numFmtId="0" fontId="7" fillId="2" borderId="62" xfId="0" applyFont="1" applyFill="1" applyBorder="1" applyAlignment="1">
      <alignment horizontal="center"/>
    </xf>
    <xf numFmtId="0" fontId="4" fillId="0" borderId="76" xfId="0" applyFont="1" applyBorder="1" applyAlignment="1">
      <alignment horizontal="center" vertical="center" wrapText="1"/>
    </xf>
    <xf numFmtId="166" fontId="0" fillId="0" borderId="47" xfId="0" applyNumberFormat="1" applyBorder="1" applyAlignment="1">
      <alignment horizontal="center" vertical="center"/>
    </xf>
    <xf numFmtId="0" fontId="2" fillId="0" borderId="50" xfId="0" applyFont="1" applyBorder="1" applyAlignment="1">
      <alignment horizontal="center" vertical="center" wrapText="1"/>
    </xf>
    <xf numFmtId="0" fontId="0" fillId="0" borderId="52" xfId="0" applyBorder="1" applyAlignment="1">
      <alignment horizontal="center"/>
    </xf>
    <xf numFmtId="7" fontId="0" fillId="3" borderId="54" xfId="0" applyNumberFormat="1" applyFill="1" applyBorder="1" applyAlignment="1">
      <alignment horizontal="center" vertical="center"/>
    </xf>
    <xf numFmtId="0" fontId="2" fillId="0" borderId="72" xfId="0" applyFont="1" applyBorder="1" applyAlignment="1">
      <alignment horizontal="center" vertical="center" wrapText="1"/>
    </xf>
    <xf numFmtId="0" fontId="0" fillId="0" borderId="46" xfId="0" applyBorder="1" applyAlignment="1">
      <alignment horizontal="center"/>
    </xf>
    <xf numFmtId="172" fontId="0" fillId="3" borderId="73" xfId="0" applyNumberFormat="1" applyFill="1" applyBorder="1" applyAlignment="1">
      <alignment horizontal="center" vertical="center"/>
    </xf>
    <xf numFmtId="3" fontId="0" fillId="3" borderId="62" xfId="0" applyNumberFormat="1" applyFill="1" applyBorder="1" applyAlignment="1">
      <alignment horizontal="center"/>
    </xf>
    <xf numFmtId="5" fontId="0" fillId="2" borderId="53" xfId="0" applyNumberFormat="1" applyFill="1" applyBorder="1" applyAlignment="1">
      <alignment horizontal="center" vertical="center"/>
    </xf>
    <xf numFmtId="169" fontId="0" fillId="3" borderId="50" xfId="0" applyNumberFormat="1" applyFill="1" applyBorder="1" applyAlignment="1">
      <alignment horizontal="center" vertical="center"/>
    </xf>
    <xf numFmtId="169" fontId="0" fillId="3" borderId="52" xfId="0" applyNumberFormat="1" applyFill="1" applyBorder="1" applyAlignment="1">
      <alignment horizontal="center" vertical="center"/>
    </xf>
    <xf numFmtId="168" fontId="0" fillId="3" borderId="52" xfId="0" applyNumberFormat="1" applyFill="1" applyBorder="1" applyAlignment="1">
      <alignment horizontal="center" vertical="center"/>
    </xf>
    <xf numFmtId="169" fontId="0" fillId="3" borderId="54" xfId="0" applyNumberFormat="1" applyFill="1" applyBorder="1" applyAlignment="1">
      <alignment horizontal="center" vertical="center"/>
    </xf>
    <xf numFmtId="0" fontId="1" fillId="0" borderId="0" xfId="0" applyFont="1"/>
    <xf numFmtId="173" fontId="0" fillId="0" borderId="1" xfId="0" applyNumberFormat="1" applyBorder="1" applyAlignment="1">
      <alignment horizontal="center"/>
    </xf>
    <xf numFmtId="2" fontId="0" fillId="0" borderId="51" xfId="0" applyNumberFormat="1" applyBorder="1" applyAlignment="1">
      <alignment horizontal="center"/>
    </xf>
    <xf numFmtId="0" fontId="0" fillId="0" borderId="52" xfId="0" applyBorder="1"/>
    <xf numFmtId="0" fontId="0" fillId="0" borderId="48" xfId="0" applyBorder="1" applyAlignment="1">
      <alignment horizontal="center"/>
    </xf>
    <xf numFmtId="3" fontId="0" fillId="0" borderId="49" xfId="0" applyNumberFormat="1" applyBorder="1" applyAlignment="1">
      <alignment horizontal="center"/>
    </xf>
    <xf numFmtId="170" fontId="0" fillId="0" borderId="49" xfId="0" applyNumberFormat="1" applyBorder="1" applyAlignment="1">
      <alignment horizontal="center"/>
    </xf>
    <xf numFmtId="2" fontId="0" fillId="0" borderId="50" xfId="0" applyNumberFormat="1" applyBorder="1" applyAlignment="1">
      <alignment horizontal="center"/>
    </xf>
    <xf numFmtId="0" fontId="0" fillId="0" borderId="80" xfId="0" applyBorder="1"/>
    <xf numFmtId="0" fontId="0" fillId="0" borderId="23" xfId="0" applyBorder="1"/>
    <xf numFmtId="0" fontId="0" fillId="0" borderId="81" xfId="0" applyBorder="1"/>
    <xf numFmtId="2" fontId="0" fillId="0" borderId="48" xfId="0" applyNumberFormat="1" applyBorder="1" applyAlignment="1">
      <alignment horizontal="center"/>
    </xf>
    <xf numFmtId="0" fontId="0" fillId="0" borderId="49" xfId="0" applyBorder="1"/>
    <xf numFmtId="173" fontId="0" fillId="0" borderId="49" xfId="0" applyNumberFormat="1" applyBorder="1" applyAlignment="1">
      <alignment horizontal="center"/>
    </xf>
    <xf numFmtId="0" fontId="0" fillId="0" borderId="50" xfId="0" applyBorder="1"/>
    <xf numFmtId="0" fontId="2" fillId="0" borderId="82" xfId="0" applyFont="1" applyBorder="1" applyAlignment="1">
      <alignment horizontal="center"/>
    </xf>
    <xf numFmtId="0" fontId="2" fillId="0" borderId="83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7" fontId="7" fillId="0" borderId="85" xfId="0" applyNumberFormat="1" applyFont="1" applyBorder="1" applyAlignment="1">
      <alignment horizontal="center" vertical="center"/>
    </xf>
    <xf numFmtId="7" fontId="7" fillId="0" borderId="86" xfId="0" applyNumberFormat="1" applyFont="1" applyBorder="1" applyAlignment="1">
      <alignment horizontal="center" vertical="center"/>
    </xf>
    <xf numFmtId="7" fontId="7" fillId="0" borderId="87" xfId="0" applyNumberFormat="1" applyFont="1" applyBorder="1" applyAlignment="1">
      <alignment horizontal="center" vertical="center"/>
    </xf>
    <xf numFmtId="5" fontId="0" fillId="2" borderId="49" xfId="0" applyNumberFormat="1" applyFill="1" applyBorder="1" applyAlignment="1">
      <alignment horizontal="center" vertical="center"/>
    </xf>
    <xf numFmtId="0" fontId="2" fillId="0" borderId="7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9" fontId="0" fillId="0" borderId="0" xfId="0" applyNumberFormat="1" applyAlignment="1">
      <alignment horizontal="center"/>
    </xf>
    <xf numFmtId="0" fontId="2" fillId="0" borderId="0" xfId="0" applyFon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/>
    </xf>
    <xf numFmtId="7" fontId="7" fillId="0" borderId="0" xfId="0" applyNumberFormat="1" applyFont="1" applyAlignment="1">
      <alignment horizontal="center" vertical="center"/>
    </xf>
    <xf numFmtId="5" fontId="0" fillId="0" borderId="0" xfId="0" applyNumberFormat="1" applyAlignment="1">
      <alignment horizontal="center" vertical="center"/>
    </xf>
    <xf numFmtId="39" fontId="7" fillId="0" borderId="48" xfId="0" applyNumberFormat="1" applyFont="1" applyBorder="1" applyAlignment="1">
      <alignment horizontal="center" vertical="center"/>
    </xf>
    <xf numFmtId="39" fontId="7" fillId="0" borderId="53" xfId="0" applyNumberFormat="1" applyFont="1" applyBorder="1" applyAlignment="1">
      <alignment horizontal="center" vertical="center"/>
    </xf>
    <xf numFmtId="37" fontId="0" fillId="2" borderId="50" xfId="0" applyNumberFormat="1" applyFill="1" applyBorder="1" applyAlignment="1">
      <alignment horizontal="center" vertical="center"/>
    </xf>
    <xf numFmtId="0" fontId="2" fillId="0" borderId="77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5" fontId="0" fillId="2" borderId="48" xfId="0" applyNumberFormat="1" applyFill="1" applyBorder="1" applyAlignment="1">
      <alignment horizontal="center" vertical="center"/>
    </xf>
    <xf numFmtId="5" fontId="0" fillId="2" borderId="50" xfId="0" applyNumberFormat="1" applyFill="1" applyBorder="1" applyAlignment="1">
      <alignment horizontal="center" vertical="center"/>
    </xf>
    <xf numFmtId="5" fontId="0" fillId="2" borderId="52" xfId="0" applyNumberFormat="1" applyFill="1" applyBorder="1" applyAlignment="1">
      <alignment horizontal="center" vertical="center"/>
    </xf>
    <xf numFmtId="166" fontId="0" fillId="0" borderId="0" xfId="0" applyNumberFormat="1"/>
    <xf numFmtId="174" fontId="0" fillId="0" borderId="0" xfId="0" applyNumberFormat="1"/>
    <xf numFmtId="174" fontId="0" fillId="0" borderId="0" xfId="0" applyNumberFormat="1" applyAlignment="1">
      <alignment horizontal="center"/>
    </xf>
    <xf numFmtId="5" fontId="7" fillId="0" borderId="0" xfId="0" applyNumberFormat="1" applyFont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11" fillId="0" borderId="0" xfId="0" quotePrefix="1" applyFont="1" applyAlignment="1">
      <alignment vertical="center"/>
    </xf>
    <xf numFmtId="0" fontId="4" fillId="0" borderId="82" xfId="0" applyFont="1" applyBorder="1" applyAlignment="1">
      <alignment horizontal="center" vertical="center"/>
    </xf>
    <xf numFmtId="0" fontId="4" fillId="0" borderId="83" xfId="0" applyFont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5" fontId="2" fillId="0" borderId="0" xfId="0" applyNumberFormat="1" applyFont="1" applyAlignment="1">
      <alignment horizontal="center" vertical="center"/>
    </xf>
    <xf numFmtId="8" fontId="0" fillId="0" borderId="0" xfId="0" applyNumberFormat="1"/>
    <xf numFmtId="5" fontId="0" fillId="2" borderId="62" xfId="0" applyNumberForma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170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3" fontId="7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4" fillId="0" borderId="90" xfId="0" applyFont="1" applyBorder="1" applyAlignment="1">
      <alignment horizontal="center" vertical="center"/>
    </xf>
    <xf numFmtId="5" fontId="0" fillId="0" borderId="60" xfId="0" applyNumberFormat="1" applyBorder="1" applyAlignment="1">
      <alignment horizontal="center" vertical="center"/>
    </xf>
    <xf numFmtId="169" fontId="7" fillId="0" borderId="0" xfId="0" applyNumberFormat="1" applyFont="1" applyAlignment="1">
      <alignment horizontal="center" vertical="center"/>
    </xf>
    <xf numFmtId="166" fontId="7" fillId="0" borderId="49" xfId="0" applyNumberFormat="1" applyFont="1" applyBorder="1" applyAlignment="1">
      <alignment horizontal="center" vertical="center"/>
    </xf>
    <xf numFmtId="5" fontId="0" fillId="0" borderId="47" xfId="0" applyNumberFormat="1" applyBorder="1" applyAlignment="1">
      <alignment horizontal="center" vertical="center"/>
    </xf>
    <xf numFmtId="0" fontId="2" fillId="0" borderId="47" xfId="0" applyFont="1" applyBorder="1" applyAlignment="1">
      <alignment horizontal="center" vertical="center" wrapText="1"/>
    </xf>
    <xf numFmtId="5" fontId="7" fillId="3" borderId="56" xfId="0" applyNumberFormat="1" applyFont="1" applyFill="1" applyBorder="1" applyAlignment="1">
      <alignment horizontal="center" vertical="center"/>
    </xf>
    <xf numFmtId="5" fontId="0" fillId="2" borderId="57" xfId="0" applyNumberFormat="1" applyFill="1" applyBorder="1" applyAlignment="1">
      <alignment horizontal="center" vertical="center"/>
    </xf>
    <xf numFmtId="5" fontId="0" fillId="2" borderId="58" xfId="0" applyNumberFormat="1" applyFill="1" applyBorder="1" applyAlignment="1">
      <alignment horizontal="center" vertical="center"/>
    </xf>
    <xf numFmtId="5" fontId="7" fillId="0" borderId="47" xfId="0" applyNumberFormat="1" applyFont="1" applyBorder="1" applyAlignment="1">
      <alignment horizontal="center" vertical="center"/>
    </xf>
    <xf numFmtId="39" fontId="7" fillId="0" borderId="0" xfId="0" applyNumberFormat="1" applyFont="1" applyAlignment="1">
      <alignment horizontal="center" vertical="center"/>
    </xf>
    <xf numFmtId="42" fontId="0" fillId="2" borderId="61" xfId="0" applyNumberFormat="1" applyFill="1" applyBorder="1" applyAlignment="1">
      <alignment horizontal="center" vertical="center"/>
    </xf>
    <xf numFmtId="0" fontId="2" fillId="0" borderId="91" xfId="0" applyFont="1" applyBorder="1" applyAlignment="1">
      <alignment horizontal="center" vertical="center" wrapText="1"/>
    </xf>
    <xf numFmtId="5" fontId="0" fillId="0" borderId="56" xfId="0" applyNumberFormat="1" applyBorder="1" applyAlignment="1">
      <alignment horizontal="center" vertical="center"/>
    </xf>
    <xf numFmtId="5" fontId="0" fillId="0" borderId="57" xfId="0" applyNumberFormat="1" applyBorder="1" applyAlignment="1">
      <alignment horizontal="center" vertical="center"/>
    </xf>
    <xf numFmtId="5" fontId="0" fillId="0" borderId="64" xfId="0" applyNumberFormat="1" applyBorder="1" applyAlignment="1">
      <alignment horizontal="center" vertical="center"/>
    </xf>
    <xf numFmtId="0" fontId="0" fillId="0" borderId="75" xfId="0" applyBorder="1" applyAlignment="1">
      <alignment horizontal="center" vertical="center" wrapText="1"/>
    </xf>
    <xf numFmtId="169" fontId="7" fillId="3" borderId="92" xfId="0" applyNumberFormat="1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/>
    </xf>
    <xf numFmtId="0" fontId="4" fillId="0" borderId="62" xfId="0" applyFont="1" applyBorder="1" applyAlignment="1">
      <alignment horizontal="center" vertical="center"/>
    </xf>
    <xf numFmtId="6" fontId="4" fillId="0" borderId="89" xfId="0" applyNumberFormat="1" applyFont="1" applyBorder="1" applyAlignment="1">
      <alignment horizontal="center" vertical="center"/>
    </xf>
    <xf numFmtId="6" fontId="2" fillId="0" borderId="85" xfId="0" applyNumberFormat="1" applyFont="1" applyBorder="1" applyAlignment="1">
      <alignment horizontal="center"/>
    </xf>
    <xf numFmtId="10" fontId="0" fillId="3" borderId="50" xfId="0" applyNumberForma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73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0" borderId="53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170" fontId="0" fillId="0" borderId="20" xfId="0" applyNumberFormat="1" applyBorder="1" applyAlignment="1">
      <alignment horizontal="center"/>
    </xf>
    <xf numFmtId="2" fontId="0" fillId="0" borderId="54" xfId="0" applyNumberFormat="1" applyBorder="1" applyAlignment="1">
      <alignment horizontal="center"/>
    </xf>
    <xf numFmtId="2" fontId="0" fillId="0" borderId="53" xfId="0" applyNumberFormat="1" applyBorder="1" applyAlignment="1">
      <alignment horizontal="center"/>
    </xf>
    <xf numFmtId="0" fontId="0" fillId="0" borderId="20" xfId="0" applyBorder="1"/>
    <xf numFmtId="173" fontId="0" fillId="0" borderId="20" xfId="0" applyNumberFormat="1" applyBorder="1" applyAlignment="1">
      <alignment horizontal="center"/>
    </xf>
    <xf numFmtId="0" fontId="0" fillId="0" borderId="54" xfId="0" applyBorder="1"/>
    <xf numFmtId="0" fontId="0" fillId="0" borderId="50" xfId="0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0" fillId="0" borderId="46" xfId="0" applyNumberFormat="1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5" xfId="0" applyBorder="1"/>
    <xf numFmtId="0" fontId="0" fillId="0" borderId="66" xfId="0" applyBorder="1" applyAlignment="1">
      <alignment horizontal="center"/>
    </xf>
    <xf numFmtId="166" fontId="0" fillId="0" borderId="67" xfId="0" applyNumberFormat="1" applyBorder="1" applyAlignment="1">
      <alignment horizontal="center"/>
    </xf>
    <xf numFmtId="166" fontId="0" fillId="0" borderId="44" xfId="0" applyNumberFormat="1" applyBorder="1" applyAlignment="1">
      <alignment horizontal="center"/>
    </xf>
    <xf numFmtId="0" fontId="0" fillId="0" borderId="60" xfId="0" applyBorder="1" applyAlignment="1">
      <alignment horizontal="center"/>
    </xf>
    <xf numFmtId="166" fontId="0" fillId="0" borderId="63" xfId="0" applyNumberFormat="1" applyBorder="1" applyAlignment="1">
      <alignment horizontal="center"/>
    </xf>
    <xf numFmtId="166" fontId="0" fillId="0" borderId="61" xfId="0" applyNumberFormat="1" applyBorder="1" applyAlignment="1">
      <alignment horizontal="center"/>
    </xf>
    <xf numFmtId="166" fontId="0" fillId="0" borderId="62" xfId="0" applyNumberFormat="1" applyBorder="1" applyAlignment="1">
      <alignment horizontal="center"/>
    </xf>
    <xf numFmtId="0" fontId="0" fillId="0" borderId="95" xfId="0" applyBorder="1" applyAlignment="1">
      <alignment horizontal="center"/>
    </xf>
    <xf numFmtId="0" fontId="0" fillId="0" borderId="96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44" xfId="0" applyBorder="1" applyAlignment="1">
      <alignment horizontal="center"/>
    </xf>
    <xf numFmtId="3" fontId="0" fillId="0" borderId="70" xfId="0" applyNumberFormat="1" applyBorder="1" applyAlignment="1">
      <alignment horizontal="center"/>
    </xf>
    <xf numFmtId="166" fontId="0" fillId="0" borderId="74" xfId="0" applyNumberFormat="1" applyBorder="1" applyAlignment="1">
      <alignment horizontal="center"/>
    </xf>
    <xf numFmtId="166" fontId="0" fillId="0" borderId="71" xfId="0" applyNumberFormat="1" applyBorder="1" applyAlignment="1">
      <alignment horizontal="center"/>
    </xf>
    <xf numFmtId="0" fontId="0" fillId="0" borderId="48" xfId="0" applyBorder="1"/>
    <xf numFmtId="0" fontId="0" fillId="0" borderId="51" xfId="0" applyBorder="1"/>
    <xf numFmtId="0" fontId="0" fillId="0" borderId="53" xfId="0" applyBorder="1"/>
    <xf numFmtId="0" fontId="0" fillId="0" borderId="44" xfId="0" applyBorder="1"/>
    <xf numFmtId="0" fontId="0" fillId="0" borderId="66" xfId="0" applyBorder="1"/>
    <xf numFmtId="0" fontId="0" fillId="0" borderId="80" xfId="0" applyBorder="1" applyAlignment="1">
      <alignment horizontal="center"/>
    </xf>
    <xf numFmtId="0" fontId="0" fillId="0" borderId="81" xfId="0" applyBorder="1" applyAlignment="1">
      <alignment horizontal="center"/>
    </xf>
    <xf numFmtId="166" fontId="0" fillId="0" borderId="60" xfId="0" applyNumberFormat="1" applyBorder="1" applyAlignment="1">
      <alignment horizontal="center"/>
    </xf>
    <xf numFmtId="37" fontId="0" fillId="2" borderId="59" xfId="0" applyNumberFormat="1" applyFill="1" applyBorder="1" applyAlignment="1">
      <alignment horizontal="center" vertical="center"/>
    </xf>
    <xf numFmtId="37" fontId="0" fillId="2" borderId="96" xfId="0" applyNumberFormat="1" applyFill="1" applyBorder="1" applyAlignment="1">
      <alignment horizontal="center" vertical="center"/>
    </xf>
    <xf numFmtId="37" fontId="7" fillId="0" borderId="71" xfId="0" applyNumberFormat="1" applyFont="1" applyBorder="1" applyAlignment="1">
      <alignment horizontal="center" vertical="center"/>
    </xf>
    <xf numFmtId="7" fontId="0" fillId="2" borderId="72" xfId="0" applyNumberFormat="1" applyFill="1" applyBorder="1" applyAlignment="1">
      <alignment horizontal="center" vertical="center"/>
    </xf>
    <xf numFmtId="165" fontId="0" fillId="5" borderId="65" xfId="0" applyNumberFormat="1" applyFill="1" applyBorder="1" applyAlignment="1">
      <alignment horizontal="center" vertical="center"/>
    </xf>
    <xf numFmtId="7" fontId="7" fillId="0" borderId="60" xfId="0" applyNumberFormat="1" applyFont="1" applyBorder="1" applyAlignment="1">
      <alignment horizontal="center" vertical="center"/>
    </xf>
    <xf numFmtId="169" fontId="0" fillId="3" borderId="96" xfId="0" applyNumberFormat="1" applyFill="1" applyBorder="1" applyAlignment="1">
      <alignment horizontal="center" vertical="center"/>
    </xf>
    <xf numFmtId="0" fontId="1" fillId="0" borderId="50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1" fontId="0" fillId="0" borderId="46" xfId="0" applyNumberFormat="1" applyBorder="1" applyAlignment="1">
      <alignment horizontal="center"/>
    </xf>
    <xf numFmtId="1" fontId="0" fillId="0" borderId="73" xfId="0" applyNumberFormat="1" applyBorder="1" applyAlignment="1">
      <alignment horizontal="center"/>
    </xf>
    <xf numFmtId="37" fontId="7" fillId="0" borderId="1" xfId="0" applyNumberFormat="1" applyFont="1" applyBorder="1" applyAlignment="1">
      <alignment horizontal="center" vertical="center"/>
    </xf>
    <xf numFmtId="2" fontId="0" fillId="0" borderId="69" xfId="0" applyNumberFormat="1" applyBorder="1" applyAlignment="1">
      <alignment horizontal="center"/>
    </xf>
    <xf numFmtId="2" fontId="0" fillId="0" borderId="46" xfId="0" applyNumberFormat="1" applyBorder="1" applyAlignment="1">
      <alignment horizontal="center"/>
    </xf>
    <xf numFmtId="164" fontId="7" fillId="0" borderId="0" xfId="1" applyNumberFormat="1" applyFont="1" applyFill="1" applyBorder="1" applyAlignment="1">
      <alignment horizontal="center" vertical="center"/>
    </xf>
    <xf numFmtId="0" fontId="2" fillId="0" borderId="98" xfId="0" applyFont="1" applyBorder="1" applyAlignment="1">
      <alignment horizontal="center" vertical="center" wrapText="1"/>
    </xf>
    <xf numFmtId="37" fontId="7" fillId="3" borderId="99" xfId="0" applyNumberFormat="1" applyFont="1" applyFill="1" applyBorder="1" applyAlignment="1">
      <alignment horizontal="center" vertical="center"/>
    </xf>
    <xf numFmtId="37" fontId="0" fillId="2" borderId="99" xfId="0" applyNumberFormat="1" applyFill="1" applyBorder="1" applyAlignment="1">
      <alignment horizontal="center" vertical="center"/>
    </xf>
    <xf numFmtId="37" fontId="0" fillId="2" borderId="100" xfId="0" applyNumberFormat="1" applyFill="1" applyBorder="1" applyAlignment="1">
      <alignment horizontal="center" vertical="center"/>
    </xf>
    <xf numFmtId="37" fontId="7" fillId="0" borderId="98" xfId="0" applyNumberFormat="1" applyFont="1" applyBorder="1" applyAlignment="1">
      <alignment horizontal="center" vertical="center"/>
    </xf>
    <xf numFmtId="0" fontId="19" fillId="0" borderId="0" xfId="6"/>
    <xf numFmtId="0" fontId="2" fillId="0" borderId="75" xfId="0" applyFont="1" applyBorder="1" applyAlignment="1">
      <alignment horizontal="center" vertical="center" wrapText="1"/>
    </xf>
    <xf numFmtId="37" fontId="0" fillId="2" borderId="62" xfId="5" applyNumberFormat="1" applyFont="1" applyFill="1" applyBorder="1" applyAlignment="1">
      <alignment horizontal="center" vertical="center"/>
    </xf>
    <xf numFmtId="37" fontId="7" fillId="0" borderId="52" xfId="0" applyNumberFormat="1" applyFont="1" applyBorder="1" applyAlignment="1">
      <alignment horizontal="center" vertical="center"/>
    </xf>
    <xf numFmtId="0" fontId="1" fillId="0" borderId="55" xfId="0" applyFont="1" applyBorder="1" applyAlignment="1">
      <alignment horizontal="center"/>
    </xf>
    <xf numFmtId="37" fontId="7" fillId="0" borderId="0" xfId="0" applyNumberFormat="1" applyFont="1" applyAlignment="1">
      <alignment horizontal="center" vertical="center"/>
    </xf>
    <xf numFmtId="37" fontId="0" fillId="0" borderId="0" xfId="0" applyNumberFormat="1" applyAlignment="1">
      <alignment horizontal="center" vertical="center"/>
    </xf>
    <xf numFmtId="7" fontId="0" fillId="0" borderId="0" xfId="0" applyNumberFormat="1" applyAlignment="1">
      <alignment horizontal="center" vertical="center"/>
    </xf>
    <xf numFmtId="172" fontId="0" fillId="0" borderId="0" xfId="0" applyNumberFormat="1" applyAlignment="1">
      <alignment horizontal="center" vertical="center"/>
    </xf>
    <xf numFmtId="0" fontId="2" fillId="0" borderId="76" xfId="0" applyFont="1" applyBorder="1" applyAlignment="1">
      <alignment horizontal="center" vertical="center" wrapText="1"/>
    </xf>
    <xf numFmtId="5" fontId="7" fillId="0" borderId="68" xfId="0" applyNumberFormat="1" applyFont="1" applyBorder="1" applyAlignment="1">
      <alignment horizontal="center" vertical="center"/>
    </xf>
    <xf numFmtId="5" fontId="7" fillId="0" borderId="59" xfId="0" applyNumberFormat="1" applyFont="1" applyBorder="1" applyAlignment="1">
      <alignment horizontal="center" vertical="center"/>
    </xf>
    <xf numFmtId="5" fontId="0" fillId="0" borderId="71" xfId="0" applyNumberFormat="1" applyBorder="1" applyAlignment="1">
      <alignment horizontal="center" vertical="center"/>
    </xf>
    <xf numFmtId="5" fontId="0" fillId="0" borderId="50" xfId="0" applyNumberFormat="1" applyBorder="1" applyAlignment="1">
      <alignment horizontal="center" vertical="center"/>
    </xf>
    <xf numFmtId="0" fontId="0" fillId="0" borderId="98" xfId="0" applyBorder="1" applyAlignment="1">
      <alignment horizontal="center" vertical="center" wrapText="1"/>
    </xf>
    <xf numFmtId="5" fontId="0" fillId="0" borderId="104" xfId="0" applyNumberFormat="1" applyBorder="1" applyAlignment="1">
      <alignment horizontal="center" vertical="center"/>
    </xf>
    <xf numFmtId="5" fontId="0" fillId="0" borderId="49" xfId="0" applyNumberFormat="1" applyBorder="1" applyAlignment="1">
      <alignment horizontal="center" vertical="center"/>
    </xf>
    <xf numFmtId="0" fontId="2" fillId="0" borderId="95" xfId="0" applyFont="1" applyBorder="1" applyAlignment="1">
      <alignment horizontal="center" vertical="center" wrapText="1"/>
    </xf>
    <xf numFmtId="5" fontId="0" fillId="0" borderId="59" xfId="0" applyNumberFormat="1" applyBorder="1" applyAlignment="1">
      <alignment horizontal="center" vertical="center"/>
    </xf>
    <xf numFmtId="5" fontId="0" fillId="0" borderId="96" xfId="0" applyNumberFormat="1" applyBorder="1" applyAlignment="1">
      <alignment horizontal="center" vertical="center"/>
    </xf>
    <xf numFmtId="0" fontId="2" fillId="6" borderId="47" xfId="0" applyFont="1" applyFill="1" applyBorder="1" applyAlignment="1">
      <alignment horizontal="center" vertical="center" wrapText="1"/>
    </xf>
    <xf numFmtId="5" fontId="2" fillId="6" borderId="47" xfId="0" applyNumberFormat="1" applyFont="1" applyFill="1" applyBorder="1" applyAlignment="1">
      <alignment horizontal="center" vertical="center" wrapText="1"/>
    </xf>
    <xf numFmtId="0" fontId="2" fillId="6" borderId="56" xfId="0" applyFont="1" applyFill="1" applyBorder="1" applyAlignment="1">
      <alignment horizontal="center" vertical="center" wrapText="1"/>
    </xf>
    <xf numFmtId="169" fontId="4" fillId="6" borderId="57" xfId="0" applyNumberFormat="1" applyFont="1" applyFill="1" applyBorder="1" applyAlignment="1">
      <alignment horizontal="center" vertical="center"/>
    </xf>
    <xf numFmtId="5" fontId="2" fillId="6" borderId="57" xfId="0" applyNumberFormat="1" applyFont="1" applyFill="1" applyBorder="1" applyAlignment="1">
      <alignment horizontal="center" vertical="center"/>
    </xf>
    <xf numFmtId="5" fontId="2" fillId="6" borderId="58" xfId="0" applyNumberFormat="1" applyFont="1" applyFill="1" applyBorder="1" applyAlignment="1">
      <alignment horizontal="center" vertical="center"/>
    </xf>
    <xf numFmtId="5" fontId="2" fillId="6" borderId="47" xfId="0" applyNumberFormat="1" applyFont="1" applyFill="1" applyBorder="1" applyAlignment="1">
      <alignment horizontal="center" vertical="center"/>
    </xf>
    <xf numFmtId="5" fontId="7" fillId="0" borderId="72" xfId="0" applyNumberFormat="1" applyFont="1" applyBorder="1" applyAlignment="1">
      <alignment horizontal="center" vertical="center"/>
    </xf>
    <xf numFmtId="5" fontId="7" fillId="0" borderId="99" xfId="0" applyNumberFormat="1" applyFont="1" applyBorder="1" applyAlignment="1">
      <alignment horizontal="center" vertical="center"/>
    </xf>
    <xf numFmtId="5" fontId="4" fillId="6" borderId="47" xfId="0" applyNumberFormat="1" applyFont="1" applyFill="1" applyBorder="1" applyAlignment="1">
      <alignment horizontal="center" vertical="center"/>
    </xf>
    <xf numFmtId="5" fontId="4" fillId="6" borderId="68" xfId="0" applyNumberFormat="1" applyFont="1" applyFill="1" applyBorder="1" applyAlignment="1">
      <alignment horizontal="center" vertical="center"/>
    </xf>
    <xf numFmtId="5" fontId="4" fillId="6" borderId="57" xfId="0" applyNumberFormat="1" applyFont="1" applyFill="1" applyBorder="1" applyAlignment="1">
      <alignment horizontal="center" vertical="center"/>
    </xf>
    <xf numFmtId="0" fontId="0" fillId="0" borderId="105" xfId="0" applyBorder="1" applyAlignment="1">
      <alignment horizontal="center" vertical="center" wrapText="1"/>
    </xf>
    <xf numFmtId="5" fontId="0" fillId="0" borderId="63" xfId="0" applyNumberFormat="1" applyBorder="1" applyAlignment="1">
      <alignment horizontal="center" vertical="center"/>
    </xf>
    <xf numFmtId="0" fontId="2" fillId="0" borderId="6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0" fontId="0" fillId="0" borderId="97" xfId="0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1" fillId="0" borderId="59" xfId="0" applyFont="1" applyBorder="1" applyAlignment="1">
      <alignment vertical="center"/>
    </xf>
    <xf numFmtId="0" fontId="2" fillId="6" borderId="91" xfId="0" applyFont="1" applyFill="1" applyBorder="1" applyAlignment="1">
      <alignment horizontal="center" vertical="center" wrapText="1"/>
    </xf>
    <xf numFmtId="0" fontId="2" fillId="6" borderId="68" xfId="0" applyFont="1" applyFill="1" applyBorder="1" applyAlignment="1">
      <alignment horizontal="center" vertical="center" wrapText="1"/>
    </xf>
    <xf numFmtId="0" fontId="8" fillId="6" borderId="57" xfId="0" applyFont="1" applyFill="1" applyBorder="1" applyAlignment="1">
      <alignment vertical="center"/>
    </xf>
    <xf numFmtId="5" fontId="0" fillId="0" borderId="67" xfId="0" applyNumberFormat="1" applyBorder="1" applyAlignment="1">
      <alignment horizontal="center" vertical="center"/>
    </xf>
    <xf numFmtId="5" fontId="0" fillId="0" borderId="74" xfId="0" applyNumberFormat="1" applyBorder="1" applyAlignment="1">
      <alignment horizontal="center" vertical="center"/>
    </xf>
    <xf numFmtId="5" fontId="2" fillId="6" borderId="64" xfId="0" applyNumberFormat="1" applyFont="1" applyFill="1" applyBorder="1" applyAlignment="1">
      <alignment horizontal="center" vertical="center"/>
    </xf>
    <xf numFmtId="7" fontId="7" fillId="0" borderId="63" xfId="0" applyNumberFormat="1" applyFont="1" applyBorder="1" applyAlignment="1">
      <alignment horizontal="center" vertical="center"/>
    </xf>
    <xf numFmtId="7" fontId="7" fillId="0" borderId="71" xfId="0" applyNumberFormat="1" applyFont="1" applyBorder="1" applyAlignment="1">
      <alignment horizontal="center" vertical="center"/>
    </xf>
    <xf numFmtId="7" fontId="4" fillId="6" borderId="47" xfId="0" applyNumberFormat="1" applyFont="1" applyFill="1" applyBorder="1" applyAlignment="1">
      <alignment horizontal="center" vertical="center"/>
    </xf>
    <xf numFmtId="37" fontId="7" fillId="0" borderId="62" xfId="0" applyNumberFormat="1" applyFont="1" applyBorder="1" applyAlignment="1">
      <alignment horizontal="center" vertical="center"/>
    </xf>
    <xf numFmtId="7" fontId="0" fillId="0" borderId="60" xfId="0" applyNumberFormat="1" applyBorder="1" applyAlignment="1">
      <alignment horizontal="center" vertical="center"/>
    </xf>
    <xf numFmtId="172" fontId="0" fillId="0" borderId="71" xfId="0" applyNumberFormat="1" applyBorder="1" applyAlignment="1">
      <alignment horizontal="center" vertical="center"/>
    </xf>
    <xf numFmtId="0" fontId="0" fillId="0" borderId="82" xfId="0" applyBorder="1" applyAlignment="1">
      <alignment horizontal="center"/>
    </xf>
    <xf numFmtId="0" fontId="0" fillId="0" borderId="84" xfId="0" applyBorder="1" applyAlignment="1">
      <alignment horizontal="center"/>
    </xf>
    <xf numFmtId="5" fontId="0" fillId="0" borderId="60" xfId="0" applyNumberFormat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5" fontId="0" fillId="0" borderId="71" xfId="0" applyNumberFormat="1" applyBorder="1" applyAlignment="1">
      <alignment horizontal="center" vertical="center" wrapText="1"/>
    </xf>
    <xf numFmtId="5" fontId="0" fillId="0" borderId="58" xfId="0" applyNumberFormat="1" applyBorder="1" applyAlignment="1">
      <alignment horizontal="center" vertical="center"/>
    </xf>
    <xf numFmtId="5" fontId="7" fillId="0" borderId="101" xfId="0" applyNumberFormat="1" applyFont="1" applyBorder="1" applyAlignment="1">
      <alignment horizontal="center" vertical="center"/>
    </xf>
    <xf numFmtId="5" fontId="0" fillId="0" borderId="102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60" xfId="0" applyNumberFormat="1" applyBorder="1" applyAlignment="1">
      <alignment horizontal="center" vertical="center" wrapText="1"/>
    </xf>
    <xf numFmtId="1" fontId="0" fillId="0" borderId="62" xfId="0" applyNumberFormat="1" applyBorder="1" applyAlignment="1">
      <alignment horizontal="center" vertical="center" wrapText="1"/>
    </xf>
    <xf numFmtId="37" fontId="0" fillId="0" borderId="0" xfId="0" applyNumberFormat="1"/>
    <xf numFmtId="4" fontId="7" fillId="0" borderId="0" xfId="0" applyNumberFormat="1" applyFont="1"/>
    <xf numFmtId="5" fontId="0" fillId="2" borderId="72" xfId="0" applyNumberFormat="1" applyFill="1" applyBorder="1" applyAlignment="1">
      <alignment horizontal="center" vertical="center"/>
    </xf>
    <xf numFmtId="5" fontId="0" fillId="2" borderId="46" xfId="0" applyNumberFormat="1" applyFill="1" applyBorder="1" applyAlignment="1">
      <alignment horizontal="center" vertical="center"/>
    </xf>
    <xf numFmtId="5" fontId="0" fillId="2" borderId="1" xfId="0" applyNumberFormat="1" applyFill="1" applyBorder="1" applyAlignment="1">
      <alignment horizontal="center" vertical="center"/>
    </xf>
    <xf numFmtId="5" fontId="0" fillId="2" borderId="73" xfId="0" applyNumberFormat="1" applyFill="1" applyBorder="1" applyAlignment="1">
      <alignment horizontal="center" vertical="center"/>
    </xf>
    <xf numFmtId="5" fontId="7" fillId="3" borderId="72" xfId="0" applyNumberFormat="1" applyFont="1" applyFill="1" applyBorder="1" applyAlignment="1">
      <alignment horizontal="center" vertical="center"/>
    </xf>
    <xf numFmtId="5" fontId="7" fillId="3" borderId="106" xfId="0" applyNumberFormat="1" applyFont="1" applyFill="1" applyBorder="1" applyAlignment="1">
      <alignment horizontal="center" vertical="center"/>
    </xf>
    <xf numFmtId="5" fontId="0" fillId="0" borderId="81" xfId="0" applyNumberFormat="1" applyBorder="1" applyAlignment="1">
      <alignment horizontal="center" vertical="center"/>
    </xf>
    <xf numFmtId="0" fontId="7" fillId="0" borderId="75" xfId="0" applyFont="1" applyBorder="1" applyAlignment="1">
      <alignment vertical="center"/>
    </xf>
    <xf numFmtId="37" fontId="7" fillId="3" borderId="79" xfId="0" applyNumberFormat="1" applyFont="1" applyFill="1" applyBorder="1" applyAlignment="1">
      <alignment horizontal="center" vertical="center"/>
    </xf>
    <xf numFmtId="37" fontId="0" fillId="2" borderId="20" xfId="0" applyNumberFormat="1" applyFill="1" applyBorder="1" applyAlignment="1">
      <alignment horizontal="center" vertical="center"/>
    </xf>
    <xf numFmtId="172" fontId="0" fillId="2" borderId="107" xfId="0" applyNumberFormat="1" applyFill="1" applyBorder="1" applyAlignment="1">
      <alignment horizontal="center" vertical="center"/>
    </xf>
    <xf numFmtId="5" fontId="0" fillId="2" borderId="65" xfId="0" applyNumberFormat="1" applyFill="1" applyBorder="1" applyAlignment="1">
      <alignment horizontal="center" vertical="center"/>
    </xf>
    <xf numFmtId="5" fontId="0" fillId="2" borderId="44" xfId="0" applyNumberFormat="1" applyFill="1" applyBorder="1" applyAlignment="1">
      <alignment horizontal="center" vertical="center"/>
    </xf>
    <xf numFmtId="5" fontId="0" fillId="2" borderId="66" xfId="0" applyNumberFormat="1" applyFill="1" applyBorder="1" applyAlignment="1">
      <alignment horizontal="center" vertical="center"/>
    </xf>
    <xf numFmtId="37" fontId="0" fillId="2" borderId="60" xfId="0" applyNumberFormat="1" applyFill="1" applyBorder="1" applyAlignment="1">
      <alignment horizontal="center" vertical="center"/>
    </xf>
    <xf numFmtId="37" fontId="0" fillId="2" borderId="61" xfId="0" applyNumberFormat="1" applyFill="1" applyBorder="1" applyAlignment="1">
      <alignment horizontal="center" vertical="center"/>
    </xf>
    <xf numFmtId="165" fontId="0" fillId="5" borderId="60" xfId="0" applyNumberFormat="1" applyFill="1" applyBorder="1" applyAlignment="1">
      <alignment horizontal="center" vertical="center"/>
    </xf>
    <xf numFmtId="165" fontId="0" fillId="5" borderId="62" xfId="0" applyNumberFormat="1" applyFill="1" applyBorder="1" applyAlignment="1">
      <alignment horizontal="center" vertical="center"/>
    </xf>
    <xf numFmtId="37" fontId="7" fillId="0" borderId="49" xfId="0" applyNumberFormat="1" applyFont="1" applyBorder="1" applyAlignment="1">
      <alignment horizontal="center" vertical="center"/>
    </xf>
    <xf numFmtId="37" fontId="7" fillId="0" borderId="50" xfId="0" applyNumberFormat="1" applyFont="1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37" fontId="7" fillId="0" borderId="48" xfId="0" applyNumberFormat="1" applyFont="1" applyBorder="1" applyAlignment="1">
      <alignment horizontal="center" vertical="center"/>
    </xf>
    <xf numFmtId="37" fontId="7" fillId="0" borderId="51" xfId="0" applyNumberFormat="1" applyFont="1" applyBorder="1" applyAlignment="1">
      <alignment horizontal="center" vertical="center"/>
    </xf>
    <xf numFmtId="169" fontId="0" fillId="3" borderId="85" xfId="0" applyNumberFormat="1" applyFill="1" applyBorder="1" applyAlignment="1">
      <alignment horizontal="center" vertical="center"/>
    </xf>
    <xf numFmtId="10" fontId="0" fillId="3" borderId="85" xfId="0" applyNumberFormat="1" applyFill="1" applyBorder="1" applyAlignment="1">
      <alignment horizontal="center" vertical="center"/>
    </xf>
    <xf numFmtId="169" fontId="0" fillId="3" borderId="108" xfId="0" applyNumberFormat="1" applyFill="1" applyBorder="1" applyAlignment="1">
      <alignment horizontal="center" vertical="center"/>
    </xf>
    <xf numFmtId="0" fontId="1" fillId="0" borderId="85" xfId="0" applyFont="1" applyBorder="1" applyAlignment="1">
      <alignment horizontal="center"/>
    </xf>
    <xf numFmtId="0" fontId="1" fillId="0" borderId="89" xfId="0" applyFont="1" applyBorder="1" applyAlignment="1">
      <alignment horizontal="center"/>
    </xf>
    <xf numFmtId="37" fontId="7" fillId="3" borderId="51" xfId="0" applyNumberFormat="1" applyFont="1" applyFill="1" applyBorder="1" applyAlignment="1">
      <alignment horizontal="center" vertical="center"/>
    </xf>
    <xf numFmtId="5" fontId="0" fillId="2" borderId="78" xfId="0" applyNumberFormat="1" applyFill="1" applyBorder="1" applyAlignment="1">
      <alignment horizontal="center" vertical="center"/>
    </xf>
    <xf numFmtId="37" fontId="7" fillId="0" borderId="59" xfId="0" applyNumberFormat="1" applyFont="1" applyBorder="1" applyAlignment="1">
      <alignment horizontal="center" vertical="center"/>
    </xf>
    <xf numFmtId="37" fontId="7" fillId="0" borderId="96" xfId="0" applyNumberFormat="1" applyFont="1" applyBorder="1" applyAlignment="1">
      <alignment horizontal="center" vertical="center"/>
    </xf>
    <xf numFmtId="5" fontId="0" fillId="2" borderId="89" xfId="0" applyNumberFormat="1" applyFill="1" applyBorder="1" applyAlignment="1">
      <alignment horizontal="center" vertical="center"/>
    </xf>
    <xf numFmtId="5" fontId="7" fillId="0" borderId="57" xfId="1" applyNumberFormat="1" applyFont="1" applyFill="1" applyBorder="1" applyAlignment="1">
      <alignment horizontal="center" vertical="center"/>
    </xf>
    <xf numFmtId="5" fontId="7" fillId="0" borderId="58" xfId="1" applyNumberFormat="1" applyFont="1" applyFill="1" applyBorder="1" applyAlignment="1">
      <alignment horizontal="center" vertical="center"/>
    </xf>
    <xf numFmtId="37" fontId="7" fillId="0" borderId="95" xfId="0" applyNumberFormat="1" applyFont="1" applyBorder="1" applyAlignment="1">
      <alignment horizontal="center" vertical="center"/>
    </xf>
    <xf numFmtId="5" fontId="7" fillId="0" borderId="56" xfId="1" applyNumberFormat="1" applyFont="1" applyFill="1" applyBorder="1" applyAlignment="1">
      <alignment horizontal="center" vertical="center"/>
    </xf>
    <xf numFmtId="37" fontId="7" fillId="0" borderId="57" xfId="0" applyNumberFormat="1" applyFont="1" applyBorder="1" applyAlignment="1">
      <alignment horizontal="center" vertical="center"/>
    </xf>
    <xf numFmtId="37" fontId="7" fillId="0" borderId="82" xfId="0" applyNumberFormat="1" applyFont="1" applyBorder="1" applyAlignment="1">
      <alignment horizontal="center" vertical="center"/>
    </xf>
    <xf numFmtId="37" fontId="7" fillId="0" borderId="83" xfId="0" applyNumberFormat="1" applyFont="1" applyBorder="1" applyAlignment="1">
      <alignment horizontal="center" vertical="center"/>
    </xf>
    <xf numFmtId="37" fontId="7" fillId="0" borderId="84" xfId="0" applyNumberFormat="1" applyFont="1" applyBorder="1" applyAlignment="1">
      <alignment horizontal="center" vertical="center"/>
    </xf>
    <xf numFmtId="6" fontId="0" fillId="0" borderId="0" xfId="0" applyNumberFormat="1"/>
    <xf numFmtId="166" fontId="7" fillId="0" borderId="57" xfId="0" applyNumberFormat="1" applyFont="1" applyBorder="1" applyAlignment="1">
      <alignment horizontal="center" vertical="center"/>
    </xf>
    <xf numFmtId="5" fontId="0" fillId="0" borderId="0" xfId="0" applyNumberFormat="1"/>
    <xf numFmtId="166" fontId="7" fillId="0" borderId="47" xfId="0" applyNumberFormat="1" applyFont="1" applyBorder="1" applyAlignment="1">
      <alignment horizontal="center" vertical="center"/>
    </xf>
    <xf numFmtId="5" fontId="0" fillId="0" borderId="109" xfId="0" applyNumberFormat="1" applyBorder="1" applyAlignment="1">
      <alignment horizontal="center" vertical="center"/>
    </xf>
    <xf numFmtId="5" fontId="0" fillId="0" borderId="91" xfId="0" applyNumberFormat="1" applyBorder="1" applyAlignment="1">
      <alignment horizontal="center" vertical="center" wrapText="1"/>
    </xf>
    <xf numFmtId="5" fontId="7" fillId="0" borderId="56" xfId="0" applyNumberFormat="1" applyFont="1" applyBorder="1" applyAlignment="1">
      <alignment horizontal="center" vertical="center"/>
    </xf>
    <xf numFmtId="5" fontId="7" fillId="0" borderId="57" xfId="0" applyNumberFormat="1" applyFont="1" applyBorder="1" applyAlignment="1">
      <alignment horizontal="center" vertical="center"/>
    </xf>
    <xf numFmtId="5" fontId="7" fillId="0" borderId="58" xfId="0" applyNumberFormat="1" applyFont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5" fontId="0" fillId="0" borderId="68" xfId="0" applyNumberFormat="1" applyBorder="1" applyAlignment="1">
      <alignment horizontal="center" vertical="center"/>
    </xf>
    <xf numFmtId="5" fontId="2" fillId="0" borderId="0" xfId="0" applyNumberFormat="1" applyFont="1" applyAlignment="1">
      <alignment horizontal="center" vertical="center" wrapText="1"/>
    </xf>
    <xf numFmtId="0" fontId="2" fillId="0" borderId="94" xfId="0" applyFont="1" applyBorder="1" applyAlignment="1">
      <alignment horizontal="center" vertical="center" wrapText="1"/>
    </xf>
    <xf numFmtId="166" fontId="7" fillId="0" borderId="68" xfId="0" applyNumberFormat="1" applyFont="1" applyBorder="1" applyAlignment="1">
      <alignment horizontal="center" vertical="center"/>
    </xf>
    <xf numFmtId="166" fontId="7" fillId="0" borderId="47" xfId="0" applyNumberFormat="1" applyFont="1" applyBorder="1" applyAlignment="1">
      <alignment horizontal="center" vertical="center" wrapText="1"/>
    </xf>
    <xf numFmtId="37" fontId="7" fillId="0" borderId="47" xfId="0" applyNumberFormat="1" applyFont="1" applyBorder="1" applyAlignment="1">
      <alignment horizontal="center" vertical="center"/>
    </xf>
    <xf numFmtId="174" fontId="1" fillId="0" borderId="0" xfId="0" applyNumberFormat="1" applyFont="1" applyAlignment="1">
      <alignment horizontal="center" vertical="center"/>
    </xf>
    <xf numFmtId="7" fontId="1" fillId="0" borderId="0" xfId="0" applyNumberFormat="1" applyFont="1" applyAlignment="1">
      <alignment horizontal="center" vertical="center"/>
    </xf>
    <xf numFmtId="5" fontId="7" fillId="3" borderId="99" xfId="0" applyNumberFormat="1" applyFont="1" applyFill="1" applyBorder="1" applyAlignment="1">
      <alignment horizontal="center" vertical="center"/>
    </xf>
    <xf numFmtId="169" fontId="7" fillId="0" borderId="0" xfId="1" applyNumberFormat="1" applyFont="1" applyFill="1" applyBorder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37" fontId="7" fillId="3" borderId="103" xfId="0" applyNumberFormat="1" applyFont="1" applyFill="1" applyBorder="1" applyAlignment="1">
      <alignment horizontal="center" vertical="center"/>
    </xf>
    <xf numFmtId="37" fontId="7" fillId="0" borderId="63" xfId="0" applyNumberFormat="1" applyFont="1" applyBorder="1" applyAlignment="1">
      <alignment horizontal="center" vertical="center"/>
    </xf>
    <xf numFmtId="37" fontId="0" fillId="2" borderId="46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0" fillId="0" borderId="56" xfId="0" applyBorder="1"/>
    <xf numFmtId="3" fontId="2" fillId="0" borderId="57" xfId="0" applyNumberFormat="1" applyFont="1" applyBorder="1" applyAlignment="1">
      <alignment horizontal="center"/>
    </xf>
    <xf numFmtId="0" fontId="0" fillId="0" borderId="57" xfId="0" applyBorder="1"/>
    <xf numFmtId="0" fontId="0" fillId="0" borderId="58" xfId="0" applyBorder="1"/>
    <xf numFmtId="175" fontId="0" fillId="0" borderId="55" xfId="0" applyNumberFormat="1" applyBorder="1" applyAlignment="1">
      <alignment horizontal="center"/>
    </xf>
    <xf numFmtId="175" fontId="0" fillId="0" borderId="52" xfId="0" applyNumberFormat="1" applyBorder="1" applyAlignment="1">
      <alignment horizontal="center"/>
    </xf>
    <xf numFmtId="175" fontId="0" fillId="0" borderId="54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79" xfId="0" applyFont="1" applyBorder="1" applyAlignment="1">
      <alignment horizontal="center"/>
    </xf>
    <xf numFmtId="0" fontId="1" fillId="0" borderId="7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20" xfId="0" applyBorder="1" applyAlignment="1">
      <alignment horizontal="center"/>
    </xf>
    <xf numFmtId="172" fontId="2" fillId="0" borderId="75" xfId="0" applyNumberFormat="1" applyFont="1" applyBorder="1" applyAlignment="1">
      <alignment horizontal="center" vertical="center"/>
    </xf>
    <xf numFmtId="172" fontId="2" fillId="0" borderId="76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75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1" fillId="0" borderId="103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2" fillId="0" borderId="76" xfId="0" applyFont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 wrapText="1"/>
    </xf>
    <xf numFmtId="0" fontId="0" fillId="0" borderId="75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5" fillId="0" borderId="75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0" fillId="0" borderId="77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97" xfId="0" applyBorder="1" applyAlignment="1">
      <alignment horizontal="center"/>
    </xf>
    <xf numFmtId="0" fontId="0" fillId="0" borderId="70" xfId="0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5" fillId="0" borderId="98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0" xfId="0" applyBorder="1" applyAlignment="1">
      <alignment horizontal="center"/>
    </xf>
    <xf numFmtId="0" fontId="0" fillId="0" borderId="54" xfId="0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0" fillId="0" borderId="93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0" fillId="0" borderId="58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78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4" fontId="0" fillId="0" borderId="2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  <xf numFmtId="44" fontId="0" fillId="0" borderId="4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</cellXfs>
  <cellStyles count="7">
    <cellStyle name="Comma" xfId="5" builtinId="3"/>
    <cellStyle name="Currency" xfId="1" builtinId="4"/>
    <cellStyle name="Hyperlink" xfId="6" builtinId="8"/>
    <cellStyle name="Normal" xfId="0" builtinId="0"/>
    <cellStyle name="Normal 178 3" xfId="4" xr:uid="{29D224A8-E877-4096-8211-2C1674F90B6A}"/>
    <cellStyle name="Normal_EMCS_6" xfId="3" xr:uid="{44B4F0CC-6C98-4D7C-89ED-637F71D33887}"/>
    <cellStyle name="Percent" xfId="2" builtinId="5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'Benefits Only LCA'!$D$37:$W$37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'Benefits Only LCA'!$D$40:$W$40</c:f>
              <c:numCache>
                <c:formatCode>0.0%</c:formatCode>
                <c:ptCount val="20"/>
                <c:pt idx="1">
                  <c:v>-5.239682247512456E-2</c:v>
                </c:pt>
                <c:pt idx="2">
                  <c:v>-5.5593222481169047E-2</c:v>
                </c:pt>
                <c:pt idx="3">
                  <c:v>-5.9184907658837549E-2</c:v>
                </c:pt>
                <c:pt idx="4">
                  <c:v>-6.3250035563913176E-2</c:v>
                </c:pt>
                <c:pt idx="5">
                  <c:v>-6.7888822485707712E-2</c:v>
                </c:pt>
                <c:pt idx="6">
                  <c:v>-7.3231916390408935E-2</c:v>
                </c:pt>
                <c:pt idx="7">
                  <c:v>-7.9452896965052533E-2</c:v>
                </c:pt>
                <c:pt idx="8">
                  <c:v>-8.6787488519371792E-2</c:v>
                </c:pt>
                <c:pt idx="9">
                  <c:v>-9.5564105004778188E-2</c:v>
                </c:pt>
                <c:pt idx="10">
                  <c:v>-0.1062543751431706</c:v>
                </c:pt>
                <c:pt idx="11">
                  <c:v>-0.11956076098212121</c:v>
                </c:pt>
                <c:pt idx="12">
                  <c:v>-0.13657747055303893</c:v>
                </c:pt>
                <c:pt idx="13">
                  <c:v>-0.15910778299383899</c:v>
                </c:pt>
                <c:pt idx="14">
                  <c:v>-0.19034945557443295</c:v>
                </c:pt>
                <c:pt idx="15">
                  <c:v>-0.23656570676905431</c:v>
                </c:pt>
                <c:pt idx="16">
                  <c:v>-0.31191632355797294</c:v>
                </c:pt>
                <c:pt idx="17">
                  <c:v>-0.45663051180225711</c:v>
                </c:pt>
                <c:pt idx="18">
                  <c:v>-0.84816499644932031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5B-4168-B049-902C22B16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6673928"/>
        <c:axId val="776667696"/>
      </c:scatterChart>
      <c:valAx>
        <c:axId val="776673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6667696"/>
        <c:crosses val="autoZero"/>
        <c:crossBetween val="midCat"/>
      </c:valAx>
      <c:valAx>
        <c:axId val="77666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6673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Social Cost</a:t>
            </a:r>
            <a:r>
              <a:rPr lang="en-US" baseline="0"/>
              <a:t> of Carbon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772272096561178E-2"/>
                  <c:y val="-4.968660076961647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'Cost of Carbon'!$L$10:$L$19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'Cost of Carbon'!$O$10:$O$19</c:f>
              <c:numCache>
                <c:formatCode>"$"#,##0</c:formatCode>
                <c:ptCount val="10"/>
                <c:pt idx="0">
                  <c:v>123</c:v>
                </c:pt>
                <c:pt idx="1">
                  <c:v>124</c:v>
                </c:pt>
                <c:pt idx="2">
                  <c:v>126</c:v>
                </c:pt>
                <c:pt idx="3">
                  <c:v>128</c:v>
                </c:pt>
                <c:pt idx="4">
                  <c:v>129</c:v>
                </c:pt>
                <c:pt idx="5">
                  <c:v>131</c:v>
                </c:pt>
                <c:pt idx="6">
                  <c:v>132</c:v>
                </c:pt>
                <c:pt idx="7">
                  <c:v>134</c:v>
                </c:pt>
                <c:pt idx="8">
                  <c:v>136</c:v>
                </c:pt>
                <c:pt idx="9">
                  <c:v>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44-4D3A-A1ED-7F6EB506D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0601304"/>
        <c:axId val="1120601632"/>
      </c:scatterChart>
      <c:valAx>
        <c:axId val="1120601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601632"/>
        <c:crosses val="autoZero"/>
        <c:crossBetween val="midCat"/>
      </c:valAx>
      <c:valAx>
        <c:axId val="112060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Cost per Ton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601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132998687664042"/>
                  <c:y val="-0.475854841061533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'Cost of Carbon'!$J$39:$J$63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</c:numCache>
            </c:numRef>
          </c:xVal>
          <c:yVal>
            <c:numRef>
              <c:f>'Cost of Carbon'!$L$39:$L$63</c:f>
              <c:numCache>
                <c:formatCode>0.00</c:formatCode>
                <c:ptCount val="25"/>
                <c:pt idx="0">
                  <c:v>0.3</c:v>
                </c:pt>
                <c:pt idx="1">
                  <c:v>0.28421052631578947</c:v>
                </c:pt>
                <c:pt idx="2">
                  <c:v>0.26842105263157895</c:v>
                </c:pt>
                <c:pt idx="3">
                  <c:v>0.25263157894736843</c:v>
                </c:pt>
                <c:pt idx="4">
                  <c:v>0.23684210526315791</c:v>
                </c:pt>
                <c:pt idx="5">
                  <c:v>0.22105263157894739</c:v>
                </c:pt>
                <c:pt idx="6">
                  <c:v>0.20526315789473687</c:v>
                </c:pt>
                <c:pt idx="7">
                  <c:v>0.18947368421052635</c:v>
                </c:pt>
                <c:pt idx="8">
                  <c:v>0.17368421052631583</c:v>
                </c:pt>
                <c:pt idx="9">
                  <c:v>0.15789473684210531</c:v>
                </c:pt>
                <c:pt idx="10">
                  <c:v>0.14210526315789479</c:v>
                </c:pt>
                <c:pt idx="11">
                  <c:v>0.12631578947368427</c:v>
                </c:pt>
                <c:pt idx="12">
                  <c:v>0.11052631578947375</c:v>
                </c:pt>
                <c:pt idx="13">
                  <c:v>9.473684210526323E-2</c:v>
                </c:pt>
                <c:pt idx="14">
                  <c:v>7.894736842105271E-2</c:v>
                </c:pt>
                <c:pt idx="15">
                  <c:v>6.3157894736842191E-2</c:v>
                </c:pt>
                <c:pt idx="16">
                  <c:v>4.7368421052631664E-2</c:v>
                </c:pt>
                <c:pt idx="17">
                  <c:v>3.1578947368421137E-2</c:v>
                </c:pt>
                <c:pt idx="18">
                  <c:v>1.578947368421061E-2</c:v>
                </c:pt>
                <c:pt idx="19" formatCode="0">
                  <c:v>0</c:v>
                </c:pt>
                <c:pt idx="20" formatCode="0">
                  <c:v>0</c:v>
                </c:pt>
                <c:pt idx="21" formatCode="0">
                  <c:v>0</c:v>
                </c:pt>
                <c:pt idx="22" formatCode="0">
                  <c:v>0</c:v>
                </c:pt>
                <c:pt idx="23" formatCode="0">
                  <c:v>0</c:v>
                </c:pt>
                <c:pt idx="24" formatCode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AC-4CEF-B3B7-008B8F14791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2441097987751533"/>
                  <c:y val="-0.110262467191601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'Cost of Carbon'!$J$39:$J$57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</c:numCache>
            </c:numRef>
          </c:xVal>
          <c:yVal>
            <c:numRef>
              <c:f>'Cost of Carbon'!$M$39:$M$57</c:f>
              <c:numCache>
                <c:formatCode>#,##0.000</c:formatCode>
                <c:ptCount val="19"/>
                <c:pt idx="0">
                  <c:v>5.4800000000000001E-2</c:v>
                </c:pt>
                <c:pt idx="1">
                  <c:v>5.1915789473684214E-2</c:v>
                </c:pt>
                <c:pt idx="2">
                  <c:v>4.9031578947368426E-2</c:v>
                </c:pt>
                <c:pt idx="3">
                  <c:v>4.6147368421052638E-2</c:v>
                </c:pt>
                <c:pt idx="4">
                  <c:v>4.3263157894736851E-2</c:v>
                </c:pt>
                <c:pt idx="5">
                  <c:v>4.0378947368421063E-2</c:v>
                </c:pt>
                <c:pt idx="6">
                  <c:v>3.7494736842105275E-2</c:v>
                </c:pt>
                <c:pt idx="7">
                  <c:v>3.4610526315789487E-2</c:v>
                </c:pt>
                <c:pt idx="8">
                  <c:v>3.17263157894737E-2</c:v>
                </c:pt>
                <c:pt idx="9">
                  <c:v>2.8842105263157912E-2</c:v>
                </c:pt>
                <c:pt idx="10">
                  <c:v>2.5957894736842124E-2</c:v>
                </c:pt>
                <c:pt idx="11">
                  <c:v>2.3073684210526337E-2</c:v>
                </c:pt>
                <c:pt idx="12">
                  <c:v>2.0189473684210549E-2</c:v>
                </c:pt>
                <c:pt idx="13">
                  <c:v>1.7305263157894761E-2</c:v>
                </c:pt>
                <c:pt idx="14">
                  <c:v>1.4421052631578972E-2</c:v>
                </c:pt>
                <c:pt idx="15">
                  <c:v>1.1536842105263182E-2</c:v>
                </c:pt>
                <c:pt idx="16">
                  <c:v>8.6526315789473927E-3</c:v>
                </c:pt>
                <c:pt idx="17">
                  <c:v>5.7684210526316032E-3</c:v>
                </c:pt>
                <c:pt idx="18">
                  <c:v>2.8842105263158137E-3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933-4188-8EF5-42DA22104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7685304"/>
        <c:axId val="1387693504"/>
      </c:scatterChart>
      <c:valAx>
        <c:axId val="1387685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7693504"/>
        <c:crosses val="autoZero"/>
        <c:crossBetween val="midCat"/>
      </c:valAx>
      <c:valAx>
        <c:axId val="138769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kg/kWh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7685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Life Cycle O&amp;M</a:t>
            </a:r>
            <a:r>
              <a:rPr lang="en-US" b="1" baseline="0"/>
              <a:t> Costs for Baseline and Heat Pump Scenario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793432381792783E-2"/>
          <c:y val="9.5888977621637089E-2"/>
          <c:w val="0.88685075387258683"/>
          <c:h val="0.7423783873353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LCA!$A$22</c:f>
              <c:strCache>
                <c:ptCount val="1"/>
                <c:pt idx="0">
                  <c:v>Baseline Scenario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LCA!$B$21:$Z$21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LCA!$B$22:$Z$22</c:f>
              <c:numCache>
                <c:formatCode>"$"#,##0_);\("$"#,##0\)</c:formatCode>
                <c:ptCount val="25"/>
                <c:pt idx="0">
                  <c:v>6500</c:v>
                </c:pt>
                <c:pt idx="1">
                  <c:v>6630</c:v>
                </c:pt>
                <c:pt idx="2">
                  <c:v>6762.6</c:v>
                </c:pt>
                <c:pt idx="3">
                  <c:v>6897.8520000000008</c:v>
                </c:pt>
                <c:pt idx="4">
                  <c:v>7035.809040000001</c:v>
                </c:pt>
                <c:pt idx="5">
                  <c:v>7176.5252208000011</c:v>
                </c:pt>
                <c:pt idx="6">
                  <c:v>7320.0557252160015</c:v>
                </c:pt>
                <c:pt idx="7">
                  <c:v>7466.456839720322</c:v>
                </c:pt>
                <c:pt idx="8">
                  <c:v>7615.7859765147286</c:v>
                </c:pt>
                <c:pt idx="9">
                  <c:v>7768.1016960450233</c:v>
                </c:pt>
                <c:pt idx="10">
                  <c:v>7923.4637299659244</c:v>
                </c:pt>
                <c:pt idx="11">
                  <c:v>8081.9330045652432</c:v>
                </c:pt>
                <c:pt idx="12">
                  <c:v>8243.5716646565488</c:v>
                </c:pt>
                <c:pt idx="13">
                  <c:v>8408.4430979496792</c:v>
                </c:pt>
                <c:pt idx="14">
                  <c:v>8576.6119599086724</c:v>
                </c:pt>
                <c:pt idx="15">
                  <c:v>8748.1441991068459</c:v>
                </c:pt>
                <c:pt idx="16">
                  <c:v>8923.1070830889821</c:v>
                </c:pt>
                <c:pt idx="17">
                  <c:v>9101.5692247507614</c:v>
                </c:pt>
                <c:pt idx="18">
                  <c:v>9283.6006092457774</c:v>
                </c:pt>
                <c:pt idx="19">
                  <c:v>9469.2726214306931</c:v>
                </c:pt>
                <c:pt idx="20">
                  <c:v>9658.6580738593075</c:v>
                </c:pt>
                <c:pt idx="21">
                  <c:v>9851.8312353364945</c:v>
                </c:pt>
                <c:pt idx="22">
                  <c:v>10048.867860043225</c:v>
                </c:pt>
                <c:pt idx="23">
                  <c:v>10249.84521724409</c:v>
                </c:pt>
                <c:pt idx="24">
                  <c:v>10454.842121588972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96-4CDC-AC06-83D0BA5CD05A}"/>
            </c:ext>
          </c:extLst>
        </c:ser>
        <c:ser>
          <c:idx val="1"/>
          <c:order val="1"/>
          <c:tx>
            <c:strRef>
              <c:f>LCA!$A$23</c:f>
              <c:strCache>
                <c:ptCount val="1"/>
                <c:pt idx="0">
                  <c:v>Heat Pump (DES) Scenario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LCA!$B$21:$Z$21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LCA!$B$23:$Z$23</c:f>
              <c:numCache>
                <c:formatCode>"$"#,##0_);\("$"#,##0\)</c:formatCode>
                <c:ptCount val="25"/>
                <c:pt idx="0">
                  <c:v>2000</c:v>
                </c:pt>
                <c:pt idx="1">
                  <c:v>2040</c:v>
                </c:pt>
                <c:pt idx="2">
                  <c:v>2080.8000000000002</c:v>
                </c:pt>
                <c:pt idx="3">
                  <c:v>2122.4160000000002</c:v>
                </c:pt>
                <c:pt idx="4">
                  <c:v>2164.8643200000001</c:v>
                </c:pt>
                <c:pt idx="5">
                  <c:v>2208.1616064</c:v>
                </c:pt>
                <c:pt idx="6">
                  <c:v>2252.3248385279999</c:v>
                </c:pt>
                <c:pt idx="7">
                  <c:v>2297.3713352985601</c:v>
                </c:pt>
                <c:pt idx="8">
                  <c:v>2343.3187620045314</c:v>
                </c:pt>
                <c:pt idx="9">
                  <c:v>2390.1851372446222</c:v>
                </c:pt>
                <c:pt idx="10">
                  <c:v>2437.9888399895149</c:v>
                </c:pt>
                <c:pt idx="11">
                  <c:v>2486.7486167893053</c:v>
                </c:pt>
                <c:pt idx="12">
                  <c:v>2536.4835891250914</c:v>
                </c:pt>
                <c:pt idx="13">
                  <c:v>2587.2132609075934</c:v>
                </c:pt>
                <c:pt idx="14">
                  <c:v>2638.9575261257455</c:v>
                </c:pt>
                <c:pt idx="15">
                  <c:v>2691.7366766482605</c:v>
                </c:pt>
                <c:pt idx="16">
                  <c:v>2745.5714101812259</c:v>
                </c:pt>
                <c:pt idx="17">
                  <c:v>2800.4828383848503</c:v>
                </c:pt>
                <c:pt idx="18">
                  <c:v>2856.4924951525472</c:v>
                </c:pt>
                <c:pt idx="19">
                  <c:v>2913.6223450555981</c:v>
                </c:pt>
                <c:pt idx="20">
                  <c:v>2971.8947919567099</c:v>
                </c:pt>
                <c:pt idx="21">
                  <c:v>3031.3326877958443</c:v>
                </c:pt>
                <c:pt idx="22">
                  <c:v>3091.9593415517611</c:v>
                </c:pt>
                <c:pt idx="23">
                  <c:v>3153.7985283827966</c:v>
                </c:pt>
                <c:pt idx="24">
                  <c:v>3216.8744989504526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96-4CDC-AC06-83D0BA5CD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7309536"/>
        <c:axId val="637307896"/>
      </c:barChart>
      <c:catAx>
        <c:axId val="637309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307896"/>
        <c:crosses val="autoZero"/>
        <c:auto val="1"/>
        <c:lblAlgn val="ctr"/>
        <c:lblOffset val="100"/>
        <c:noMultiLvlLbl val="0"/>
      </c:catAx>
      <c:valAx>
        <c:axId val="637307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30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Year</a:t>
            </a:r>
            <a:r>
              <a:rPr lang="en-US" baseline="0"/>
              <a:t> 1 Installation Costs for Baseline and Heat Pump Scenarios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WSHP Scenario</c:v>
              </c:pt>
              <c:pt idx="1">
                <c:v> Baseline Scenario</c:v>
              </c:pt>
            </c:strLit>
          </c:cat>
          <c:val>
            <c:numRef>
              <c:f>LCA!$B$41:$B$42</c:f>
              <c:numCache>
                <c:formatCode>_("$"* #,##0_);_("$"* \(#,##0\);_("$"* "-"_);_(@_)</c:formatCode>
                <c:ptCount val="2"/>
                <c:pt idx="0" formatCode="&quot;$&quot;#,##0_);\(&quot;$&quot;#,##0\)">
                  <c:v>3140477.7357525001</c:v>
                </c:pt>
                <c:pt idx="1">
                  <c:v>3476146.9148999988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5D-491D-92A0-D970284A3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7266896"/>
        <c:axId val="637274112"/>
      </c:barChart>
      <c:catAx>
        <c:axId val="63726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274112"/>
        <c:crosses val="autoZero"/>
        <c:auto val="1"/>
        <c:lblAlgn val="ctr"/>
        <c:lblOffset val="100"/>
        <c:noMultiLvlLbl val="0"/>
      </c:catAx>
      <c:valAx>
        <c:axId val="63727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26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Life Cycle Natural Gas</a:t>
            </a:r>
            <a:r>
              <a:rPr lang="en-US" baseline="0"/>
              <a:t> Energy Consumption for Baseline and Heat Pump Scenario (Therms)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LCA!$A$13</c:f>
              <c:strCache>
                <c:ptCount val="1"/>
                <c:pt idx="0">
                  <c:v>Baseline scenario Nat Gas energy consumption (Therms)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LCA!$B$12:$Z$12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LCA!$B$13:$Z$13</c:f>
              <c:numCache>
                <c:formatCode>#,##0_);\(#,##0\)</c:formatCode>
                <c:ptCount val="25"/>
                <c:pt idx="0">
                  <c:v>1120506.4657457031</c:v>
                </c:pt>
                <c:pt idx="1">
                  <c:v>1123307.7319100674</c:v>
                </c:pt>
                <c:pt idx="2">
                  <c:v>1126116.0012398425</c:v>
                </c:pt>
                <c:pt idx="3">
                  <c:v>1128931.291242942</c:v>
                </c:pt>
                <c:pt idx="4">
                  <c:v>1131753.6194710492</c:v>
                </c:pt>
                <c:pt idx="5">
                  <c:v>1134583.0035197267</c:v>
                </c:pt>
                <c:pt idx="6">
                  <c:v>1137419.4610285258</c:v>
                </c:pt>
                <c:pt idx="7">
                  <c:v>1140263.009681097</c:v>
                </c:pt>
                <c:pt idx="8">
                  <c:v>1143113.6672052997</c:v>
                </c:pt>
                <c:pt idx="9">
                  <c:v>1145971.4513733129</c:v>
                </c:pt>
                <c:pt idx="10">
                  <c:v>1148836.3800017461</c:v>
                </c:pt>
                <c:pt idx="11">
                  <c:v>1151708.4709517504</c:v>
                </c:pt>
                <c:pt idx="12">
                  <c:v>1154587.7421291298</c:v>
                </c:pt>
                <c:pt idx="13">
                  <c:v>1157474.2114844525</c:v>
                </c:pt>
                <c:pt idx="14">
                  <c:v>1160367.8970131637</c:v>
                </c:pt>
                <c:pt idx="15">
                  <c:v>1163268.8167556964</c:v>
                </c:pt>
                <c:pt idx="16">
                  <c:v>1166176.9887975857</c:v>
                </c:pt>
                <c:pt idx="17">
                  <c:v>1169092.4312695796</c:v>
                </c:pt>
                <c:pt idx="18">
                  <c:v>1172015.1623477535</c:v>
                </c:pt>
                <c:pt idx="19">
                  <c:v>1174945.2002536228</c:v>
                </c:pt>
                <c:pt idx="20">
                  <c:v>1177882.5632542567</c:v>
                </c:pt>
                <c:pt idx="21">
                  <c:v>1180827.2696623923</c:v>
                </c:pt>
                <c:pt idx="22">
                  <c:v>1183779.3378365482</c:v>
                </c:pt>
                <c:pt idx="23">
                  <c:v>1186738.7861811395</c:v>
                </c:pt>
                <c:pt idx="24">
                  <c:v>1189705.6331465924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D-4EC3-A148-6214E12578EC}"/>
            </c:ext>
          </c:extLst>
        </c:ser>
        <c:ser>
          <c:idx val="1"/>
          <c:order val="1"/>
          <c:tx>
            <c:strRef>
              <c:f>LCA!$A$14</c:f>
              <c:strCache>
                <c:ptCount val="1"/>
                <c:pt idx="0">
                  <c:v>Heat Pump scenario Nat Gas energy consumption (Therms)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LCA!$B$12:$Z$12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LCA!$B$14:$Z$14</c:f>
              <c:numCache>
                <c:formatCode>#,##0_);\(#,##0\)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9D-4EC3-A148-6214E1257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7278704"/>
        <c:axId val="637278048"/>
      </c:barChart>
      <c:catAx>
        <c:axId val="63727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278048"/>
        <c:crosses val="autoZero"/>
        <c:auto val="1"/>
        <c:lblAlgn val="ctr"/>
        <c:lblOffset val="100"/>
        <c:noMultiLvlLbl val="0"/>
      </c:catAx>
      <c:valAx>
        <c:axId val="63727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27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Life Cycle Electric Energy Consumption for Baseline and Heat Pump Scenario (kWh)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LCA!$A$15</c:f>
              <c:strCache>
                <c:ptCount val="1"/>
                <c:pt idx="0">
                  <c:v>Baseline scenario electric energy consumption 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LCA!$B$12:$Z$12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LCA!$B$15:$Z$15</c:f>
              <c:numCache>
                <c:formatCode>#,##0_);\(#,##0\)</c:formatCode>
                <c:ptCount val="25"/>
                <c:pt idx="0">
                  <c:v>44736375.104737386</c:v>
                </c:pt>
                <c:pt idx="1">
                  <c:v>44848216.042499229</c:v>
                </c:pt>
                <c:pt idx="2">
                  <c:v>44960336.582605474</c:v>
                </c:pt>
                <c:pt idx="3">
                  <c:v>45072737.424061984</c:v>
                </c:pt>
                <c:pt idx="4">
                  <c:v>45185419.267622136</c:v>
                </c:pt>
                <c:pt idx="5">
                  <c:v>45298382.81579119</c:v>
                </c:pt>
                <c:pt idx="6">
                  <c:v>45411628.772830665</c:v>
                </c:pt>
                <c:pt idx="7">
                  <c:v>45525157.844762743</c:v>
                </c:pt>
                <c:pt idx="8">
                  <c:v>45638970.739374645</c:v>
                </c:pt>
                <c:pt idx="9">
                  <c:v>45753068.166223079</c:v>
                </c:pt>
                <c:pt idx="10">
                  <c:v>45867450.836638637</c:v>
                </c:pt>
                <c:pt idx="11">
                  <c:v>45982119.463730231</c:v>
                </c:pt>
                <c:pt idx="12">
                  <c:v>46097074.762389556</c:v>
                </c:pt>
                <c:pt idx="13">
                  <c:v>46212317.449295528</c:v>
                </c:pt>
                <c:pt idx="14">
                  <c:v>46327848.242918767</c:v>
                </c:pt>
                <c:pt idx="15">
                  <c:v>46443667.863526061</c:v>
                </c:pt>
                <c:pt idx="16">
                  <c:v>46559777.033184871</c:v>
                </c:pt>
                <c:pt idx="17">
                  <c:v>46676176.475767829</c:v>
                </c:pt>
                <c:pt idx="18">
                  <c:v>46792866.916957244</c:v>
                </c:pt>
                <c:pt idx="19">
                  <c:v>46909849.084249638</c:v>
                </c:pt>
                <c:pt idx="20">
                  <c:v>47027123.706960261</c:v>
                </c:pt>
                <c:pt idx="21">
                  <c:v>47144691.516227663</c:v>
                </c:pt>
                <c:pt idx="22">
                  <c:v>47262553.245018229</c:v>
                </c:pt>
                <c:pt idx="23">
                  <c:v>47380709.628130771</c:v>
                </c:pt>
                <c:pt idx="24">
                  <c:v>47499161.402201094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4-407B-BFC6-9F641D541BBD}"/>
            </c:ext>
          </c:extLst>
        </c:ser>
        <c:ser>
          <c:idx val="1"/>
          <c:order val="1"/>
          <c:tx>
            <c:strRef>
              <c:f>LCA!$A$16</c:f>
              <c:strCache>
                <c:ptCount val="1"/>
                <c:pt idx="0">
                  <c:v>Heat Pump scenario electric energy consumption 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LCA!$B$12:$Z$12</c:f>
              <c:strCache>
                <c:ptCount val="2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  <c:pt idx="20">
                  <c:v>Year 21</c:v>
                </c:pt>
                <c:pt idx="21">
                  <c:v>Year 22</c:v>
                </c:pt>
                <c:pt idx="22">
                  <c:v>Year 23</c:v>
                </c:pt>
                <c:pt idx="23">
                  <c:v>Year 24</c:v>
                </c:pt>
                <c:pt idx="24">
                  <c:v>Year 25</c:v>
                </c:pt>
              </c:strCache>
            </c:strRef>
          </c:cat>
          <c:val>
            <c:numRef>
              <c:f>LCA!$B$16:$Z$16</c:f>
              <c:numCache>
                <c:formatCode>#,##0_);\(#,##0\)</c:formatCode>
                <c:ptCount val="25"/>
                <c:pt idx="0">
                  <c:v>1722459.0222619497</c:v>
                </c:pt>
                <c:pt idx="1">
                  <c:v>1726765.1698176046</c:v>
                </c:pt>
                <c:pt idx="2">
                  <c:v>1731082.0827421485</c:v>
                </c:pt>
                <c:pt idx="3">
                  <c:v>1735409.7879490037</c:v>
                </c:pt>
                <c:pt idx="4">
                  <c:v>1739748.3124188762</c:v>
                </c:pt>
                <c:pt idx="5">
                  <c:v>1744097.6831999233</c:v>
                </c:pt>
                <c:pt idx="6">
                  <c:v>1748457.9274079229</c:v>
                </c:pt>
                <c:pt idx="7">
                  <c:v>1752829.0722264426</c:v>
                </c:pt>
                <c:pt idx="8">
                  <c:v>1757211.1449070086</c:v>
                </c:pt>
                <c:pt idx="9">
                  <c:v>1761604.172769276</c:v>
                </c:pt>
                <c:pt idx="10">
                  <c:v>1766008.1832011992</c:v>
                </c:pt>
                <c:pt idx="11">
                  <c:v>1770423.203659202</c:v>
                </c:pt>
                <c:pt idx="12">
                  <c:v>1774849.2616683498</c:v>
                </c:pt>
                <c:pt idx="13">
                  <c:v>1779286.3848225207</c:v>
                </c:pt>
                <c:pt idx="14">
                  <c:v>1783734.600784577</c:v>
                </c:pt>
                <c:pt idx="15">
                  <c:v>1788193.9372865383</c:v>
                </c:pt>
                <c:pt idx="16">
                  <c:v>1792664.4221297544</c:v>
                </c:pt>
                <c:pt idx="17">
                  <c:v>1797146.0831850788</c:v>
                </c:pt>
                <c:pt idx="18">
                  <c:v>1801638.9483930415</c:v>
                </c:pt>
                <c:pt idx="19">
                  <c:v>1806143.0457640239</c:v>
                </c:pt>
                <c:pt idx="20">
                  <c:v>1810658.4033784338</c:v>
                </c:pt>
                <c:pt idx="21">
                  <c:v>1815185.0493868797</c:v>
                </c:pt>
                <c:pt idx="22">
                  <c:v>1819723.0120103469</c:v>
                </c:pt>
                <c:pt idx="23">
                  <c:v>1824272.3195403726</c:v>
                </c:pt>
                <c:pt idx="24">
                  <c:v>1828833.0003392233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A4-407B-BFC6-9F641D541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7317408"/>
        <c:axId val="637322328"/>
      </c:barChart>
      <c:catAx>
        <c:axId val="63731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322328"/>
        <c:crosses val="autoZero"/>
        <c:auto val="1"/>
        <c:lblAlgn val="ctr"/>
        <c:lblOffset val="100"/>
        <c:noMultiLvlLbl val="0"/>
      </c:catAx>
      <c:valAx>
        <c:axId val="637322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31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549275</xdr:colOff>
      <xdr:row>47</xdr:row>
      <xdr:rowOff>120650</xdr:rowOff>
    </xdr:from>
    <xdr:to>
      <xdr:col>40</xdr:col>
      <xdr:colOff>168275</xdr:colOff>
      <xdr:row>62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0978A66-47BD-4020-A085-3F6FE73046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102758</xdr:colOff>
      <xdr:row>9</xdr:row>
      <xdr:rowOff>45817</xdr:rowOff>
    </xdr:from>
    <xdr:to>
      <xdr:col>25</xdr:col>
      <xdr:colOff>60138</xdr:colOff>
      <xdr:row>40</xdr:row>
      <xdr:rowOff>131617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6A9B14-4B4B-4774-BD84-86A2DF162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7964" y="1670670"/>
          <a:ext cx="8283350" cy="60585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6</xdr:row>
      <xdr:rowOff>91168</xdr:rowOff>
    </xdr:from>
    <xdr:to>
      <xdr:col>8</xdr:col>
      <xdr:colOff>599029</xdr:colOff>
      <xdr:row>24</xdr:row>
      <xdr:rowOff>176893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58B7B7-94BF-4316-85A0-377FF07BC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1" y="1247775"/>
          <a:ext cx="5326149" cy="3582761"/>
        </a:xfrm>
        <a:prstGeom prst="rect">
          <a:avLst/>
        </a:prstGeom>
      </xdr:spPr>
    </xdr:pic>
    <xdr:clientData/>
  </xdr:twoCellAnchor>
  <xdr:twoCellAnchor>
    <xdr:from>
      <xdr:col>17</xdr:col>
      <xdr:colOff>28575</xdr:colOff>
      <xdr:row>6</xdr:row>
      <xdr:rowOff>4761</xdr:rowOff>
    </xdr:from>
    <xdr:to>
      <xdr:col>25</xdr:col>
      <xdr:colOff>485775</xdr:colOff>
      <xdr:row>20</xdr:row>
      <xdr:rowOff>85724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135931-D236-4D3D-8D13-A09A7FB08A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285750</xdr:colOff>
      <xdr:row>37</xdr:row>
      <xdr:rowOff>138112</xdr:rowOff>
    </xdr:from>
    <xdr:to>
      <xdr:col>8</xdr:col>
      <xdr:colOff>590550</xdr:colOff>
      <xdr:row>52</xdr:row>
      <xdr:rowOff>14287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3268D1-AAF3-47B8-A022-8A50CB8D2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109611</xdr:rowOff>
    </xdr:from>
    <xdr:to>
      <xdr:col>5</xdr:col>
      <xdr:colOff>74086</xdr:colOff>
      <xdr:row>55</xdr:row>
      <xdr:rowOff>171744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B568C3-8C40-4F23-9E6C-B095CB3FA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396111"/>
          <a:ext cx="4960411" cy="425313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2296886</xdr:colOff>
      <xdr:row>85</xdr:row>
      <xdr:rowOff>26806</xdr:rowOff>
    </xdr:from>
    <xdr:to>
      <xdr:col>13</xdr:col>
      <xdr:colOff>460466</xdr:colOff>
      <xdr:row>112</xdr:row>
      <xdr:rowOff>92529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FF9ABF-5B45-46BE-A0A8-BEA1676937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2308044</xdr:colOff>
      <xdr:row>112</xdr:row>
      <xdr:rowOff>175395</xdr:rowOff>
    </xdr:from>
    <xdr:to>
      <xdr:col>6</xdr:col>
      <xdr:colOff>589734</xdr:colOff>
      <xdr:row>138</xdr:row>
      <xdr:rowOff>62048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81E5EA8-F57B-4BA6-ACFC-EF61495D66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2300694</xdr:colOff>
      <xdr:row>59</xdr:row>
      <xdr:rowOff>107086</xdr:rowOff>
    </xdr:from>
    <xdr:to>
      <xdr:col>13</xdr:col>
      <xdr:colOff>601435</xdr:colOff>
      <xdr:row>84</xdr:row>
      <xdr:rowOff>125184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D4618C4-66D0-4D19-B246-A987C587B8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708387</xdr:colOff>
      <xdr:row>59</xdr:row>
      <xdr:rowOff>93481</xdr:rowOff>
    </xdr:from>
    <xdr:to>
      <xdr:col>24</xdr:col>
      <xdr:colOff>472167</xdr:colOff>
      <xdr:row>84</xdr:row>
      <xdr:rowOff>111579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AB459D3-FE1F-4020-BB7E-3C7FEC0FD2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Calcs/Utility/Syracuse%20Heat%20Pump%20Utility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haconsulting.sharepoint.com/sites/x67523-SyracuseDESNYSERDA/Shared%20Documents/General/06_Project_Data/Calcs/App%20C%20Baseline%20Equipment,%20Costs,%20Electrification.xlsx" TargetMode="External"/><Relationship Id="rId1" Type="http://schemas.openxmlformats.org/officeDocument/2006/relationships/externalLinkPath" Target="https://chaconsulting.sharepoint.com/sites/x67523-SyracuseDESNYSERDA/Shared%20Documents/General/06_Project_Data/Calcs/App%20C%20Baseline%20Equipment,%20Costs,%20Electrific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4999\Desktop\App%20D%20Syracuse%20DES%20Life%20Cycle%20Cost_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haconsulting.sharepoint.com/sites/x67523-SyracuseDESNYSERDA/Shared%20Documents/General/06_Project_Data/Calcs/App%20A%20Load%20Profiles%20Rev2.xlsx" TargetMode="External"/><Relationship Id="rId1" Type="http://schemas.openxmlformats.org/officeDocument/2006/relationships/externalLinkPath" Target="https://chaconsulting.sharepoint.com/sites/x67523-SyracuseDESNYSERDA/Shared%20Documents/General/06_Project_Data/Calcs/App%20A%20Load%20Profiles%20Re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Calcs/Baseline%20Equipment%20Cost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Design_Data/Sample%20Equipment%20Cost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Other/Utility/Syracuse%20Heat%20Pump%20Utilit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Comparison to Load Profile"/>
      <sheetName val="Summary with Estimates"/>
      <sheetName val="Salina Elec"/>
      <sheetName val="Salina Gas"/>
      <sheetName val="224 Harrison Elec"/>
      <sheetName val="224 Harrison Gas "/>
      <sheetName val="White Memorial Elec"/>
      <sheetName val="White Memorial Gas"/>
      <sheetName val="1 Clinton Sq Elec"/>
      <sheetName val="Atrium Elec"/>
      <sheetName val="1 Clinton Sq Gas"/>
      <sheetName val="Atrium Gas"/>
      <sheetName val="One Lincoln Center Electric"/>
      <sheetName val="One Lincoln Center Gas"/>
      <sheetName val="One Park Place Electric"/>
      <sheetName val="One Park Place Gas"/>
    </sheetNames>
    <sheetDataSet>
      <sheetData sheetId="0">
        <row r="16">
          <cell r="E16">
            <v>8.5185542546820994E-2</v>
          </cell>
        </row>
        <row r="28">
          <cell r="E28">
            <v>5.6573861476085847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dg Info, Cost Est"/>
      <sheetName val="Baseline Electrification"/>
      <sheetName val="Equipment Costs"/>
      <sheetName val="Energy Reduction"/>
    </sheetNames>
    <sheetDataSet>
      <sheetData sheetId="0">
        <row r="6">
          <cell r="A6" t="str">
            <v>Phase A</v>
          </cell>
          <cell r="C6"/>
          <cell r="M6"/>
        </row>
        <row r="7">
          <cell r="A7" t="str">
            <v>Barclay Damon</v>
          </cell>
          <cell r="C7">
            <v>330000</v>
          </cell>
          <cell r="M7">
            <v>1460.7472524645293</v>
          </cell>
        </row>
        <row r="8">
          <cell r="A8" t="str">
            <v>State Tower</v>
          </cell>
          <cell r="C8">
            <v>1200000</v>
          </cell>
          <cell r="M8">
            <v>5311.8081907800733</v>
          </cell>
        </row>
        <row r="9">
          <cell r="A9" t="str">
            <v>Courtyard Marriott</v>
          </cell>
          <cell r="C9">
            <v>40000</v>
          </cell>
          <cell r="M9">
            <v>1420.0590428715707</v>
          </cell>
        </row>
        <row r="10">
          <cell r="A10" t="str">
            <v>US Social Security Admin</v>
          </cell>
          <cell r="C10">
            <v>287000</v>
          </cell>
          <cell r="M10">
            <v>1270.4074589615693</v>
          </cell>
        </row>
        <row r="11">
          <cell r="A11" t="str">
            <v>M&amp;T Bank</v>
          </cell>
          <cell r="C11">
            <v>365000</v>
          </cell>
          <cell r="M11">
            <v>1615.6749913622746</v>
          </cell>
        </row>
        <row r="12">
          <cell r="A12" t="str">
            <v>State Office Building</v>
          </cell>
          <cell r="C12">
            <v>360000</v>
          </cell>
          <cell r="M12">
            <v>1593.5424572340228</v>
          </cell>
        </row>
        <row r="13">
          <cell r="A13" t="str">
            <v>SU-Warehouse</v>
          </cell>
          <cell r="C13">
            <v>72000</v>
          </cell>
          <cell r="M13">
            <v>1054.1905752366083</v>
          </cell>
        </row>
        <row r="14">
          <cell r="A14" t="str">
            <v>300 S State St</v>
          </cell>
          <cell r="C14">
            <v>252910</v>
          </cell>
          <cell r="M14">
            <v>1119.5078412751584</v>
          </cell>
        </row>
        <row r="15">
          <cell r="A15" t="str">
            <v>Key Bank Building</v>
          </cell>
          <cell r="C15">
            <v>132000</v>
          </cell>
          <cell r="M15">
            <v>584.29890098580984</v>
          </cell>
        </row>
        <row r="16">
          <cell r="A16" t="str">
            <v>100 East Washington St</v>
          </cell>
          <cell r="C16">
            <v>50000</v>
          </cell>
          <cell r="M16">
            <v>1189.2120766056512</v>
          </cell>
        </row>
        <row r="17">
          <cell r="A17" t="str">
            <v>Ramboll</v>
          </cell>
          <cell r="C17">
            <v>137000</v>
          </cell>
          <cell r="M17">
            <v>606.43143511405663</v>
          </cell>
        </row>
        <row r="18">
          <cell r="A18" t="str">
            <v>City Hall</v>
          </cell>
          <cell r="C18">
            <v>84555</v>
          </cell>
          <cell r="M18">
            <v>1238.0150567934909</v>
          </cell>
        </row>
        <row r="19">
          <cell r="A19" t="str">
            <v>1 Lincoln Center</v>
          </cell>
          <cell r="C19">
            <v>367500</v>
          </cell>
          <cell r="M19">
            <v>1626.7412584263961</v>
          </cell>
        </row>
        <row r="20">
          <cell r="A20" t="str">
            <v>SUNY Oswego MetroCenter</v>
          </cell>
          <cell r="C20">
            <v>185530</v>
          </cell>
          <cell r="M20">
            <v>821.24981136285749</v>
          </cell>
        </row>
        <row r="21">
          <cell r="A21" t="str">
            <v>217 Montgomery St</v>
          </cell>
          <cell r="C21">
            <v>50000</v>
          </cell>
          <cell r="M21">
            <v>732.07678835875299</v>
          </cell>
        </row>
        <row r="22">
          <cell r="A22" t="str">
            <v>City Hall Commons</v>
          </cell>
          <cell r="C22">
            <v>52957</v>
          </cell>
          <cell r="M22">
            <v>775.37180962229138</v>
          </cell>
        </row>
        <row r="23">
          <cell r="A23" t="str">
            <v>Salinas Place</v>
          </cell>
          <cell r="C23">
            <v>50000</v>
          </cell>
          <cell r="M23">
            <v>903.42808484364286</v>
          </cell>
        </row>
        <row r="24">
          <cell r="A24" t="str">
            <v>SU-Peck Hall</v>
          </cell>
          <cell r="C24">
            <v>25920</v>
          </cell>
          <cell r="M24">
            <v>379.50860708517894</v>
          </cell>
        </row>
        <row r="25">
          <cell r="A25" t="str">
            <v>Phase B</v>
          </cell>
          <cell r="C25"/>
          <cell r="M25"/>
        </row>
        <row r="26">
          <cell r="A26" t="str">
            <v>Atrium</v>
          </cell>
          <cell r="C26">
            <v>170000</v>
          </cell>
          <cell r="M26">
            <v>752.50616036051213</v>
          </cell>
        </row>
        <row r="27">
          <cell r="A27" t="str">
            <v>AXA Towers</v>
          </cell>
          <cell r="C27">
            <v>653177</v>
          </cell>
          <cell r="M27">
            <v>2891.2924488576332</v>
          </cell>
        </row>
        <row r="28">
          <cell r="A28" t="str">
            <v>Hotel Syracuse</v>
          </cell>
          <cell r="C28">
            <v>720000</v>
          </cell>
          <cell r="M28">
            <v>25561.062771688245</v>
          </cell>
        </row>
        <row r="29">
          <cell r="A29" t="str">
            <v>Tech Garden</v>
          </cell>
          <cell r="C29">
            <v>35550</v>
          </cell>
          <cell r="M29">
            <v>520.5065965230765</v>
          </cell>
        </row>
        <row r="30">
          <cell r="A30" t="str">
            <v>Bank of America</v>
          </cell>
          <cell r="C30">
            <v>45000</v>
          </cell>
          <cell r="M30">
            <v>1336.9322198138561</v>
          </cell>
        </row>
        <row r="31">
          <cell r="A31" t="str">
            <v>Clinton Exchange</v>
          </cell>
          <cell r="C31">
            <v>180000</v>
          </cell>
          <cell r="M31">
            <v>796.77122861701139</v>
          </cell>
        </row>
        <row r="32">
          <cell r="A32" t="str">
            <v>National Grid</v>
          </cell>
          <cell r="C32">
            <v>511200</v>
          </cell>
          <cell r="M32">
            <v>2262.8302892723168</v>
          </cell>
        </row>
        <row r="33">
          <cell r="A33" t="str">
            <v>Post Standard</v>
          </cell>
          <cell r="C33">
            <v>179000</v>
          </cell>
          <cell r="M33">
            <v>792.34472179136185</v>
          </cell>
        </row>
        <row r="34">
          <cell r="A34" t="str">
            <v>Galleries of Syracuse</v>
          </cell>
          <cell r="C34">
            <v>219000</v>
          </cell>
          <cell r="M34">
            <v>969.4049948173664</v>
          </cell>
        </row>
        <row r="35">
          <cell r="A35" t="str">
            <v>100 Clinton Sq</v>
          </cell>
          <cell r="C35">
            <v>120000</v>
          </cell>
          <cell r="M35">
            <v>531.18081907800786</v>
          </cell>
        </row>
        <row r="36">
          <cell r="A36" t="str">
            <v>City of Syr Criminal Court House</v>
          </cell>
          <cell r="C36">
            <v>95977</v>
          </cell>
          <cell r="M36">
            <v>1405.2506783261676</v>
          </cell>
        </row>
        <row r="37">
          <cell r="A37" t="str">
            <v>550 Harrison Building</v>
          </cell>
          <cell r="C37">
            <v>252000</v>
          </cell>
          <cell r="M37">
            <v>9975.4730390661898</v>
          </cell>
        </row>
        <row r="38">
          <cell r="A38" t="str">
            <v>Jefferson Clinton Hotel</v>
          </cell>
          <cell r="C38">
            <v>42204</v>
          </cell>
          <cell r="M38">
            <v>1498.3042961337962</v>
          </cell>
        </row>
        <row r="39">
          <cell r="A39" t="str">
            <v>Sky Armory</v>
          </cell>
          <cell r="C39">
            <v>40700</v>
          </cell>
          <cell r="M39">
            <v>595.91050572402867</v>
          </cell>
        </row>
        <row r="40">
          <cell r="A40" t="str">
            <v>Clinton Plaza</v>
          </cell>
          <cell r="C40">
            <v>254690</v>
          </cell>
          <cell r="M40">
            <v>5051.5212809580171</v>
          </cell>
        </row>
        <row r="41">
          <cell r="A41" t="str">
            <v>MOST</v>
          </cell>
          <cell r="C41">
            <v>40000</v>
          </cell>
          <cell r="M41">
            <v>585.66143068700376</v>
          </cell>
        </row>
        <row r="42">
          <cell r="A42" t="str">
            <v>600 Montgomery St</v>
          </cell>
          <cell r="C42">
            <v>36684</v>
          </cell>
          <cell r="M42">
            <v>537.11009808305255</v>
          </cell>
        </row>
        <row r="43">
          <cell r="A43" t="str">
            <v>Medical Office Bldg</v>
          </cell>
          <cell r="C43">
            <v>25056</v>
          </cell>
          <cell r="M43">
            <v>991.8470335985777</v>
          </cell>
        </row>
        <row r="44">
          <cell r="A44" t="str">
            <v>Phase C</v>
          </cell>
          <cell r="C44"/>
          <cell r="M44"/>
        </row>
        <row r="45">
          <cell r="A45" t="str">
            <v>Parcel 1</v>
          </cell>
          <cell r="C45">
            <v>180000</v>
          </cell>
          <cell r="M45">
            <v>4132.0969204101166</v>
          </cell>
        </row>
        <row r="46">
          <cell r="A46" t="str">
            <v>Parcel 2</v>
          </cell>
          <cell r="C46">
            <v>120000</v>
          </cell>
          <cell r="M46">
            <v>2962.4298214671994</v>
          </cell>
        </row>
        <row r="47">
          <cell r="A47" t="str">
            <v>Parcel 3</v>
          </cell>
          <cell r="C47">
            <v>45000</v>
          </cell>
          <cell r="M47">
            <v>1188.7981359978742</v>
          </cell>
        </row>
        <row r="48">
          <cell r="A48" t="str">
            <v>Parcel 4</v>
          </cell>
          <cell r="C48">
            <v>110000</v>
          </cell>
          <cell r="M48">
            <v>2715.5606696782647</v>
          </cell>
        </row>
        <row r="49">
          <cell r="A49" t="str">
            <v>Parcel 5</v>
          </cell>
          <cell r="C49">
            <v>30000</v>
          </cell>
          <cell r="M49">
            <v>792.53209066524823</v>
          </cell>
        </row>
        <row r="50">
          <cell r="A50" t="str">
            <v>Parcel 6</v>
          </cell>
          <cell r="C50">
            <v>225000</v>
          </cell>
          <cell r="M50">
            <v>4462.6498418295059</v>
          </cell>
        </row>
        <row r="51">
          <cell r="A51" t="str">
            <v>Parcel 7</v>
          </cell>
          <cell r="C51">
            <v>320000</v>
          </cell>
          <cell r="M51">
            <v>7899.8128572458645</v>
          </cell>
        </row>
        <row r="52">
          <cell r="A52" t="str">
            <v>Parcel 8</v>
          </cell>
          <cell r="C52">
            <v>120000</v>
          </cell>
          <cell r="M52">
            <v>2380.07991564241</v>
          </cell>
        </row>
        <row r="53">
          <cell r="A53" t="str">
            <v>Parcel 9</v>
          </cell>
          <cell r="C53">
            <v>60000</v>
          </cell>
          <cell r="M53">
            <v>1585.0641813304965</v>
          </cell>
        </row>
        <row r="54">
          <cell r="A54" t="str">
            <v>Parcel 10</v>
          </cell>
          <cell r="C54">
            <v>160000</v>
          </cell>
          <cell r="M54">
            <v>3173.4398875232018</v>
          </cell>
        </row>
        <row r="55">
          <cell r="O55">
            <v>0</v>
          </cell>
          <cell r="W55">
            <v>229881.04494525385</v>
          </cell>
        </row>
        <row r="61">
          <cell r="Z61">
            <v>30000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line LCA"/>
      <sheetName val="DES LCA "/>
      <sheetName val="Fuel Indices"/>
      <sheetName val="Cost of Carbon"/>
      <sheetName val="Sizing"/>
      <sheetName val="Terminal Equipment Cost"/>
      <sheetName val="LCA"/>
      <sheetName val="Install Cost DES"/>
      <sheetName val="Install Cost Blr_Ch_Twr"/>
    </sheetNames>
    <sheetDataSet>
      <sheetData sheetId="0">
        <row r="15">
          <cell r="B15" t="str">
            <v>Year 1</v>
          </cell>
        </row>
      </sheetData>
      <sheetData sheetId="1" refreshError="1"/>
      <sheetData sheetId="2" refreshError="1"/>
      <sheetData sheetId="3" refreshError="1"/>
      <sheetData sheetId="4">
        <row r="54">
          <cell r="C54">
            <v>11904002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line"/>
      <sheetName val="Design Days"/>
      <sheetName val="Load Profiles"/>
      <sheetName val="Heating Profiles"/>
      <sheetName val="Cooling Profiles"/>
      <sheetName val="Hourly Load Profile (Chart)"/>
      <sheetName val="Phased Loads"/>
      <sheetName val="E - Midrise Apartment"/>
      <sheetName val="E - Retail"/>
      <sheetName val="E - Medium Office"/>
      <sheetName val="E - Classroom"/>
      <sheetName val="N - Midrise Apartment"/>
      <sheetName val="N - Retail"/>
      <sheetName val="Large Office"/>
      <sheetName val="Large Hotel"/>
      <sheetName val="Retail-Stripmall"/>
      <sheetName val="1MS"/>
      <sheetName val="Building Types"/>
    </sheetNames>
    <sheetDataSet>
      <sheetData sheetId="0"/>
      <sheetData sheetId="1"/>
      <sheetData sheetId="2"/>
      <sheetData sheetId="3"/>
      <sheetData sheetId="4">
        <row r="20">
          <cell r="E20">
            <v>4226.6591934511625</v>
          </cell>
          <cell r="F20">
            <v>2177.3698875354476</v>
          </cell>
          <cell r="G20">
            <v>15369.669794367932</v>
          </cell>
          <cell r="H20">
            <v>632.77000837053902</v>
          </cell>
          <cell r="I20">
            <v>3675.9126924863263</v>
          </cell>
          <cell r="J20">
            <v>4674.9412291202343</v>
          </cell>
          <cell r="K20">
            <v>4610.9009383103521</v>
          </cell>
          <cell r="L20">
            <v>1610.7961069050662</v>
          </cell>
          <cell r="M20">
            <v>3239.2859897446465</v>
          </cell>
          <cell r="N20">
            <v>1690.6636773804696</v>
          </cell>
          <cell r="O20">
            <v>373.01186986927445</v>
          </cell>
          <cell r="P20">
            <v>1754.7039681903398</v>
          </cell>
          <cell r="Q20">
            <v>1891.6786780466346</v>
          </cell>
          <cell r="R20">
            <v>4706.9613745251499</v>
          </cell>
          <cell r="S20">
            <v>2376.2790307909022</v>
          </cell>
          <cell r="T20">
            <v>1118.6084075729582</v>
          </cell>
          <cell r="U20">
            <v>1184.7629087968262</v>
          </cell>
          <cell r="V20">
            <v>553.52285549006717</v>
          </cell>
          <cell r="W20">
            <v>8365.9290060632047</v>
          </cell>
          <cell r="X20">
            <v>32230.095094324159</v>
          </cell>
          <cell r="Y20">
            <v>11389.860150669696</v>
          </cell>
          <cell r="Z20">
            <v>795.33057778437183</v>
          </cell>
          <cell r="AA20">
            <v>485.01216806102047</v>
          </cell>
          <cell r="AB20">
            <v>2305.4504691551761</v>
          </cell>
          <cell r="AC20">
            <v>6547.4793324007142</v>
          </cell>
          <cell r="AD20">
            <v>2292.6424109932036</v>
          </cell>
          <cell r="AE20">
            <v>2804.9647374721389</v>
          </cell>
          <cell r="AF20">
            <v>1536.9669794367921</v>
          </cell>
          <cell r="AG20">
            <v>2147.2135826726021</v>
          </cell>
          <cell r="AH20">
            <v>0</v>
          </cell>
          <cell r="AI20">
            <v>667.63563583175426</v>
          </cell>
          <cell r="AJ20">
            <v>910.54724376438958</v>
          </cell>
          <cell r="AK20">
            <v>1336.7057107377987</v>
          </cell>
          <cell r="AL20">
            <v>894.88672605836632</v>
          </cell>
          <cell r="AM20">
            <v>820.70061646812803</v>
          </cell>
          <cell r="AN20">
            <v>579.88659848582347</v>
          </cell>
          <cell r="AO20">
            <v>3663.1241470979626</v>
          </cell>
          <cell r="AP20">
            <v>1757.1305803890682</v>
          </cell>
          <cell r="AQ20">
            <v>402.06689851731301</v>
          </cell>
          <cell r="AR20">
            <v>1610.703032023315</v>
          </cell>
          <cell r="AS20">
            <v>268.04459901154235</v>
          </cell>
          <cell r="AT20">
            <v>1180.8817971494891</v>
          </cell>
          <cell r="AU20">
            <v>4685.6815477042046</v>
          </cell>
          <cell r="AV20">
            <v>629.80362514639694</v>
          </cell>
          <cell r="AW20">
            <v>536.08919802308469</v>
          </cell>
          <cell r="AX20">
            <v>839.73816686186069</v>
          </cell>
          <cell r="AY20">
            <v>3953.5438058754025</v>
          </cell>
          <cell r="AZ20">
            <v>1133.8988082306882</v>
          </cell>
          <cell r="BA20">
            <v>0</v>
          </cell>
        </row>
      </sheetData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dg Info, Cost Est"/>
      <sheetName val="Equipment Costs"/>
    </sheetNames>
    <sheetDataSet>
      <sheetData sheetId="0">
        <row r="4">
          <cell r="C4" t="str">
            <v>Square Feet</v>
          </cell>
        </row>
        <row r="6">
          <cell r="E6">
            <v>309.74201782356636</v>
          </cell>
          <cell r="L6">
            <v>2.3880636687810664</v>
          </cell>
        </row>
        <row r="7">
          <cell r="E7">
            <v>159.56406978789781</v>
          </cell>
          <cell r="L7">
            <v>1.2302146172508523</v>
          </cell>
        </row>
        <row r="8">
          <cell r="E8">
            <v>1126.3346102675141</v>
          </cell>
          <cell r="L8">
            <v>8.683867886476607</v>
          </cell>
        </row>
        <row r="9">
          <cell r="E9">
            <v>70.543561676757918</v>
          </cell>
          <cell r="L9">
            <v>0.98565213472835578</v>
          </cell>
        </row>
        <row r="10">
          <cell r="E10">
            <v>269.38169428898044</v>
          </cell>
          <cell r="L10">
            <v>2.0768917361823216</v>
          </cell>
        </row>
        <row r="11">
          <cell r="E11">
            <v>342.59344395636884</v>
          </cell>
          <cell r="L11">
            <v>2.6413431488033008</v>
          </cell>
        </row>
        <row r="12">
          <cell r="E12">
            <v>337.90038308025419</v>
          </cell>
          <cell r="L12">
            <v>2.6051603659429814</v>
          </cell>
        </row>
        <row r="13">
          <cell r="E13">
            <v>148.43999434106257</v>
          </cell>
          <cell r="L13">
            <v>0.94720560570913559</v>
          </cell>
        </row>
        <row r="14">
          <cell r="E14">
            <v>237.38440523563079</v>
          </cell>
          <cell r="L14">
            <v>1.830197522640665</v>
          </cell>
        </row>
        <row r="15">
          <cell r="E15">
            <v>123.89680712942653</v>
          </cell>
          <cell r="L15">
            <v>0.95522546751242643</v>
          </cell>
        </row>
        <row r="16">
          <cell r="E16">
            <v>82.682316973797143</v>
          </cell>
          <cell r="L16">
            <v>1.2263210130885605</v>
          </cell>
        </row>
        <row r="17">
          <cell r="E17">
            <v>128.58986800554118</v>
          </cell>
          <cell r="L17">
            <v>0.99140825037274571</v>
          </cell>
        </row>
        <row r="18">
          <cell r="E18">
            <v>174.32421835428534</v>
          </cell>
          <cell r="L18">
            <v>1.1123745832046661</v>
          </cell>
        </row>
        <row r="19">
          <cell r="E19">
            <v>344.9399743944262</v>
          </cell>
          <cell r="L19">
            <v>2.6594345402334607</v>
          </cell>
        </row>
        <row r="20">
          <cell r="E20">
            <v>174.14071686910987</v>
          </cell>
          <cell r="L20">
            <v>1.3425983408150037</v>
          </cell>
        </row>
        <row r="21">
          <cell r="E21">
            <v>103.08332940351566</v>
          </cell>
          <cell r="L21">
            <v>0.65778167063134407</v>
          </cell>
        </row>
        <row r="22">
          <cell r="E22">
            <v>109.1796775044396</v>
          </cell>
          <cell r="L22">
            <v>0.69668287863248179</v>
          </cell>
        </row>
        <row r="23">
          <cell r="E23">
            <v>74.878416893260535</v>
          </cell>
          <cell r="L23">
            <v>0.74825658144755836</v>
          </cell>
        </row>
        <row r="24">
          <cell r="E24">
            <v>613.07988477558661</v>
          </cell>
          <cell r="L24">
            <v>4.7267523120709409</v>
          </cell>
        </row>
        <row r="25">
          <cell r="E25">
            <v>2361.9161688335748</v>
          </cell>
          <cell r="L25">
            <v>18.210013065488862</v>
          </cell>
        </row>
        <row r="26">
          <cell r="E26">
            <v>1269.7841101816423</v>
          </cell>
          <cell r="L26">
            <v>17.741738425110402</v>
          </cell>
        </row>
        <row r="27">
          <cell r="E27">
            <v>73.292247205899642</v>
          </cell>
          <cell r="L27">
            <v>0.46768276781888568</v>
          </cell>
        </row>
        <row r="28">
          <cell r="E28">
            <v>107.33840173923672</v>
          </cell>
          <cell r="L28">
            <v>1.5930978929755228</v>
          </cell>
        </row>
        <row r="29">
          <cell r="E29">
            <v>168.95019154012709</v>
          </cell>
          <cell r="L29">
            <v>1.3025801829714907</v>
          </cell>
        </row>
        <row r="30">
          <cell r="E30">
            <v>479.81854397396097</v>
          </cell>
          <cell r="L30">
            <v>3.699327719639034</v>
          </cell>
        </row>
        <row r="31">
          <cell r="E31">
            <v>168.01157936490418</v>
          </cell>
          <cell r="L31">
            <v>1.2953436263994269</v>
          </cell>
        </row>
        <row r="32">
          <cell r="E32">
            <v>205.5560663738213</v>
          </cell>
          <cell r="L32">
            <v>1.5848058892819803</v>
          </cell>
        </row>
        <row r="33">
          <cell r="E33">
            <v>112.63346102675139</v>
          </cell>
          <cell r="L33">
            <v>0.8683867886476605</v>
          </cell>
        </row>
        <row r="34">
          <cell r="E34">
            <v>197.87257412322447</v>
          </cell>
          <cell r="L34">
            <v>1.2626382280436903</v>
          </cell>
        </row>
        <row r="35">
          <cell r="E35">
            <v>451.04903684478364</v>
          </cell>
          <cell r="L35">
            <v>13.489165358490565</v>
          </cell>
        </row>
        <row r="36">
          <cell r="E36">
            <v>74.430511925147272</v>
          </cell>
          <cell r="L36">
            <v>1.039961567351888</v>
          </cell>
        </row>
        <row r="37">
          <cell r="E37">
            <v>83.909830134461757</v>
          </cell>
          <cell r="L37">
            <v>0.53543427989391412</v>
          </cell>
        </row>
        <row r="38">
          <cell r="E38">
            <v>307.40376733875297</v>
          </cell>
          <cell r="L38">
            <v>4.6146281515176426</v>
          </cell>
        </row>
        <row r="39">
          <cell r="E39">
            <v>82.466663522812539</v>
          </cell>
          <cell r="L39">
            <v>0.5262253365050753</v>
          </cell>
        </row>
        <row r="40">
          <cell r="E40">
            <v>75.630177116771378</v>
          </cell>
          <cell r="L40">
            <v>0.48260125610880461</v>
          </cell>
        </row>
        <row r="41">
          <cell r="E41">
            <v>53.438397962782524</v>
          </cell>
          <cell r="L41">
            <v>0.34099401805528878</v>
          </cell>
        </row>
        <row r="42">
          <cell r="E42">
            <v>453.67849427214128</v>
          </cell>
          <cell r="L42">
            <v>4.4689339093942806</v>
          </cell>
        </row>
        <row r="43">
          <cell r="E43">
            <v>268.2645567750576</v>
          </cell>
          <cell r="L43">
            <v>3.2375143137827833</v>
          </cell>
        </row>
        <row r="44">
          <cell r="E44">
            <v>89.047114815448239</v>
          </cell>
          <cell r="L44">
            <v>1.3212040145334014</v>
          </cell>
        </row>
        <row r="45">
          <cell r="E45">
            <v>245.90917704380286</v>
          </cell>
          <cell r="L45">
            <v>2.967721454300885</v>
          </cell>
        </row>
        <row r="46">
          <cell r="E46">
            <v>59.364743210298819</v>
          </cell>
          <cell r="L46">
            <v>0.88080267635560106</v>
          </cell>
        </row>
        <row r="47">
          <cell r="E47">
            <v>271.56876065499006</v>
          </cell>
          <cell r="L47">
            <v>4.0766866939866881</v>
          </cell>
        </row>
        <row r="48">
          <cell r="E48">
            <v>715.3721514001536</v>
          </cell>
          <cell r="L48">
            <v>8.6333715034207561</v>
          </cell>
        </row>
        <row r="49">
          <cell r="E49">
            <v>144.83667234932801</v>
          </cell>
          <cell r="L49">
            <v>2.1742329034595667</v>
          </cell>
        </row>
        <row r="50">
          <cell r="E50">
            <v>118.72948642059764</v>
          </cell>
          <cell r="L50">
            <v>1.7616053527112021</v>
          </cell>
        </row>
        <row r="51">
          <cell r="E51">
            <v>193.11556313243736</v>
          </cell>
          <cell r="L51">
            <v>2.898977204612756</v>
          </cell>
        </row>
        <row r="52">
          <cell r="E52">
            <v>603.59525274387977</v>
          </cell>
          <cell r="L52">
            <v>7.284407206011263</v>
          </cell>
        </row>
        <row r="53">
          <cell r="E53">
            <v>211.49456757662264</v>
          </cell>
          <cell r="L53">
            <v>2.6417507941667533</v>
          </cell>
        </row>
        <row r="54">
          <cell r="E54">
            <v>44.847161377709917</v>
          </cell>
          <cell r="L54">
            <v>1.3412084413584906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dg Info, Cost Est"/>
      <sheetName val="Equipment Costs"/>
    </sheetNames>
    <sheetDataSet>
      <sheetData sheetId="0">
        <row r="56">
          <cell r="L56">
            <v>151973.21764807223</v>
          </cell>
        </row>
      </sheetData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ison to Load Profile"/>
      <sheetName val="Summary"/>
      <sheetName val="Summary with Estimates"/>
      <sheetName val="Salina Elec"/>
      <sheetName val="Salina Gas"/>
      <sheetName val="224 Harrison Elec"/>
      <sheetName val="224 Harrison Gas "/>
      <sheetName val="White Memorial Elec"/>
      <sheetName val="White Memorial Gas"/>
      <sheetName val="1 Clinton Sq Elec"/>
      <sheetName val="1 Clinton Sq Gas"/>
      <sheetName val="Atrium Elec"/>
      <sheetName val="Atrium Gas"/>
      <sheetName val="One Lincoln Center Electric"/>
      <sheetName val="One Lincoln Center Gas"/>
      <sheetName val="One Park Place Electric"/>
      <sheetName val="One Park Place Gas"/>
    </sheetNames>
    <sheetDataSet>
      <sheetData sheetId="0" refreshError="1"/>
      <sheetData sheetId="1">
        <row r="16">
          <cell r="E16">
            <v>8.5185542546820994E-2</v>
          </cell>
        </row>
        <row r="28">
          <cell r="E28">
            <v>5.6573861476085847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dec.ny.gov/docs/administration_pdf/vocguidrev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06507-1C39-497E-B7F3-5D33CB6E022B}">
  <sheetPr>
    <tabColor rgb="FFFFFF00"/>
    <pageSetUpPr fitToPage="1"/>
  </sheetPr>
  <dimension ref="A1:AD63"/>
  <sheetViews>
    <sheetView showGridLines="0" tabSelected="1" view="pageBreakPreview" zoomScale="85" zoomScaleNormal="100" zoomScaleSheetLayoutView="85" workbookViewId="0">
      <selection activeCell="F69" sqref="F69"/>
    </sheetView>
  </sheetViews>
  <sheetFormatPr defaultColWidth="8.7109375" defaultRowHeight="15" x14ac:dyDescent="0.25"/>
  <cols>
    <col min="1" max="1" width="46" customWidth="1"/>
    <col min="2" max="2" width="23.5703125" bestFit="1" customWidth="1"/>
    <col min="3" max="3" width="14.7109375" customWidth="1"/>
    <col min="4" max="4" width="11.5703125" bestFit="1" customWidth="1"/>
    <col min="5" max="5" width="13" customWidth="1"/>
    <col min="6" max="6" width="14.28515625" customWidth="1"/>
    <col min="7" max="7" width="15.42578125" customWidth="1"/>
    <col min="8" max="8" width="16.42578125" customWidth="1"/>
    <col min="9" max="12" width="11.5703125" bestFit="1" customWidth="1"/>
    <col min="13" max="28" width="10.7109375" bestFit="1" customWidth="1"/>
    <col min="29" max="29" width="13.5703125" bestFit="1" customWidth="1"/>
    <col min="30" max="30" width="15" style="11" bestFit="1" customWidth="1"/>
  </cols>
  <sheetData>
    <row r="1" spans="1:30" x14ac:dyDescent="0.25">
      <c r="A1" s="286" t="s">
        <v>0</v>
      </c>
      <c r="B1" s="286"/>
      <c r="C1" s="286"/>
    </row>
    <row r="2" spans="1:30" x14ac:dyDescent="0.25">
      <c r="A2" s="286"/>
      <c r="B2" s="286"/>
      <c r="C2" s="286"/>
    </row>
    <row r="4" spans="1:30" ht="21" x14ac:dyDescent="0.25">
      <c r="A4" s="315" t="s">
        <v>1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</row>
    <row r="5" spans="1:30" ht="15.75" thickBot="1" x14ac:dyDescent="0.3"/>
    <row r="6" spans="1:30" s="1" customFormat="1" ht="30.75" thickBot="1" x14ac:dyDescent="0.3">
      <c r="A6" s="527" t="s">
        <v>2</v>
      </c>
      <c r="B6" s="225" t="s">
        <v>3</v>
      </c>
      <c r="C6" s="222" t="s">
        <v>4</v>
      </c>
      <c r="AA6" s="14"/>
    </row>
    <row r="7" spans="1:30" x14ac:dyDescent="0.25">
      <c r="A7" s="528"/>
      <c r="B7" s="226" t="s">
        <v>5</v>
      </c>
      <c r="C7" s="223" t="s">
        <v>6</v>
      </c>
      <c r="G7" s="529" t="s">
        <v>7</v>
      </c>
      <c r="H7" s="530"/>
      <c r="I7" s="314">
        <v>2.5000000000000001E-3</v>
      </c>
      <c r="AA7" s="11"/>
      <c r="AD7"/>
    </row>
    <row r="8" spans="1:30" ht="15.75" thickBot="1" x14ac:dyDescent="0.3">
      <c r="A8" s="228">
        <f>Sizing!C55</f>
        <v>9032610</v>
      </c>
      <c r="B8" s="227">
        <f>ROUND([1]Summary!$E$16,3)</f>
        <v>8.5000000000000006E-2</v>
      </c>
      <c r="C8" s="224">
        <f>ROUND([1]Summary!$E$28/10,2)</f>
        <v>0.56999999999999995</v>
      </c>
      <c r="G8" s="525" t="s">
        <v>8</v>
      </c>
      <c r="H8" s="526"/>
      <c r="I8" s="231">
        <v>0.03</v>
      </c>
    </row>
    <row r="9" spans="1:30" ht="15.75" thickBot="1" x14ac:dyDescent="0.3">
      <c r="G9" s="521" t="s">
        <v>9</v>
      </c>
      <c r="H9" s="522"/>
      <c r="I9" s="233">
        <v>0.05</v>
      </c>
    </row>
    <row r="10" spans="1:30" ht="15.75" thickBot="1" x14ac:dyDescent="0.3">
      <c r="G10" s="531" t="s">
        <v>10</v>
      </c>
      <c r="H10" s="532"/>
      <c r="I10" s="383">
        <v>0.3</v>
      </c>
    </row>
    <row r="11" spans="1:30" ht="15.75" thickBot="1" x14ac:dyDescent="0.3">
      <c r="A11" s="195" t="s">
        <v>11</v>
      </c>
      <c r="B11" s="195" t="s">
        <v>12</v>
      </c>
      <c r="C11" s="259"/>
      <c r="G11" s="519" t="s">
        <v>13</v>
      </c>
      <c r="H11" s="520"/>
      <c r="I11" s="364">
        <v>5.4800000000000001E-2</v>
      </c>
      <c r="AC11" s="11"/>
      <c r="AD11"/>
    </row>
    <row r="12" spans="1:30" ht="15.75" thickBot="1" x14ac:dyDescent="0.3">
      <c r="A12" s="285">
        <f>AC24</f>
        <v>5933718.9883551616</v>
      </c>
      <c r="B12" s="381">
        <f>AC38</f>
        <v>98506.268882694843</v>
      </c>
      <c r="C12" s="262"/>
      <c r="AC12" s="11"/>
      <c r="AD12"/>
    </row>
    <row r="14" spans="1:30" s="3" customFormat="1" ht="18.75" customHeight="1" x14ac:dyDescent="0.25">
      <c r="B14" s="2"/>
      <c r="C14" s="2"/>
      <c r="AD14" s="15"/>
    </row>
    <row r="15" spans="1:30" s="4" customFormat="1" ht="19.5" thickBot="1" x14ac:dyDescent="0.3">
      <c r="A15" s="2" t="s">
        <v>14</v>
      </c>
      <c r="B15" s="129"/>
    </row>
    <row r="16" spans="1:30" s="5" customFormat="1" ht="14.25" customHeight="1" x14ac:dyDescent="0.25">
      <c r="A16" s="208" t="s">
        <v>15</v>
      </c>
      <c r="B16" s="168">
        <f>'Baseline LCA'!B16-'DES LCA '!B16</f>
        <v>1120506.4657457031</v>
      </c>
      <c r="C16" s="259"/>
      <c r="D16" s="384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4"/>
    </row>
    <row r="17" spans="1:30" s="5" customFormat="1" ht="15.75" thickBot="1" x14ac:dyDescent="0.3">
      <c r="A17" s="209" t="s">
        <v>16</v>
      </c>
      <c r="B17" s="427">
        <f>'Baseline LCA'!B17-'DES LCA '!B17</f>
        <v>11184093.776184347</v>
      </c>
      <c r="C17" s="259"/>
      <c r="D17" s="384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4"/>
    </row>
    <row r="18" spans="1:30" s="5" customFormat="1" x14ac:dyDescent="0.25">
      <c r="A18" s="208" t="s">
        <v>17</v>
      </c>
      <c r="B18" s="428">
        <f>$C$8</f>
        <v>0.56999999999999995</v>
      </c>
      <c r="C18" s="259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6"/>
      <c r="AC18" s="132"/>
      <c r="AD18" s="261"/>
    </row>
    <row r="19" spans="1:30" s="4" customFormat="1" ht="15.6" customHeight="1" thickBot="1" x14ac:dyDescent="0.3">
      <c r="A19" s="210" t="s">
        <v>18</v>
      </c>
      <c r="B19" s="429">
        <f>$B$8</f>
        <v>8.5000000000000006E-2</v>
      </c>
      <c r="C19" s="259"/>
      <c r="E19" s="387"/>
      <c r="F19" s="387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7"/>
      <c r="AC19" s="132"/>
      <c r="AD19" s="261"/>
    </row>
    <row r="20" spans="1:30" s="4" customFormat="1" ht="15.6" customHeight="1" thickBot="1" x14ac:dyDescent="0.3">
      <c r="A20" s="527"/>
      <c r="B20" s="523" t="s">
        <v>19</v>
      </c>
      <c r="C20" s="276" t="s">
        <v>20</v>
      </c>
      <c r="D20" s="157" t="s">
        <v>21</v>
      </c>
      <c r="E20" s="157" t="s">
        <v>22</v>
      </c>
      <c r="F20" s="157" t="s">
        <v>23</v>
      </c>
      <c r="G20" s="157" t="s">
        <v>24</v>
      </c>
      <c r="H20" s="157" t="s">
        <v>25</v>
      </c>
      <c r="I20" s="157" t="s">
        <v>26</v>
      </c>
      <c r="J20" s="157" t="s">
        <v>27</v>
      </c>
      <c r="K20" s="157" t="s">
        <v>28</v>
      </c>
      <c r="L20" s="157" t="s">
        <v>29</v>
      </c>
      <c r="M20" s="157" t="s">
        <v>30</v>
      </c>
      <c r="N20" s="157" t="s">
        <v>31</v>
      </c>
      <c r="O20" s="157" t="s">
        <v>32</v>
      </c>
      <c r="P20" s="157" t="s">
        <v>33</v>
      </c>
      <c r="Q20" s="157" t="s">
        <v>34</v>
      </c>
      <c r="R20" s="157" t="s">
        <v>35</v>
      </c>
      <c r="S20" s="157" t="s">
        <v>36</v>
      </c>
      <c r="T20" s="157" t="s">
        <v>37</v>
      </c>
      <c r="U20" s="157" t="s">
        <v>38</v>
      </c>
      <c r="V20" s="157" t="s">
        <v>39</v>
      </c>
      <c r="W20" s="157" t="s">
        <v>40</v>
      </c>
      <c r="X20" s="157" t="s">
        <v>41</v>
      </c>
      <c r="Y20" s="157" t="s">
        <v>42</v>
      </c>
      <c r="Z20" s="157" t="s">
        <v>43</v>
      </c>
      <c r="AA20" s="157" t="s">
        <v>44</v>
      </c>
      <c r="AB20" s="162" t="s">
        <v>45</v>
      </c>
      <c r="AC20" s="177" t="s">
        <v>46</v>
      </c>
      <c r="AD20" s="177" t="s">
        <v>47</v>
      </c>
    </row>
    <row r="21" spans="1:30" s="4" customFormat="1" ht="15.6" customHeight="1" thickBot="1" x14ac:dyDescent="0.3">
      <c r="A21" s="533"/>
      <c r="B21" s="524"/>
      <c r="C21" s="276">
        <v>0</v>
      </c>
      <c r="D21" s="157">
        <v>1</v>
      </c>
      <c r="E21" s="157">
        <v>2</v>
      </c>
      <c r="F21" s="157">
        <v>3</v>
      </c>
      <c r="G21" s="157">
        <v>4</v>
      </c>
      <c r="H21" s="157">
        <v>5</v>
      </c>
      <c r="I21" s="157">
        <v>6</v>
      </c>
      <c r="J21" s="157">
        <v>7</v>
      </c>
      <c r="K21" s="157">
        <v>8</v>
      </c>
      <c r="L21" s="157">
        <v>9</v>
      </c>
      <c r="M21" s="157">
        <v>10</v>
      </c>
      <c r="N21" s="157">
        <v>11</v>
      </c>
      <c r="O21" s="157">
        <v>12</v>
      </c>
      <c r="P21" s="157">
        <v>13</v>
      </c>
      <c r="Q21" s="157">
        <v>14</v>
      </c>
      <c r="R21" s="157">
        <v>15</v>
      </c>
      <c r="S21" s="157">
        <v>16</v>
      </c>
      <c r="T21" s="157">
        <v>17</v>
      </c>
      <c r="U21" s="157">
        <v>18</v>
      </c>
      <c r="V21" s="157">
        <v>19</v>
      </c>
      <c r="W21" s="157">
        <v>20</v>
      </c>
      <c r="X21" s="157">
        <v>21</v>
      </c>
      <c r="Y21" s="157">
        <v>22</v>
      </c>
      <c r="Z21" s="157">
        <v>23</v>
      </c>
      <c r="AA21" s="157">
        <v>24</v>
      </c>
      <c r="AB21" s="162">
        <v>25</v>
      </c>
      <c r="AC21" s="177"/>
      <c r="AD21" s="177"/>
    </row>
    <row r="22" spans="1:30" s="4" customFormat="1" ht="15.6" customHeight="1" x14ac:dyDescent="0.25">
      <c r="A22" s="411" t="s">
        <v>48</v>
      </c>
      <c r="B22" s="412">
        <f>B18*B16</f>
        <v>638688.6854750507</v>
      </c>
      <c r="C22" s="413"/>
      <c r="D22" s="414"/>
      <c r="E22" s="174">
        <f>B22/2*(1+$I$8)*(1+$I$8)*(1+$I$8)</f>
        <v>348956.18560654792</v>
      </c>
      <c r="F22" s="174">
        <f>B22*(1+$I$9)*(1+$I$9)*(1+$I$9)*(1+$I$9)</f>
        <v>776330.08899920841</v>
      </c>
      <c r="G22" s="174">
        <f>F22*(1+$I$9)</f>
        <v>815146.59344916884</v>
      </c>
      <c r="H22" s="174">
        <f t="shared" ref="H22:AC22" si="0">G22*(1+$I$9)</f>
        <v>855903.9231216273</v>
      </c>
      <c r="I22" s="174">
        <f t="shared" si="0"/>
        <v>898699.1192777087</v>
      </c>
      <c r="J22" s="174">
        <f t="shared" si="0"/>
        <v>943634.07524159423</v>
      </c>
      <c r="K22" s="174">
        <f t="shared" si="0"/>
        <v>990815.77900367393</v>
      </c>
      <c r="L22" s="174">
        <f t="shared" si="0"/>
        <v>1040356.5679538577</v>
      </c>
      <c r="M22" s="174">
        <f t="shared" si="0"/>
        <v>1092374.3963515507</v>
      </c>
      <c r="N22" s="174">
        <f t="shared" si="0"/>
        <v>1146993.1161691283</v>
      </c>
      <c r="O22" s="174">
        <f t="shared" si="0"/>
        <v>1204342.7719775848</v>
      </c>
      <c r="P22" s="174">
        <f t="shared" si="0"/>
        <v>1264559.9105764641</v>
      </c>
      <c r="Q22" s="174">
        <f t="shared" si="0"/>
        <v>1327787.9061052874</v>
      </c>
      <c r="R22" s="174">
        <f t="shared" si="0"/>
        <v>1394177.3014105519</v>
      </c>
      <c r="S22" s="174">
        <f t="shared" si="0"/>
        <v>1463886.1664810795</v>
      </c>
      <c r="T22" s="174">
        <f t="shared" si="0"/>
        <v>1537080.4748051337</v>
      </c>
      <c r="U22" s="174">
        <f t="shared" si="0"/>
        <v>1613934.4985453903</v>
      </c>
      <c r="V22" s="174">
        <f t="shared" si="0"/>
        <v>1694631.2234726599</v>
      </c>
      <c r="W22" s="174">
        <f t="shared" si="0"/>
        <v>1779362.7846462929</v>
      </c>
      <c r="X22" s="174">
        <f t="shared" si="0"/>
        <v>1868330.9238786076</v>
      </c>
      <c r="Y22" s="174">
        <f t="shared" si="0"/>
        <v>1961747.4700725381</v>
      </c>
      <c r="Z22" s="174">
        <f t="shared" si="0"/>
        <v>2059834.8435761651</v>
      </c>
      <c r="AA22" s="174">
        <f t="shared" si="0"/>
        <v>2162826.5857549733</v>
      </c>
      <c r="AB22" s="421">
        <f t="shared" si="0"/>
        <v>2270967.9150427221</v>
      </c>
      <c r="AC22" s="412">
        <f t="shared" si="0"/>
        <v>2384516.3107948583</v>
      </c>
      <c r="AD22" s="424">
        <f>AVERAGE(B22:AB22)</f>
        <v>1326054.7722797827</v>
      </c>
    </row>
    <row r="23" spans="1:30" s="4" customFormat="1" ht="15.6" customHeight="1" thickBot="1" x14ac:dyDescent="0.3">
      <c r="A23" s="415" t="s">
        <v>49</v>
      </c>
      <c r="B23" s="391">
        <f>B19*B17</f>
        <v>950647.97097566957</v>
      </c>
      <c r="C23" s="416"/>
      <c r="D23" s="417"/>
      <c r="E23" s="397">
        <f>B23/2*(1+$I$8)*(1+$I$8)*(1+$I$8)</f>
        <v>519399.35269016528</v>
      </c>
      <c r="F23" s="397">
        <f>B23*(1+$I$9)*(1+$I$9)*(1+$I$9)*(1+$I$9)</f>
        <v>1155518.5502707451</v>
      </c>
      <c r="G23" s="397">
        <f>F23*(1+$I$9)</f>
        <v>1213294.4777842823</v>
      </c>
      <c r="H23" s="397">
        <f t="shared" ref="H23:AC23" si="1">G23*(1+$I$9)</f>
        <v>1273959.2016734965</v>
      </c>
      <c r="I23" s="397">
        <f t="shared" si="1"/>
        <v>1337657.1617571714</v>
      </c>
      <c r="J23" s="397">
        <f t="shared" si="1"/>
        <v>1404540.01984503</v>
      </c>
      <c r="K23" s="397">
        <f t="shared" si="1"/>
        <v>1474767.0208372816</v>
      </c>
      <c r="L23" s="397">
        <f t="shared" si="1"/>
        <v>1548505.3718791457</v>
      </c>
      <c r="M23" s="397">
        <f t="shared" si="1"/>
        <v>1625930.6404731032</v>
      </c>
      <c r="N23" s="397">
        <f t="shared" si="1"/>
        <v>1707227.1724967584</v>
      </c>
      <c r="O23" s="397">
        <f t="shared" si="1"/>
        <v>1792588.5311215965</v>
      </c>
      <c r="P23" s="397">
        <f t="shared" si="1"/>
        <v>1882217.9576776763</v>
      </c>
      <c r="Q23" s="397">
        <f t="shared" si="1"/>
        <v>1976328.8555615603</v>
      </c>
      <c r="R23" s="397">
        <f t="shared" si="1"/>
        <v>2075145.2983396384</v>
      </c>
      <c r="S23" s="397">
        <f t="shared" si="1"/>
        <v>2178902.5632566204</v>
      </c>
      <c r="T23" s="397">
        <f t="shared" si="1"/>
        <v>2287847.6914194515</v>
      </c>
      <c r="U23" s="397">
        <f t="shared" si="1"/>
        <v>2402240.075990424</v>
      </c>
      <c r="V23" s="397">
        <f t="shared" si="1"/>
        <v>2522352.0797899454</v>
      </c>
      <c r="W23" s="397">
        <f t="shared" si="1"/>
        <v>2648469.6837794427</v>
      </c>
      <c r="X23" s="397">
        <f t="shared" si="1"/>
        <v>2780893.1679684147</v>
      </c>
      <c r="Y23" s="397">
        <f t="shared" si="1"/>
        <v>2919937.8263668357</v>
      </c>
      <c r="Z23" s="397">
        <f t="shared" si="1"/>
        <v>3065934.7176851775</v>
      </c>
      <c r="AA23" s="397">
        <f t="shared" si="1"/>
        <v>3219231.4535694364</v>
      </c>
      <c r="AB23" s="422">
        <f t="shared" si="1"/>
        <v>3380193.0262479084</v>
      </c>
      <c r="AC23" s="391">
        <f t="shared" si="1"/>
        <v>3549202.6775603038</v>
      </c>
      <c r="AD23" s="425">
        <f>AVERAGE(B23:AB23)</f>
        <v>1973749.1947782792</v>
      </c>
    </row>
    <row r="24" spans="1:30" s="4" customFormat="1" ht="15.6" customHeight="1" thickBot="1" x14ac:dyDescent="0.3">
      <c r="A24" s="418" t="s">
        <v>50</v>
      </c>
      <c r="B24" s="405">
        <f>B22+B23</f>
        <v>1589336.6564507203</v>
      </c>
      <c r="C24" s="419"/>
      <c r="D24" s="420"/>
      <c r="E24" s="403">
        <f>B24/2*(1+$I$8)*(1+$I$8)*(1+$I$8)</f>
        <v>868355.53829671314</v>
      </c>
      <c r="F24" s="403">
        <f>B24*(1+$I$9)*(1+$I$9)*(1+$I$9)*(1+$I$9)</f>
        <v>1931848.6392699536</v>
      </c>
      <c r="G24" s="403">
        <f>F24*(1+$I$9)</f>
        <v>2028441.0712334514</v>
      </c>
      <c r="H24" s="403">
        <f t="shared" ref="H24:AC24" si="2">G24*(1+$I$9)</f>
        <v>2129863.1247951239</v>
      </c>
      <c r="I24" s="403">
        <f>H24*(1+$I$9)</f>
        <v>2236356.2810348803</v>
      </c>
      <c r="J24" s="403">
        <f t="shared" si="2"/>
        <v>2348174.0950866244</v>
      </c>
      <c r="K24" s="403">
        <f t="shared" si="2"/>
        <v>2465582.7998409555</v>
      </c>
      <c r="L24" s="403">
        <f t="shared" si="2"/>
        <v>2588861.9398330036</v>
      </c>
      <c r="M24" s="403">
        <f t="shared" si="2"/>
        <v>2718305.0368246539</v>
      </c>
      <c r="N24" s="403">
        <f t="shared" si="2"/>
        <v>2854220.2886658865</v>
      </c>
      <c r="O24" s="403">
        <f t="shared" si="2"/>
        <v>2996931.303099181</v>
      </c>
      <c r="P24" s="403">
        <f t="shared" si="2"/>
        <v>3146777.86825414</v>
      </c>
      <c r="Q24" s="403">
        <f t="shared" si="2"/>
        <v>3304116.7616668474</v>
      </c>
      <c r="R24" s="403">
        <f t="shared" si="2"/>
        <v>3469322.59975019</v>
      </c>
      <c r="S24" s="403">
        <f t="shared" si="2"/>
        <v>3642788.7297376995</v>
      </c>
      <c r="T24" s="403">
        <f t="shared" si="2"/>
        <v>3824928.1662245844</v>
      </c>
      <c r="U24" s="403">
        <f t="shared" si="2"/>
        <v>4016174.5745358136</v>
      </c>
      <c r="V24" s="403">
        <f t="shared" si="2"/>
        <v>4216983.3032626044</v>
      </c>
      <c r="W24" s="403">
        <f t="shared" si="2"/>
        <v>4427832.4684257349</v>
      </c>
      <c r="X24" s="403">
        <f t="shared" si="2"/>
        <v>4649224.0918470221</v>
      </c>
      <c r="Y24" s="403">
        <f t="shared" si="2"/>
        <v>4881685.2964393729</v>
      </c>
      <c r="Z24" s="403">
        <f t="shared" si="2"/>
        <v>5125769.5612613419</v>
      </c>
      <c r="AA24" s="403">
        <f t="shared" si="2"/>
        <v>5382058.0393244093</v>
      </c>
      <c r="AB24" s="423">
        <f t="shared" si="2"/>
        <v>5651160.94129063</v>
      </c>
      <c r="AC24" s="405">
        <f t="shared" si="2"/>
        <v>5933718.9883551616</v>
      </c>
      <c r="AD24" s="426">
        <f>AVERAGE(B24:AB24)</f>
        <v>3299803.9670580621</v>
      </c>
    </row>
    <row r="25" spans="1:30" s="4" customFormat="1" ht="15.6" customHeight="1" x14ac:dyDescent="0.25">
      <c r="A25" s="259"/>
      <c r="B25" s="259"/>
      <c r="C25" s="259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0"/>
      <c r="AD25" s="261"/>
    </row>
    <row r="26" spans="1:30" s="5" customFormat="1" ht="19.5" thickBot="1" x14ac:dyDescent="0.3">
      <c r="A26" s="2" t="s">
        <v>51</v>
      </c>
      <c r="B26" s="2"/>
      <c r="C26" s="2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15"/>
    </row>
    <row r="27" spans="1:30" s="6" customFormat="1" ht="15.75" thickBot="1" x14ac:dyDescent="0.3">
      <c r="A27" s="534"/>
      <c r="B27" s="536" t="s">
        <v>19</v>
      </c>
      <c r="C27" s="182" t="s">
        <v>20</v>
      </c>
      <c r="D27" s="157" t="s">
        <v>21</v>
      </c>
      <c r="E27" s="157" t="s">
        <v>22</v>
      </c>
      <c r="F27" s="157" t="s">
        <v>23</v>
      </c>
      <c r="G27" s="157" t="s">
        <v>24</v>
      </c>
      <c r="H27" s="157" t="s">
        <v>25</v>
      </c>
      <c r="I27" s="157" t="s">
        <v>26</v>
      </c>
      <c r="J27" s="157" t="s">
        <v>27</v>
      </c>
      <c r="K27" s="157" t="s">
        <v>28</v>
      </c>
      <c r="L27" s="157" t="s">
        <v>29</v>
      </c>
      <c r="M27" s="157" t="s">
        <v>30</v>
      </c>
      <c r="N27" s="157" t="s">
        <v>31</v>
      </c>
      <c r="O27" s="157" t="s">
        <v>32</v>
      </c>
      <c r="P27" s="157" t="s">
        <v>33</v>
      </c>
      <c r="Q27" s="157" t="s">
        <v>34</v>
      </c>
      <c r="R27" s="157" t="s">
        <v>35</v>
      </c>
      <c r="S27" s="157" t="s">
        <v>36</v>
      </c>
      <c r="T27" s="157" t="s">
        <v>37</v>
      </c>
      <c r="U27" s="157" t="s">
        <v>38</v>
      </c>
      <c r="V27" s="157" t="s">
        <v>39</v>
      </c>
      <c r="W27" s="157" t="s">
        <v>40</v>
      </c>
      <c r="X27" s="157" t="s">
        <v>41</v>
      </c>
      <c r="Y27" s="157" t="s">
        <v>42</v>
      </c>
      <c r="Z27" s="157" t="s">
        <v>43</v>
      </c>
      <c r="AA27" s="157" t="s">
        <v>44</v>
      </c>
      <c r="AB27" s="162" t="s">
        <v>45</v>
      </c>
      <c r="AC27" s="177" t="s">
        <v>52</v>
      </c>
      <c r="AD27" s="177" t="s">
        <v>47</v>
      </c>
    </row>
    <row r="28" spans="1:30" s="6" customFormat="1" ht="15.75" thickBot="1" x14ac:dyDescent="0.3">
      <c r="A28" s="535"/>
      <c r="B28" s="540"/>
      <c r="C28" s="292">
        <v>0</v>
      </c>
      <c r="D28" s="279">
        <v>1</v>
      </c>
      <c r="E28" s="279">
        <v>2</v>
      </c>
      <c r="F28" s="279">
        <v>3</v>
      </c>
      <c r="G28" s="279">
        <v>4</v>
      </c>
      <c r="H28" s="279">
        <v>5</v>
      </c>
      <c r="I28" s="279">
        <v>6</v>
      </c>
      <c r="J28" s="279">
        <v>7</v>
      </c>
      <c r="K28" s="279">
        <v>8</v>
      </c>
      <c r="L28" s="279">
        <v>9</v>
      </c>
      <c r="M28" s="279">
        <v>10</v>
      </c>
      <c r="N28" s="279">
        <v>11</v>
      </c>
      <c r="O28" s="279">
        <v>12</v>
      </c>
      <c r="P28" s="279">
        <v>13</v>
      </c>
      <c r="Q28" s="279">
        <v>14</v>
      </c>
      <c r="R28" s="279">
        <v>15</v>
      </c>
      <c r="S28" s="279">
        <v>16</v>
      </c>
      <c r="T28" s="279">
        <v>17</v>
      </c>
      <c r="U28" s="279">
        <v>18</v>
      </c>
      <c r="V28" s="279">
        <v>19</v>
      </c>
      <c r="W28" s="279">
        <v>20</v>
      </c>
      <c r="X28" s="279">
        <v>21</v>
      </c>
      <c r="Y28" s="279">
        <v>22</v>
      </c>
      <c r="Z28" s="279">
        <v>23</v>
      </c>
      <c r="AA28" s="279">
        <v>24</v>
      </c>
      <c r="AB28" s="280">
        <v>25</v>
      </c>
      <c r="AC28" s="281"/>
      <c r="AD28" s="281"/>
    </row>
    <row r="29" spans="1:30" s="7" customFormat="1" ht="15.75" thickBot="1" x14ac:dyDescent="0.3">
      <c r="A29" s="399" t="s">
        <v>53</v>
      </c>
      <c r="B29" s="408">
        <f>'Baseline LCA'!B31</f>
        <v>30000</v>
      </c>
      <c r="C29" s="409"/>
      <c r="D29" s="410"/>
      <c r="E29" s="403">
        <f>B29/2*(1+$I$8)*(1+$I$8)*(1+$I$8)</f>
        <v>16390.904999999999</v>
      </c>
      <c r="F29" s="403">
        <f>B29*(1+$I$8)*(1+$I$8)*(1+$I$8)*(1+$I$8)</f>
        <v>33765.264299999995</v>
      </c>
      <c r="G29" s="403">
        <f t="shared" ref="G29:AB29" si="3">F29*(1+$I$8)</f>
        <v>34778.222228999999</v>
      </c>
      <c r="H29" s="403">
        <f t="shared" si="3"/>
        <v>35821.568895869998</v>
      </c>
      <c r="I29" s="403">
        <f t="shared" si="3"/>
        <v>36896.215962746101</v>
      </c>
      <c r="J29" s="403">
        <f t="shared" si="3"/>
        <v>38003.102441628485</v>
      </c>
      <c r="K29" s="403">
        <f t="shared" si="3"/>
        <v>39143.195514877341</v>
      </c>
      <c r="L29" s="403">
        <f t="shared" si="3"/>
        <v>40317.491380323663</v>
      </c>
      <c r="M29" s="403">
        <f t="shared" si="3"/>
        <v>41527.016121733373</v>
      </c>
      <c r="N29" s="403">
        <f t="shared" si="3"/>
        <v>42772.826605385373</v>
      </c>
      <c r="O29" s="403">
        <f t="shared" si="3"/>
        <v>44056.011403546938</v>
      </c>
      <c r="P29" s="403">
        <f t="shared" si="3"/>
        <v>45377.691745653348</v>
      </c>
      <c r="Q29" s="403">
        <f t="shared" si="3"/>
        <v>46739.022498022947</v>
      </c>
      <c r="R29" s="403">
        <f t="shared" si="3"/>
        <v>48141.193172963634</v>
      </c>
      <c r="S29" s="403">
        <f t="shared" si="3"/>
        <v>49585.428968152548</v>
      </c>
      <c r="T29" s="403">
        <f t="shared" si="3"/>
        <v>51072.991837197129</v>
      </c>
      <c r="U29" s="403">
        <f t="shared" si="3"/>
        <v>52605.181592313042</v>
      </c>
      <c r="V29" s="403">
        <f t="shared" si="3"/>
        <v>54183.337040082435</v>
      </c>
      <c r="W29" s="403">
        <f t="shared" si="3"/>
        <v>55808.837151284912</v>
      </c>
      <c r="X29" s="403">
        <f t="shared" si="3"/>
        <v>57483.102265823458</v>
      </c>
      <c r="Y29" s="403">
        <f t="shared" si="3"/>
        <v>59207.595333798163</v>
      </c>
      <c r="Z29" s="403">
        <f t="shared" si="3"/>
        <v>60983.82319381211</v>
      </c>
      <c r="AA29" s="403">
        <f t="shared" si="3"/>
        <v>62813.337889626477</v>
      </c>
      <c r="AB29" s="423">
        <f t="shared" si="3"/>
        <v>64697.738026315274</v>
      </c>
      <c r="AC29" s="405">
        <f>SUM(D29:AB29)</f>
        <v>1112171.1005701567</v>
      </c>
      <c r="AD29" s="408">
        <f>AVERAGE(D29:AB29)</f>
        <v>46340.462523756527</v>
      </c>
    </row>
    <row r="30" spans="1:30" s="7" customFormat="1" x14ac:dyDescent="0.25">
      <c r="A30" s="259"/>
      <c r="B30" s="259"/>
      <c r="C30" s="259"/>
      <c r="D30" s="275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75"/>
    </row>
    <row r="31" spans="1:30" s="7" customFormat="1" ht="19.5" thickBot="1" x14ac:dyDescent="0.3">
      <c r="A31" s="2" t="s">
        <v>54</v>
      </c>
      <c r="B31" s="2"/>
      <c r="C31" s="2"/>
      <c r="D31" s="275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75"/>
    </row>
    <row r="32" spans="1:30" s="7" customFormat="1" x14ac:dyDescent="0.25">
      <c r="A32" s="208" t="s">
        <v>55</v>
      </c>
      <c r="B32" s="440">
        <f>(I10*B17)/1000</f>
        <v>3355.228132855304</v>
      </c>
      <c r="C32" s="259"/>
      <c r="D32" s="384"/>
      <c r="E32" s="384"/>
      <c r="F32" s="384"/>
      <c r="G32" s="384"/>
      <c r="H32" s="384"/>
      <c r="I32" s="384"/>
      <c r="J32" s="384"/>
      <c r="K32" s="384"/>
      <c r="L32" s="384"/>
      <c r="M32" s="384"/>
      <c r="N32" s="384"/>
      <c r="O32" s="384"/>
      <c r="P32" s="384"/>
      <c r="Q32" s="384"/>
      <c r="R32" s="384"/>
      <c r="S32" s="384"/>
      <c r="T32" s="384"/>
      <c r="U32" s="384"/>
      <c r="V32" s="384"/>
      <c r="W32" s="384"/>
      <c r="X32" s="384"/>
      <c r="Y32" s="384"/>
      <c r="Z32" s="384"/>
      <c r="AA32" s="384"/>
      <c r="AB32" s="384"/>
      <c r="AC32" s="262"/>
      <c r="AD32" s="275"/>
    </row>
    <row r="33" spans="1:30" s="7" customFormat="1" x14ac:dyDescent="0.25">
      <c r="A33" s="209" t="s">
        <v>56</v>
      </c>
      <c r="B33" s="382">
        <f>((B16/10)*$I$11)</f>
        <v>6140.3754322864525</v>
      </c>
      <c r="C33" s="259"/>
      <c r="D33" s="384"/>
      <c r="E33" s="384"/>
      <c r="F33" s="384"/>
      <c r="G33" s="384"/>
      <c r="H33" s="384"/>
      <c r="I33" s="384"/>
      <c r="J33" s="384"/>
      <c r="K33" s="384"/>
      <c r="L33" s="384"/>
      <c r="M33" s="384"/>
      <c r="N33" s="384"/>
      <c r="O33" s="384"/>
      <c r="P33" s="384"/>
      <c r="Q33" s="384"/>
      <c r="R33" s="384"/>
      <c r="S33" s="384"/>
      <c r="T33" s="384"/>
      <c r="U33" s="384"/>
      <c r="V33" s="384"/>
      <c r="W33" s="384"/>
      <c r="X33" s="384"/>
      <c r="Y33" s="384"/>
      <c r="Z33" s="384"/>
      <c r="AA33" s="384"/>
      <c r="AB33" s="384"/>
      <c r="AC33" s="262"/>
      <c r="AD33" s="275"/>
    </row>
    <row r="34" spans="1:30" s="7" customFormat="1" ht="15.75" thickBot="1" x14ac:dyDescent="0.3">
      <c r="A34" s="210" t="s">
        <v>57</v>
      </c>
      <c r="B34" s="441">
        <f>(B16/10)*44.7*0.035/2205</f>
        <v>79.502601617195126</v>
      </c>
      <c r="C34" s="259"/>
      <c r="D34" s="384"/>
      <c r="E34" s="505">
        <f>SLOPE(E40:R40,E37:R37)</f>
        <v>-9.426179034264591E-3</v>
      </c>
      <c r="F34" s="505">
        <f>AVERAGE(E40:R40)</f>
        <v>-9.6085718770783299E-2</v>
      </c>
      <c r="G34" s="384"/>
      <c r="H34" s="384"/>
      <c r="I34" s="384"/>
      <c r="J34" s="384"/>
      <c r="K34" s="384"/>
      <c r="L34" s="384"/>
      <c r="M34" s="384"/>
      <c r="N34" s="384"/>
      <c r="O34" s="384"/>
      <c r="P34" s="384"/>
      <c r="Q34" s="384"/>
      <c r="R34" s="384"/>
      <c r="S34" s="384"/>
      <c r="T34" s="384"/>
      <c r="U34" s="384"/>
      <c r="V34" s="384"/>
      <c r="W34" s="384"/>
      <c r="X34" s="384"/>
      <c r="Y34" s="384"/>
      <c r="Z34" s="384"/>
      <c r="AA34" s="384"/>
      <c r="AB34" s="384"/>
      <c r="AC34" s="262"/>
      <c r="AD34" s="275"/>
    </row>
    <row r="35" spans="1:30" s="7" customFormat="1" ht="6" customHeight="1" thickBot="1" x14ac:dyDescent="0.3">
      <c r="A35" s="438"/>
      <c r="B35" s="439"/>
      <c r="C35" s="259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  <c r="V35" s="384"/>
      <c r="W35" s="384"/>
      <c r="X35" s="384"/>
      <c r="Y35" s="384"/>
      <c r="Z35" s="384"/>
      <c r="AA35" s="384"/>
      <c r="AB35" s="384"/>
      <c r="AC35" s="262"/>
      <c r="AD35" s="275"/>
    </row>
    <row r="36" spans="1:30" s="7" customFormat="1" ht="15.75" thickBot="1" x14ac:dyDescent="0.3">
      <c r="A36" s="538"/>
      <c r="B36" s="536" t="s">
        <v>19</v>
      </c>
      <c r="C36" s="182" t="s">
        <v>20</v>
      </c>
      <c r="D36" s="157" t="s">
        <v>21</v>
      </c>
      <c r="E36" s="157" t="s">
        <v>22</v>
      </c>
      <c r="F36" s="157" t="s">
        <v>23</v>
      </c>
      <c r="G36" s="157" t="s">
        <v>24</v>
      </c>
      <c r="H36" s="157" t="s">
        <v>25</v>
      </c>
      <c r="I36" s="157" t="s">
        <v>26</v>
      </c>
      <c r="J36" s="157" t="s">
        <v>27</v>
      </c>
      <c r="K36" s="157" t="s">
        <v>28</v>
      </c>
      <c r="L36" s="157" t="s">
        <v>29</v>
      </c>
      <c r="M36" s="157" t="s">
        <v>30</v>
      </c>
      <c r="N36" s="157" t="s">
        <v>31</v>
      </c>
      <c r="O36" s="157" t="s">
        <v>32</v>
      </c>
      <c r="P36" s="157" t="s">
        <v>33</v>
      </c>
      <c r="Q36" s="157" t="s">
        <v>34</v>
      </c>
      <c r="R36" s="157" t="s">
        <v>35</v>
      </c>
      <c r="S36" s="157" t="s">
        <v>36</v>
      </c>
      <c r="T36" s="157" t="s">
        <v>37</v>
      </c>
      <c r="U36" s="157" t="s">
        <v>38</v>
      </c>
      <c r="V36" s="157" t="s">
        <v>39</v>
      </c>
      <c r="W36" s="157" t="s">
        <v>40</v>
      </c>
      <c r="X36" s="157" t="s">
        <v>41</v>
      </c>
      <c r="Y36" s="157" t="s">
        <v>42</v>
      </c>
      <c r="Z36" s="157" t="s">
        <v>43</v>
      </c>
      <c r="AA36" s="157" t="s">
        <v>44</v>
      </c>
      <c r="AB36" s="162" t="s">
        <v>45</v>
      </c>
      <c r="AC36" s="177" t="s">
        <v>46</v>
      </c>
      <c r="AD36" s="275"/>
    </row>
    <row r="37" spans="1:30" s="7" customFormat="1" ht="15.75" thickBot="1" x14ac:dyDescent="0.3">
      <c r="A37" s="539"/>
      <c r="B37" s="537"/>
      <c r="C37" s="292">
        <v>0</v>
      </c>
      <c r="D37" s="279">
        <v>1</v>
      </c>
      <c r="E37" s="279">
        <v>2</v>
      </c>
      <c r="F37" s="279">
        <v>3</v>
      </c>
      <c r="G37" s="279">
        <v>4</v>
      </c>
      <c r="H37" s="279">
        <v>5</v>
      </c>
      <c r="I37" s="279">
        <v>6</v>
      </c>
      <c r="J37" s="279">
        <v>7</v>
      </c>
      <c r="K37" s="279">
        <v>8</v>
      </c>
      <c r="L37" s="279">
        <v>9</v>
      </c>
      <c r="M37" s="279">
        <v>10</v>
      </c>
      <c r="N37" s="279">
        <v>11</v>
      </c>
      <c r="O37" s="279">
        <v>12</v>
      </c>
      <c r="P37" s="279">
        <v>13</v>
      </c>
      <c r="Q37" s="279">
        <v>14</v>
      </c>
      <c r="R37" s="279">
        <v>15</v>
      </c>
      <c r="S37" s="279">
        <v>16</v>
      </c>
      <c r="T37" s="279">
        <v>17</v>
      </c>
      <c r="U37" s="279">
        <v>18</v>
      </c>
      <c r="V37" s="279">
        <v>19</v>
      </c>
      <c r="W37" s="279">
        <v>20</v>
      </c>
      <c r="X37" s="279">
        <v>21</v>
      </c>
      <c r="Y37" s="279">
        <v>22</v>
      </c>
      <c r="Z37" s="279">
        <v>23</v>
      </c>
      <c r="AA37" s="279">
        <v>24</v>
      </c>
      <c r="AB37" s="280">
        <v>25</v>
      </c>
      <c r="AC37" s="281"/>
      <c r="AD37" s="275"/>
    </row>
    <row r="38" spans="1:30" s="7" customFormat="1" ht="15.75" thickBot="1" x14ac:dyDescent="0.3">
      <c r="A38" s="393" t="s">
        <v>58</v>
      </c>
      <c r="B38" s="186"/>
      <c r="C38" s="182"/>
      <c r="D38" s="481">
        <f>'Baseline LCA'!B39-'DES LCA '!B42</f>
        <v>9575.1061667589511</v>
      </c>
      <c r="E38" s="481">
        <f>'Baseline LCA'!C39-'DES LCA '!C42</f>
        <v>9098.3799668259417</v>
      </c>
      <c r="F38" s="481">
        <f>'Baseline LCA'!D39-'DES LCA '!D42</f>
        <v>8619.2102914797269</v>
      </c>
      <c r="G38" s="481">
        <f>'Baseline LCA'!E39-'DES LCA '!E42</f>
        <v>8137.5879028819836</v>
      </c>
      <c r="H38" s="481">
        <f>'Baseline LCA'!F39-'DES LCA '!F42</f>
        <v>7653.5035322769327</v>
      </c>
      <c r="I38" s="481">
        <f>'Baseline LCA'!G39-'DES LCA '!G42</f>
        <v>7166.9478798944592</v>
      </c>
      <c r="J38" s="481">
        <f>'Baseline LCA'!H39-'DES LCA '!H42</f>
        <v>6677.9116148530038</v>
      </c>
      <c r="K38" s="481">
        <f>'Baseline LCA'!I39-'DES LCA '!I42</f>
        <v>6186.3853750620874</v>
      </c>
      <c r="L38" s="481">
        <f>'Baseline LCA'!J39-'DES LCA '!J42</f>
        <v>5692.3597671246253</v>
      </c>
      <c r="M38" s="481">
        <f>'Baseline LCA'!K39-'DES LCA '!K42</f>
        <v>5195.8253662388825</v>
      </c>
      <c r="N38" s="481">
        <f>'Baseline LCA'!L39-'DES LCA '!L42</f>
        <v>4696.7727161001667</v>
      </c>
      <c r="O38" s="481">
        <f>'Baseline LCA'!M39-'DES LCA '!M42</f>
        <v>4195.1923288022163</v>
      </c>
      <c r="P38" s="481">
        <f>'Baseline LCA'!N39-'DES LCA '!N42</f>
        <v>3691.0746847383029</v>
      </c>
      <c r="Q38" s="481">
        <f>'Baseline LCA'!O39-'DES LCA '!O42</f>
        <v>3184.4102325020126</v>
      </c>
      <c r="R38" s="481">
        <f>'Baseline LCA'!P39-'DES LCA '!P42</f>
        <v>2675.1893887877623</v>
      </c>
      <c r="S38" s="481">
        <f>'Baseline LCA'!Q39-'DES LCA '!Q42</f>
        <v>2163.4025382909886</v>
      </c>
      <c r="T38" s="481">
        <f>'Baseline LCA'!R39-'DES LCA '!R42</f>
        <v>1649.0400336080497</v>
      </c>
      <c r="U38" s="481">
        <f>'Baseline LCA'!S39-'DES LCA '!S42</f>
        <v>1132.0921951358334</v>
      </c>
      <c r="V38" s="481">
        <f>'Baseline LCA'!T39-'DES LCA '!T42</f>
        <v>612.54931097104418</v>
      </c>
      <c r="W38" s="481">
        <f>'Baseline LCA'!U39-'DES LCA '!U42</f>
        <v>83.365159446575063</v>
      </c>
      <c r="X38" s="481">
        <f>'Baseline LCA'!V39-'DES LCA '!V42</f>
        <v>83.573572345182995</v>
      </c>
      <c r="Y38" s="481">
        <f>'Baseline LCA'!W39-'DES LCA '!W42</f>
        <v>83.78250627604595</v>
      </c>
      <c r="Z38" s="481">
        <f>'Baseline LCA'!X39-'DES LCA '!X42</f>
        <v>83.991962541736058</v>
      </c>
      <c r="AA38" s="481">
        <f>'Baseline LCA'!Y39-'DES LCA '!Y42</f>
        <v>84.201942448090406</v>
      </c>
      <c r="AB38" s="481">
        <f>'Baseline LCA'!Z39-'DES LCA '!Z42</f>
        <v>84.41244730421063</v>
      </c>
      <c r="AC38" s="500">
        <f>SUM(D38:AB38)</f>
        <v>98506.268882694843</v>
      </c>
      <c r="AD38" s="275"/>
    </row>
    <row r="39" spans="1:30" s="4" customFormat="1" ht="15.75" thickBot="1" x14ac:dyDescent="0.3">
      <c r="A39" s="297" t="s">
        <v>59</v>
      </c>
      <c r="B39" s="499">
        <f>'Baseline LCA'!B40-'DES LCA '!B43</f>
        <v>1382616.2628788629</v>
      </c>
      <c r="C39" s="498"/>
      <c r="D39" s="486">
        <f>'Baseline LCA'!B40-'DES LCA '!B43</f>
        <v>1382616.2628788629</v>
      </c>
      <c r="E39" s="486">
        <f>'Baseline LCA'!C40-'DES LCA '!C43</f>
        <v>1341479.9502188498</v>
      </c>
      <c r="F39" s="486">
        <f>'Baseline LCA'!D40-'DES LCA '!D43</f>
        <v>1307664.7930733308</v>
      </c>
      <c r="G39" s="486">
        <f>'Baseline LCA'!E40-'DES LCA '!E43</f>
        <v>1263649.4579305556</v>
      </c>
      <c r="H39" s="486">
        <f>'Baseline LCA'!F40-'DES LCA '!F43</f>
        <v>1217845.0183226319</v>
      </c>
      <c r="I39" s="486">
        <f>'Baseline LCA'!G40-'DES LCA '!G43</f>
        <v>1177878.7263995362</v>
      </c>
      <c r="J39" s="486">
        <f>'Baseline LCA'!H40-'DES LCA '!H43</f>
        <v>1129079.9679505453</v>
      </c>
      <c r="K39" s="486">
        <f>'Baseline LCA'!I40-'DES LCA '!I43</f>
        <v>1077028.4553843457</v>
      </c>
      <c r="L39" s="486">
        <f>'Baseline LCA'!J40-'DES LCA '!J43</f>
        <v>1030782.3258587576</v>
      </c>
      <c r="M39" s="486">
        <f>'Baseline LCA'!K40-'DES LCA '!K43</f>
        <v>977140.65709322097</v>
      </c>
      <c r="N39" s="486">
        <f>'Baseline LCA'!L40-'DES LCA '!L43</f>
        <v>925892.46119890269</v>
      </c>
      <c r="O39" s="486">
        <f>'Baseline LCA'!M40-'DES LCA '!M43</f>
        <v>863539.61585545784</v>
      </c>
      <c r="P39" s="486">
        <f>'Baseline LCA'!N40-'DES LCA '!N43</f>
        <v>807414.55639002821</v>
      </c>
      <c r="Q39" s="486">
        <f>'Baseline LCA'!O40-'DES LCA '!O43</f>
        <v>749352.61966003804</v>
      </c>
      <c r="R39" s="486">
        <f>'Baseline LCA'!P40-'DES LCA '!P43</f>
        <v>689340.34492367494</v>
      </c>
      <c r="S39" s="486">
        <f>'Baseline LCA'!Q40-'DES LCA '!Q43</f>
        <v>619110.53669941006</v>
      </c>
      <c r="T39" s="486">
        <f>'Baseline LCA'!R40-'DES LCA '!R43</f>
        <v>555136.30721828237</v>
      </c>
      <c r="U39" s="486">
        <f>'Baseline LCA'!S40-'DES LCA '!S43</f>
        <v>489170.91174551519</v>
      </c>
      <c r="V39" s="486">
        <f>'Baseline LCA'!T40-'DES LCA '!T43</f>
        <v>421200.62572657538</v>
      </c>
      <c r="W39" s="486">
        <f>'Baseline LCA'!U40-'DES LCA '!U43</f>
        <v>341797.1537309243</v>
      </c>
      <c r="X39" s="486">
        <f>'Baseline LCA'!V40-'DES LCA '!V43</f>
        <v>351009.0038497686</v>
      </c>
      <c r="Y39" s="486">
        <f>'Baseline LCA'!W40-'DES LCA '!W43</f>
        <v>360264.77698699757</v>
      </c>
      <c r="Z39" s="486">
        <f>'Baseline LCA'!X40-'DES LCA '!X43</f>
        <v>369564.63518363866</v>
      </c>
      <c r="AA39" s="486">
        <f>'Baseline LCA'!Y40-'DES LCA '!Y43</f>
        <v>370488.54677159782</v>
      </c>
      <c r="AB39" s="486">
        <f>'Baseline LCA'!Z40-'DES LCA '!Z43</f>
        <v>379856.01286894782</v>
      </c>
      <c r="AC39" s="488">
        <f>SUM(C39:AB39)</f>
        <v>20198303.723920397</v>
      </c>
      <c r="AD39" s="275"/>
    </row>
    <row r="40" spans="1:30" s="7" customFormat="1" x14ac:dyDescent="0.25">
      <c r="A40" s="259"/>
      <c r="B40" s="259"/>
      <c r="C40" s="496"/>
      <c r="D40" s="504"/>
      <c r="E40" s="504">
        <f>1-(D38/E38)</f>
        <v>-5.239682247512456E-2</v>
      </c>
      <c r="F40" s="504">
        <f>1-(E38/F38)</f>
        <v>-5.5593222481169047E-2</v>
      </c>
      <c r="G40" s="504">
        <f t="shared" ref="G40:V40" si="4">1-(F38/G38)</f>
        <v>-5.9184907658837549E-2</v>
      </c>
      <c r="H40" s="504">
        <f t="shared" si="4"/>
        <v>-6.3250035563913176E-2</v>
      </c>
      <c r="I40" s="504">
        <f t="shared" si="4"/>
        <v>-6.7888822485707712E-2</v>
      </c>
      <c r="J40" s="504">
        <f t="shared" si="4"/>
        <v>-7.3231916390408935E-2</v>
      </c>
      <c r="K40" s="504">
        <f t="shared" si="4"/>
        <v>-7.9452896965052533E-2</v>
      </c>
      <c r="L40" s="504">
        <f t="shared" si="4"/>
        <v>-8.6787488519371792E-2</v>
      </c>
      <c r="M40" s="504">
        <f t="shared" si="4"/>
        <v>-9.5564105004778188E-2</v>
      </c>
      <c r="N40" s="504">
        <f t="shared" si="4"/>
        <v>-0.1062543751431706</v>
      </c>
      <c r="O40" s="504">
        <f t="shared" si="4"/>
        <v>-0.11956076098212121</v>
      </c>
      <c r="P40" s="504">
        <f t="shared" si="4"/>
        <v>-0.13657747055303893</v>
      </c>
      <c r="Q40" s="504">
        <f t="shared" si="4"/>
        <v>-0.15910778299383899</v>
      </c>
      <c r="R40" s="504">
        <f t="shared" si="4"/>
        <v>-0.19034945557443295</v>
      </c>
      <c r="S40" s="504">
        <f t="shared" si="4"/>
        <v>-0.23656570676905431</v>
      </c>
      <c r="T40" s="504">
        <f t="shared" si="4"/>
        <v>-0.31191632355797294</v>
      </c>
      <c r="U40" s="504">
        <f t="shared" si="4"/>
        <v>-0.45663051180225711</v>
      </c>
      <c r="V40" s="504">
        <f t="shared" si="4"/>
        <v>-0.84816499644932031</v>
      </c>
      <c r="W40" s="504"/>
      <c r="X40" s="504"/>
      <c r="Y40" s="504"/>
      <c r="Z40" s="504"/>
      <c r="AA40" s="504"/>
      <c r="AB40" s="504"/>
      <c r="AC40" s="262"/>
      <c r="AD40" s="275"/>
    </row>
    <row r="41" spans="1:30" s="7" customFormat="1" ht="19.5" thickBot="1" x14ac:dyDescent="0.3">
      <c r="A41" s="2" t="s">
        <v>60</v>
      </c>
      <c r="B41" s="2"/>
      <c r="C41" s="2"/>
      <c r="D41" s="3"/>
      <c r="E41" s="3"/>
      <c r="F41" s="5"/>
      <c r="G41" s="262"/>
      <c r="H41" s="262"/>
      <c r="I41" s="262"/>
      <c r="J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75"/>
    </row>
    <row r="42" spans="1:30" s="7" customFormat="1" ht="15.75" customHeight="1" thickBot="1" x14ac:dyDescent="0.3">
      <c r="A42" s="167"/>
      <c r="B42" s="182" t="s">
        <v>61</v>
      </c>
      <c r="C42" s="158" t="s">
        <v>62</v>
      </c>
      <c r="F42" s="129"/>
      <c r="G42" s="262"/>
      <c r="H42" s="262"/>
      <c r="I42" s="262"/>
      <c r="J42" s="262"/>
      <c r="K42" s="129"/>
      <c r="L42" s="277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75"/>
    </row>
    <row r="43" spans="1:30" s="7" customFormat="1" x14ac:dyDescent="0.25">
      <c r="A43" s="208" t="s">
        <v>63</v>
      </c>
      <c r="B43" s="406">
        <f>'[2]Bldg Info, Cost Est'!$O$55</f>
        <v>0</v>
      </c>
      <c r="C43" s="392">
        <f>B43*0.1</f>
        <v>0</v>
      </c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  <c r="AD43" s="275"/>
    </row>
    <row r="44" spans="1:30" s="7" customFormat="1" ht="15.75" thickBot="1" x14ac:dyDescent="0.3">
      <c r="A44" s="393" t="s">
        <v>64</v>
      </c>
      <c r="B44" s="407">
        <f>'[2]Bldg Info, Cost Est'!$W$55</f>
        <v>229881.04494525385</v>
      </c>
      <c r="C44" s="394">
        <f>B44*0.1</f>
        <v>22988.104494525385</v>
      </c>
      <c r="F44" s="262"/>
      <c r="G44" s="262" t="s">
        <v>65</v>
      </c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75"/>
    </row>
    <row r="45" spans="1:30" s="7" customFormat="1" ht="15.75" thickBot="1" x14ac:dyDescent="0.3">
      <c r="A45" s="297" t="s">
        <v>66</v>
      </c>
      <c r="B45" s="389">
        <f>B43+B44</f>
        <v>229881.04494525385</v>
      </c>
      <c r="C45" s="435">
        <f>C43+C44</f>
        <v>22988.104494525385</v>
      </c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75"/>
    </row>
    <row r="46" spans="1:30" s="7" customFormat="1" ht="6" customHeight="1" thickBot="1" x14ac:dyDescent="0.3">
      <c r="A46" s="380"/>
      <c r="B46" s="436"/>
      <c r="C46" s="437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75"/>
    </row>
    <row r="47" spans="1:30" s="7" customFormat="1" ht="15.75" thickBot="1" x14ac:dyDescent="0.3">
      <c r="A47" s="534"/>
      <c r="B47" s="536" t="s">
        <v>19</v>
      </c>
      <c r="C47" s="182" t="s">
        <v>20</v>
      </c>
      <c r="D47" s="157" t="s">
        <v>21</v>
      </c>
      <c r="E47" s="157" t="s">
        <v>22</v>
      </c>
      <c r="F47" s="157" t="s">
        <v>23</v>
      </c>
      <c r="G47" s="157" t="s">
        <v>24</v>
      </c>
      <c r="H47" s="157" t="s">
        <v>25</v>
      </c>
      <c r="I47" s="157" t="s">
        <v>26</v>
      </c>
      <c r="J47" s="157" t="s">
        <v>27</v>
      </c>
      <c r="K47" s="157" t="s">
        <v>28</v>
      </c>
      <c r="L47" s="157" t="s">
        <v>29</v>
      </c>
      <c r="M47" s="157" t="s">
        <v>30</v>
      </c>
      <c r="N47" s="157" t="s">
        <v>31</v>
      </c>
      <c r="O47" s="157" t="s">
        <v>32</v>
      </c>
      <c r="P47" s="157" t="s">
        <v>33</v>
      </c>
      <c r="Q47" s="157" t="s">
        <v>34</v>
      </c>
      <c r="R47" s="157" t="s">
        <v>35</v>
      </c>
      <c r="S47" s="157" t="s">
        <v>36</v>
      </c>
      <c r="T47" s="157" t="s">
        <v>37</v>
      </c>
      <c r="U47" s="157" t="s">
        <v>38</v>
      </c>
      <c r="V47" s="157" t="s">
        <v>39</v>
      </c>
      <c r="W47" s="157" t="s">
        <v>40</v>
      </c>
      <c r="X47" s="157" t="s">
        <v>41</v>
      </c>
      <c r="Y47" s="157" t="s">
        <v>42</v>
      </c>
      <c r="Z47" s="157" t="s">
        <v>43</v>
      </c>
      <c r="AA47" s="157" t="s">
        <v>44</v>
      </c>
      <c r="AB47" s="157" t="s">
        <v>45</v>
      </c>
      <c r="AC47" s="158" t="s">
        <v>52</v>
      </c>
      <c r="AD47" s="130"/>
    </row>
    <row r="48" spans="1:30" s="7" customFormat="1" ht="15.75" thickBot="1" x14ac:dyDescent="0.3">
      <c r="A48" s="535"/>
      <c r="B48" s="540"/>
      <c r="C48" s="292">
        <v>0</v>
      </c>
      <c r="D48" s="279">
        <v>1</v>
      </c>
      <c r="E48" s="279">
        <v>2</v>
      </c>
      <c r="F48" s="279">
        <v>3</v>
      </c>
      <c r="G48" s="279">
        <v>4</v>
      </c>
      <c r="H48" s="279">
        <v>5</v>
      </c>
      <c r="I48" s="279">
        <v>6</v>
      </c>
      <c r="J48" s="279">
        <v>7</v>
      </c>
      <c r="K48" s="279">
        <v>8</v>
      </c>
      <c r="L48" s="279">
        <v>9</v>
      </c>
      <c r="M48" s="279">
        <v>10</v>
      </c>
      <c r="N48" s="279">
        <v>11</v>
      </c>
      <c r="O48" s="279">
        <v>12</v>
      </c>
      <c r="P48" s="279">
        <v>13</v>
      </c>
      <c r="Q48" s="279">
        <v>14</v>
      </c>
      <c r="R48" s="279">
        <v>15</v>
      </c>
      <c r="S48" s="279">
        <v>16</v>
      </c>
      <c r="T48" s="279">
        <v>17</v>
      </c>
      <c r="U48" s="279">
        <v>18</v>
      </c>
      <c r="V48" s="279">
        <v>19</v>
      </c>
      <c r="W48" s="279">
        <v>20</v>
      </c>
      <c r="X48" s="279">
        <v>21</v>
      </c>
      <c r="Y48" s="279">
        <v>22</v>
      </c>
      <c r="Z48" s="279">
        <v>23</v>
      </c>
      <c r="AA48" s="279">
        <v>24</v>
      </c>
      <c r="AB48" s="280">
        <v>25</v>
      </c>
      <c r="AC48" s="281"/>
      <c r="AD48" s="130"/>
    </row>
    <row r="49" spans="1:30" s="6" customFormat="1" x14ac:dyDescent="0.25">
      <c r="A49" s="208" t="s">
        <v>67</v>
      </c>
      <c r="B49" s="432">
        <f>C43</f>
        <v>0</v>
      </c>
      <c r="C49" s="172"/>
      <c r="D49" s="295"/>
      <c r="E49" s="395">
        <f>B49/2*(1+$I$8)*(1+$I$8)*(1+$I$8)</f>
        <v>0</v>
      </c>
      <c r="F49" s="395">
        <f>B49*(1+$I$8)*(1+$I$8)*(1+$I$8)*(1+$I$8)</f>
        <v>0</v>
      </c>
      <c r="G49" s="395">
        <f>F49*(1+$I$8)</f>
        <v>0</v>
      </c>
      <c r="H49" s="395">
        <f>G49*(1+$I$8)</f>
        <v>0</v>
      </c>
      <c r="I49" s="395">
        <f t="shared" ref="I49:AB51" si="5">H49*(1+$I$8)</f>
        <v>0</v>
      </c>
      <c r="J49" s="395">
        <f t="shared" si="5"/>
        <v>0</v>
      </c>
      <c r="K49" s="395">
        <f t="shared" si="5"/>
        <v>0</v>
      </c>
      <c r="L49" s="395">
        <f t="shared" si="5"/>
        <v>0</v>
      </c>
      <c r="M49" s="395">
        <f t="shared" si="5"/>
        <v>0</v>
      </c>
      <c r="N49" s="395">
        <f t="shared" si="5"/>
        <v>0</v>
      </c>
      <c r="O49" s="395">
        <f t="shared" si="5"/>
        <v>0</v>
      </c>
      <c r="P49" s="395">
        <f t="shared" si="5"/>
        <v>0</v>
      </c>
      <c r="Q49" s="395">
        <f t="shared" si="5"/>
        <v>0</v>
      </c>
      <c r="R49" s="395">
        <f t="shared" si="5"/>
        <v>0</v>
      </c>
      <c r="S49" s="395">
        <f t="shared" si="5"/>
        <v>0</v>
      </c>
      <c r="T49" s="395">
        <f t="shared" si="5"/>
        <v>0</v>
      </c>
      <c r="U49" s="395">
        <f t="shared" si="5"/>
        <v>0</v>
      </c>
      <c r="V49" s="395">
        <f t="shared" si="5"/>
        <v>0</v>
      </c>
      <c r="W49" s="395">
        <f t="shared" si="5"/>
        <v>0</v>
      </c>
      <c r="X49" s="395">
        <f t="shared" si="5"/>
        <v>0</v>
      </c>
      <c r="Y49" s="395">
        <f t="shared" si="5"/>
        <v>0</v>
      </c>
      <c r="Z49" s="395">
        <f t="shared" si="5"/>
        <v>0</v>
      </c>
      <c r="AA49" s="395">
        <f t="shared" si="5"/>
        <v>0</v>
      </c>
      <c r="AB49" s="392">
        <f t="shared" si="5"/>
        <v>0</v>
      </c>
      <c r="AC49" s="293">
        <f>SUM(C49:AB49)</f>
        <v>0</v>
      </c>
      <c r="AD49" s="131"/>
    </row>
    <row r="50" spans="1:30" s="6" customFormat="1" ht="15.6" customHeight="1" thickBot="1" x14ac:dyDescent="0.3">
      <c r="A50" s="433" t="s">
        <v>68</v>
      </c>
      <c r="B50" s="434">
        <f>C44</f>
        <v>22988.104494525385</v>
      </c>
      <c r="C50" s="396"/>
      <c r="D50" s="390"/>
      <c r="E50" s="397">
        <f t="shared" ref="E50" si="6">B50/2*(1+$I$8)*(1+$I$8)*(1+$I$8)</f>
        <v>12559.861229994622</v>
      </c>
      <c r="F50" s="397">
        <f t="shared" ref="F50" si="7">B50*(1+$I$8)*(1+$I$8)*(1+$I$8)*(1+$I$8)</f>
        <v>25873.314133788921</v>
      </c>
      <c r="G50" s="397">
        <f t="shared" ref="G50:V51" si="8">F50*(1+$I$8)</f>
        <v>26649.513557802591</v>
      </c>
      <c r="H50" s="397">
        <f t="shared" si="8"/>
        <v>27448.99896453667</v>
      </c>
      <c r="I50" s="397">
        <f t="shared" si="8"/>
        <v>28272.46893347277</v>
      </c>
      <c r="J50" s="397">
        <f t="shared" si="8"/>
        <v>29120.643001476954</v>
      </c>
      <c r="K50" s="397">
        <f t="shared" si="8"/>
        <v>29994.262291521263</v>
      </c>
      <c r="L50" s="397">
        <f t="shared" si="8"/>
        <v>30894.090160266904</v>
      </c>
      <c r="M50" s="397">
        <f t="shared" si="8"/>
        <v>31820.912865074912</v>
      </c>
      <c r="N50" s="397">
        <f t="shared" si="8"/>
        <v>32775.54025102716</v>
      </c>
      <c r="O50" s="397">
        <f t="shared" si="8"/>
        <v>33758.806458557978</v>
      </c>
      <c r="P50" s="397">
        <f t="shared" si="8"/>
        <v>34771.570652314716</v>
      </c>
      <c r="Q50" s="397">
        <f t="shared" si="8"/>
        <v>35814.717771884156</v>
      </c>
      <c r="R50" s="397">
        <f t="shared" si="8"/>
        <v>36889.159305040681</v>
      </c>
      <c r="S50" s="397">
        <f t="shared" si="8"/>
        <v>37995.834084191905</v>
      </c>
      <c r="T50" s="397">
        <f t="shared" si="8"/>
        <v>39135.709106717666</v>
      </c>
      <c r="U50" s="397">
        <f t="shared" si="8"/>
        <v>40309.780379919197</v>
      </c>
      <c r="V50" s="397">
        <f t="shared" si="8"/>
        <v>41519.073791316776</v>
      </c>
      <c r="W50" s="397">
        <f t="shared" si="5"/>
        <v>42764.646005056282</v>
      </c>
      <c r="X50" s="397">
        <f t="shared" si="5"/>
        <v>44047.585385207974</v>
      </c>
      <c r="Y50" s="397">
        <f t="shared" si="5"/>
        <v>45369.012946764218</v>
      </c>
      <c r="Z50" s="397">
        <f t="shared" si="5"/>
        <v>46730.083335167146</v>
      </c>
      <c r="AA50" s="397">
        <f t="shared" si="5"/>
        <v>48131.985835222164</v>
      </c>
      <c r="AB50" s="398">
        <f t="shared" si="5"/>
        <v>49575.94541027883</v>
      </c>
      <c r="AC50" s="391">
        <f t="shared" ref="AC50" si="9">SUM(C50:AB50)</f>
        <v>852223.51585660258</v>
      </c>
      <c r="AD50" s="131"/>
    </row>
    <row r="51" spans="1:30" s="6" customFormat="1" ht="14.25" customHeight="1" thickBot="1" x14ac:dyDescent="0.3">
      <c r="A51" s="399" t="s">
        <v>69</v>
      </c>
      <c r="B51" s="400">
        <f>SUM(B49:B50)</f>
        <v>22988.104494525385</v>
      </c>
      <c r="C51" s="401"/>
      <c r="D51" s="402"/>
      <c r="E51" s="403">
        <f>B51/2*(1+$I$8)*(1+$I$8)*(1+$I$8)</f>
        <v>12559.861229994622</v>
      </c>
      <c r="F51" s="403">
        <f>B51*(1+$I$8)*(1+$I$8)*(1+$I$8)*(1+$I$8)</f>
        <v>25873.314133788921</v>
      </c>
      <c r="G51" s="403">
        <f t="shared" si="8"/>
        <v>26649.513557802591</v>
      </c>
      <c r="H51" s="403">
        <f t="shared" si="8"/>
        <v>27448.99896453667</v>
      </c>
      <c r="I51" s="403">
        <f t="shared" si="8"/>
        <v>28272.46893347277</v>
      </c>
      <c r="J51" s="403">
        <f t="shared" si="8"/>
        <v>29120.643001476954</v>
      </c>
      <c r="K51" s="403">
        <f t="shared" si="8"/>
        <v>29994.262291521263</v>
      </c>
      <c r="L51" s="403">
        <f t="shared" si="8"/>
        <v>30894.090160266904</v>
      </c>
      <c r="M51" s="403">
        <f t="shared" si="8"/>
        <v>31820.912865074912</v>
      </c>
      <c r="N51" s="403">
        <f t="shared" si="8"/>
        <v>32775.54025102716</v>
      </c>
      <c r="O51" s="403">
        <f t="shared" si="8"/>
        <v>33758.806458557978</v>
      </c>
      <c r="P51" s="403">
        <f t="shared" si="8"/>
        <v>34771.570652314716</v>
      </c>
      <c r="Q51" s="403">
        <f t="shared" si="8"/>
        <v>35814.717771884156</v>
      </c>
      <c r="R51" s="403">
        <f t="shared" si="8"/>
        <v>36889.159305040681</v>
      </c>
      <c r="S51" s="403">
        <f t="shared" si="8"/>
        <v>37995.834084191905</v>
      </c>
      <c r="T51" s="403">
        <f t="shared" si="8"/>
        <v>39135.709106717666</v>
      </c>
      <c r="U51" s="403">
        <f t="shared" si="8"/>
        <v>40309.780379919197</v>
      </c>
      <c r="V51" s="403">
        <f t="shared" si="8"/>
        <v>41519.073791316776</v>
      </c>
      <c r="W51" s="403">
        <f t="shared" si="5"/>
        <v>42764.646005056282</v>
      </c>
      <c r="X51" s="403">
        <f t="shared" si="5"/>
        <v>44047.585385207974</v>
      </c>
      <c r="Y51" s="403">
        <f t="shared" si="5"/>
        <v>45369.012946764218</v>
      </c>
      <c r="Z51" s="403">
        <f t="shared" si="5"/>
        <v>46730.083335167146</v>
      </c>
      <c r="AA51" s="403">
        <f t="shared" si="5"/>
        <v>48131.985835222164</v>
      </c>
      <c r="AB51" s="404">
        <f t="shared" si="5"/>
        <v>49575.94541027883</v>
      </c>
      <c r="AC51" s="405">
        <f>SUM(C51:AB51)</f>
        <v>852223.51585660258</v>
      </c>
      <c r="AD51" s="131"/>
    </row>
    <row r="52" spans="1:30" s="6" customFormat="1" ht="14.1" customHeight="1" x14ac:dyDescent="0.25">
      <c r="A52" s="133"/>
      <c r="B52" s="133"/>
      <c r="C52" s="133"/>
      <c r="D52" s="134"/>
      <c r="E52" s="132"/>
      <c r="F52" s="132"/>
      <c r="G52" s="132"/>
      <c r="H52" s="132"/>
      <c r="I52" s="132"/>
      <c r="J52" s="132"/>
      <c r="K52" s="132"/>
      <c r="L52" s="132"/>
      <c r="M52" s="3"/>
      <c r="N52" s="277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1"/>
    </row>
    <row r="53" spans="1:30" s="6" customFormat="1" ht="14.1" customHeight="1" thickBot="1" x14ac:dyDescent="0.3">
      <c r="A53" s="133"/>
      <c r="B53" s="133"/>
      <c r="C53" s="133"/>
      <c r="D53" s="134"/>
      <c r="E53" s="132"/>
      <c r="F53" s="132"/>
      <c r="G53" s="132"/>
      <c r="H53" s="132"/>
      <c r="I53" s="132"/>
      <c r="J53" s="132"/>
      <c r="K53" s="132"/>
      <c r="L53" s="132"/>
      <c r="M53" s="3"/>
      <c r="N53" s="277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1"/>
    </row>
    <row r="54" spans="1:30" s="6" customFormat="1" ht="14.1" customHeight="1" thickBot="1" x14ac:dyDescent="0.3">
      <c r="A54" s="304" t="s">
        <v>70</v>
      </c>
      <c r="B54" s="490">
        <f>B24+B29+B39+B51</f>
        <v>3024941.0238241088</v>
      </c>
      <c r="C54" s="305">
        <f>C24+C29+C39+C51</f>
        <v>0</v>
      </c>
      <c r="D54" s="306">
        <f>D24+D29+D39+D51</f>
        <v>1382616.2628788629</v>
      </c>
      <c r="E54" s="306">
        <f t="shared" ref="E54:AB54" si="10">E24+E29+E39+E51</f>
        <v>2238786.2547455579</v>
      </c>
      <c r="F54" s="306">
        <f t="shared" si="10"/>
        <v>3299152.0107770734</v>
      </c>
      <c r="G54" s="306">
        <f t="shared" si="10"/>
        <v>3353518.2649508095</v>
      </c>
      <c r="H54" s="306">
        <f t="shared" si="10"/>
        <v>3410978.710978162</v>
      </c>
      <c r="I54" s="306">
        <f t="shared" si="10"/>
        <v>3479403.6923306356</v>
      </c>
      <c r="J54" s="306">
        <f t="shared" si="10"/>
        <v>3544377.8084802749</v>
      </c>
      <c r="K54" s="306">
        <f t="shared" si="10"/>
        <v>3611748.7130316999</v>
      </c>
      <c r="L54" s="306">
        <f t="shared" si="10"/>
        <v>3690855.8472323515</v>
      </c>
      <c r="M54" s="306">
        <f t="shared" si="10"/>
        <v>3768793.622904683</v>
      </c>
      <c r="N54" s="306">
        <f t="shared" si="10"/>
        <v>3855661.1167212017</v>
      </c>
      <c r="O54" s="306">
        <f t="shared" si="10"/>
        <v>3938285.7368167439</v>
      </c>
      <c r="P54" s="306">
        <f t="shared" si="10"/>
        <v>4034341.6870421362</v>
      </c>
      <c r="Q54" s="306">
        <f t="shared" si="10"/>
        <v>4136023.1215967922</v>
      </c>
      <c r="R54" s="306">
        <f t="shared" si="10"/>
        <v>4243693.2971518692</v>
      </c>
      <c r="S54" s="306">
        <f t="shared" si="10"/>
        <v>4349480.5294894539</v>
      </c>
      <c r="T54" s="306">
        <f t="shared" si="10"/>
        <v>4470273.1743867807</v>
      </c>
      <c r="U54" s="306">
        <f t="shared" si="10"/>
        <v>4598260.4482535608</v>
      </c>
      <c r="V54" s="306">
        <f t="shared" si="10"/>
        <v>4733886.3398205787</v>
      </c>
      <c r="W54" s="306">
        <f t="shared" si="10"/>
        <v>4868203.1053130003</v>
      </c>
      <c r="X54" s="306">
        <f t="shared" si="10"/>
        <v>5101763.7833478227</v>
      </c>
      <c r="Y54" s="306">
        <f t="shared" si="10"/>
        <v>5346526.6817069324</v>
      </c>
      <c r="Z54" s="306">
        <f t="shared" si="10"/>
        <v>5603048.1029739594</v>
      </c>
      <c r="AA54" s="306">
        <f t="shared" si="10"/>
        <v>5863491.9098208565</v>
      </c>
      <c r="AB54" s="435">
        <f t="shared" si="10"/>
        <v>6145290.6375961723</v>
      </c>
      <c r="AC54" s="489">
        <f>SUM(D54:AB54)</f>
        <v>103068460.86034799</v>
      </c>
      <c r="AD54" s="131"/>
    </row>
    <row r="55" spans="1:30" s="9" customFormat="1" ht="15.75" thickBot="1" x14ac:dyDescent="0.3">
      <c r="A55" s="133"/>
      <c r="B55" s="133"/>
      <c r="C55" s="133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1"/>
    </row>
    <row r="56" spans="1:30" s="6" customFormat="1" x14ac:dyDescent="0.25">
      <c r="A56" s="308" t="s">
        <v>71</v>
      </c>
      <c r="B56" s="309">
        <v>7.0000000000000007E-2</v>
      </c>
      <c r="C56" s="438"/>
      <c r="AD56" s="16"/>
    </row>
    <row r="57" spans="1:30" s="7" customFormat="1" ht="15.75" thickBot="1" x14ac:dyDescent="0.3">
      <c r="A57" s="311" t="s">
        <v>72</v>
      </c>
      <c r="B57" s="312">
        <f>C54+NPV(B56,D54:AB54)</f>
        <v>42604043.187699154</v>
      </c>
      <c r="C57" s="129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 s="11"/>
    </row>
    <row r="58" spans="1:30" s="6" customFormat="1" x14ac:dyDescent="0.25">
      <c r="A58" s="13"/>
      <c r="C58" s="13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10"/>
      <c r="AD58" s="16"/>
    </row>
    <row r="59" spans="1:30" x14ac:dyDescent="0.25">
      <c r="A59" s="13"/>
      <c r="B59" s="13"/>
      <c r="C59" s="13"/>
      <c r="D59" s="6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10"/>
      <c r="AD59" s="16"/>
    </row>
    <row r="60" spans="1:30" x14ac:dyDescent="0.25">
      <c r="B60" s="487"/>
      <c r="C60" s="487"/>
      <c r="D60" s="487"/>
      <c r="E60" s="487"/>
      <c r="F60" s="487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16"/>
    </row>
    <row r="62" spans="1:30" x14ac:dyDescent="0.25"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spans="1:30" x14ac:dyDescent="0.25">
      <c r="D63" s="125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</sheetData>
  <sheetProtection algorithmName="SHA-512" hashValue="pvtv60S/TaEI6nKZhlNQgM/Hr2rGcLLO2+m+PblJI8+R+wfOECCe1Rlph11Lgwq9nDcqsH+NuhvRHTqrp9IVYw==" saltValue="OMMfCOkRVQ5FHJoigLTgGg==" spinCount="100000" sheet="1" objects="1" scenarios="1"/>
  <mergeCells count="14">
    <mergeCell ref="A27:A28"/>
    <mergeCell ref="A47:A48"/>
    <mergeCell ref="B36:B37"/>
    <mergeCell ref="A36:A37"/>
    <mergeCell ref="B27:B28"/>
    <mergeCell ref="B47:B48"/>
    <mergeCell ref="G11:H11"/>
    <mergeCell ref="G9:H9"/>
    <mergeCell ref="B20:B21"/>
    <mergeCell ref="G8:H8"/>
    <mergeCell ref="A6:A7"/>
    <mergeCell ref="G7:H7"/>
    <mergeCell ref="G10:H10"/>
    <mergeCell ref="A20:A21"/>
  </mergeCells>
  <conditionalFormatting sqref="E63:AB63">
    <cfRule type="cellIs" dxfId="9" priority="5" operator="lessThan">
      <formula>0</formula>
    </cfRule>
    <cfRule type="cellIs" dxfId="8" priority="6" operator="greaterThan">
      <formula>0</formula>
    </cfRule>
  </conditionalFormatting>
  <pageMargins left="0.7" right="0.7" top="0.75" bottom="0.75" header="0.3" footer="0.3"/>
  <pageSetup paperSize="17" scale="48" orientation="landscape" horizont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A0D7C-8C1B-4114-AD31-AD07DFD647EC}">
  <sheetPr>
    <tabColor rgb="FFFF0000"/>
  </sheetPr>
  <dimension ref="B1:AC132"/>
  <sheetViews>
    <sheetView showGridLines="0" zoomScaleNormal="100" workbookViewId="0">
      <selection activeCell="D57" sqref="D57"/>
    </sheetView>
  </sheetViews>
  <sheetFormatPr defaultRowHeight="15" x14ac:dyDescent="0.25"/>
  <cols>
    <col min="2" max="2" width="13" customWidth="1"/>
    <col min="3" max="3" width="13.7109375" customWidth="1"/>
    <col min="4" max="4" width="29.7109375" customWidth="1"/>
    <col min="5" max="5" width="17.28515625" customWidth="1"/>
    <col min="6" max="6" width="18" customWidth="1"/>
    <col min="7" max="7" width="11.5703125" bestFit="1" customWidth="1"/>
    <col min="8" max="8" width="11.5703125" customWidth="1"/>
    <col min="9" max="9" width="12.28515625" customWidth="1"/>
    <col min="10" max="10" width="13.28515625" customWidth="1"/>
    <col min="11" max="11" width="11.28515625" customWidth="1"/>
    <col min="12" max="12" width="16.5703125" customWidth="1"/>
    <col min="13" max="13" width="16.28515625" customWidth="1"/>
    <col min="15" max="15" width="24.28515625" customWidth="1"/>
  </cols>
  <sheetData>
    <row r="1" spans="2:29" ht="15.75" thickBot="1" x14ac:dyDescent="0.3">
      <c r="B1" s="18" t="s">
        <v>241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2:29" ht="15.75" thickTop="1" x14ac:dyDescent="0.25">
      <c r="B2" s="18"/>
      <c r="C2" s="19"/>
      <c r="D2" s="19"/>
      <c r="E2" s="19"/>
      <c r="F2" s="19"/>
      <c r="G2" s="20" t="s">
        <v>242</v>
      </c>
      <c r="H2" s="21"/>
      <c r="I2" s="22"/>
      <c r="J2" s="19"/>
      <c r="N2" s="19"/>
      <c r="O2" s="19"/>
    </row>
    <row r="3" spans="2:29" x14ac:dyDescent="0.25">
      <c r="B3" s="18"/>
      <c r="E3" s="23"/>
      <c r="F3" s="23"/>
      <c r="G3" s="24"/>
      <c r="H3" s="25" t="s">
        <v>243</v>
      </c>
      <c r="I3" s="26">
        <v>0.98299999999999998</v>
      </c>
      <c r="N3" s="27"/>
      <c r="O3" s="28"/>
    </row>
    <row r="4" spans="2:29" x14ac:dyDescent="0.25">
      <c r="E4" s="23"/>
      <c r="F4" s="23"/>
      <c r="G4" s="24"/>
      <c r="H4" s="25" t="s">
        <v>244</v>
      </c>
      <c r="I4" s="26">
        <v>1.0900000000000001</v>
      </c>
      <c r="L4" t="s">
        <v>301</v>
      </c>
      <c r="M4" s="71">
        <f>SUM(M10:M23)+SUM(M71:M78)</f>
        <v>991642.29</v>
      </c>
      <c r="N4" s="27"/>
      <c r="O4" s="28"/>
    </row>
    <row r="5" spans="2:29" ht="15.75" thickBot="1" x14ac:dyDescent="0.3">
      <c r="B5" s="29" t="s">
        <v>302</v>
      </c>
      <c r="E5" s="23"/>
      <c r="F5" s="23"/>
      <c r="G5" s="30"/>
      <c r="H5" s="31" t="s">
        <v>246</v>
      </c>
      <c r="I5" s="32">
        <v>1</v>
      </c>
      <c r="L5" t="s">
        <v>303</v>
      </c>
      <c r="M5" s="71">
        <f>SUM(M43:M54)+SUM(M80:M87)</f>
        <v>1019281.1</v>
      </c>
      <c r="N5" s="27"/>
      <c r="O5" s="28"/>
    </row>
    <row r="6" spans="2:29" ht="16.5" thickTop="1" thickBot="1" x14ac:dyDescent="0.3">
      <c r="B6" s="19"/>
      <c r="E6" s="23"/>
      <c r="F6" s="23"/>
      <c r="G6" s="33"/>
      <c r="H6" s="33"/>
      <c r="I6" s="33"/>
      <c r="M6" s="23"/>
      <c r="N6" s="27"/>
      <c r="O6" s="28"/>
      <c r="X6" s="23"/>
      <c r="Y6" s="23"/>
      <c r="Z6" s="85"/>
      <c r="AC6" s="85"/>
    </row>
    <row r="7" spans="2:29" ht="14.1" customHeight="1" thickTop="1" x14ac:dyDescent="0.25">
      <c r="B7" s="574" t="s">
        <v>247</v>
      </c>
      <c r="C7" s="575"/>
      <c r="D7" s="576"/>
      <c r="E7" s="580" t="s">
        <v>248</v>
      </c>
      <c r="F7" s="580" t="s">
        <v>249</v>
      </c>
      <c r="G7" s="582" t="s">
        <v>250</v>
      </c>
      <c r="H7" s="583"/>
      <c r="I7" s="584"/>
      <c r="J7" s="585" t="s">
        <v>251</v>
      </c>
      <c r="K7" s="586"/>
      <c r="L7" s="587"/>
      <c r="M7" s="588" t="s">
        <v>252</v>
      </c>
      <c r="N7" s="568" t="s">
        <v>253</v>
      </c>
      <c r="O7" s="569"/>
      <c r="X7" s="23"/>
      <c r="Y7" s="23"/>
      <c r="Z7" s="85"/>
      <c r="AC7" s="85"/>
    </row>
    <row r="8" spans="2:29" ht="15.75" thickBot="1" x14ac:dyDescent="0.3">
      <c r="B8" s="577"/>
      <c r="C8" s="578"/>
      <c r="D8" s="579"/>
      <c r="E8" s="581"/>
      <c r="F8" s="581"/>
      <c r="G8" s="34" t="s">
        <v>254</v>
      </c>
      <c r="H8" s="35" t="s">
        <v>255</v>
      </c>
      <c r="I8" s="36" t="s">
        <v>256</v>
      </c>
      <c r="J8" s="37" t="s">
        <v>254</v>
      </c>
      <c r="K8" s="38" t="s">
        <v>255</v>
      </c>
      <c r="L8" s="39" t="s">
        <v>256</v>
      </c>
      <c r="M8" s="589"/>
      <c r="N8" s="570"/>
      <c r="O8" s="571"/>
      <c r="X8" s="23"/>
      <c r="Y8" s="23"/>
      <c r="Z8" s="85"/>
      <c r="AC8" s="85"/>
    </row>
    <row r="9" spans="2:29" x14ac:dyDescent="0.25">
      <c r="B9" s="99" t="s">
        <v>138</v>
      </c>
      <c r="C9" s="100"/>
      <c r="D9" s="90"/>
      <c r="E9" s="101"/>
      <c r="F9" s="101"/>
      <c r="G9" s="102"/>
      <c r="H9" s="103"/>
      <c r="I9" s="102"/>
      <c r="J9" s="104"/>
      <c r="K9" s="105"/>
      <c r="L9" s="105"/>
      <c r="M9" s="106"/>
      <c r="N9" s="107"/>
      <c r="O9" s="108"/>
      <c r="X9" s="23"/>
      <c r="Y9" s="23"/>
      <c r="Z9" s="85"/>
      <c r="AC9" s="85"/>
    </row>
    <row r="10" spans="2:29" x14ac:dyDescent="0.25">
      <c r="B10" s="47" t="s">
        <v>304</v>
      </c>
      <c r="C10" s="48"/>
      <c r="D10" s="40"/>
      <c r="E10" s="41">
        <v>2</v>
      </c>
      <c r="F10" s="49" t="s">
        <v>267</v>
      </c>
      <c r="G10" s="42">
        <v>38000</v>
      </c>
      <c r="H10" s="42">
        <v>12500</v>
      </c>
      <c r="I10" s="42"/>
      <c r="J10" s="44">
        <f t="shared" ref="J10:J116" si="0">G10*$I$3*E10</f>
        <v>74708</v>
      </c>
      <c r="K10" s="45">
        <f t="shared" ref="K10:K116" si="1">H10*$I$4*E10</f>
        <v>27250.000000000004</v>
      </c>
      <c r="L10" s="45">
        <f t="shared" ref="L10:L116" si="2">I10*$I$5*E10</f>
        <v>0</v>
      </c>
      <c r="M10" s="50">
        <f t="shared" ref="M10:M116" si="3">SUM(J10:L10)</f>
        <v>101958</v>
      </c>
      <c r="N10" s="51"/>
      <c r="O10" s="52"/>
      <c r="X10" s="23"/>
      <c r="Y10" s="23"/>
      <c r="Z10" s="85"/>
      <c r="AC10" s="85"/>
    </row>
    <row r="11" spans="2:29" x14ac:dyDescent="0.25">
      <c r="B11" s="47" t="s">
        <v>305</v>
      </c>
      <c r="C11" s="48"/>
      <c r="D11" s="40"/>
      <c r="E11" s="41">
        <v>2</v>
      </c>
      <c r="F11" s="49" t="s">
        <v>267</v>
      </c>
      <c r="G11" s="42">
        <v>38000</v>
      </c>
      <c r="H11" s="42">
        <v>12500</v>
      </c>
      <c r="I11" s="42"/>
      <c r="J11" s="44">
        <f t="shared" si="0"/>
        <v>74708</v>
      </c>
      <c r="K11" s="45">
        <f t="shared" si="1"/>
        <v>27250.000000000004</v>
      </c>
      <c r="L11" s="45">
        <f t="shared" si="2"/>
        <v>0</v>
      </c>
      <c r="M11" s="46">
        <f t="shared" si="3"/>
        <v>101958</v>
      </c>
      <c r="N11" s="51"/>
      <c r="O11" s="52"/>
    </row>
    <row r="12" spans="2:29" x14ac:dyDescent="0.25">
      <c r="B12" s="47" t="s">
        <v>306</v>
      </c>
      <c r="C12" s="48"/>
      <c r="D12" s="40"/>
      <c r="E12" s="41">
        <v>2</v>
      </c>
      <c r="F12" s="49" t="s">
        <v>267</v>
      </c>
      <c r="G12" s="42">
        <v>38000</v>
      </c>
      <c r="H12" s="42">
        <v>12500</v>
      </c>
      <c r="I12" s="42"/>
      <c r="J12" s="44">
        <f t="shared" si="0"/>
        <v>74708</v>
      </c>
      <c r="K12" s="45">
        <f t="shared" si="1"/>
        <v>27250.000000000004</v>
      </c>
      <c r="L12" s="45">
        <f t="shared" si="2"/>
        <v>0</v>
      </c>
      <c r="M12" s="46">
        <f t="shared" si="3"/>
        <v>101958</v>
      </c>
      <c r="N12" s="51"/>
      <c r="O12" s="52"/>
    </row>
    <row r="13" spans="2:29" x14ac:dyDescent="0.25">
      <c r="B13" s="47" t="s">
        <v>307</v>
      </c>
      <c r="C13" s="48"/>
      <c r="D13" s="40"/>
      <c r="E13" s="41">
        <v>2</v>
      </c>
      <c r="F13" s="49" t="s">
        <v>267</v>
      </c>
      <c r="G13" s="42">
        <v>38000</v>
      </c>
      <c r="H13" s="42">
        <v>12500</v>
      </c>
      <c r="I13" s="42"/>
      <c r="J13" s="44">
        <f t="shared" si="0"/>
        <v>74708</v>
      </c>
      <c r="K13" s="45">
        <f t="shared" si="1"/>
        <v>27250.000000000004</v>
      </c>
      <c r="L13" s="45">
        <f t="shared" si="2"/>
        <v>0</v>
      </c>
      <c r="M13" s="46">
        <f t="shared" si="3"/>
        <v>101958</v>
      </c>
      <c r="N13" s="53"/>
      <c r="O13" s="54"/>
    </row>
    <row r="14" spans="2:29" x14ac:dyDescent="0.25">
      <c r="B14" s="47" t="s">
        <v>308</v>
      </c>
      <c r="C14" s="48"/>
      <c r="D14" s="40"/>
      <c r="E14" s="41">
        <v>2</v>
      </c>
      <c r="F14" s="49" t="s">
        <v>267</v>
      </c>
      <c r="G14" s="42">
        <v>15500</v>
      </c>
      <c r="H14" s="86">
        <v>7500</v>
      </c>
      <c r="I14" s="42"/>
      <c r="J14" s="44">
        <f>G14*$I$3*E14</f>
        <v>30473</v>
      </c>
      <c r="K14" s="45">
        <f t="shared" si="1"/>
        <v>16350.000000000002</v>
      </c>
      <c r="L14" s="45">
        <f t="shared" si="2"/>
        <v>0</v>
      </c>
      <c r="M14" s="46">
        <f t="shared" si="3"/>
        <v>46823</v>
      </c>
      <c r="N14" s="55"/>
      <c r="O14" s="54"/>
    </row>
    <row r="15" spans="2:29" x14ac:dyDescent="0.25">
      <c r="B15" s="47" t="s">
        <v>309</v>
      </c>
      <c r="C15" s="48"/>
      <c r="D15" s="40"/>
      <c r="E15" s="41">
        <v>1</v>
      </c>
      <c r="F15" s="49" t="s">
        <v>267</v>
      </c>
      <c r="G15" s="42">
        <v>15500</v>
      </c>
      <c r="H15" s="42">
        <v>7500</v>
      </c>
      <c r="I15" s="42"/>
      <c r="J15" s="44">
        <f t="shared" ref="J15:J113" si="4">G15*$I$3*E15</f>
        <v>15236.5</v>
      </c>
      <c r="K15" s="45">
        <f t="shared" si="1"/>
        <v>8175.0000000000009</v>
      </c>
      <c r="L15" s="45">
        <f t="shared" si="2"/>
        <v>0</v>
      </c>
      <c r="M15" s="46">
        <f t="shared" si="3"/>
        <v>23411.5</v>
      </c>
      <c r="N15" s="55"/>
      <c r="O15" s="54"/>
    </row>
    <row r="16" spans="2:29" x14ac:dyDescent="0.25">
      <c r="B16" s="47" t="s">
        <v>310</v>
      </c>
      <c r="C16" s="48"/>
      <c r="D16" s="40"/>
      <c r="E16" s="41">
        <v>1</v>
      </c>
      <c r="F16" s="49" t="s">
        <v>267</v>
      </c>
      <c r="G16" s="42">
        <v>15500</v>
      </c>
      <c r="H16" s="42">
        <v>7500</v>
      </c>
      <c r="I16" s="42"/>
      <c r="J16" s="44">
        <f t="shared" si="4"/>
        <v>15236.5</v>
      </c>
      <c r="K16" s="45">
        <f t="shared" si="1"/>
        <v>8175.0000000000009</v>
      </c>
      <c r="L16" s="45">
        <f t="shared" si="2"/>
        <v>0</v>
      </c>
      <c r="M16" s="46">
        <f t="shared" si="3"/>
        <v>23411.5</v>
      </c>
      <c r="N16" s="55"/>
      <c r="O16" s="54"/>
    </row>
    <row r="17" spans="2:15" x14ac:dyDescent="0.25">
      <c r="B17" s="47" t="s">
        <v>311</v>
      </c>
      <c r="C17" s="48"/>
      <c r="D17" s="40"/>
      <c r="E17" s="41">
        <v>1</v>
      </c>
      <c r="F17" s="41" t="s">
        <v>267</v>
      </c>
      <c r="G17" s="42">
        <v>15500</v>
      </c>
      <c r="H17" s="42">
        <v>7500</v>
      </c>
      <c r="I17" s="42"/>
      <c r="J17" s="44">
        <f t="shared" si="4"/>
        <v>15236.5</v>
      </c>
      <c r="K17" s="45">
        <f t="shared" si="1"/>
        <v>8175.0000000000009</v>
      </c>
      <c r="L17" s="45">
        <f t="shared" si="2"/>
        <v>0</v>
      </c>
      <c r="M17" s="46">
        <f t="shared" si="3"/>
        <v>23411.5</v>
      </c>
      <c r="N17" s="55"/>
      <c r="O17" s="54"/>
    </row>
    <row r="18" spans="2:15" x14ac:dyDescent="0.25">
      <c r="B18" s="47" t="s">
        <v>312</v>
      </c>
      <c r="C18" s="118"/>
      <c r="D18" s="40"/>
      <c r="E18" s="87">
        <v>1</v>
      </c>
      <c r="F18" s="87" t="s">
        <v>267</v>
      </c>
      <c r="G18" s="119">
        <v>880</v>
      </c>
      <c r="H18" s="119">
        <v>500</v>
      </c>
      <c r="I18" s="119"/>
      <c r="J18" s="120">
        <f t="shared" si="4"/>
        <v>865.04</v>
      </c>
      <c r="K18" s="121">
        <f t="shared" si="1"/>
        <v>545</v>
      </c>
      <c r="L18" s="121">
        <f t="shared" si="2"/>
        <v>0</v>
      </c>
      <c r="M18" s="122">
        <f t="shared" si="3"/>
        <v>1410.04</v>
      </c>
      <c r="N18" s="123"/>
      <c r="O18" s="124"/>
    </row>
    <row r="19" spans="2:15" x14ac:dyDescent="0.25">
      <c r="B19" s="47" t="s">
        <v>313</v>
      </c>
      <c r="C19" s="48"/>
      <c r="D19" s="40"/>
      <c r="E19" s="41">
        <v>2</v>
      </c>
      <c r="F19" s="49" t="s">
        <v>267</v>
      </c>
      <c r="G19" s="42">
        <v>30400</v>
      </c>
      <c r="H19" s="42">
        <v>12500</v>
      </c>
      <c r="I19" s="42"/>
      <c r="J19" s="44">
        <f t="shared" ref="J19:J25" si="5">G19*$I$3*E19</f>
        <v>59766.400000000001</v>
      </c>
      <c r="K19" s="45">
        <f t="shared" ref="K19:K25" si="6">H19*$I$4*E19</f>
        <v>27250.000000000004</v>
      </c>
      <c r="L19" s="45">
        <f t="shared" ref="L19:L25" si="7">I19*$I$5*E19</f>
        <v>0</v>
      </c>
      <c r="M19" s="46">
        <f t="shared" si="3"/>
        <v>87016.400000000009</v>
      </c>
      <c r="N19" s="55"/>
      <c r="O19" s="54"/>
    </row>
    <row r="20" spans="2:15" x14ac:dyDescent="0.25">
      <c r="B20" s="47" t="s">
        <v>314</v>
      </c>
      <c r="C20" s="48"/>
      <c r="D20" s="40"/>
      <c r="E20" s="41">
        <v>2</v>
      </c>
      <c r="F20" s="49" t="s">
        <v>267</v>
      </c>
      <c r="G20" s="42">
        <v>30400</v>
      </c>
      <c r="H20" s="42">
        <v>12500</v>
      </c>
      <c r="I20" s="42"/>
      <c r="J20" s="44">
        <f t="shared" si="5"/>
        <v>59766.400000000001</v>
      </c>
      <c r="K20" s="45">
        <f t="shared" si="6"/>
        <v>27250.000000000004</v>
      </c>
      <c r="L20" s="45">
        <f t="shared" si="7"/>
        <v>0</v>
      </c>
      <c r="M20" s="46">
        <f t="shared" si="3"/>
        <v>87016.400000000009</v>
      </c>
      <c r="N20" s="55"/>
      <c r="O20" s="54"/>
    </row>
    <row r="21" spans="2:15" x14ac:dyDescent="0.25">
      <c r="B21" s="47" t="s">
        <v>315</v>
      </c>
      <c r="C21" s="48"/>
      <c r="D21" s="40"/>
      <c r="E21" s="41">
        <v>2</v>
      </c>
      <c r="F21" s="49" t="s">
        <v>267</v>
      </c>
      <c r="G21" s="42">
        <v>38000</v>
      </c>
      <c r="H21" s="42">
        <v>12500</v>
      </c>
      <c r="I21" s="42"/>
      <c r="J21" s="44">
        <f t="shared" si="5"/>
        <v>74708</v>
      </c>
      <c r="K21" s="45">
        <f t="shared" si="6"/>
        <v>27250.000000000004</v>
      </c>
      <c r="L21" s="45">
        <f t="shared" si="7"/>
        <v>0</v>
      </c>
      <c r="M21" s="46">
        <f t="shared" si="3"/>
        <v>101958</v>
      </c>
      <c r="N21" s="55"/>
      <c r="O21" s="54"/>
    </row>
    <row r="22" spans="2:15" x14ac:dyDescent="0.25">
      <c r="B22" s="47"/>
      <c r="C22" s="48"/>
      <c r="D22" s="40"/>
      <c r="E22" s="41"/>
      <c r="F22" s="49"/>
      <c r="G22" s="42"/>
      <c r="H22" s="42"/>
      <c r="I22" s="42"/>
      <c r="J22" s="44"/>
      <c r="K22" s="45"/>
      <c r="L22" s="45"/>
      <c r="M22" s="46"/>
      <c r="N22" s="55"/>
      <c r="O22" s="54"/>
    </row>
    <row r="23" spans="2:15" x14ac:dyDescent="0.25">
      <c r="B23" s="47"/>
      <c r="C23" s="48"/>
      <c r="D23" s="40"/>
      <c r="E23" s="41"/>
      <c r="F23" s="49"/>
      <c r="G23" s="42"/>
      <c r="H23" s="42"/>
      <c r="I23" s="42"/>
      <c r="J23" s="44"/>
      <c r="K23" s="45"/>
      <c r="L23" s="45"/>
      <c r="M23" s="46"/>
      <c r="N23" s="55"/>
      <c r="O23" s="54"/>
    </row>
    <row r="24" spans="2:15" x14ac:dyDescent="0.25">
      <c r="B24" s="99" t="s">
        <v>316</v>
      </c>
      <c r="C24" s="126"/>
      <c r="D24" s="90"/>
      <c r="E24" s="101"/>
      <c r="F24" s="127"/>
      <c r="G24" s="102"/>
      <c r="H24" s="102"/>
      <c r="I24" s="102"/>
      <c r="J24" s="104">
        <f t="shared" si="5"/>
        <v>0</v>
      </c>
      <c r="K24" s="105">
        <f t="shared" si="6"/>
        <v>0</v>
      </c>
      <c r="L24" s="105">
        <f t="shared" si="7"/>
        <v>0</v>
      </c>
      <c r="M24" s="106">
        <f t="shared" si="3"/>
        <v>0</v>
      </c>
      <c r="N24" s="96"/>
      <c r="O24" s="128"/>
    </row>
    <row r="25" spans="2:15" x14ac:dyDescent="0.25">
      <c r="B25" s="47" t="s">
        <v>317</v>
      </c>
      <c r="C25" s="48"/>
      <c r="D25" s="40"/>
      <c r="E25" s="41">
        <v>0</v>
      </c>
      <c r="F25" s="49" t="s">
        <v>267</v>
      </c>
      <c r="G25" s="42">
        <v>14950</v>
      </c>
      <c r="H25" s="42">
        <v>950</v>
      </c>
      <c r="I25" s="42"/>
      <c r="J25" s="44">
        <f t="shared" si="5"/>
        <v>0</v>
      </c>
      <c r="K25" s="45">
        <f t="shared" si="6"/>
        <v>0</v>
      </c>
      <c r="L25" s="45">
        <f t="shared" si="7"/>
        <v>0</v>
      </c>
      <c r="M25" s="46">
        <f t="shared" si="3"/>
        <v>0</v>
      </c>
      <c r="N25" s="55"/>
      <c r="O25" s="54"/>
    </row>
    <row r="26" spans="2:15" x14ac:dyDescent="0.25">
      <c r="B26" s="47" t="s">
        <v>318</v>
      </c>
      <c r="C26" s="48"/>
      <c r="D26" s="40"/>
      <c r="E26" s="41">
        <v>0</v>
      </c>
      <c r="F26" s="49" t="s">
        <v>267</v>
      </c>
      <c r="G26" s="42">
        <v>14950</v>
      </c>
      <c r="H26" s="42">
        <v>950</v>
      </c>
      <c r="I26" s="42"/>
      <c r="J26" s="44">
        <f t="shared" si="4"/>
        <v>0</v>
      </c>
      <c r="K26" s="45">
        <f t="shared" ref="K26:K113" si="8">H26*$I$4*E26</f>
        <v>0</v>
      </c>
      <c r="L26" s="45">
        <f t="shared" ref="L26:L113" si="9">I26*$I$5*E26</f>
        <v>0</v>
      </c>
      <c r="M26" s="46">
        <f t="shared" si="3"/>
        <v>0</v>
      </c>
      <c r="N26" s="55"/>
      <c r="O26" s="54"/>
    </row>
    <row r="27" spans="2:15" x14ac:dyDescent="0.25">
      <c r="B27" s="47" t="s">
        <v>319</v>
      </c>
      <c r="C27" s="48"/>
      <c r="D27" s="40"/>
      <c r="E27" s="41">
        <v>0</v>
      </c>
      <c r="F27" s="49" t="s">
        <v>267</v>
      </c>
      <c r="G27" s="42">
        <v>14950</v>
      </c>
      <c r="H27" s="42">
        <v>950</v>
      </c>
      <c r="I27" s="42"/>
      <c r="J27" s="44">
        <f t="shared" si="4"/>
        <v>0</v>
      </c>
      <c r="K27" s="45">
        <f t="shared" si="8"/>
        <v>0</v>
      </c>
      <c r="L27" s="45">
        <f t="shared" si="9"/>
        <v>0</v>
      </c>
      <c r="M27" s="46">
        <f t="shared" si="3"/>
        <v>0</v>
      </c>
      <c r="N27" s="55"/>
      <c r="O27" s="54"/>
    </row>
    <row r="28" spans="2:15" x14ac:dyDescent="0.25">
      <c r="B28" s="47" t="s">
        <v>320</v>
      </c>
      <c r="C28" s="48"/>
      <c r="D28" s="40"/>
      <c r="E28" s="41">
        <v>0</v>
      </c>
      <c r="F28" s="49" t="s">
        <v>267</v>
      </c>
      <c r="G28" s="42">
        <v>14950</v>
      </c>
      <c r="H28" s="42">
        <v>950</v>
      </c>
      <c r="I28" s="42"/>
      <c r="J28" s="44">
        <f t="shared" si="4"/>
        <v>0</v>
      </c>
      <c r="K28" s="45">
        <f t="shared" si="8"/>
        <v>0</v>
      </c>
      <c r="L28" s="45">
        <f t="shared" si="9"/>
        <v>0</v>
      </c>
      <c r="M28" s="46">
        <f t="shared" si="3"/>
        <v>0</v>
      </c>
      <c r="N28" s="55"/>
      <c r="O28" s="54"/>
    </row>
    <row r="29" spans="2:15" x14ac:dyDescent="0.25">
      <c r="B29" s="47" t="s">
        <v>321</v>
      </c>
      <c r="C29" s="48"/>
      <c r="D29" s="40"/>
      <c r="E29" s="41">
        <v>2</v>
      </c>
      <c r="F29" s="49" t="s">
        <v>267</v>
      </c>
      <c r="G29" s="42">
        <v>12500</v>
      </c>
      <c r="H29" s="86">
        <v>650</v>
      </c>
      <c r="I29" s="42"/>
      <c r="J29" s="44">
        <f t="shared" si="4"/>
        <v>24575</v>
      </c>
      <c r="K29" s="45">
        <f t="shared" si="8"/>
        <v>1417</v>
      </c>
      <c r="L29" s="45">
        <f t="shared" si="9"/>
        <v>0</v>
      </c>
      <c r="M29" s="46">
        <f t="shared" si="3"/>
        <v>25992</v>
      </c>
      <c r="N29" s="55"/>
      <c r="O29" s="54"/>
    </row>
    <row r="30" spans="2:15" x14ac:dyDescent="0.25">
      <c r="B30" s="47" t="s">
        <v>322</v>
      </c>
      <c r="C30" s="48"/>
      <c r="D30" s="40"/>
      <c r="E30" s="41">
        <v>2</v>
      </c>
      <c r="F30" s="49" t="s">
        <v>267</v>
      </c>
      <c r="G30" s="42">
        <v>12500</v>
      </c>
      <c r="H30" s="86">
        <v>650</v>
      </c>
      <c r="I30" s="42"/>
      <c r="J30" s="44">
        <f t="shared" si="4"/>
        <v>24575</v>
      </c>
      <c r="K30" s="45">
        <f t="shared" si="8"/>
        <v>1417</v>
      </c>
      <c r="L30" s="45">
        <f t="shared" si="9"/>
        <v>0</v>
      </c>
      <c r="M30" s="46">
        <f t="shared" si="3"/>
        <v>25992</v>
      </c>
      <c r="N30" s="55"/>
      <c r="O30" s="54"/>
    </row>
    <row r="31" spans="2:15" x14ac:dyDescent="0.25">
      <c r="B31" s="47" t="s">
        <v>323</v>
      </c>
      <c r="C31" s="48"/>
      <c r="D31" s="40"/>
      <c r="E31" s="41">
        <v>2</v>
      </c>
      <c r="F31" s="49" t="s">
        <v>267</v>
      </c>
      <c r="G31" s="42">
        <v>12500</v>
      </c>
      <c r="H31" s="86">
        <v>650</v>
      </c>
      <c r="I31" s="42"/>
      <c r="J31" s="44">
        <f t="shared" si="4"/>
        <v>24575</v>
      </c>
      <c r="K31" s="45">
        <f t="shared" si="8"/>
        <v>1417</v>
      </c>
      <c r="L31" s="45">
        <f t="shared" si="9"/>
        <v>0</v>
      </c>
      <c r="M31" s="46">
        <f t="shared" si="3"/>
        <v>25992</v>
      </c>
      <c r="N31" s="55"/>
      <c r="O31" s="54"/>
    </row>
    <row r="32" spans="2:15" x14ac:dyDescent="0.25">
      <c r="B32" s="47" t="s">
        <v>324</v>
      </c>
      <c r="C32" s="48"/>
      <c r="D32" s="40"/>
      <c r="E32" s="41">
        <v>2</v>
      </c>
      <c r="F32" s="49" t="s">
        <v>267</v>
      </c>
      <c r="G32" s="42">
        <v>12500</v>
      </c>
      <c r="H32" s="86">
        <v>650</v>
      </c>
      <c r="I32" s="42"/>
      <c r="J32" s="44">
        <f t="shared" si="4"/>
        <v>24575</v>
      </c>
      <c r="K32" s="45">
        <f t="shared" si="8"/>
        <v>1417</v>
      </c>
      <c r="L32" s="45">
        <f t="shared" si="9"/>
        <v>0</v>
      </c>
      <c r="M32" s="46">
        <f t="shared" si="3"/>
        <v>25992</v>
      </c>
      <c r="N32" s="55"/>
      <c r="O32" s="54"/>
    </row>
    <row r="33" spans="2:15" x14ac:dyDescent="0.25">
      <c r="B33" s="47" t="s">
        <v>325</v>
      </c>
      <c r="C33" s="48"/>
      <c r="D33" s="40"/>
      <c r="E33" s="41">
        <v>2</v>
      </c>
      <c r="F33" s="49" t="s">
        <v>267</v>
      </c>
      <c r="G33" s="42"/>
      <c r="H33" s="42"/>
      <c r="I33" s="42"/>
      <c r="J33" s="44">
        <f t="shared" si="4"/>
        <v>0</v>
      </c>
      <c r="K33" s="45">
        <f t="shared" si="8"/>
        <v>0</v>
      </c>
      <c r="L33" s="45">
        <f t="shared" si="9"/>
        <v>0</v>
      </c>
      <c r="M33" s="46">
        <f t="shared" si="3"/>
        <v>0</v>
      </c>
      <c r="N33" s="55"/>
      <c r="O33" s="54"/>
    </row>
    <row r="34" spans="2:15" x14ac:dyDescent="0.25">
      <c r="B34" s="47" t="s">
        <v>326</v>
      </c>
      <c r="C34" s="48"/>
      <c r="D34" s="40"/>
      <c r="E34" s="41">
        <v>2</v>
      </c>
      <c r="F34" s="49" t="s">
        <v>267</v>
      </c>
      <c r="G34" s="42">
        <v>11800</v>
      </c>
      <c r="H34" s="42">
        <v>750</v>
      </c>
      <c r="I34" s="42"/>
      <c r="J34" s="44">
        <f t="shared" si="4"/>
        <v>23198.799999999999</v>
      </c>
      <c r="K34" s="45">
        <f t="shared" si="8"/>
        <v>1635.0000000000002</v>
      </c>
      <c r="L34" s="45">
        <f t="shared" si="9"/>
        <v>0</v>
      </c>
      <c r="M34" s="46">
        <f t="shared" si="3"/>
        <v>24833.8</v>
      </c>
      <c r="N34" s="55"/>
      <c r="O34" s="54"/>
    </row>
    <row r="35" spans="2:15" x14ac:dyDescent="0.25">
      <c r="B35" s="47" t="s">
        <v>327</v>
      </c>
      <c r="C35" s="48"/>
      <c r="D35" s="40"/>
      <c r="E35" s="41">
        <v>2</v>
      </c>
      <c r="F35" s="49" t="s">
        <v>267</v>
      </c>
      <c r="G35" s="42">
        <v>11800</v>
      </c>
      <c r="H35" s="42">
        <v>750</v>
      </c>
      <c r="I35" s="42"/>
      <c r="J35" s="44">
        <f t="shared" si="4"/>
        <v>23198.799999999999</v>
      </c>
      <c r="K35" s="45">
        <f t="shared" si="8"/>
        <v>1635.0000000000002</v>
      </c>
      <c r="L35" s="45">
        <f t="shared" si="9"/>
        <v>0</v>
      </c>
      <c r="M35" s="46">
        <f t="shared" si="3"/>
        <v>24833.8</v>
      </c>
      <c r="N35" s="55"/>
      <c r="O35" s="54"/>
    </row>
    <row r="36" spans="2:15" x14ac:dyDescent="0.25">
      <c r="B36" s="47" t="s">
        <v>328</v>
      </c>
      <c r="C36" s="48"/>
      <c r="D36" s="40"/>
      <c r="E36" s="41">
        <v>2</v>
      </c>
      <c r="F36" s="49" t="s">
        <v>267</v>
      </c>
      <c r="G36" s="42">
        <v>14950</v>
      </c>
      <c r="H36" s="42">
        <v>950</v>
      </c>
      <c r="I36" s="42"/>
      <c r="J36" s="44">
        <f t="shared" si="4"/>
        <v>29391.7</v>
      </c>
      <c r="K36" s="45">
        <f t="shared" si="8"/>
        <v>2071</v>
      </c>
      <c r="L36" s="45">
        <f t="shared" si="9"/>
        <v>0</v>
      </c>
      <c r="M36" s="46">
        <f t="shared" si="3"/>
        <v>31462.7</v>
      </c>
      <c r="N36" s="55"/>
      <c r="O36" s="54"/>
    </row>
    <row r="37" spans="2:15" x14ac:dyDescent="0.25">
      <c r="B37" s="47"/>
      <c r="C37" s="48"/>
      <c r="D37" s="40"/>
      <c r="E37" s="41"/>
      <c r="F37" s="49"/>
      <c r="G37" s="42"/>
      <c r="H37" s="42"/>
      <c r="I37" s="42"/>
      <c r="J37" s="44"/>
      <c r="K37" s="45"/>
      <c r="L37" s="45"/>
      <c r="M37" s="46"/>
      <c r="N37" s="55"/>
      <c r="O37" s="54"/>
    </row>
    <row r="38" spans="2:15" x14ac:dyDescent="0.25">
      <c r="B38" s="47"/>
      <c r="C38" s="48"/>
      <c r="D38" s="40"/>
      <c r="E38" s="41"/>
      <c r="F38" s="41"/>
      <c r="G38" s="42"/>
      <c r="H38" s="42"/>
      <c r="I38" s="42"/>
      <c r="J38" s="44"/>
      <c r="K38" s="45"/>
      <c r="L38" s="45"/>
      <c r="M38" s="46"/>
      <c r="N38" s="55"/>
      <c r="O38" s="54"/>
    </row>
    <row r="39" spans="2:15" x14ac:dyDescent="0.25">
      <c r="B39" s="99" t="s">
        <v>329</v>
      </c>
      <c r="C39" s="89"/>
      <c r="D39" s="90"/>
      <c r="E39" s="91"/>
      <c r="F39" s="91"/>
      <c r="G39" s="92"/>
      <c r="H39" s="92"/>
      <c r="I39" s="92"/>
      <c r="J39" s="93">
        <f t="shared" si="4"/>
        <v>0</v>
      </c>
      <c r="K39" s="94">
        <f t="shared" si="8"/>
        <v>0</v>
      </c>
      <c r="L39" s="94">
        <f t="shared" si="9"/>
        <v>0</v>
      </c>
      <c r="M39" s="95">
        <f t="shared" si="3"/>
        <v>0</v>
      </c>
      <c r="N39" s="96"/>
      <c r="O39" s="97"/>
    </row>
    <row r="40" spans="2:15" hidden="1" x14ac:dyDescent="0.25">
      <c r="B40" s="47" t="s">
        <v>330</v>
      </c>
      <c r="C40" s="48"/>
      <c r="D40" s="40"/>
      <c r="E40" s="41">
        <v>0</v>
      </c>
      <c r="F40" s="41" t="s">
        <v>267</v>
      </c>
      <c r="G40" s="42">
        <v>4000</v>
      </c>
      <c r="H40" s="42">
        <v>550</v>
      </c>
      <c r="I40" s="42"/>
      <c r="J40" s="44">
        <f t="shared" si="4"/>
        <v>0</v>
      </c>
      <c r="K40" s="45">
        <f t="shared" si="8"/>
        <v>0</v>
      </c>
      <c r="L40" s="45">
        <f t="shared" si="9"/>
        <v>0</v>
      </c>
      <c r="M40" s="46">
        <f t="shared" si="3"/>
        <v>0</v>
      </c>
      <c r="N40" s="55"/>
      <c r="O40" s="54"/>
    </row>
    <row r="41" spans="2:15" hidden="1" x14ac:dyDescent="0.25">
      <c r="B41" s="47" t="s">
        <v>331</v>
      </c>
      <c r="C41" s="48"/>
      <c r="D41" s="40"/>
      <c r="E41" s="41">
        <v>0</v>
      </c>
      <c r="F41" s="41" t="s">
        <v>267</v>
      </c>
      <c r="G41" s="42">
        <v>3000</v>
      </c>
      <c r="H41" s="42">
        <v>250</v>
      </c>
      <c r="I41" s="42"/>
      <c r="J41" s="44">
        <f t="shared" si="4"/>
        <v>0</v>
      </c>
      <c r="K41" s="45">
        <f t="shared" si="8"/>
        <v>0</v>
      </c>
      <c r="L41" s="45">
        <f t="shared" si="9"/>
        <v>0</v>
      </c>
      <c r="M41" s="46">
        <f t="shared" si="3"/>
        <v>0</v>
      </c>
      <c r="N41" s="55"/>
      <c r="O41" s="54"/>
    </row>
    <row r="42" spans="2:15" x14ac:dyDescent="0.25">
      <c r="B42" s="47"/>
      <c r="C42" s="48"/>
      <c r="D42" s="40"/>
      <c r="E42" s="41"/>
      <c r="F42" s="41"/>
      <c r="G42" s="42"/>
      <c r="H42" s="42"/>
      <c r="I42" s="42"/>
      <c r="J42" s="44">
        <f t="shared" si="4"/>
        <v>0</v>
      </c>
      <c r="K42" s="45">
        <f t="shared" si="8"/>
        <v>0</v>
      </c>
      <c r="L42" s="45">
        <f t="shared" si="9"/>
        <v>0</v>
      </c>
      <c r="M42" s="46">
        <f t="shared" si="3"/>
        <v>0</v>
      </c>
      <c r="N42" s="55"/>
      <c r="O42" s="54"/>
    </row>
    <row r="43" spans="2:15" x14ac:dyDescent="0.25">
      <c r="B43" s="47" t="s">
        <v>332</v>
      </c>
      <c r="C43" s="48"/>
      <c r="D43" s="40"/>
      <c r="E43" s="41">
        <v>1</v>
      </c>
      <c r="F43" s="41" t="s">
        <v>267</v>
      </c>
      <c r="G43" s="42">
        <v>198000</v>
      </c>
      <c r="H43" s="42">
        <v>20000</v>
      </c>
      <c r="I43" s="42"/>
      <c r="J43" s="44">
        <f t="shared" si="4"/>
        <v>194634</v>
      </c>
      <c r="K43" s="45">
        <f t="shared" si="8"/>
        <v>21800</v>
      </c>
      <c r="L43" s="45">
        <f t="shared" si="9"/>
        <v>0</v>
      </c>
      <c r="M43" s="46">
        <f t="shared" si="3"/>
        <v>216434</v>
      </c>
      <c r="N43" s="55"/>
      <c r="O43" s="54"/>
    </row>
    <row r="44" spans="2:15" x14ac:dyDescent="0.25">
      <c r="B44" s="47" t="s">
        <v>333</v>
      </c>
      <c r="C44" s="48"/>
      <c r="D44" s="40"/>
      <c r="E44" s="41">
        <v>1</v>
      </c>
      <c r="F44" s="41" t="s">
        <v>267</v>
      </c>
      <c r="G44" s="42">
        <v>150000</v>
      </c>
      <c r="H44" s="42">
        <v>30000</v>
      </c>
      <c r="I44" s="42"/>
      <c r="J44" s="44">
        <f t="shared" si="4"/>
        <v>147450</v>
      </c>
      <c r="K44" s="45">
        <f t="shared" si="8"/>
        <v>32700.000000000004</v>
      </c>
      <c r="L44" s="45">
        <f t="shared" si="9"/>
        <v>0</v>
      </c>
      <c r="M44" s="46">
        <f t="shared" si="3"/>
        <v>180150</v>
      </c>
      <c r="N44" s="55"/>
      <c r="O44" s="54"/>
    </row>
    <row r="45" spans="2:15" x14ac:dyDescent="0.25">
      <c r="B45" s="47" t="s">
        <v>334</v>
      </c>
      <c r="C45" s="48"/>
      <c r="D45" s="40"/>
      <c r="E45" s="41">
        <v>1</v>
      </c>
      <c r="F45" s="41" t="s">
        <v>267</v>
      </c>
      <c r="G45" s="42">
        <v>43800</v>
      </c>
      <c r="H45" s="42">
        <v>7500</v>
      </c>
      <c r="I45" s="42"/>
      <c r="J45" s="44">
        <f t="shared" si="4"/>
        <v>43055.4</v>
      </c>
      <c r="K45" s="45">
        <f t="shared" si="8"/>
        <v>8175.0000000000009</v>
      </c>
      <c r="L45" s="45">
        <f t="shared" si="9"/>
        <v>0</v>
      </c>
      <c r="M45" s="46">
        <f t="shared" si="3"/>
        <v>51230.400000000001</v>
      </c>
      <c r="N45" s="55"/>
      <c r="O45" s="54"/>
    </row>
    <row r="46" spans="2:15" x14ac:dyDescent="0.25">
      <c r="B46" s="47" t="s">
        <v>335</v>
      </c>
      <c r="C46" s="118"/>
      <c r="D46" s="40"/>
      <c r="E46" s="87">
        <v>1</v>
      </c>
      <c r="F46" s="41" t="s">
        <v>267</v>
      </c>
      <c r="G46" s="42">
        <v>43800</v>
      </c>
      <c r="H46" s="42">
        <v>7500</v>
      </c>
      <c r="I46" s="119"/>
      <c r="J46" s="120">
        <f t="shared" si="4"/>
        <v>43055.4</v>
      </c>
      <c r="K46" s="121">
        <f t="shared" si="8"/>
        <v>8175.0000000000009</v>
      </c>
      <c r="L46" s="121">
        <f t="shared" si="9"/>
        <v>0</v>
      </c>
      <c r="M46" s="122">
        <f t="shared" si="3"/>
        <v>51230.400000000001</v>
      </c>
      <c r="N46" s="123"/>
      <c r="O46" s="124"/>
    </row>
    <row r="47" spans="2:15" x14ac:dyDescent="0.25">
      <c r="B47" s="47" t="s">
        <v>336</v>
      </c>
      <c r="C47" s="48"/>
      <c r="D47" s="40"/>
      <c r="E47" s="41">
        <v>1</v>
      </c>
      <c r="F47" s="41" t="s">
        <v>267</v>
      </c>
      <c r="G47" s="42">
        <v>33400</v>
      </c>
      <c r="H47" s="42">
        <v>6500</v>
      </c>
      <c r="I47" s="42"/>
      <c r="J47" s="44">
        <f t="shared" si="4"/>
        <v>32832.199999999997</v>
      </c>
      <c r="K47" s="45">
        <f t="shared" si="8"/>
        <v>7085.0000000000009</v>
      </c>
      <c r="L47" s="45">
        <f t="shared" si="9"/>
        <v>0</v>
      </c>
      <c r="M47" s="46">
        <f t="shared" si="3"/>
        <v>39917.199999999997</v>
      </c>
      <c r="N47" s="55"/>
      <c r="O47" s="54"/>
    </row>
    <row r="48" spans="2:15" x14ac:dyDescent="0.25">
      <c r="B48" s="47" t="s">
        <v>337</v>
      </c>
      <c r="C48" s="48"/>
      <c r="D48" s="40"/>
      <c r="E48" s="41">
        <v>1</v>
      </c>
      <c r="F48" s="41" t="s">
        <v>267</v>
      </c>
      <c r="G48" s="42">
        <v>33400</v>
      </c>
      <c r="H48" s="42">
        <v>6500</v>
      </c>
      <c r="I48" s="42"/>
      <c r="J48" s="44">
        <f t="shared" si="4"/>
        <v>32832.199999999997</v>
      </c>
      <c r="K48" s="45">
        <f t="shared" si="8"/>
        <v>7085.0000000000009</v>
      </c>
      <c r="L48" s="45">
        <f t="shared" si="9"/>
        <v>0</v>
      </c>
      <c r="M48" s="46">
        <f t="shared" si="3"/>
        <v>39917.199999999997</v>
      </c>
      <c r="N48" s="55"/>
      <c r="O48" s="54"/>
    </row>
    <row r="49" spans="2:15" x14ac:dyDescent="0.25">
      <c r="B49" s="47" t="s">
        <v>338</v>
      </c>
      <c r="C49" s="48"/>
      <c r="D49" s="40"/>
      <c r="E49" s="41">
        <v>1</v>
      </c>
      <c r="F49" s="41" t="s">
        <v>267</v>
      </c>
      <c r="G49" s="42">
        <v>8000</v>
      </c>
      <c r="H49" s="42">
        <v>2500</v>
      </c>
      <c r="I49" s="42"/>
      <c r="J49" s="44">
        <f t="shared" si="4"/>
        <v>7864</v>
      </c>
      <c r="K49" s="45">
        <f t="shared" si="8"/>
        <v>2725</v>
      </c>
      <c r="L49" s="45">
        <f t="shared" si="9"/>
        <v>0</v>
      </c>
      <c r="M49" s="46">
        <f t="shared" si="3"/>
        <v>10589</v>
      </c>
      <c r="N49" s="55"/>
      <c r="O49" s="54"/>
    </row>
    <row r="50" spans="2:15" x14ac:dyDescent="0.25">
      <c r="B50" s="47" t="s">
        <v>339</v>
      </c>
      <c r="C50" s="48"/>
      <c r="D50" s="40"/>
      <c r="E50" s="41">
        <v>1</v>
      </c>
      <c r="F50" s="41" t="s">
        <v>267</v>
      </c>
      <c r="G50" s="42">
        <v>75000</v>
      </c>
      <c r="H50" s="42">
        <v>15000</v>
      </c>
      <c r="I50" s="42"/>
      <c r="J50" s="44">
        <f t="shared" si="4"/>
        <v>73725</v>
      </c>
      <c r="K50" s="45">
        <f t="shared" si="8"/>
        <v>16350.000000000002</v>
      </c>
      <c r="L50" s="45">
        <f t="shared" si="9"/>
        <v>0</v>
      </c>
      <c r="M50" s="46">
        <f t="shared" si="3"/>
        <v>90075</v>
      </c>
      <c r="N50" s="55"/>
      <c r="O50" s="54"/>
    </row>
    <row r="51" spans="2:15" x14ac:dyDescent="0.25">
      <c r="B51" s="47" t="s">
        <v>340</v>
      </c>
      <c r="C51" s="48"/>
      <c r="D51" s="40"/>
      <c r="E51" s="41">
        <v>1</v>
      </c>
      <c r="F51" s="41" t="s">
        <v>267</v>
      </c>
      <c r="G51" s="42">
        <v>43800</v>
      </c>
      <c r="H51" s="42">
        <v>7500</v>
      </c>
      <c r="I51" s="42"/>
      <c r="J51" s="44">
        <f t="shared" si="4"/>
        <v>43055.4</v>
      </c>
      <c r="K51" s="45">
        <f t="shared" si="8"/>
        <v>8175.0000000000009</v>
      </c>
      <c r="L51" s="45">
        <f t="shared" si="9"/>
        <v>0</v>
      </c>
      <c r="M51" s="46">
        <f t="shared" si="3"/>
        <v>51230.400000000001</v>
      </c>
      <c r="N51" s="55"/>
      <c r="O51" s="54"/>
    </row>
    <row r="52" spans="2:15" x14ac:dyDescent="0.25">
      <c r="B52" s="47" t="s">
        <v>341</v>
      </c>
      <c r="C52" s="48"/>
      <c r="D52" s="40"/>
      <c r="E52" s="41">
        <v>1</v>
      </c>
      <c r="F52" s="41" t="s">
        <v>267</v>
      </c>
      <c r="G52" s="42">
        <v>75000</v>
      </c>
      <c r="H52" s="42">
        <v>15000</v>
      </c>
      <c r="I52" s="42"/>
      <c r="J52" s="44">
        <f t="shared" si="4"/>
        <v>73725</v>
      </c>
      <c r="K52" s="45">
        <f t="shared" si="8"/>
        <v>16350.000000000002</v>
      </c>
      <c r="L52" s="45">
        <f t="shared" si="9"/>
        <v>0</v>
      </c>
      <c r="M52" s="46">
        <f t="shared" si="3"/>
        <v>90075</v>
      </c>
      <c r="N52" s="55"/>
      <c r="O52" s="54"/>
    </row>
    <row r="53" spans="2:15" x14ac:dyDescent="0.25">
      <c r="B53" s="47"/>
      <c r="C53" s="48"/>
      <c r="D53" s="40"/>
      <c r="E53" s="41"/>
      <c r="F53" s="41"/>
      <c r="G53" s="42"/>
      <c r="H53" s="42"/>
      <c r="I53" s="42"/>
      <c r="J53" s="44"/>
      <c r="K53" s="45"/>
      <c r="L53" s="45"/>
      <c r="M53" s="46"/>
      <c r="N53" s="55"/>
      <c r="O53" s="54"/>
    </row>
    <row r="54" spans="2:15" x14ac:dyDescent="0.25">
      <c r="B54" s="47"/>
      <c r="C54" s="48"/>
      <c r="D54" s="40"/>
      <c r="E54" s="41"/>
      <c r="F54" s="41"/>
      <c r="G54" s="42"/>
      <c r="H54" s="42"/>
      <c r="I54" s="42"/>
      <c r="J54" s="44"/>
      <c r="K54" s="45"/>
      <c r="L54" s="45"/>
      <c r="M54" s="46"/>
      <c r="N54" s="55"/>
      <c r="O54" s="54"/>
    </row>
    <row r="55" spans="2:15" x14ac:dyDescent="0.25">
      <c r="B55" s="99" t="s">
        <v>342</v>
      </c>
      <c r="C55" s="126"/>
      <c r="D55" s="90"/>
      <c r="E55" s="101"/>
      <c r="F55" s="101"/>
      <c r="G55" s="102"/>
      <c r="H55" s="102"/>
      <c r="I55" s="102"/>
      <c r="J55" s="104">
        <f t="shared" si="4"/>
        <v>0</v>
      </c>
      <c r="K55" s="105">
        <f t="shared" si="8"/>
        <v>0</v>
      </c>
      <c r="L55" s="105">
        <f t="shared" si="9"/>
        <v>0</v>
      </c>
      <c r="M55" s="106">
        <f t="shared" si="3"/>
        <v>0</v>
      </c>
      <c r="N55" s="96"/>
      <c r="O55" s="128"/>
    </row>
    <row r="56" spans="2:15" x14ac:dyDescent="0.25">
      <c r="B56" s="47" t="s">
        <v>343</v>
      </c>
      <c r="C56" s="48"/>
      <c r="D56" s="40" t="s">
        <v>344</v>
      </c>
      <c r="E56" s="41">
        <v>0</v>
      </c>
      <c r="F56" s="41" t="s">
        <v>267</v>
      </c>
      <c r="G56" s="42">
        <v>3000</v>
      </c>
      <c r="H56" s="42">
        <v>500</v>
      </c>
      <c r="I56" s="42"/>
      <c r="J56" s="44">
        <f t="shared" si="4"/>
        <v>0</v>
      </c>
      <c r="K56" s="45">
        <f t="shared" si="8"/>
        <v>0</v>
      </c>
      <c r="L56" s="45">
        <f t="shared" si="9"/>
        <v>0</v>
      </c>
      <c r="M56" s="46">
        <f t="shared" si="3"/>
        <v>0</v>
      </c>
      <c r="N56" s="55"/>
      <c r="O56" s="54"/>
    </row>
    <row r="57" spans="2:15" x14ac:dyDescent="0.25">
      <c r="B57" s="47" t="s">
        <v>345</v>
      </c>
      <c r="C57" s="48"/>
      <c r="D57" s="40" t="s">
        <v>344</v>
      </c>
      <c r="E57" s="41">
        <v>0</v>
      </c>
      <c r="F57" s="41" t="s">
        <v>267</v>
      </c>
      <c r="G57" s="42">
        <v>3000</v>
      </c>
      <c r="H57" s="42">
        <v>500</v>
      </c>
      <c r="I57" s="42"/>
      <c r="J57" s="44">
        <f t="shared" si="4"/>
        <v>0</v>
      </c>
      <c r="K57" s="45">
        <f t="shared" si="8"/>
        <v>0</v>
      </c>
      <c r="L57" s="45">
        <f t="shared" si="9"/>
        <v>0</v>
      </c>
      <c r="M57" s="46">
        <f t="shared" si="3"/>
        <v>0</v>
      </c>
      <c r="N57" s="55"/>
      <c r="O57" s="54"/>
    </row>
    <row r="58" spans="2:15" x14ac:dyDescent="0.25">
      <c r="B58" s="47" t="s">
        <v>346</v>
      </c>
      <c r="C58" s="48"/>
      <c r="D58" s="40" t="s">
        <v>344</v>
      </c>
      <c r="E58" s="41">
        <v>0</v>
      </c>
      <c r="F58" s="41" t="s">
        <v>267</v>
      </c>
      <c r="G58" s="42">
        <v>3000</v>
      </c>
      <c r="H58" s="42">
        <v>500</v>
      </c>
      <c r="I58" s="42"/>
      <c r="J58" s="44">
        <f t="shared" si="4"/>
        <v>0</v>
      </c>
      <c r="K58" s="45">
        <f t="shared" si="8"/>
        <v>0</v>
      </c>
      <c r="L58" s="45">
        <f t="shared" si="9"/>
        <v>0</v>
      </c>
      <c r="M58" s="46">
        <f t="shared" si="3"/>
        <v>0</v>
      </c>
      <c r="N58" s="55"/>
      <c r="O58" s="54"/>
    </row>
    <row r="59" spans="2:15" x14ac:dyDescent="0.25">
      <c r="B59" s="47" t="s">
        <v>347</v>
      </c>
      <c r="C59" s="48"/>
      <c r="D59" s="40" t="s">
        <v>344</v>
      </c>
      <c r="E59" s="41">
        <v>0</v>
      </c>
      <c r="F59" s="41" t="s">
        <v>267</v>
      </c>
      <c r="G59" s="42">
        <v>3000</v>
      </c>
      <c r="H59" s="42">
        <v>500</v>
      </c>
      <c r="I59" s="42"/>
      <c r="J59" s="44">
        <f t="shared" si="4"/>
        <v>0</v>
      </c>
      <c r="K59" s="45">
        <f t="shared" si="8"/>
        <v>0</v>
      </c>
      <c r="L59" s="45">
        <f t="shared" si="9"/>
        <v>0</v>
      </c>
      <c r="M59" s="46">
        <f t="shared" si="3"/>
        <v>0</v>
      </c>
      <c r="N59" s="55"/>
      <c r="O59" s="54"/>
    </row>
    <row r="60" spans="2:15" x14ac:dyDescent="0.25">
      <c r="B60" s="47" t="s">
        <v>348</v>
      </c>
      <c r="C60" s="48"/>
      <c r="D60" s="40"/>
      <c r="E60" s="41">
        <v>2</v>
      </c>
      <c r="F60" s="41" t="s">
        <v>267</v>
      </c>
      <c r="G60" s="42">
        <v>2050</v>
      </c>
      <c r="H60" s="42">
        <v>250</v>
      </c>
      <c r="I60" s="42"/>
      <c r="J60" s="44">
        <f t="shared" si="4"/>
        <v>4030.2999999999997</v>
      </c>
      <c r="K60" s="45">
        <f t="shared" si="8"/>
        <v>545</v>
      </c>
      <c r="L60" s="45">
        <f t="shared" si="9"/>
        <v>0</v>
      </c>
      <c r="M60" s="46">
        <f t="shared" si="3"/>
        <v>4575.2999999999993</v>
      </c>
      <c r="N60" s="55"/>
      <c r="O60" s="54"/>
    </row>
    <row r="61" spans="2:15" x14ac:dyDescent="0.25">
      <c r="B61" s="47" t="s">
        <v>349</v>
      </c>
      <c r="C61" s="48"/>
      <c r="D61" s="40"/>
      <c r="E61" s="41">
        <v>2</v>
      </c>
      <c r="F61" s="41" t="s">
        <v>267</v>
      </c>
      <c r="G61" s="42">
        <v>2050</v>
      </c>
      <c r="H61" s="42">
        <v>250</v>
      </c>
      <c r="I61" s="42"/>
      <c r="J61" s="44">
        <f t="shared" si="4"/>
        <v>4030.2999999999997</v>
      </c>
      <c r="K61" s="45">
        <f t="shared" si="8"/>
        <v>545</v>
      </c>
      <c r="L61" s="45">
        <f t="shared" si="9"/>
        <v>0</v>
      </c>
      <c r="M61" s="46">
        <f t="shared" si="3"/>
        <v>4575.2999999999993</v>
      </c>
      <c r="N61" s="55"/>
      <c r="O61" s="54"/>
    </row>
    <row r="62" spans="2:15" x14ac:dyDescent="0.25">
      <c r="B62" s="47" t="s">
        <v>350</v>
      </c>
      <c r="C62" s="48"/>
      <c r="D62" s="40"/>
      <c r="E62" s="41">
        <v>2</v>
      </c>
      <c r="F62" s="41" t="s">
        <v>267</v>
      </c>
      <c r="G62" s="42">
        <v>2050</v>
      </c>
      <c r="H62" s="42">
        <v>250</v>
      </c>
      <c r="I62" s="42"/>
      <c r="J62" s="44">
        <f t="shared" si="4"/>
        <v>4030.2999999999997</v>
      </c>
      <c r="K62" s="45">
        <f t="shared" si="8"/>
        <v>545</v>
      </c>
      <c r="L62" s="45">
        <f t="shared" si="9"/>
        <v>0</v>
      </c>
      <c r="M62" s="46">
        <f t="shared" si="3"/>
        <v>4575.2999999999993</v>
      </c>
      <c r="N62" s="55"/>
      <c r="O62" s="54"/>
    </row>
    <row r="63" spans="2:15" x14ac:dyDescent="0.25">
      <c r="B63" s="47" t="s">
        <v>351</v>
      </c>
      <c r="C63" s="48"/>
      <c r="D63" s="40"/>
      <c r="E63" s="41">
        <v>2</v>
      </c>
      <c r="F63" s="41" t="s">
        <v>267</v>
      </c>
      <c r="G63" s="42">
        <v>2050</v>
      </c>
      <c r="H63" s="42">
        <v>250</v>
      </c>
      <c r="I63" s="42"/>
      <c r="J63" s="44">
        <f t="shared" si="4"/>
        <v>4030.2999999999997</v>
      </c>
      <c r="K63" s="45">
        <f t="shared" si="8"/>
        <v>545</v>
      </c>
      <c r="L63" s="45">
        <f t="shared" si="9"/>
        <v>0</v>
      </c>
      <c r="M63" s="46">
        <f t="shared" si="3"/>
        <v>4575.2999999999993</v>
      </c>
      <c r="N63" s="55"/>
      <c r="O63" s="54"/>
    </row>
    <row r="64" spans="2:15" x14ac:dyDescent="0.25">
      <c r="B64" s="47" t="s">
        <v>352</v>
      </c>
      <c r="C64" s="48"/>
      <c r="D64" s="40"/>
      <c r="E64" s="41">
        <v>2</v>
      </c>
      <c r="F64" s="41" t="s">
        <v>267</v>
      </c>
      <c r="G64" s="42">
        <v>2950</v>
      </c>
      <c r="H64" s="42">
        <v>325</v>
      </c>
      <c r="I64" s="42"/>
      <c r="J64" s="44">
        <f t="shared" si="4"/>
        <v>5799.7</v>
      </c>
      <c r="K64" s="45">
        <f t="shared" si="8"/>
        <v>708.5</v>
      </c>
      <c r="L64" s="45">
        <f t="shared" si="9"/>
        <v>0</v>
      </c>
      <c r="M64" s="46">
        <f t="shared" si="3"/>
        <v>6508.2</v>
      </c>
      <c r="N64" s="55"/>
      <c r="O64" s="54"/>
    </row>
    <row r="65" spans="2:15" x14ac:dyDescent="0.25">
      <c r="B65" s="47" t="s">
        <v>353</v>
      </c>
      <c r="C65" s="48"/>
      <c r="D65" s="40"/>
      <c r="E65" s="41">
        <v>2</v>
      </c>
      <c r="F65" s="41" t="s">
        <v>267</v>
      </c>
      <c r="G65" s="42">
        <v>2950</v>
      </c>
      <c r="H65" s="42">
        <v>325</v>
      </c>
      <c r="I65" s="42"/>
      <c r="J65" s="44">
        <f t="shared" si="4"/>
        <v>5799.7</v>
      </c>
      <c r="K65" s="45">
        <f t="shared" si="8"/>
        <v>708.5</v>
      </c>
      <c r="L65" s="45">
        <f t="shared" si="9"/>
        <v>0</v>
      </c>
      <c r="M65" s="46">
        <f t="shared" si="3"/>
        <v>6508.2</v>
      </c>
      <c r="N65" s="55"/>
      <c r="O65" s="54"/>
    </row>
    <row r="66" spans="2:15" x14ac:dyDescent="0.25">
      <c r="B66" s="47" t="s">
        <v>354</v>
      </c>
      <c r="C66" s="48"/>
      <c r="D66" s="40"/>
      <c r="E66" s="41">
        <v>2</v>
      </c>
      <c r="F66" s="41" t="s">
        <v>267</v>
      </c>
      <c r="G66" s="42">
        <v>2950</v>
      </c>
      <c r="H66" s="42">
        <v>325</v>
      </c>
      <c r="I66" s="42"/>
      <c r="J66" s="44">
        <f t="shared" si="4"/>
        <v>5799.7</v>
      </c>
      <c r="K66" s="45">
        <f t="shared" si="8"/>
        <v>708.5</v>
      </c>
      <c r="L66" s="45">
        <f t="shared" si="9"/>
        <v>0</v>
      </c>
      <c r="M66" s="46">
        <f t="shared" si="3"/>
        <v>6508.2</v>
      </c>
      <c r="N66" s="55"/>
      <c r="O66" s="54"/>
    </row>
    <row r="67" spans="2:15" x14ac:dyDescent="0.25">
      <c r="B67" s="47" t="s">
        <v>355</v>
      </c>
      <c r="C67" s="48"/>
      <c r="D67" s="40"/>
      <c r="E67" s="41">
        <v>2</v>
      </c>
      <c r="F67" s="41" t="s">
        <v>267</v>
      </c>
      <c r="G67" s="42">
        <v>3000</v>
      </c>
      <c r="H67" s="42">
        <v>500</v>
      </c>
      <c r="I67" s="42"/>
      <c r="J67" s="44">
        <f t="shared" si="4"/>
        <v>5898</v>
      </c>
      <c r="K67" s="45">
        <f t="shared" si="8"/>
        <v>1090</v>
      </c>
      <c r="L67" s="45">
        <f t="shared" si="9"/>
        <v>0</v>
      </c>
      <c r="M67" s="46">
        <f t="shared" si="3"/>
        <v>6988</v>
      </c>
      <c r="N67" s="55"/>
      <c r="O67" s="54"/>
    </row>
    <row r="68" spans="2:15" x14ac:dyDescent="0.25">
      <c r="B68" s="47"/>
      <c r="C68" s="48"/>
      <c r="D68" s="40"/>
      <c r="E68" s="41"/>
      <c r="F68" s="41"/>
      <c r="G68" s="42"/>
      <c r="H68" s="42"/>
      <c r="I68" s="42"/>
      <c r="J68" s="44"/>
      <c r="K68" s="45"/>
      <c r="L68" s="45"/>
      <c r="M68" s="46"/>
      <c r="N68" s="55"/>
      <c r="O68" s="54"/>
    </row>
    <row r="69" spans="2:15" x14ac:dyDescent="0.25">
      <c r="B69" s="47"/>
      <c r="C69" s="48"/>
      <c r="D69" s="40"/>
      <c r="E69" s="41"/>
      <c r="F69" s="41"/>
      <c r="G69" s="42"/>
      <c r="H69" s="42"/>
      <c r="I69" s="42"/>
      <c r="J69" s="44"/>
      <c r="K69" s="45"/>
      <c r="L69" s="45"/>
      <c r="M69" s="46"/>
      <c r="N69" s="55"/>
      <c r="O69" s="54"/>
    </row>
    <row r="70" spans="2:15" x14ac:dyDescent="0.25">
      <c r="B70" s="99" t="s">
        <v>356</v>
      </c>
      <c r="C70" s="126"/>
      <c r="D70" s="90"/>
      <c r="E70" s="101"/>
      <c r="F70" s="101"/>
      <c r="G70" s="102"/>
      <c r="H70" s="102"/>
      <c r="I70" s="102"/>
      <c r="J70" s="104">
        <f t="shared" si="4"/>
        <v>0</v>
      </c>
      <c r="K70" s="105">
        <f t="shared" si="8"/>
        <v>0</v>
      </c>
      <c r="L70" s="105">
        <f t="shared" si="9"/>
        <v>0</v>
      </c>
      <c r="M70" s="106">
        <f t="shared" si="3"/>
        <v>0</v>
      </c>
      <c r="N70" s="96"/>
      <c r="O70" s="128"/>
    </row>
    <row r="71" spans="2:15" x14ac:dyDescent="0.25">
      <c r="B71" s="47" t="s">
        <v>357</v>
      </c>
      <c r="C71" s="48"/>
      <c r="D71" s="40"/>
      <c r="E71" s="41">
        <v>2</v>
      </c>
      <c r="F71" s="41" t="s">
        <v>267</v>
      </c>
      <c r="G71" s="42">
        <v>15500</v>
      </c>
      <c r="H71" s="42">
        <v>7500</v>
      </c>
      <c r="I71" s="42"/>
      <c r="J71" s="44">
        <f t="shared" si="4"/>
        <v>30473</v>
      </c>
      <c r="K71" s="45">
        <f t="shared" si="8"/>
        <v>16350.000000000002</v>
      </c>
      <c r="L71" s="45">
        <f t="shared" si="9"/>
        <v>0</v>
      </c>
      <c r="M71" s="46">
        <f t="shared" si="3"/>
        <v>46823</v>
      </c>
      <c r="N71" s="55"/>
      <c r="O71" s="54"/>
    </row>
    <row r="72" spans="2:15" x14ac:dyDescent="0.25">
      <c r="B72" s="47" t="s">
        <v>358</v>
      </c>
      <c r="C72" s="48"/>
      <c r="D72" s="40"/>
      <c r="E72" s="41">
        <v>1</v>
      </c>
      <c r="F72" s="41" t="s">
        <v>267</v>
      </c>
      <c r="G72" s="86">
        <v>900</v>
      </c>
      <c r="H72" s="42">
        <v>550</v>
      </c>
      <c r="I72" s="42"/>
      <c r="J72" s="44">
        <f t="shared" si="4"/>
        <v>884.69999999999993</v>
      </c>
      <c r="K72" s="45">
        <f t="shared" si="8"/>
        <v>599.5</v>
      </c>
      <c r="L72" s="45">
        <f t="shared" si="9"/>
        <v>0</v>
      </c>
      <c r="M72" s="46">
        <f t="shared" si="3"/>
        <v>1484.1999999999998</v>
      </c>
      <c r="N72" s="55"/>
      <c r="O72" s="54"/>
    </row>
    <row r="73" spans="2:15" x14ac:dyDescent="0.25">
      <c r="B73" s="47" t="s">
        <v>359</v>
      </c>
      <c r="C73" s="48"/>
      <c r="D73" s="40"/>
      <c r="E73" s="41">
        <v>1</v>
      </c>
      <c r="F73" s="41" t="s">
        <v>267</v>
      </c>
      <c r="G73" s="86">
        <v>1750</v>
      </c>
      <c r="H73" s="42">
        <v>550</v>
      </c>
      <c r="I73" s="42"/>
      <c r="J73" s="44">
        <f t="shared" si="4"/>
        <v>1720.25</v>
      </c>
      <c r="K73" s="45">
        <f t="shared" si="8"/>
        <v>599.5</v>
      </c>
      <c r="L73" s="45">
        <f t="shared" si="9"/>
        <v>0</v>
      </c>
      <c r="M73" s="46">
        <f t="shared" si="3"/>
        <v>2319.75</v>
      </c>
      <c r="N73" s="55"/>
      <c r="O73" s="54"/>
    </row>
    <row r="74" spans="2:15" x14ac:dyDescent="0.25">
      <c r="B74" s="47" t="s">
        <v>360</v>
      </c>
      <c r="C74" s="48"/>
      <c r="D74" s="40"/>
      <c r="E74" s="41">
        <v>1</v>
      </c>
      <c r="F74" s="41" t="s">
        <v>267</v>
      </c>
      <c r="G74" s="42">
        <v>15500</v>
      </c>
      <c r="H74" s="42">
        <v>7500</v>
      </c>
      <c r="I74" s="42"/>
      <c r="J74" s="44">
        <f t="shared" si="4"/>
        <v>15236.5</v>
      </c>
      <c r="K74" s="45">
        <f t="shared" si="8"/>
        <v>8175.0000000000009</v>
      </c>
      <c r="L74" s="45">
        <f t="shared" si="9"/>
        <v>0</v>
      </c>
      <c r="M74" s="46">
        <f t="shared" si="3"/>
        <v>23411.5</v>
      </c>
      <c r="N74" s="55"/>
      <c r="O74" s="54"/>
    </row>
    <row r="75" spans="2:15" x14ac:dyDescent="0.25">
      <c r="B75" s="47" t="s">
        <v>361</v>
      </c>
      <c r="C75" s="48"/>
      <c r="D75" s="40"/>
      <c r="E75" s="41">
        <v>2</v>
      </c>
      <c r="F75" s="41" t="s">
        <v>267</v>
      </c>
      <c r="G75" s="42">
        <v>15500</v>
      </c>
      <c r="H75" s="42">
        <v>7500</v>
      </c>
      <c r="I75" s="42"/>
      <c r="J75" s="44">
        <f t="shared" si="4"/>
        <v>30473</v>
      </c>
      <c r="K75" s="45">
        <f t="shared" si="8"/>
        <v>16350.000000000002</v>
      </c>
      <c r="L75" s="45">
        <f t="shared" si="9"/>
        <v>0</v>
      </c>
      <c r="M75" s="46">
        <f t="shared" si="3"/>
        <v>46823</v>
      </c>
      <c r="N75" s="55"/>
      <c r="O75" s="54"/>
    </row>
    <row r="76" spans="2:15" x14ac:dyDescent="0.25">
      <c r="B76" s="47" t="s">
        <v>362</v>
      </c>
      <c r="C76" s="48"/>
      <c r="D76" s="40"/>
      <c r="E76" s="41">
        <v>2</v>
      </c>
      <c r="F76" s="41" t="s">
        <v>267</v>
      </c>
      <c r="G76" s="42">
        <v>15500</v>
      </c>
      <c r="H76" s="42">
        <v>7500</v>
      </c>
      <c r="I76" s="42"/>
      <c r="J76" s="44">
        <f t="shared" si="4"/>
        <v>30473</v>
      </c>
      <c r="K76" s="45">
        <f t="shared" si="8"/>
        <v>16350.000000000002</v>
      </c>
      <c r="L76" s="45">
        <f t="shared" si="9"/>
        <v>0</v>
      </c>
      <c r="M76" s="46">
        <f t="shared" si="3"/>
        <v>46823</v>
      </c>
      <c r="N76" s="55"/>
      <c r="O76" s="54"/>
    </row>
    <row r="77" spans="2:15" x14ac:dyDescent="0.25">
      <c r="B77" s="47" t="s">
        <v>363</v>
      </c>
      <c r="C77" s="48"/>
      <c r="D77" s="40"/>
      <c r="E77" s="41">
        <v>1</v>
      </c>
      <c r="F77" s="41" t="s">
        <v>267</v>
      </c>
      <c r="G77" s="42">
        <v>12000</v>
      </c>
      <c r="H77" s="42">
        <v>5150</v>
      </c>
      <c r="I77" s="42"/>
      <c r="J77" s="44">
        <f t="shared" si="4"/>
        <v>11796</v>
      </c>
      <c r="K77" s="45">
        <f t="shared" si="8"/>
        <v>5613.5</v>
      </c>
      <c r="L77" s="45">
        <f t="shared" si="9"/>
        <v>0</v>
      </c>
      <c r="M77" s="46">
        <f t="shared" si="3"/>
        <v>17409.5</v>
      </c>
      <c r="N77" s="55"/>
      <c r="O77" s="54"/>
    </row>
    <row r="78" spans="2:15" x14ac:dyDescent="0.25">
      <c r="B78" s="47" t="s">
        <v>364</v>
      </c>
      <c r="C78" s="48"/>
      <c r="D78" s="40"/>
      <c r="E78" s="41">
        <v>1</v>
      </c>
      <c r="F78" s="41" t="s">
        <v>267</v>
      </c>
      <c r="G78" s="86">
        <v>3500</v>
      </c>
      <c r="H78" s="42">
        <v>750</v>
      </c>
      <c r="I78" s="42"/>
      <c r="J78" s="44">
        <f t="shared" si="4"/>
        <v>3440.5</v>
      </c>
      <c r="K78" s="45">
        <f t="shared" si="8"/>
        <v>817.50000000000011</v>
      </c>
      <c r="L78" s="45">
        <f t="shared" si="9"/>
        <v>0</v>
      </c>
      <c r="M78" s="46">
        <f t="shared" si="3"/>
        <v>4258</v>
      </c>
      <c r="N78" s="55"/>
      <c r="O78" s="54"/>
    </row>
    <row r="79" spans="2:15" x14ac:dyDescent="0.25">
      <c r="B79" s="99" t="s">
        <v>365</v>
      </c>
      <c r="C79" s="126"/>
      <c r="D79" s="90"/>
      <c r="E79" s="101"/>
      <c r="F79" s="101"/>
      <c r="G79" s="102"/>
      <c r="H79" s="102"/>
      <c r="I79" s="102"/>
      <c r="J79" s="104">
        <f t="shared" ref="J79" si="10">G79*$I$3*E79</f>
        <v>0</v>
      </c>
      <c r="K79" s="105">
        <f t="shared" ref="K79" si="11">H79*$I$4*E79</f>
        <v>0</v>
      </c>
      <c r="L79" s="105">
        <f t="shared" ref="L79" si="12">I79*$I$5*E79</f>
        <v>0</v>
      </c>
      <c r="M79" s="106">
        <f t="shared" ref="M79" si="13">SUM(J79:L79)</f>
        <v>0</v>
      </c>
      <c r="N79" s="96"/>
      <c r="O79" s="128"/>
    </row>
    <row r="80" spans="2:15" x14ac:dyDescent="0.25">
      <c r="B80" s="47" t="s">
        <v>366</v>
      </c>
      <c r="C80" s="48"/>
      <c r="D80" s="40"/>
      <c r="E80" s="41">
        <v>1</v>
      </c>
      <c r="F80" s="41" t="s">
        <v>267</v>
      </c>
      <c r="G80" s="86">
        <v>33400</v>
      </c>
      <c r="H80" s="42">
        <v>6500</v>
      </c>
      <c r="I80" s="42"/>
      <c r="J80" s="44">
        <f t="shared" si="4"/>
        <v>32832.199999999997</v>
      </c>
      <c r="K80" s="45">
        <f t="shared" si="8"/>
        <v>7085.0000000000009</v>
      </c>
      <c r="L80" s="45">
        <f t="shared" si="9"/>
        <v>0</v>
      </c>
      <c r="M80" s="46">
        <f t="shared" si="3"/>
        <v>39917.199999999997</v>
      </c>
      <c r="N80" s="55"/>
      <c r="O80" s="54"/>
    </row>
    <row r="81" spans="2:15" s="11" customFormat="1" x14ac:dyDescent="0.25">
      <c r="B81" s="47" t="s">
        <v>367</v>
      </c>
      <c r="C81" s="118"/>
      <c r="D81" s="40"/>
      <c r="E81" s="87">
        <v>1</v>
      </c>
      <c r="F81" s="41" t="s">
        <v>267</v>
      </c>
      <c r="G81" s="119">
        <v>3500</v>
      </c>
      <c r="H81" s="119">
        <v>2000</v>
      </c>
      <c r="I81" s="119"/>
      <c r="J81" s="120">
        <f t="shared" si="4"/>
        <v>3440.5</v>
      </c>
      <c r="K81" s="121">
        <f t="shared" si="8"/>
        <v>2180</v>
      </c>
      <c r="L81" s="121">
        <f t="shared" si="9"/>
        <v>0</v>
      </c>
      <c r="M81" s="122">
        <f t="shared" si="3"/>
        <v>5620.5</v>
      </c>
      <c r="N81" s="123"/>
      <c r="O81" s="124"/>
    </row>
    <row r="82" spans="2:15" x14ac:dyDescent="0.25">
      <c r="B82" s="47" t="s">
        <v>368</v>
      </c>
      <c r="C82" s="48"/>
      <c r="D82" s="40"/>
      <c r="E82" s="41">
        <v>1</v>
      </c>
      <c r="F82" s="41" t="s">
        <v>267</v>
      </c>
      <c r="G82" s="119">
        <v>3500</v>
      </c>
      <c r="H82" s="119">
        <v>2000</v>
      </c>
      <c r="I82" s="42"/>
      <c r="J82" s="44">
        <f t="shared" ref="J82:J89" si="14">G82*$I$3*E82</f>
        <v>3440.5</v>
      </c>
      <c r="K82" s="45">
        <f t="shared" ref="K82:K89" si="15">H82*$I$4*E82</f>
        <v>2180</v>
      </c>
      <c r="L82" s="45">
        <f t="shared" ref="L82:L89" si="16">I82*$I$5*E82</f>
        <v>0</v>
      </c>
      <c r="M82" s="46">
        <f t="shared" si="3"/>
        <v>5620.5</v>
      </c>
      <c r="N82" s="55"/>
      <c r="O82" s="54"/>
    </row>
    <row r="83" spans="2:15" x14ac:dyDescent="0.25">
      <c r="B83" s="47" t="s">
        <v>369</v>
      </c>
      <c r="C83" s="48"/>
      <c r="D83" s="40"/>
      <c r="E83" s="41">
        <v>1</v>
      </c>
      <c r="F83" s="41" t="s">
        <v>267</v>
      </c>
      <c r="G83" s="42">
        <v>33400</v>
      </c>
      <c r="H83" s="42">
        <v>6500</v>
      </c>
      <c r="I83" s="42"/>
      <c r="J83" s="44">
        <f t="shared" si="14"/>
        <v>32832.199999999997</v>
      </c>
      <c r="K83" s="45">
        <f t="shared" si="15"/>
        <v>7085.0000000000009</v>
      </c>
      <c r="L83" s="45">
        <f t="shared" si="16"/>
        <v>0</v>
      </c>
      <c r="M83" s="46">
        <f t="shared" si="3"/>
        <v>39917.199999999997</v>
      </c>
      <c r="N83" s="55"/>
      <c r="O83" s="54"/>
    </row>
    <row r="84" spans="2:15" x14ac:dyDescent="0.25">
      <c r="B84" s="47" t="s">
        <v>370</v>
      </c>
      <c r="C84" s="48"/>
      <c r="D84" s="40"/>
      <c r="E84" s="41">
        <v>1</v>
      </c>
      <c r="F84" s="41" t="s">
        <v>267</v>
      </c>
      <c r="G84" s="42">
        <v>43800</v>
      </c>
      <c r="H84" s="42">
        <v>7500</v>
      </c>
      <c r="I84" s="42"/>
      <c r="J84" s="44">
        <f t="shared" si="14"/>
        <v>43055.4</v>
      </c>
      <c r="K84" s="45">
        <f t="shared" si="15"/>
        <v>8175.0000000000009</v>
      </c>
      <c r="L84" s="45">
        <f t="shared" si="16"/>
        <v>0</v>
      </c>
      <c r="M84" s="46">
        <f t="shared" si="3"/>
        <v>51230.400000000001</v>
      </c>
      <c r="N84" s="55"/>
      <c r="O84" s="54"/>
    </row>
    <row r="85" spans="2:15" x14ac:dyDescent="0.25">
      <c r="B85" s="47" t="s">
        <v>371</v>
      </c>
      <c r="C85" s="48"/>
      <c r="D85" s="40"/>
      <c r="E85" s="41">
        <v>1</v>
      </c>
      <c r="F85" s="41" t="s">
        <v>267</v>
      </c>
      <c r="G85" s="42">
        <v>33400</v>
      </c>
      <c r="H85" s="42">
        <v>6500</v>
      </c>
      <c r="I85" s="42"/>
      <c r="J85" s="44">
        <f t="shared" si="14"/>
        <v>32832.199999999997</v>
      </c>
      <c r="K85" s="45">
        <f t="shared" si="15"/>
        <v>7085.0000000000009</v>
      </c>
      <c r="L85" s="45">
        <f t="shared" si="16"/>
        <v>0</v>
      </c>
      <c r="M85" s="46">
        <f t="shared" si="3"/>
        <v>39917.199999999997</v>
      </c>
      <c r="N85" s="55"/>
      <c r="O85" s="54"/>
    </row>
    <row r="86" spans="2:15" x14ac:dyDescent="0.25">
      <c r="B86" s="47" t="s">
        <v>372</v>
      </c>
      <c r="C86" s="48"/>
      <c r="D86" s="40"/>
      <c r="E86" s="41">
        <v>1</v>
      </c>
      <c r="F86" s="41" t="s">
        <v>267</v>
      </c>
      <c r="G86" s="42">
        <v>8000</v>
      </c>
      <c r="H86" s="42">
        <v>2500</v>
      </c>
      <c r="I86" s="42"/>
      <c r="J86" s="44">
        <f t="shared" si="14"/>
        <v>7864</v>
      </c>
      <c r="K86" s="45">
        <f t="shared" si="15"/>
        <v>2725</v>
      </c>
      <c r="L86" s="45">
        <f t="shared" si="16"/>
        <v>0</v>
      </c>
      <c r="M86" s="46">
        <f t="shared" si="3"/>
        <v>10589</v>
      </c>
      <c r="N86" s="55"/>
      <c r="O86" s="54"/>
    </row>
    <row r="87" spans="2:15" x14ac:dyDescent="0.25">
      <c r="B87" s="47" t="s">
        <v>373</v>
      </c>
      <c r="C87" s="48"/>
      <c r="D87" s="40"/>
      <c r="E87" s="41">
        <v>1</v>
      </c>
      <c r="F87" s="41" t="s">
        <v>267</v>
      </c>
      <c r="G87" s="42">
        <v>3500</v>
      </c>
      <c r="H87" s="42">
        <v>2000</v>
      </c>
      <c r="I87" s="42"/>
      <c r="J87" s="44">
        <f t="shared" si="14"/>
        <v>3440.5</v>
      </c>
      <c r="K87" s="45">
        <f t="shared" si="15"/>
        <v>2180</v>
      </c>
      <c r="L87" s="45">
        <f t="shared" si="16"/>
        <v>0</v>
      </c>
      <c r="M87" s="46">
        <f t="shared" si="3"/>
        <v>5620.5</v>
      </c>
      <c r="N87" s="55"/>
      <c r="O87" s="54"/>
    </row>
    <row r="88" spans="2:15" x14ac:dyDescent="0.25">
      <c r="B88" s="57"/>
      <c r="C88" s="48"/>
      <c r="D88" s="40"/>
      <c r="E88" s="41"/>
      <c r="F88" s="41"/>
      <c r="G88" s="42"/>
      <c r="H88" s="42"/>
      <c r="I88" s="42"/>
      <c r="J88" s="44">
        <f t="shared" si="14"/>
        <v>0</v>
      </c>
      <c r="K88" s="45">
        <f t="shared" si="15"/>
        <v>0</v>
      </c>
      <c r="L88" s="45">
        <f t="shared" si="16"/>
        <v>0</v>
      </c>
      <c r="M88" s="46">
        <f t="shared" si="3"/>
        <v>0</v>
      </c>
      <c r="N88" s="55"/>
      <c r="O88" s="54"/>
    </row>
    <row r="89" spans="2:15" x14ac:dyDescent="0.25">
      <c r="B89" s="99" t="s">
        <v>374</v>
      </c>
      <c r="C89" s="126"/>
      <c r="D89" s="90"/>
      <c r="E89" s="101"/>
      <c r="F89" s="127"/>
      <c r="G89" s="102"/>
      <c r="H89" s="102"/>
      <c r="I89" s="102"/>
      <c r="J89" s="104">
        <f t="shared" si="14"/>
        <v>0</v>
      </c>
      <c r="K89" s="105">
        <f t="shared" si="15"/>
        <v>0</v>
      </c>
      <c r="L89" s="105">
        <f t="shared" si="16"/>
        <v>0</v>
      </c>
      <c r="M89" s="106">
        <f t="shared" ref="M89" si="17">SUM(J89:L89)</f>
        <v>0</v>
      </c>
      <c r="N89" s="96"/>
      <c r="O89" s="128"/>
    </row>
    <row r="90" spans="2:15" x14ac:dyDescent="0.25">
      <c r="B90" s="47" t="s">
        <v>375</v>
      </c>
      <c r="C90" s="48"/>
      <c r="D90" s="40"/>
      <c r="E90" s="41">
        <v>2</v>
      </c>
      <c r="F90" s="41" t="s">
        <v>267</v>
      </c>
      <c r="G90" s="42">
        <v>12500</v>
      </c>
      <c r="H90" s="86">
        <v>650</v>
      </c>
      <c r="I90" s="42"/>
      <c r="J90" s="44">
        <f t="shared" ref="J90:J99" si="18">G90*$I$3*E90</f>
        <v>24575</v>
      </c>
      <c r="K90" s="45">
        <f t="shared" ref="K90:K99" si="19">H90*$I$4*E90</f>
        <v>1417</v>
      </c>
      <c r="L90" s="45">
        <f t="shared" ref="L90:L99" si="20">I90*$I$5*E90</f>
        <v>0</v>
      </c>
      <c r="M90" s="46">
        <f t="shared" ref="M90:M99" si="21">SUM(J90:L90)</f>
        <v>25992</v>
      </c>
      <c r="N90" s="55"/>
      <c r="O90" s="54"/>
    </row>
    <row r="91" spans="2:15" x14ac:dyDescent="0.25">
      <c r="B91" s="47" t="s">
        <v>376</v>
      </c>
      <c r="C91" s="48"/>
      <c r="D91" s="40"/>
      <c r="E91" s="41">
        <v>2</v>
      </c>
      <c r="F91" s="41" t="s">
        <v>267</v>
      </c>
      <c r="G91" s="42">
        <v>12500</v>
      </c>
      <c r="H91" s="86">
        <v>650</v>
      </c>
      <c r="I91" s="42"/>
      <c r="J91" s="44">
        <f t="shared" si="18"/>
        <v>24575</v>
      </c>
      <c r="K91" s="45">
        <f t="shared" si="19"/>
        <v>1417</v>
      </c>
      <c r="L91" s="45">
        <f t="shared" si="20"/>
        <v>0</v>
      </c>
      <c r="M91" s="46">
        <f t="shared" si="21"/>
        <v>25992</v>
      </c>
      <c r="N91" s="55"/>
      <c r="O91" s="54"/>
    </row>
    <row r="92" spans="2:15" x14ac:dyDescent="0.25">
      <c r="B92" s="47" t="s">
        <v>377</v>
      </c>
      <c r="C92" s="48"/>
      <c r="D92" s="40"/>
      <c r="E92" s="41">
        <v>2</v>
      </c>
      <c r="F92" s="41" t="s">
        <v>267</v>
      </c>
      <c r="G92" s="42">
        <v>12500</v>
      </c>
      <c r="H92" s="86">
        <v>650</v>
      </c>
      <c r="I92" s="42"/>
      <c r="J92" s="44">
        <f t="shared" si="18"/>
        <v>24575</v>
      </c>
      <c r="K92" s="45">
        <f t="shared" si="19"/>
        <v>1417</v>
      </c>
      <c r="L92" s="45">
        <f t="shared" si="20"/>
        <v>0</v>
      </c>
      <c r="M92" s="46">
        <f t="shared" si="21"/>
        <v>25992</v>
      </c>
      <c r="N92" s="55"/>
      <c r="O92" s="54"/>
    </row>
    <row r="93" spans="2:15" x14ac:dyDescent="0.25">
      <c r="B93" s="47" t="s">
        <v>378</v>
      </c>
      <c r="C93" s="48"/>
      <c r="D93" s="40"/>
      <c r="E93" s="41">
        <v>2</v>
      </c>
      <c r="F93" s="41" t="s">
        <v>267</v>
      </c>
      <c r="G93" s="42">
        <v>12500</v>
      </c>
      <c r="H93" s="86">
        <v>650</v>
      </c>
      <c r="I93" s="42"/>
      <c r="J93" s="44">
        <f t="shared" si="18"/>
        <v>24575</v>
      </c>
      <c r="K93" s="45">
        <f t="shared" si="19"/>
        <v>1417</v>
      </c>
      <c r="L93" s="45">
        <f t="shared" si="20"/>
        <v>0</v>
      </c>
      <c r="M93" s="46">
        <f t="shared" si="21"/>
        <v>25992</v>
      </c>
      <c r="N93" s="55"/>
      <c r="O93" s="54"/>
    </row>
    <row r="94" spans="2:15" x14ac:dyDescent="0.25">
      <c r="B94" s="47" t="s">
        <v>379</v>
      </c>
      <c r="C94" s="48"/>
      <c r="D94" s="40"/>
      <c r="E94" s="41">
        <v>2</v>
      </c>
      <c r="F94" s="41" t="s">
        <v>267</v>
      </c>
      <c r="G94" s="42">
        <v>7500</v>
      </c>
      <c r="H94" s="86">
        <v>500</v>
      </c>
      <c r="I94" s="42"/>
      <c r="J94" s="44">
        <f t="shared" si="18"/>
        <v>14745</v>
      </c>
      <c r="K94" s="45">
        <f t="shared" si="19"/>
        <v>1090</v>
      </c>
      <c r="L94" s="45">
        <f t="shared" si="20"/>
        <v>0</v>
      </c>
      <c r="M94" s="46">
        <f t="shared" si="21"/>
        <v>15835</v>
      </c>
      <c r="N94" s="55"/>
      <c r="O94" s="54"/>
    </row>
    <row r="95" spans="2:15" x14ac:dyDescent="0.25">
      <c r="B95" s="47"/>
      <c r="C95" s="48"/>
      <c r="D95" s="40"/>
      <c r="E95" s="41"/>
      <c r="F95" s="41"/>
      <c r="G95" s="42"/>
      <c r="H95" s="42"/>
      <c r="I95" s="42"/>
      <c r="J95" s="44">
        <f t="shared" si="18"/>
        <v>0</v>
      </c>
      <c r="K95" s="45">
        <f t="shared" si="19"/>
        <v>0</v>
      </c>
      <c r="L95" s="45">
        <f t="shared" si="20"/>
        <v>0</v>
      </c>
      <c r="M95" s="46">
        <f t="shared" si="21"/>
        <v>0</v>
      </c>
      <c r="N95" s="55"/>
      <c r="O95" s="54"/>
    </row>
    <row r="96" spans="2:15" x14ac:dyDescent="0.25">
      <c r="B96" s="99" t="s">
        <v>380</v>
      </c>
      <c r="C96" s="126"/>
      <c r="D96" s="90"/>
      <c r="E96" s="101"/>
      <c r="F96" s="101"/>
      <c r="G96" s="102"/>
      <c r="H96" s="102"/>
      <c r="I96" s="102"/>
      <c r="J96" s="104">
        <f t="shared" si="18"/>
        <v>0</v>
      </c>
      <c r="K96" s="105">
        <f t="shared" si="19"/>
        <v>0</v>
      </c>
      <c r="L96" s="105">
        <f t="shared" si="20"/>
        <v>0</v>
      </c>
      <c r="M96" s="106">
        <f t="shared" si="21"/>
        <v>0</v>
      </c>
      <c r="N96" s="96"/>
      <c r="O96" s="128"/>
    </row>
    <row r="97" spans="2:15" x14ac:dyDescent="0.25">
      <c r="B97" s="47" t="s">
        <v>381</v>
      </c>
      <c r="C97" s="48"/>
      <c r="D97" s="40"/>
      <c r="E97" s="41">
        <v>2</v>
      </c>
      <c r="F97" s="41" t="s">
        <v>267</v>
      </c>
      <c r="G97" s="42">
        <v>2050</v>
      </c>
      <c r="H97" s="42">
        <v>250</v>
      </c>
      <c r="I97" s="42"/>
      <c r="J97" s="44">
        <f t="shared" si="18"/>
        <v>4030.2999999999997</v>
      </c>
      <c r="K97" s="45">
        <f t="shared" si="19"/>
        <v>545</v>
      </c>
      <c r="L97" s="45">
        <f t="shared" si="20"/>
        <v>0</v>
      </c>
      <c r="M97" s="46">
        <f t="shared" si="21"/>
        <v>4575.2999999999993</v>
      </c>
      <c r="N97" s="55"/>
      <c r="O97" s="54"/>
    </row>
    <row r="98" spans="2:15" x14ac:dyDescent="0.25">
      <c r="B98" s="47" t="s">
        <v>382</v>
      </c>
      <c r="C98" s="48"/>
      <c r="D98" s="40"/>
      <c r="E98" s="41">
        <v>2</v>
      </c>
      <c r="F98" s="41" t="s">
        <v>267</v>
      </c>
      <c r="G98" s="42">
        <v>2050</v>
      </c>
      <c r="H98" s="42">
        <v>250</v>
      </c>
      <c r="I98" s="42"/>
      <c r="J98" s="44">
        <f t="shared" si="18"/>
        <v>4030.2999999999997</v>
      </c>
      <c r="K98" s="45">
        <f t="shared" si="19"/>
        <v>545</v>
      </c>
      <c r="L98" s="45">
        <f t="shared" si="20"/>
        <v>0</v>
      </c>
      <c r="M98" s="46">
        <f t="shared" si="21"/>
        <v>4575.2999999999993</v>
      </c>
      <c r="N98" s="55"/>
      <c r="O98" s="54"/>
    </row>
    <row r="99" spans="2:15" x14ac:dyDescent="0.25">
      <c r="B99" s="47" t="s">
        <v>383</v>
      </c>
      <c r="C99" s="48"/>
      <c r="D99" s="40"/>
      <c r="E99" s="41">
        <v>2</v>
      </c>
      <c r="F99" s="41" t="s">
        <v>267</v>
      </c>
      <c r="G99" s="42">
        <v>2050</v>
      </c>
      <c r="H99" s="42">
        <v>250</v>
      </c>
      <c r="I99" s="42"/>
      <c r="J99" s="44">
        <f t="shared" si="18"/>
        <v>4030.2999999999997</v>
      </c>
      <c r="K99" s="45">
        <f t="shared" si="19"/>
        <v>545</v>
      </c>
      <c r="L99" s="45">
        <f t="shared" si="20"/>
        <v>0</v>
      </c>
      <c r="M99" s="46">
        <f t="shared" si="21"/>
        <v>4575.2999999999993</v>
      </c>
      <c r="N99" s="55"/>
      <c r="O99" s="54"/>
    </row>
    <row r="100" spans="2:15" x14ac:dyDescent="0.25">
      <c r="B100" s="47" t="s">
        <v>384</v>
      </c>
      <c r="C100" s="48"/>
      <c r="D100" s="40"/>
      <c r="E100" s="41">
        <v>2</v>
      </c>
      <c r="F100" s="41" t="s">
        <v>267</v>
      </c>
      <c r="G100" s="42">
        <v>2050</v>
      </c>
      <c r="H100" s="42">
        <v>250</v>
      </c>
      <c r="I100" s="42"/>
      <c r="J100" s="44">
        <f t="shared" si="4"/>
        <v>4030.2999999999997</v>
      </c>
      <c r="K100" s="45">
        <f t="shared" si="8"/>
        <v>545</v>
      </c>
      <c r="L100" s="45">
        <f t="shared" si="9"/>
        <v>0</v>
      </c>
      <c r="M100" s="46">
        <f t="shared" si="3"/>
        <v>4575.2999999999993</v>
      </c>
      <c r="N100" s="55"/>
      <c r="O100" s="54"/>
    </row>
    <row r="101" spans="2:15" x14ac:dyDescent="0.25">
      <c r="B101" s="47" t="s">
        <v>385</v>
      </c>
      <c r="C101" s="48"/>
      <c r="D101" s="40"/>
      <c r="E101" s="41">
        <v>2</v>
      </c>
      <c r="F101" s="41" t="s">
        <v>267</v>
      </c>
      <c r="G101" s="42">
        <v>1500</v>
      </c>
      <c r="H101" s="42">
        <v>200</v>
      </c>
      <c r="I101" s="135"/>
      <c r="J101" s="136">
        <f t="shared" ref="J101" si="22">G101*$I$3*E101</f>
        <v>2949</v>
      </c>
      <c r="K101" s="137">
        <f t="shared" ref="K101" si="23">H101*$I$4*E101</f>
        <v>436.00000000000006</v>
      </c>
      <c r="L101" s="137">
        <f t="shared" ref="L101" si="24">I101*$I$5*E101</f>
        <v>0</v>
      </c>
      <c r="M101" s="138">
        <f t="shared" ref="M101" si="25">SUM(J101:L101)</f>
        <v>3385</v>
      </c>
      <c r="N101" s="123"/>
      <c r="O101" s="139"/>
    </row>
    <row r="102" spans="2:15" x14ac:dyDescent="0.25">
      <c r="B102" s="57"/>
      <c r="C102" s="48"/>
      <c r="D102" s="40"/>
      <c r="E102" s="41"/>
      <c r="F102" s="41"/>
      <c r="G102" s="42"/>
      <c r="H102" s="42"/>
      <c r="I102" s="42"/>
      <c r="J102" s="44">
        <f t="shared" si="4"/>
        <v>0</v>
      </c>
      <c r="K102" s="45">
        <f t="shared" si="8"/>
        <v>0</v>
      </c>
      <c r="L102" s="45">
        <f t="shared" si="9"/>
        <v>0</v>
      </c>
      <c r="M102" s="46">
        <f t="shared" si="3"/>
        <v>0</v>
      </c>
      <c r="N102" s="55"/>
      <c r="O102" s="54"/>
    </row>
    <row r="103" spans="2:15" x14ac:dyDescent="0.25">
      <c r="B103" s="140" t="s">
        <v>386</v>
      </c>
      <c r="C103" s="126"/>
      <c r="D103" s="90"/>
      <c r="E103" s="101"/>
      <c r="F103" s="101"/>
      <c r="G103" s="102"/>
      <c r="H103" s="102"/>
      <c r="I103" s="102"/>
      <c r="J103" s="104">
        <f t="shared" si="4"/>
        <v>0</v>
      </c>
      <c r="K103" s="105">
        <f t="shared" si="8"/>
        <v>0</v>
      </c>
      <c r="L103" s="105">
        <f t="shared" si="9"/>
        <v>0</v>
      </c>
      <c r="M103" s="106">
        <f t="shared" si="3"/>
        <v>0</v>
      </c>
      <c r="N103" s="96"/>
      <c r="O103" s="128"/>
    </row>
    <row r="104" spans="2:15" x14ac:dyDescent="0.25">
      <c r="B104" s="57" t="s">
        <v>387</v>
      </c>
      <c r="C104" s="48"/>
      <c r="D104" s="40"/>
      <c r="E104" s="49">
        <v>4</v>
      </c>
      <c r="F104" s="49" t="s">
        <v>267</v>
      </c>
      <c r="G104" s="43">
        <v>25000</v>
      </c>
      <c r="H104" s="43">
        <v>12500</v>
      </c>
      <c r="I104" s="88"/>
      <c r="J104" s="44">
        <f t="shared" si="4"/>
        <v>98300</v>
      </c>
      <c r="K104" s="45">
        <f t="shared" si="8"/>
        <v>54500.000000000007</v>
      </c>
      <c r="L104" s="45">
        <f t="shared" si="9"/>
        <v>0</v>
      </c>
      <c r="M104" s="46">
        <f t="shared" si="3"/>
        <v>152800</v>
      </c>
      <c r="N104" s="55"/>
      <c r="O104" s="54"/>
    </row>
    <row r="105" spans="2:15" x14ac:dyDescent="0.25">
      <c r="B105" s="57" t="s">
        <v>388</v>
      </c>
      <c r="C105" s="48"/>
      <c r="D105" s="40"/>
      <c r="E105" s="49">
        <v>4</v>
      </c>
      <c r="F105" s="49" t="s">
        <v>267</v>
      </c>
      <c r="G105" s="43"/>
      <c r="H105" s="43"/>
      <c r="I105" s="88">
        <v>3500</v>
      </c>
      <c r="J105" s="44">
        <f t="shared" si="4"/>
        <v>0</v>
      </c>
      <c r="K105" s="45">
        <f t="shared" si="8"/>
        <v>0</v>
      </c>
      <c r="L105" s="45">
        <f t="shared" si="9"/>
        <v>14000</v>
      </c>
      <c r="M105" s="46">
        <f t="shared" si="3"/>
        <v>14000</v>
      </c>
      <c r="N105" s="55"/>
      <c r="O105" s="54"/>
    </row>
    <row r="106" spans="2:15" x14ac:dyDescent="0.25">
      <c r="B106" s="57" t="s">
        <v>389</v>
      </c>
      <c r="C106" s="48"/>
      <c r="D106" s="40"/>
      <c r="E106" s="87">
        <v>4</v>
      </c>
      <c r="F106" s="49" t="s">
        <v>267</v>
      </c>
      <c r="G106" s="88">
        <v>4500</v>
      </c>
      <c r="H106" s="88">
        <v>1500</v>
      </c>
      <c r="I106" s="88"/>
      <c r="J106" s="44">
        <f t="shared" si="4"/>
        <v>17694</v>
      </c>
      <c r="K106" s="45">
        <f t="shared" si="8"/>
        <v>6540.0000000000009</v>
      </c>
      <c r="L106" s="45">
        <f t="shared" si="9"/>
        <v>0</v>
      </c>
      <c r="M106" s="46">
        <f t="shared" si="3"/>
        <v>24234</v>
      </c>
      <c r="N106" s="55"/>
      <c r="O106" s="54"/>
    </row>
    <row r="107" spans="2:15" x14ac:dyDescent="0.25">
      <c r="B107" s="57" t="s">
        <v>390</v>
      </c>
      <c r="C107" s="48"/>
      <c r="D107" s="40"/>
      <c r="E107" s="41">
        <v>4</v>
      </c>
      <c r="F107" s="49" t="s">
        <v>267</v>
      </c>
      <c r="G107" s="42"/>
      <c r="H107" s="42"/>
      <c r="I107" s="42">
        <v>7500</v>
      </c>
      <c r="J107" s="44">
        <f t="shared" si="4"/>
        <v>0</v>
      </c>
      <c r="K107" s="45">
        <f t="shared" si="8"/>
        <v>0</v>
      </c>
      <c r="L107" s="45">
        <f t="shared" si="9"/>
        <v>30000</v>
      </c>
      <c r="M107" s="46">
        <f t="shared" si="3"/>
        <v>30000</v>
      </c>
      <c r="N107" s="55"/>
      <c r="O107" s="54"/>
    </row>
    <row r="108" spans="2:15" x14ac:dyDescent="0.25">
      <c r="B108" s="57" t="s">
        <v>391</v>
      </c>
      <c r="C108" s="48"/>
      <c r="D108" s="40"/>
      <c r="E108" s="41">
        <v>4</v>
      </c>
      <c r="F108" s="49" t="s">
        <v>267</v>
      </c>
      <c r="G108" s="42">
        <v>15000</v>
      </c>
      <c r="H108" s="42">
        <v>7500</v>
      </c>
      <c r="I108" s="42"/>
      <c r="J108" s="44">
        <f t="shared" ref="J108" si="26">G108*$I$3*E108</f>
        <v>58980</v>
      </c>
      <c r="K108" s="45">
        <f t="shared" ref="K108" si="27">H108*$I$4*E108</f>
        <v>32700.000000000004</v>
      </c>
      <c r="L108" s="45">
        <f t="shared" ref="L108:L112" si="28">I108*$I$5*E108</f>
        <v>0</v>
      </c>
      <c r="M108" s="46">
        <f t="shared" ref="M108:M112" si="29">SUM(J108:L108)</f>
        <v>91680</v>
      </c>
      <c r="N108" s="55"/>
      <c r="O108" s="54"/>
    </row>
    <row r="109" spans="2:15" x14ac:dyDescent="0.25">
      <c r="B109" s="57" t="s">
        <v>392</v>
      </c>
      <c r="C109" s="48"/>
      <c r="D109" s="40"/>
      <c r="E109" s="41">
        <v>4</v>
      </c>
      <c r="F109" s="49" t="s">
        <v>267</v>
      </c>
      <c r="G109" s="42">
        <v>7500</v>
      </c>
      <c r="H109" s="42">
        <v>7500</v>
      </c>
      <c r="I109" s="42"/>
      <c r="J109" s="44">
        <f t="shared" ref="J109:J112" si="30">G109*$I$3*E109</f>
        <v>29490</v>
      </c>
      <c r="K109" s="45">
        <f t="shared" ref="K109:K112" si="31">H109*$I$4*E109</f>
        <v>32700.000000000004</v>
      </c>
      <c r="L109" s="45">
        <f t="shared" si="28"/>
        <v>0</v>
      </c>
      <c r="M109" s="46">
        <f t="shared" si="29"/>
        <v>62190</v>
      </c>
      <c r="N109" s="55"/>
      <c r="O109" s="54"/>
    </row>
    <row r="110" spans="2:15" x14ac:dyDescent="0.25">
      <c r="B110" s="57" t="s">
        <v>393</v>
      </c>
      <c r="C110" s="48"/>
      <c r="D110" s="40"/>
      <c r="E110" s="41">
        <v>4</v>
      </c>
      <c r="F110" s="49" t="s">
        <v>267</v>
      </c>
      <c r="G110" s="42">
        <v>5000</v>
      </c>
      <c r="H110" s="42">
        <v>5000</v>
      </c>
      <c r="I110" s="42"/>
      <c r="J110" s="44">
        <f t="shared" si="30"/>
        <v>19660</v>
      </c>
      <c r="K110" s="45">
        <f t="shared" si="31"/>
        <v>21800</v>
      </c>
      <c r="L110" s="45">
        <f t="shared" si="28"/>
        <v>0</v>
      </c>
      <c r="M110" s="46">
        <f t="shared" si="29"/>
        <v>41460</v>
      </c>
      <c r="N110" s="55"/>
      <c r="O110" s="54"/>
    </row>
    <row r="111" spans="2:15" x14ac:dyDescent="0.25">
      <c r="B111" s="57" t="s">
        <v>394</v>
      </c>
      <c r="C111" s="48"/>
      <c r="D111" s="40"/>
      <c r="E111" s="41">
        <v>4</v>
      </c>
      <c r="F111" s="49" t="s">
        <v>267</v>
      </c>
      <c r="G111" s="42">
        <v>5000</v>
      </c>
      <c r="H111" s="42">
        <v>5000</v>
      </c>
      <c r="I111" s="42"/>
      <c r="J111" s="44">
        <f t="shared" si="30"/>
        <v>19660</v>
      </c>
      <c r="K111" s="45">
        <f t="shared" si="31"/>
        <v>21800</v>
      </c>
      <c r="L111" s="45">
        <f t="shared" si="28"/>
        <v>0</v>
      </c>
      <c r="M111" s="46">
        <f t="shared" si="29"/>
        <v>41460</v>
      </c>
      <c r="N111" s="55"/>
      <c r="O111" s="54"/>
    </row>
    <row r="112" spans="2:15" x14ac:dyDescent="0.25">
      <c r="B112" s="57" t="s">
        <v>295</v>
      </c>
      <c r="C112" s="48"/>
      <c r="D112" s="40"/>
      <c r="E112" s="41">
        <v>300</v>
      </c>
      <c r="F112" s="49" t="s">
        <v>296</v>
      </c>
      <c r="G112" s="42">
        <v>0</v>
      </c>
      <c r="H112" s="42">
        <v>100</v>
      </c>
      <c r="I112" s="42"/>
      <c r="J112" s="44">
        <f t="shared" si="30"/>
        <v>0</v>
      </c>
      <c r="K112" s="45">
        <f t="shared" si="31"/>
        <v>32700.000000000004</v>
      </c>
      <c r="L112" s="45">
        <f t="shared" si="28"/>
        <v>0</v>
      </c>
      <c r="M112" s="46">
        <f t="shared" si="29"/>
        <v>32700.000000000004</v>
      </c>
      <c r="N112" s="55"/>
      <c r="O112" s="54"/>
    </row>
    <row r="113" spans="2:15" x14ac:dyDescent="0.25">
      <c r="B113" s="57"/>
      <c r="C113" s="48"/>
      <c r="D113" s="40"/>
      <c r="E113" s="41"/>
      <c r="F113" s="49"/>
      <c r="G113" s="42"/>
      <c r="H113" s="42"/>
      <c r="I113" s="42"/>
      <c r="J113" s="44">
        <f t="shared" si="4"/>
        <v>0</v>
      </c>
      <c r="K113" s="45">
        <f t="shared" si="8"/>
        <v>0</v>
      </c>
      <c r="L113" s="45">
        <f t="shared" si="9"/>
        <v>0</v>
      </c>
      <c r="M113" s="46">
        <f t="shared" si="3"/>
        <v>0</v>
      </c>
      <c r="N113" s="55"/>
      <c r="O113" s="54"/>
    </row>
    <row r="114" spans="2:15" hidden="1" x14ac:dyDescent="0.25">
      <c r="B114" s="57"/>
      <c r="C114" s="48"/>
      <c r="D114" s="40"/>
      <c r="E114" s="41"/>
      <c r="F114" s="49"/>
      <c r="G114" s="42"/>
      <c r="H114" s="42"/>
      <c r="I114" s="42"/>
      <c r="J114" s="44">
        <f t="shared" si="0"/>
        <v>0</v>
      </c>
      <c r="K114" s="45">
        <f t="shared" si="1"/>
        <v>0</v>
      </c>
      <c r="L114" s="45">
        <f t="shared" si="2"/>
        <v>0</v>
      </c>
      <c r="M114" s="46">
        <f t="shared" si="3"/>
        <v>0</v>
      </c>
      <c r="N114" s="51"/>
      <c r="O114" s="52"/>
    </row>
    <row r="115" spans="2:15" hidden="1" x14ac:dyDescent="0.25">
      <c r="B115" s="57"/>
      <c r="C115" s="48"/>
      <c r="D115" s="40"/>
      <c r="E115" s="41"/>
      <c r="F115" s="49"/>
      <c r="G115" s="42"/>
      <c r="H115" s="42"/>
      <c r="I115" s="42"/>
      <c r="J115" s="44">
        <f t="shared" si="0"/>
        <v>0</v>
      </c>
      <c r="K115" s="45">
        <f t="shared" si="1"/>
        <v>0</v>
      </c>
      <c r="L115" s="45">
        <f t="shared" si="2"/>
        <v>0</v>
      </c>
      <c r="M115" s="46">
        <f t="shared" si="3"/>
        <v>0</v>
      </c>
      <c r="N115" s="51"/>
      <c r="O115" s="52"/>
    </row>
    <row r="116" spans="2:15" hidden="1" x14ac:dyDescent="0.25">
      <c r="B116" s="57"/>
      <c r="C116" s="48"/>
      <c r="D116" s="40"/>
      <c r="E116" s="41"/>
      <c r="F116" s="49"/>
      <c r="G116" s="42"/>
      <c r="H116" s="42"/>
      <c r="I116" s="42"/>
      <c r="J116" s="44">
        <f t="shared" si="0"/>
        <v>0</v>
      </c>
      <c r="K116" s="45">
        <f t="shared" si="1"/>
        <v>0</v>
      </c>
      <c r="L116" s="45">
        <f t="shared" si="2"/>
        <v>0</v>
      </c>
      <c r="M116" s="46">
        <f t="shared" si="3"/>
        <v>0</v>
      </c>
      <c r="N116" s="51"/>
      <c r="O116" s="52"/>
    </row>
    <row r="117" spans="2:15" hidden="1" x14ac:dyDescent="0.25">
      <c r="B117" s="58"/>
      <c r="C117" s="48"/>
      <c r="D117" s="40"/>
      <c r="E117" s="41"/>
      <c r="F117" s="41"/>
      <c r="G117" s="42"/>
      <c r="H117" s="43"/>
      <c r="I117" s="42"/>
      <c r="J117" s="44">
        <f t="shared" ref="J117:J118" si="32">G117*$I$3*E117</f>
        <v>0</v>
      </c>
      <c r="K117" s="45">
        <f t="shared" ref="K117:K118" si="33">H117*$I$4*E117</f>
        <v>0</v>
      </c>
      <c r="L117" s="45">
        <f t="shared" ref="L117:L118" si="34">I117*$I$5*E117</f>
        <v>0</v>
      </c>
      <c r="M117" s="46">
        <f t="shared" ref="M117:M118" si="35">SUM(J117:L117)</f>
        <v>0</v>
      </c>
      <c r="N117" s="53"/>
      <c r="O117" s="54"/>
    </row>
    <row r="118" spans="2:15" ht="15.75" thickBot="1" x14ac:dyDescent="0.3">
      <c r="B118" s="59"/>
      <c r="C118" s="60"/>
      <c r="D118" s="19"/>
      <c r="E118" s="61"/>
      <c r="F118" s="61"/>
      <c r="G118" s="42"/>
      <c r="H118" s="43"/>
      <c r="I118" s="62"/>
      <c r="J118" s="44">
        <f t="shared" si="32"/>
        <v>0</v>
      </c>
      <c r="K118" s="45">
        <f t="shared" si="33"/>
        <v>0</v>
      </c>
      <c r="L118" s="45">
        <f t="shared" si="34"/>
        <v>0</v>
      </c>
      <c r="M118" s="46">
        <f t="shared" si="35"/>
        <v>0</v>
      </c>
      <c r="N118" s="64"/>
      <c r="O118" s="65"/>
    </row>
    <row r="119" spans="2:15" ht="16.5" thickTop="1" thickBot="1" x14ac:dyDescent="0.3">
      <c r="B119" s="19"/>
      <c r="C119" s="66"/>
      <c r="D119" s="66"/>
      <c r="E119" s="67"/>
      <c r="F119" s="67"/>
      <c r="G119" s="68"/>
      <c r="H119" s="68"/>
      <c r="I119" s="68"/>
      <c r="J119" s="68"/>
      <c r="K119" s="68"/>
      <c r="L119" s="68"/>
      <c r="M119" s="69"/>
      <c r="N119" s="70"/>
      <c r="O119" s="28"/>
    </row>
    <row r="120" spans="2:15" ht="15.75" thickTop="1" x14ac:dyDescent="0.25">
      <c r="B120" s="19"/>
      <c r="E120" s="23"/>
      <c r="F120" s="23"/>
      <c r="G120" s="71"/>
      <c r="H120" s="71"/>
      <c r="I120" s="71"/>
      <c r="J120" s="71"/>
      <c r="K120" s="71"/>
      <c r="L120" s="71"/>
      <c r="M120" s="72">
        <f>SUM(M9:M118)</f>
        <v>2872848.689999999</v>
      </c>
      <c r="N120" s="73" t="s">
        <v>297</v>
      </c>
      <c r="O120" s="74"/>
    </row>
    <row r="121" spans="2:15" x14ac:dyDescent="0.25">
      <c r="B121" s="19"/>
      <c r="E121" s="23"/>
      <c r="F121" s="23"/>
      <c r="G121" s="71"/>
      <c r="H121" s="71"/>
      <c r="I121" s="71"/>
      <c r="J121" s="71"/>
      <c r="K121" s="71"/>
      <c r="L121" s="71"/>
      <c r="M121" s="75">
        <f>M120*N121</f>
        <v>287284.86899999989</v>
      </c>
      <c r="N121" s="76">
        <v>0.1</v>
      </c>
      <c r="O121" s="77" t="s">
        <v>298</v>
      </c>
    </row>
    <row r="122" spans="2:15" x14ac:dyDescent="0.25">
      <c r="B122" s="19"/>
      <c r="E122" s="23"/>
      <c r="F122" s="23"/>
      <c r="G122" s="71"/>
      <c r="H122" s="71"/>
      <c r="I122" s="71"/>
      <c r="J122" s="71">
        <f>650*1000/(500*20)</f>
        <v>65</v>
      </c>
      <c r="K122" s="71"/>
      <c r="L122" s="71"/>
      <c r="M122" s="75">
        <f>N122*(M120+M121)</f>
        <v>316013.35589999991</v>
      </c>
      <c r="N122" s="76">
        <v>0.1</v>
      </c>
      <c r="O122" s="77" t="s">
        <v>299</v>
      </c>
    </row>
    <row r="123" spans="2:15" x14ac:dyDescent="0.25">
      <c r="B123" s="19"/>
      <c r="C123" s="19"/>
      <c r="D123" s="19"/>
      <c r="E123" s="23"/>
      <c r="F123" s="23"/>
      <c r="G123" s="71"/>
      <c r="H123" s="71"/>
      <c r="I123" s="71"/>
      <c r="J123" s="71"/>
      <c r="K123" s="71"/>
      <c r="L123" s="71"/>
      <c r="M123" s="78">
        <f>SUM(M120:M122)*N123</f>
        <v>0</v>
      </c>
      <c r="N123" s="76"/>
      <c r="O123" s="77" t="s">
        <v>300</v>
      </c>
    </row>
    <row r="124" spans="2:15" ht="15.75" thickBot="1" x14ac:dyDescent="0.3">
      <c r="B124" s="19"/>
      <c r="C124" s="19"/>
      <c r="D124" s="19"/>
      <c r="E124" s="79"/>
      <c r="F124" s="79"/>
      <c r="G124" s="80"/>
      <c r="H124" s="80"/>
      <c r="I124" s="80"/>
      <c r="J124" s="141">
        <f>J122*40/(3960*0.6)</f>
        <v>1.0942760942760943</v>
      </c>
      <c r="K124" s="80"/>
      <c r="L124" s="80"/>
      <c r="M124" s="81">
        <f>SUM(M120:M123)</f>
        <v>3476146.9148999988</v>
      </c>
      <c r="N124" s="572" t="s">
        <v>46</v>
      </c>
      <c r="O124" s="573"/>
    </row>
    <row r="125" spans="2:15" ht="15.75" thickTop="1" x14ac:dyDescent="0.25">
      <c r="C125" s="82"/>
      <c r="D125" s="83"/>
    </row>
    <row r="126" spans="2:15" x14ac:dyDescent="0.25">
      <c r="C126" s="82"/>
      <c r="D126" s="83"/>
    </row>
    <row r="127" spans="2:15" x14ac:dyDescent="0.25">
      <c r="C127" s="82"/>
      <c r="D127" s="83"/>
    </row>
    <row r="128" spans="2:15" x14ac:dyDescent="0.25">
      <c r="C128" s="83"/>
      <c r="D128" s="83"/>
    </row>
    <row r="129" spans="3:4" x14ac:dyDescent="0.25">
      <c r="C129" s="82"/>
      <c r="D129" s="83"/>
    </row>
    <row r="130" spans="3:4" ht="16.350000000000001" customHeight="1" x14ac:dyDescent="0.25"/>
    <row r="131" spans="3:4" ht="16.350000000000001" customHeight="1" x14ac:dyDescent="0.25"/>
    <row r="132" spans="3:4" ht="16.350000000000001" customHeight="1" x14ac:dyDescent="0.25"/>
  </sheetData>
  <mergeCells count="8">
    <mergeCell ref="N7:O8"/>
    <mergeCell ref="N124:O124"/>
    <mergeCell ref="B7:D8"/>
    <mergeCell ref="E7:E8"/>
    <mergeCell ref="F7:F8"/>
    <mergeCell ref="G7:I7"/>
    <mergeCell ref="J7:L7"/>
    <mergeCell ref="M7:M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109E4-72FC-40D8-92C3-70B3658A5794}">
  <sheetPr>
    <tabColor rgb="FFFFFF00"/>
    <pageSetUpPr fitToPage="1"/>
  </sheetPr>
  <dimension ref="A1:AB61"/>
  <sheetViews>
    <sheetView showGridLines="0" view="pageBreakPreview" zoomScaleNormal="100" zoomScaleSheetLayoutView="100" workbookViewId="0">
      <selection activeCell="D62" sqref="D62"/>
    </sheetView>
  </sheetViews>
  <sheetFormatPr defaultColWidth="8.7109375" defaultRowHeight="15" x14ac:dyDescent="0.25"/>
  <cols>
    <col min="1" max="1" width="41" customWidth="1"/>
    <col min="2" max="2" width="22.42578125" bestFit="1" customWidth="1"/>
    <col min="3" max="3" width="14.7109375" bestFit="1" customWidth="1"/>
    <col min="4" max="4" width="13.7109375" bestFit="1" customWidth="1"/>
    <col min="5" max="5" width="19.42578125" customWidth="1"/>
    <col min="6" max="6" width="13.42578125" customWidth="1"/>
    <col min="7" max="8" width="13" bestFit="1" customWidth="1"/>
    <col min="9" max="21" width="11.7109375" bestFit="1" customWidth="1"/>
    <col min="22" max="25" width="13" bestFit="1" customWidth="1"/>
    <col min="26" max="27" width="13.5703125" bestFit="1" customWidth="1"/>
    <col min="28" max="28" width="15" style="11" bestFit="1" customWidth="1"/>
  </cols>
  <sheetData>
    <row r="1" spans="1:28" x14ac:dyDescent="0.25">
      <c r="A1" s="286" t="s">
        <v>0</v>
      </c>
    </row>
    <row r="2" spans="1:28" x14ac:dyDescent="0.25">
      <c r="A2" s="286"/>
    </row>
    <row r="4" spans="1:28" ht="21" x14ac:dyDescent="0.25">
      <c r="A4" s="315" t="s">
        <v>1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28" ht="15.75" thickBot="1" x14ac:dyDescent="0.3"/>
    <row r="6" spans="1:28" s="1" customFormat="1" ht="30.75" thickBot="1" x14ac:dyDescent="0.3">
      <c r="A6" s="527" t="s">
        <v>2</v>
      </c>
      <c r="B6" s="225" t="s">
        <v>3</v>
      </c>
      <c r="C6" s="222" t="s">
        <v>4</v>
      </c>
      <c r="Y6" s="14"/>
    </row>
    <row r="7" spans="1:28" x14ac:dyDescent="0.25">
      <c r="A7" s="528"/>
      <c r="B7" s="226" t="s">
        <v>5</v>
      </c>
      <c r="C7" s="223" t="s">
        <v>6</v>
      </c>
      <c r="E7" s="543" t="s">
        <v>7</v>
      </c>
      <c r="F7" s="544"/>
      <c r="G7" s="314">
        <v>2.5000000000000001E-3</v>
      </c>
      <c r="Y7" s="11"/>
      <c r="AB7"/>
    </row>
    <row r="8" spans="1:28" ht="15.75" thickBot="1" x14ac:dyDescent="0.3">
      <c r="A8" s="228">
        <f>[3]Sizing!C54</f>
        <v>11904002</v>
      </c>
      <c r="B8" s="227">
        <f>ROUND([1]Summary!$E$16,3)</f>
        <v>8.5000000000000006E-2</v>
      </c>
      <c r="C8" s="224">
        <f>ROUND([1]Summary!$E$28/10,2)</f>
        <v>0.56999999999999995</v>
      </c>
      <c r="E8" s="545" t="s">
        <v>8</v>
      </c>
      <c r="F8" s="546"/>
      <c r="G8" s="362">
        <v>0.03</v>
      </c>
    </row>
    <row r="9" spans="1:28" ht="15.75" thickBot="1" x14ac:dyDescent="0.3">
      <c r="E9" s="521" t="s">
        <v>9</v>
      </c>
      <c r="F9" s="522"/>
      <c r="G9" s="233">
        <v>0.05</v>
      </c>
    </row>
    <row r="10" spans="1:28" ht="15.75" thickBot="1" x14ac:dyDescent="0.3">
      <c r="E10" s="547" t="s">
        <v>10</v>
      </c>
      <c r="F10" s="548"/>
      <c r="G10" s="363">
        <v>0.3</v>
      </c>
    </row>
    <row r="11" spans="1:28" ht="15.75" thickBot="1" x14ac:dyDescent="0.3">
      <c r="A11" s="195" t="s">
        <v>73</v>
      </c>
      <c r="B11" s="195" t="s">
        <v>74</v>
      </c>
      <c r="E11" s="519" t="s">
        <v>13</v>
      </c>
      <c r="F11" s="520"/>
      <c r="G11" s="364">
        <v>5.4800000000000001E-2</v>
      </c>
      <c r="AA11" s="11"/>
      <c r="AB11"/>
    </row>
    <row r="12" spans="1:28" ht="15.75" thickBot="1" x14ac:dyDescent="0.3">
      <c r="A12" s="285">
        <f>AA22</f>
        <v>239794499.42231944</v>
      </c>
      <c r="B12" s="381">
        <f>SUM(B36:Z38)</f>
        <v>200626.85032947292</v>
      </c>
      <c r="AA12" s="11"/>
      <c r="AB12"/>
    </row>
    <row r="14" spans="1:28" s="3" customFormat="1" ht="27" customHeight="1" thickBot="1" x14ac:dyDescent="0.3">
      <c r="A14" s="2" t="s">
        <v>75</v>
      </c>
      <c r="AB14" s="15"/>
    </row>
    <row r="15" spans="1:28" s="4" customFormat="1" ht="15.75" thickBot="1" x14ac:dyDescent="0.3">
      <c r="A15" s="167"/>
      <c r="B15" s="182" t="s">
        <v>21</v>
      </c>
      <c r="C15" s="157" t="s">
        <v>22</v>
      </c>
      <c r="D15" s="157" t="s">
        <v>23</v>
      </c>
      <c r="E15" s="157" t="s">
        <v>24</v>
      </c>
      <c r="F15" s="157" t="s">
        <v>25</v>
      </c>
      <c r="G15" s="157" t="s">
        <v>26</v>
      </c>
      <c r="H15" s="157" t="s">
        <v>27</v>
      </c>
      <c r="I15" s="157" t="s">
        <v>28</v>
      </c>
      <c r="J15" s="157" t="s">
        <v>29</v>
      </c>
      <c r="K15" s="157" t="s">
        <v>30</v>
      </c>
      <c r="L15" s="157" t="s">
        <v>31</v>
      </c>
      <c r="M15" s="157" t="s">
        <v>32</v>
      </c>
      <c r="N15" s="157" t="s">
        <v>33</v>
      </c>
      <c r="O15" s="157" t="s">
        <v>34</v>
      </c>
      <c r="P15" s="157" t="s">
        <v>35</v>
      </c>
      <c r="Q15" s="157" t="s">
        <v>36</v>
      </c>
      <c r="R15" s="157" t="s">
        <v>37</v>
      </c>
      <c r="S15" s="157" t="s">
        <v>38</v>
      </c>
      <c r="T15" s="157" t="s">
        <v>39</v>
      </c>
      <c r="U15" s="157" t="s">
        <v>40</v>
      </c>
      <c r="V15" s="157" t="s">
        <v>41</v>
      </c>
      <c r="W15" s="157" t="s">
        <v>42</v>
      </c>
      <c r="X15" s="157" t="s">
        <v>43</v>
      </c>
      <c r="Y15" s="157" t="s">
        <v>44</v>
      </c>
      <c r="Z15" s="162" t="s">
        <v>45</v>
      </c>
      <c r="AA15" s="177" t="s">
        <v>46</v>
      </c>
      <c r="AB15" s="177" t="s">
        <v>47</v>
      </c>
    </row>
    <row r="16" spans="1:28" s="5" customFormat="1" ht="30" x14ac:dyDescent="0.25">
      <c r="A16" s="195" t="s">
        <v>76</v>
      </c>
      <c r="B16" s="190">
        <f>Sizing!D55*10</f>
        <v>1120506.4657457031</v>
      </c>
      <c r="C16" s="160">
        <f>B16*(1+$G$7)</f>
        <v>1123307.7319100674</v>
      </c>
      <c r="D16" s="160">
        <f>C16*(1+$G$7)</f>
        <v>1126116.0012398425</v>
      </c>
      <c r="E16" s="160">
        <f>D16*(1+$G$7)</f>
        <v>1128931.291242942</v>
      </c>
      <c r="F16" s="160">
        <f t="shared" ref="F16:Z16" si="0">E16*(1+$G$7)</f>
        <v>1131753.6194710492</v>
      </c>
      <c r="G16" s="160">
        <f t="shared" si="0"/>
        <v>1134583.0035197267</v>
      </c>
      <c r="H16" s="160">
        <f t="shared" si="0"/>
        <v>1137419.4610285258</v>
      </c>
      <c r="I16" s="160">
        <f t="shared" si="0"/>
        <v>1140263.009681097</v>
      </c>
      <c r="J16" s="160">
        <f t="shared" si="0"/>
        <v>1143113.6672052997</v>
      </c>
      <c r="K16" s="160">
        <f t="shared" si="0"/>
        <v>1145971.4513733129</v>
      </c>
      <c r="L16" s="160">
        <f t="shared" si="0"/>
        <v>1148836.3800017461</v>
      </c>
      <c r="M16" s="160">
        <f t="shared" si="0"/>
        <v>1151708.4709517504</v>
      </c>
      <c r="N16" s="160">
        <f t="shared" si="0"/>
        <v>1154587.7421291298</v>
      </c>
      <c r="O16" s="160">
        <f t="shared" si="0"/>
        <v>1157474.2114844525</v>
      </c>
      <c r="P16" s="160">
        <f t="shared" si="0"/>
        <v>1160367.8970131637</v>
      </c>
      <c r="Q16" s="160">
        <f t="shared" si="0"/>
        <v>1163268.8167556964</v>
      </c>
      <c r="R16" s="160">
        <f t="shared" si="0"/>
        <v>1166176.9887975857</v>
      </c>
      <c r="S16" s="160">
        <f t="shared" si="0"/>
        <v>1169092.4312695796</v>
      </c>
      <c r="T16" s="160">
        <f t="shared" si="0"/>
        <v>1172015.1623477535</v>
      </c>
      <c r="U16" s="160">
        <f t="shared" si="0"/>
        <v>1174945.2002536228</v>
      </c>
      <c r="V16" s="160">
        <f t="shared" si="0"/>
        <v>1177882.5632542567</v>
      </c>
      <c r="W16" s="160">
        <f t="shared" si="0"/>
        <v>1180827.2696623923</v>
      </c>
      <c r="X16" s="160">
        <f t="shared" si="0"/>
        <v>1183779.3378365482</v>
      </c>
      <c r="Y16" s="160">
        <f t="shared" si="0"/>
        <v>1186738.7861811395</v>
      </c>
      <c r="Z16" s="163">
        <f t="shared" si="0"/>
        <v>1189705.6331465924</v>
      </c>
      <c r="AA16" s="458">
        <f>SUM(B16:Z16)</f>
        <v>28869372.593502976</v>
      </c>
      <c r="AB16" s="168">
        <f>AVERAGE(B16:Z16)</f>
        <v>1154774.903740119</v>
      </c>
    </row>
    <row r="17" spans="1:28" s="5" customFormat="1" ht="30.75" thickBot="1" x14ac:dyDescent="0.3">
      <c r="A17" s="196" t="s">
        <v>77</v>
      </c>
      <c r="B17" s="452">
        <f>(Sizing!E55*1000000)/3412</f>
        <v>44736375.104737386</v>
      </c>
      <c r="C17" s="453">
        <f>B17*(1+$G$7)</f>
        <v>44848216.042499229</v>
      </c>
      <c r="D17" s="147">
        <f t="shared" ref="D17:Z17" si="1">C17*(1+$G$7)</f>
        <v>44960336.582605474</v>
      </c>
      <c r="E17" s="147">
        <f t="shared" si="1"/>
        <v>45072737.424061984</v>
      </c>
      <c r="F17" s="147">
        <f t="shared" si="1"/>
        <v>45185419.267622136</v>
      </c>
      <c r="G17" s="147">
        <f t="shared" si="1"/>
        <v>45298382.81579119</v>
      </c>
      <c r="H17" s="147">
        <f t="shared" si="1"/>
        <v>45411628.772830665</v>
      </c>
      <c r="I17" s="147">
        <f t="shared" si="1"/>
        <v>45525157.844762743</v>
      </c>
      <c r="J17" s="147">
        <f t="shared" si="1"/>
        <v>45638970.739374645</v>
      </c>
      <c r="K17" s="147">
        <f t="shared" si="1"/>
        <v>45753068.166223079</v>
      </c>
      <c r="L17" s="147">
        <f t="shared" si="1"/>
        <v>45867450.836638637</v>
      </c>
      <c r="M17" s="147">
        <f t="shared" si="1"/>
        <v>45982119.463730231</v>
      </c>
      <c r="N17" s="147">
        <f t="shared" si="1"/>
        <v>46097074.762389556</v>
      </c>
      <c r="O17" s="147">
        <f t="shared" si="1"/>
        <v>46212317.449295528</v>
      </c>
      <c r="P17" s="147">
        <f t="shared" si="1"/>
        <v>46327848.242918767</v>
      </c>
      <c r="Q17" s="147">
        <f t="shared" si="1"/>
        <v>46443667.863526061</v>
      </c>
      <c r="R17" s="147">
        <f t="shared" si="1"/>
        <v>46559777.033184871</v>
      </c>
      <c r="S17" s="147">
        <f t="shared" si="1"/>
        <v>46676176.475767829</v>
      </c>
      <c r="T17" s="147">
        <f t="shared" si="1"/>
        <v>46792866.916957244</v>
      </c>
      <c r="U17" s="147">
        <f t="shared" si="1"/>
        <v>46909849.084249638</v>
      </c>
      <c r="V17" s="147">
        <f t="shared" si="1"/>
        <v>47027123.706960261</v>
      </c>
      <c r="W17" s="147">
        <f t="shared" si="1"/>
        <v>47144691.516227663</v>
      </c>
      <c r="X17" s="147">
        <f t="shared" si="1"/>
        <v>47262553.245018229</v>
      </c>
      <c r="Y17" s="147">
        <f t="shared" si="1"/>
        <v>47380709.628130771</v>
      </c>
      <c r="Z17" s="164">
        <f t="shared" si="1"/>
        <v>47499161.402201094</v>
      </c>
      <c r="AA17" s="459">
        <f>SUM(B17:Z17)</f>
        <v>1152613680.3877051</v>
      </c>
      <c r="AB17" s="169">
        <f t="shared" ref="AB17:AB18" si="2">AVERAGE(B17:Z17)</f>
        <v>46104547.2155082</v>
      </c>
    </row>
    <row r="18" spans="1:28" s="5" customFormat="1" x14ac:dyDescent="0.25">
      <c r="A18" s="195" t="s">
        <v>17</v>
      </c>
      <c r="B18" s="359">
        <f>$C$8*B24</f>
        <v>0.56999999999999995</v>
      </c>
      <c r="C18" s="359">
        <f>$C$8*C24</f>
        <v>0.59849999999999992</v>
      </c>
      <c r="D18" s="359">
        <f>$C$8*D24</f>
        <v>0.61560000000000004</v>
      </c>
      <c r="E18" s="359">
        <f>$C$8*E24</f>
        <v>0.62129999999999996</v>
      </c>
      <c r="F18" s="359">
        <f t="shared" ref="F18:Z18" si="3">$C$8*F24</f>
        <v>0.64979999999999993</v>
      </c>
      <c r="G18" s="359">
        <f t="shared" si="3"/>
        <v>0.68969999999999987</v>
      </c>
      <c r="H18" s="359">
        <f t="shared" si="3"/>
        <v>0.72389999999999999</v>
      </c>
      <c r="I18" s="359">
        <f t="shared" si="3"/>
        <v>0.76380000000000003</v>
      </c>
      <c r="J18" s="359">
        <f t="shared" si="3"/>
        <v>0.8093999999999999</v>
      </c>
      <c r="K18" s="359">
        <f t="shared" si="3"/>
        <v>0.85499999999999998</v>
      </c>
      <c r="L18" s="359">
        <f t="shared" si="3"/>
        <v>0.89489999999999992</v>
      </c>
      <c r="M18" s="359">
        <f t="shared" si="3"/>
        <v>0.94049999999999989</v>
      </c>
      <c r="N18" s="359">
        <f t="shared" si="3"/>
        <v>0.9917999999999999</v>
      </c>
      <c r="O18" s="359">
        <f t="shared" si="3"/>
        <v>1.0488</v>
      </c>
      <c r="P18" s="359">
        <f t="shared" si="3"/>
        <v>1.1000999999999999</v>
      </c>
      <c r="Q18" s="359">
        <f t="shared" si="3"/>
        <v>1.1570999999999998</v>
      </c>
      <c r="R18" s="359">
        <f t="shared" si="3"/>
        <v>1.2140999999999997</v>
      </c>
      <c r="S18" s="359">
        <f t="shared" si="3"/>
        <v>1.2710999999999999</v>
      </c>
      <c r="T18" s="359">
        <f t="shared" si="3"/>
        <v>1.3337999999999999</v>
      </c>
      <c r="U18" s="359">
        <f t="shared" si="3"/>
        <v>1.4021999999999999</v>
      </c>
      <c r="V18" s="359">
        <f t="shared" si="3"/>
        <v>1.4762999999999997</v>
      </c>
      <c r="W18" s="359">
        <f t="shared" si="3"/>
        <v>1.5446999999999997</v>
      </c>
      <c r="X18" s="359">
        <f t="shared" si="3"/>
        <v>1.6244999999999998</v>
      </c>
      <c r="Y18" s="359">
        <f t="shared" si="3"/>
        <v>1.7042999999999999</v>
      </c>
      <c r="Z18" s="359">
        <f t="shared" si="3"/>
        <v>1.7897999999999998</v>
      </c>
      <c r="AA18" s="460"/>
      <c r="AB18" s="361">
        <f t="shared" si="2"/>
        <v>1.0556399999999999</v>
      </c>
    </row>
    <row r="19" spans="1:28" s="4" customFormat="1" ht="15.6" customHeight="1" thickBot="1" x14ac:dyDescent="0.3">
      <c r="A19" s="197" t="s">
        <v>18</v>
      </c>
      <c r="B19" s="194">
        <f>$B$8*B25</f>
        <v>8.5000000000000006E-2</v>
      </c>
      <c r="C19" s="194">
        <f>$B$8*C25</f>
        <v>9.0950000000000017E-2</v>
      </c>
      <c r="D19" s="194">
        <f t="shared" ref="D19:Z19" si="4">$B$8*D25</f>
        <v>9.6049999999999996E-2</v>
      </c>
      <c r="E19" s="194">
        <f t="shared" si="4"/>
        <v>0.10200000000000001</v>
      </c>
      <c r="F19" s="194">
        <f>$B$8*F25</f>
        <v>0.10965000000000001</v>
      </c>
      <c r="G19" s="194">
        <f t="shared" si="4"/>
        <v>0.11645000000000001</v>
      </c>
      <c r="H19" s="194">
        <f t="shared" si="4"/>
        <v>0.1241</v>
      </c>
      <c r="I19" s="194">
        <f t="shared" si="4"/>
        <v>0.13090000000000002</v>
      </c>
      <c r="J19" s="194">
        <f t="shared" si="4"/>
        <v>0.13855000000000001</v>
      </c>
      <c r="K19" s="194">
        <f t="shared" si="4"/>
        <v>0.14450000000000002</v>
      </c>
      <c r="L19" s="194">
        <f t="shared" si="4"/>
        <v>0.15215000000000001</v>
      </c>
      <c r="M19" s="194">
        <f t="shared" si="4"/>
        <v>0.1598</v>
      </c>
      <c r="N19" s="194">
        <f t="shared" si="4"/>
        <v>0.17</v>
      </c>
      <c r="O19" s="194">
        <f t="shared" si="4"/>
        <v>0.18020000000000003</v>
      </c>
      <c r="P19" s="194">
        <f t="shared" si="4"/>
        <v>0.19040000000000004</v>
      </c>
      <c r="Q19" s="194">
        <f t="shared" si="4"/>
        <v>0.19889999999999999</v>
      </c>
      <c r="R19" s="194">
        <f t="shared" si="4"/>
        <v>0.20825000000000002</v>
      </c>
      <c r="S19" s="194">
        <f t="shared" si="4"/>
        <v>0.21845000000000001</v>
      </c>
      <c r="T19" s="194">
        <f t="shared" si="4"/>
        <v>0.22865000000000002</v>
      </c>
      <c r="U19" s="194">
        <f t="shared" si="4"/>
        <v>0.2414</v>
      </c>
      <c r="V19" s="194">
        <f t="shared" si="4"/>
        <v>0.25415000000000004</v>
      </c>
      <c r="W19" s="194">
        <f t="shared" si="4"/>
        <v>0.27030000000000004</v>
      </c>
      <c r="X19" s="194">
        <f t="shared" si="4"/>
        <v>0.28305000000000002</v>
      </c>
      <c r="Y19" s="194">
        <f t="shared" si="4"/>
        <v>0.29835</v>
      </c>
      <c r="Z19" s="454">
        <f t="shared" si="4"/>
        <v>0.31365000000000004</v>
      </c>
      <c r="AA19" s="461"/>
      <c r="AB19" s="171">
        <f>AVERAGE(B19:Z19)</f>
        <v>0.18023400000000003</v>
      </c>
    </row>
    <row r="20" spans="1:28" s="4" customFormat="1" ht="15.6" customHeight="1" x14ac:dyDescent="0.25">
      <c r="A20" s="195" t="s">
        <v>48</v>
      </c>
      <c r="B20" s="444">
        <f>B18*B16</f>
        <v>638688.6854750507</v>
      </c>
      <c r="C20" s="255">
        <f>C18*C16</f>
        <v>672299.67754817521</v>
      </c>
      <c r="D20" s="255">
        <f t="shared" ref="D20:Z20" si="5">D18*D16</f>
        <v>693237.01036324713</v>
      </c>
      <c r="E20" s="255">
        <f>E18*E16</f>
        <v>701405.01124923979</v>
      </c>
      <c r="F20" s="255">
        <f t="shared" si="5"/>
        <v>735413.50193228771</v>
      </c>
      <c r="G20" s="255">
        <f t="shared" si="5"/>
        <v>782521.89752755535</v>
      </c>
      <c r="H20" s="255">
        <f t="shared" si="5"/>
        <v>823377.94783854985</v>
      </c>
      <c r="I20" s="255">
        <f t="shared" si="5"/>
        <v>870932.88679442194</v>
      </c>
      <c r="J20" s="255">
        <f t="shared" si="5"/>
        <v>925236.20223596948</v>
      </c>
      <c r="K20" s="255">
        <f t="shared" si="5"/>
        <v>979805.59092418244</v>
      </c>
      <c r="L20" s="255">
        <f t="shared" si="5"/>
        <v>1028093.6764635625</v>
      </c>
      <c r="M20" s="255">
        <f t="shared" si="5"/>
        <v>1083181.816930121</v>
      </c>
      <c r="N20" s="255">
        <f t="shared" si="5"/>
        <v>1145120.1226436708</v>
      </c>
      <c r="O20" s="255">
        <f t="shared" si="5"/>
        <v>1213958.9530048936</v>
      </c>
      <c r="P20" s="255">
        <f t="shared" si="5"/>
        <v>1276520.7235041813</v>
      </c>
      <c r="Q20" s="255">
        <f t="shared" si="5"/>
        <v>1346018.347868016</v>
      </c>
      <c r="R20" s="255">
        <f t="shared" si="5"/>
        <v>1415855.4820991484</v>
      </c>
      <c r="S20" s="255">
        <f t="shared" si="5"/>
        <v>1486033.3893867624</v>
      </c>
      <c r="T20" s="255">
        <f t="shared" si="5"/>
        <v>1563233.8235394335</v>
      </c>
      <c r="U20" s="255">
        <f t="shared" si="5"/>
        <v>1647508.1597956298</v>
      </c>
      <c r="V20" s="255">
        <f t="shared" si="5"/>
        <v>1738908.0281322589</v>
      </c>
      <c r="W20" s="255">
        <f t="shared" si="5"/>
        <v>1824023.8834474972</v>
      </c>
      <c r="X20" s="255">
        <f t="shared" si="5"/>
        <v>1923049.5343154725</v>
      </c>
      <c r="Y20" s="255">
        <f t="shared" si="5"/>
        <v>2022558.913288516</v>
      </c>
      <c r="Z20" s="455">
        <f t="shared" si="5"/>
        <v>2129335.1422057711</v>
      </c>
      <c r="AA20" s="211">
        <f>SUM(B20:Z20)</f>
        <v>30666318.408513613</v>
      </c>
      <c r="AB20" s="252">
        <f t="shared" ref="AB20:AB22" si="6">AVERAGE(B20:Z20)</f>
        <v>1226652.7363405444</v>
      </c>
    </row>
    <row r="21" spans="1:28" s="4" customFormat="1" ht="15.6" customHeight="1" x14ac:dyDescent="0.25">
      <c r="A21" s="196" t="s">
        <v>49</v>
      </c>
      <c r="B21" s="445">
        <f>B19*B17</f>
        <v>3802591.8839026783</v>
      </c>
      <c r="C21" s="446">
        <f>C19*C17</f>
        <v>4078945.2490653056</v>
      </c>
      <c r="D21" s="446">
        <f t="shared" ref="D21:Z21" si="7">D19*D17</f>
        <v>4318440.3287592558</v>
      </c>
      <c r="E21" s="446">
        <f t="shared" si="7"/>
        <v>4597419.217254323</v>
      </c>
      <c r="F21" s="446">
        <f t="shared" si="7"/>
        <v>4954581.2226947676</v>
      </c>
      <c r="G21" s="446">
        <f t="shared" si="7"/>
        <v>5274996.6788988849</v>
      </c>
      <c r="H21" s="446">
        <f t="shared" si="7"/>
        <v>5635583.1307082856</v>
      </c>
      <c r="I21" s="446">
        <f t="shared" si="7"/>
        <v>5959243.1618794436</v>
      </c>
      <c r="J21" s="446">
        <f t="shared" si="7"/>
        <v>6323279.3959403578</v>
      </c>
      <c r="K21" s="446">
        <f t="shared" si="7"/>
        <v>6611318.3500192361</v>
      </c>
      <c r="L21" s="446">
        <f t="shared" si="7"/>
        <v>6978732.6447945694</v>
      </c>
      <c r="M21" s="446">
        <f t="shared" si="7"/>
        <v>7347942.6903040912</v>
      </c>
      <c r="N21" s="446">
        <f t="shared" si="7"/>
        <v>7836502.7096062247</v>
      </c>
      <c r="O21" s="446">
        <f t="shared" si="7"/>
        <v>8327459.604363055</v>
      </c>
      <c r="P21" s="446">
        <f t="shared" si="7"/>
        <v>8820822.3054517359</v>
      </c>
      <c r="Q21" s="446">
        <f t="shared" si="7"/>
        <v>9237645.5380553324</v>
      </c>
      <c r="R21" s="446">
        <f t="shared" si="7"/>
        <v>9696073.5671607498</v>
      </c>
      <c r="S21" s="446">
        <f t="shared" si="7"/>
        <v>10196410.751131482</v>
      </c>
      <c r="T21" s="446">
        <f t="shared" si="7"/>
        <v>10699189.020562274</v>
      </c>
      <c r="U21" s="446">
        <f t="shared" si="7"/>
        <v>11324037.568937862</v>
      </c>
      <c r="V21" s="446">
        <f t="shared" si="7"/>
        <v>11951943.490123952</v>
      </c>
      <c r="W21" s="446">
        <f t="shared" si="7"/>
        <v>12743210.116836339</v>
      </c>
      <c r="X21" s="446">
        <f t="shared" si="7"/>
        <v>13377665.696002411</v>
      </c>
      <c r="Y21" s="446">
        <f t="shared" si="7"/>
        <v>14136034.717552816</v>
      </c>
      <c r="Z21" s="456">
        <f t="shared" si="7"/>
        <v>14898111.973800374</v>
      </c>
      <c r="AA21" s="212">
        <f>SUM(B21:Z21)</f>
        <v>209128181.01380581</v>
      </c>
      <c r="AB21" s="253">
        <f t="shared" si="6"/>
        <v>8365127.2405522326</v>
      </c>
    </row>
    <row r="22" spans="1:28" s="4" customFormat="1" ht="15.6" customHeight="1" thickBot="1" x14ac:dyDescent="0.3">
      <c r="A22" s="197" t="s">
        <v>78</v>
      </c>
      <c r="B22" s="447">
        <f>B20+B21</f>
        <v>4441280.5693777287</v>
      </c>
      <c r="C22" s="151">
        <f t="shared" ref="C22:Z22" si="8">C20+C21</f>
        <v>4751244.9266134808</v>
      </c>
      <c r="D22" s="151">
        <f>D20+D21</f>
        <v>5011677.3391225031</v>
      </c>
      <c r="E22" s="151">
        <f t="shared" si="8"/>
        <v>5298824.2285035625</v>
      </c>
      <c r="F22" s="151">
        <f t="shared" si="8"/>
        <v>5689994.7246270552</v>
      </c>
      <c r="G22" s="151">
        <f t="shared" si="8"/>
        <v>6057518.5764264399</v>
      </c>
      <c r="H22" s="151">
        <f t="shared" si="8"/>
        <v>6458961.0785468351</v>
      </c>
      <c r="I22" s="151">
        <f t="shared" si="8"/>
        <v>6830176.0486738654</v>
      </c>
      <c r="J22" s="151">
        <f t="shared" si="8"/>
        <v>7248515.5981763275</v>
      </c>
      <c r="K22" s="151">
        <f t="shared" si="8"/>
        <v>7591123.9409434181</v>
      </c>
      <c r="L22" s="151">
        <f t="shared" si="8"/>
        <v>8006826.3212581314</v>
      </c>
      <c r="M22" s="151">
        <f t="shared" si="8"/>
        <v>8431124.507234212</v>
      </c>
      <c r="N22" s="151">
        <f t="shared" si="8"/>
        <v>8981622.8322498947</v>
      </c>
      <c r="O22" s="151">
        <f t="shared" si="8"/>
        <v>9541418.5573679488</v>
      </c>
      <c r="P22" s="151">
        <f t="shared" si="8"/>
        <v>10097343.028955918</v>
      </c>
      <c r="Q22" s="151">
        <f t="shared" si="8"/>
        <v>10583663.885923348</v>
      </c>
      <c r="R22" s="151">
        <f t="shared" si="8"/>
        <v>11111929.049259897</v>
      </c>
      <c r="S22" s="151">
        <f t="shared" si="8"/>
        <v>11682444.140518244</v>
      </c>
      <c r="T22" s="151">
        <f t="shared" si="8"/>
        <v>12262422.844101708</v>
      </c>
      <c r="U22" s="151">
        <f t="shared" si="8"/>
        <v>12971545.728733491</v>
      </c>
      <c r="V22" s="151">
        <f t="shared" si="8"/>
        <v>13690851.51825621</v>
      </c>
      <c r="W22" s="151">
        <f t="shared" si="8"/>
        <v>14567234.000283837</v>
      </c>
      <c r="X22" s="151">
        <f t="shared" si="8"/>
        <v>15300715.230317883</v>
      </c>
      <c r="Y22" s="151">
        <f t="shared" si="8"/>
        <v>16158593.630841333</v>
      </c>
      <c r="Z22" s="457">
        <f t="shared" si="8"/>
        <v>17027447.116006143</v>
      </c>
      <c r="AA22" s="285">
        <f>SUM(B22:Z22)</f>
        <v>239794499.42231944</v>
      </c>
      <c r="AB22" s="254">
        <f t="shared" si="6"/>
        <v>9591779.9768927768</v>
      </c>
    </row>
    <row r="23" spans="1:28" s="4" customFormat="1" ht="15.6" customHeight="1" thickBot="1" x14ac:dyDescent="0.3">
      <c r="A23" s="259"/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0"/>
      <c r="AB23" s="261"/>
    </row>
    <row r="24" spans="1:28" s="4" customFormat="1" ht="15.6" customHeight="1" x14ac:dyDescent="0.25">
      <c r="A24" s="195" t="s">
        <v>79</v>
      </c>
      <c r="B24" s="263">
        <f>'Fuel Indices'!I8</f>
        <v>1</v>
      </c>
      <c r="C24" s="263">
        <f>'Fuel Indices'!J8</f>
        <v>1.05</v>
      </c>
      <c r="D24" s="263">
        <f>'Fuel Indices'!K8</f>
        <v>1.08</v>
      </c>
      <c r="E24" s="263">
        <f>'Fuel Indices'!L8</f>
        <v>1.0900000000000001</v>
      </c>
      <c r="F24" s="263">
        <f>'Fuel Indices'!M8</f>
        <v>1.1399999999999999</v>
      </c>
      <c r="G24" s="263">
        <f>'Fuel Indices'!N8</f>
        <v>1.21</v>
      </c>
      <c r="H24" s="263">
        <f>'Fuel Indices'!O8</f>
        <v>1.27</v>
      </c>
      <c r="I24" s="263">
        <f>'Fuel Indices'!P8</f>
        <v>1.34</v>
      </c>
      <c r="J24" s="263">
        <f>'Fuel Indices'!Q8</f>
        <v>1.42</v>
      </c>
      <c r="K24" s="263">
        <f>'Fuel Indices'!R8</f>
        <v>1.5</v>
      </c>
      <c r="L24" s="263">
        <f>'Fuel Indices'!S8</f>
        <v>1.57</v>
      </c>
      <c r="M24" s="263">
        <f>'Fuel Indices'!T8</f>
        <v>1.65</v>
      </c>
      <c r="N24" s="263">
        <f>'Fuel Indices'!U8</f>
        <v>1.74</v>
      </c>
      <c r="O24" s="263">
        <f>'Fuel Indices'!V8</f>
        <v>1.84</v>
      </c>
      <c r="P24" s="263">
        <f>'Fuel Indices'!W8</f>
        <v>1.93</v>
      </c>
      <c r="Q24" s="263">
        <f>'Fuel Indices'!X8</f>
        <v>2.0299999999999998</v>
      </c>
      <c r="R24" s="263">
        <f>'Fuel Indices'!Y8</f>
        <v>2.13</v>
      </c>
      <c r="S24" s="263">
        <f>'Fuel Indices'!Z8</f>
        <v>2.23</v>
      </c>
      <c r="T24" s="263">
        <f>'Fuel Indices'!AA8</f>
        <v>2.34</v>
      </c>
      <c r="U24" s="263">
        <f>'Fuel Indices'!AB8</f>
        <v>2.46</v>
      </c>
      <c r="V24" s="263">
        <f>'Fuel Indices'!AC8</f>
        <v>2.59</v>
      </c>
      <c r="W24" s="263">
        <f>'Fuel Indices'!AD8</f>
        <v>2.71</v>
      </c>
      <c r="X24" s="263">
        <f>'Fuel Indices'!AE8</f>
        <v>2.85</v>
      </c>
      <c r="Y24" s="263">
        <f>'Fuel Indices'!AF8</f>
        <v>2.99</v>
      </c>
      <c r="Z24" s="263">
        <f>'Fuel Indices'!AG8</f>
        <v>3.14</v>
      </c>
      <c r="AA24" s="260"/>
      <c r="AB24" s="261"/>
    </row>
    <row r="25" spans="1:28" s="4" customFormat="1" ht="15.6" customHeight="1" thickBot="1" x14ac:dyDescent="0.3">
      <c r="A25" s="197" t="s">
        <v>80</v>
      </c>
      <c r="B25" s="264">
        <f>'Fuel Indices'!I7</f>
        <v>1</v>
      </c>
      <c r="C25" s="264">
        <f>'Fuel Indices'!J7</f>
        <v>1.07</v>
      </c>
      <c r="D25" s="264">
        <f>'Fuel Indices'!K7</f>
        <v>1.1299999999999999</v>
      </c>
      <c r="E25" s="264">
        <f>'Fuel Indices'!L7</f>
        <v>1.2</v>
      </c>
      <c r="F25" s="264">
        <f>'Fuel Indices'!M7</f>
        <v>1.29</v>
      </c>
      <c r="G25" s="264">
        <f>'Fuel Indices'!N7</f>
        <v>1.37</v>
      </c>
      <c r="H25" s="264">
        <f>'Fuel Indices'!O7</f>
        <v>1.46</v>
      </c>
      <c r="I25" s="264">
        <f>'Fuel Indices'!P7</f>
        <v>1.54</v>
      </c>
      <c r="J25" s="264">
        <f>'Fuel Indices'!Q7</f>
        <v>1.63</v>
      </c>
      <c r="K25" s="264">
        <f>'Fuel Indices'!R7</f>
        <v>1.7</v>
      </c>
      <c r="L25" s="264">
        <f>'Fuel Indices'!S7</f>
        <v>1.79</v>
      </c>
      <c r="M25" s="264">
        <f>'Fuel Indices'!T7</f>
        <v>1.88</v>
      </c>
      <c r="N25" s="264">
        <f>'Fuel Indices'!U7</f>
        <v>2</v>
      </c>
      <c r="O25" s="264">
        <f>'Fuel Indices'!V7</f>
        <v>2.12</v>
      </c>
      <c r="P25" s="264">
        <f>'Fuel Indices'!W7</f>
        <v>2.2400000000000002</v>
      </c>
      <c r="Q25" s="264">
        <f>'Fuel Indices'!X7</f>
        <v>2.34</v>
      </c>
      <c r="R25" s="264">
        <f>'Fuel Indices'!Y7</f>
        <v>2.4500000000000002</v>
      </c>
      <c r="S25" s="264">
        <f>'Fuel Indices'!Z7</f>
        <v>2.57</v>
      </c>
      <c r="T25" s="264">
        <f>'Fuel Indices'!AA7</f>
        <v>2.69</v>
      </c>
      <c r="U25" s="264">
        <f>'Fuel Indices'!AB7</f>
        <v>2.84</v>
      </c>
      <c r="V25" s="264">
        <f>'Fuel Indices'!AC7</f>
        <v>2.99</v>
      </c>
      <c r="W25" s="264">
        <f>'Fuel Indices'!AD7</f>
        <v>3.18</v>
      </c>
      <c r="X25" s="264">
        <f>'Fuel Indices'!AE7</f>
        <v>3.33</v>
      </c>
      <c r="Y25" s="264">
        <f>'Fuel Indices'!AF7</f>
        <v>3.51</v>
      </c>
      <c r="Z25" s="264">
        <f>'Fuel Indices'!AG7</f>
        <v>3.69</v>
      </c>
      <c r="AA25" s="260"/>
      <c r="AB25" s="261"/>
    </row>
    <row r="26" spans="1:28" s="4" customFormat="1" ht="15.6" customHeight="1" x14ac:dyDescent="0.25">
      <c r="B26" s="502">
        <f>B18</f>
        <v>0.56999999999999995</v>
      </c>
      <c r="C26" s="501">
        <f>B26*(1+$G$9)</f>
        <v>0.59849999999999992</v>
      </c>
      <c r="D26" s="501">
        <f>C26*(1+$G$9)</f>
        <v>0.6284249999999999</v>
      </c>
      <c r="E26" s="501">
        <f t="shared" ref="E26:Z26" si="9">D26*(1+$G$9)</f>
        <v>0.65984624999999997</v>
      </c>
      <c r="F26" s="501">
        <f t="shared" si="9"/>
        <v>0.69283856249999998</v>
      </c>
      <c r="G26" s="501">
        <f t="shared" si="9"/>
        <v>0.72748049062499998</v>
      </c>
      <c r="H26" s="501">
        <f t="shared" si="9"/>
        <v>0.76385451515625002</v>
      </c>
      <c r="I26" s="501">
        <f t="shared" si="9"/>
        <v>0.80204724091406254</v>
      </c>
      <c r="J26" s="501">
        <f t="shared" si="9"/>
        <v>0.84214960295976571</v>
      </c>
      <c r="K26" s="501">
        <f t="shared" si="9"/>
        <v>0.88425708310775408</v>
      </c>
      <c r="L26" s="501">
        <f t="shared" si="9"/>
        <v>0.92846993726314186</v>
      </c>
      <c r="M26" s="501">
        <f t="shared" si="9"/>
        <v>0.97489343412629903</v>
      </c>
      <c r="N26" s="501">
        <f t="shared" si="9"/>
        <v>1.0236381058326141</v>
      </c>
      <c r="O26" s="501">
        <f t="shared" si="9"/>
        <v>1.0748200111242447</v>
      </c>
      <c r="P26" s="501">
        <f t="shared" si="9"/>
        <v>1.128561011680457</v>
      </c>
      <c r="Q26" s="501">
        <f t="shared" si="9"/>
        <v>1.1849890622644799</v>
      </c>
      <c r="R26" s="501">
        <f t="shared" si="9"/>
        <v>1.2442385153777038</v>
      </c>
      <c r="S26" s="501">
        <f t="shared" si="9"/>
        <v>1.3064504411465891</v>
      </c>
      <c r="T26" s="501">
        <f t="shared" si="9"/>
        <v>1.3717729632039186</v>
      </c>
      <c r="U26" s="501">
        <f t="shared" si="9"/>
        <v>1.4403616113641147</v>
      </c>
      <c r="V26" s="501">
        <f t="shared" si="9"/>
        <v>1.5123796919323205</v>
      </c>
      <c r="W26" s="501">
        <f t="shared" si="9"/>
        <v>1.5879986765289367</v>
      </c>
      <c r="X26" s="501">
        <f t="shared" si="9"/>
        <v>1.6673986103553835</v>
      </c>
      <c r="Y26" s="501">
        <f t="shared" si="9"/>
        <v>1.7507685408731528</v>
      </c>
      <c r="Z26" s="501">
        <f t="shared" si="9"/>
        <v>1.8383069679168105</v>
      </c>
      <c r="AA26" s="260"/>
      <c r="AB26" s="261"/>
    </row>
    <row r="27" spans="1:28" s="4" customFormat="1" ht="15.6" customHeight="1" x14ac:dyDescent="0.25">
      <c r="A27" s="259"/>
      <c r="B27" s="275">
        <f>B26*B16</f>
        <v>638688.6854750507</v>
      </c>
      <c r="C27" s="275">
        <f>B27*(1+$G$9)</f>
        <v>670623.11974880332</v>
      </c>
      <c r="D27" s="275">
        <f t="shared" ref="D27:E27" si="10">C27*(1+$G$9)</f>
        <v>704154.27573624346</v>
      </c>
      <c r="E27" s="275">
        <f t="shared" si="10"/>
        <v>739361.98952305561</v>
      </c>
      <c r="F27" s="275">
        <f>E27*(1+$G$9)</f>
        <v>776330.08899920841</v>
      </c>
      <c r="G27" s="275">
        <f t="shared" ref="G27:Y27" si="11">F27*(1+$G$9)</f>
        <v>815146.59344916884</v>
      </c>
      <c r="H27" s="275">
        <f t="shared" si="11"/>
        <v>855903.9231216273</v>
      </c>
      <c r="I27" s="275">
        <f t="shared" si="11"/>
        <v>898699.1192777087</v>
      </c>
      <c r="J27" s="275">
        <f t="shared" si="11"/>
        <v>943634.07524159423</v>
      </c>
      <c r="K27" s="275">
        <f t="shared" si="11"/>
        <v>990815.77900367393</v>
      </c>
      <c r="L27" s="275">
        <f t="shared" si="11"/>
        <v>1040356.5679538577</v>
      </c>
      <c r="M27" s="275">
        <f t="shared" si="11"/>
        <v>1092374.3963515507</v>
      </c>
      <c r="N27" s="275">
        <f t="shared" si="11"/>
        <v>1146993.1161691283</v>
      </c>
      <c r="O27" s="275">
        <f t="shared" si="11"/>
        <v>1204342.7719775848</v>
      </c>
      <c r="P27" s="275">
        <f t="shared" si="11"/>
        <v>1264559.9105764641</v>
      </c>
      <c r="Q27" s="275">
        <f t="shared" si="11"/>
        <v>1327787.9061052874</v>
      </c>
      <c r="R27" s="275">
        <f t="shared" si="11"/>
        <v>1394177.3014105519</v>
      </c>
      <c r="S27" s="275">
        <f t="shared" si="11"/>
        <v>1463886.1664810795</v>
      </c>
      <c r="T27" s="275">
        <f t="shared" si="11"/>
        <v>1537080.4748051337</v>
      </c>
      <c r="U27" s="275">
        <f t="shared" si="11"/>
        <v>1613934.4985453903</v>
      </c>
      <c r="V27" s="275">
        <f t="shared" si="11"/>
        <v>1694631.2234726599</v>
      </c>
      <c r="W27" s="275">
        <f t="shared" si="11"/>
        <v>1779362.7846462929</v>
      </c>
      <c r="X27" s="275">
        <f t="shared" si="11"/>
        <v>1868330.9238786076</v>
      </c>
      <c r="Y27" s="275">
        <f t="shared" si="11"/>
        <v>1961747.4700725381</v>
      </c>
      <c r="Z27" s="275">
        <f>Y27*(1+$G$9)</f>
        <v>2059834.8435761651</v>
      </c>
      <c r="AA27" s="260"/>
      <c r="AB27" s="261"/>
    </row>
    <row r="28" spans="1:28" s="5" customFormat="1" ht="19.5" thickBot="1" x14ac:dyDescent="0.3">
      <c r="A28" s="2" t="s">
        <v>81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15"/>
    </row>
    <row r="29" spans="1:28" s="6" customFormat="1" ht="15.75" thickBot="1" x14ac:dyDescent="0.3">
      <c r="A29" s="167"/>
      <c r="B29" s="276" t="s">
        <v>21</v>
      </c>
      <c r="C29" s="157" t="s">
        <v>22</v>
      </c>
      <c r="D29" s="157" t="s">
        <v>23</v>
      </c>
      <c r="E29" s="157" t="s">
        <v>24</v>
      </c>
      <c r="F29" s="157" t="s">
        <v>25</v>
      </c>
      <c r="G29" s="157" t="s">
        <v>26</v>
      </c>
      <c r="H29" s="157" t="s">
        <v>27</v>
      </c>
      <c r="I29" s="157" t="s">
        <v>28</v>
      </c>
      <c r="J29" s="157" t="s">
        <v>29</v>
      </c>
      <c r="K29" s="157" t="s">
        <v>30</v>
      </c>
      <c r="L29" s="157" t="s">
        <v>31</v>
      </c>
      <c r="M29" s="157" t="s">
        <v>32</v>
      </c>
      <c r="N29" s="157" t="s">
        <v>33</v>
      </c>
      <c r="O29" s="157" t="s">
        <v>34</v>
      </c>
      <c r="P29" s="157" t="s">
        <v>35</v>
      </c>
      <c r="Q29" s="157" t="s">
        <v>36</v>
      </c>
      <c r="R29" s="157" t="s">
        <v>37</v>
      </c>
      <c r="S29" s="157" t="s">
        <v>38</v>
      </c>
      <c r="T29" s="157" t="s">
        <v>39</v>
      </c>
      <c r="U29" s="157" t="s">
        <v>40</v>
      </c>
      <c r="V29" s="157" t="s">
        <v>41</v>
      </c>
      <c r="W29" s="157" t="s">
        <v>42</v>
      </c>
      <c r="X29" s="157" t="s">
        <v>43</v>
      </c>
      <c r="Y29" s="157" t="s">
        <v>44</v>
      </c>
      <c r="Z29" s="157" t="s">
        <v>45</v>
      </c>
      <c r="AA29" s="162" t="s">
        <v>52</v>
      </c>
      <c r="AB29" s="177" t="s">
        <v>47</v>
      </c>
    </row>
    <row r="30" spans="1:28" s="6" customFormat="1" ht="15.75" thickBot="1" x14ac:dyDescent="0.3">
      <c r="A30" s="282" t="s">
        <v>82</v>
      </c>
      <c r="B30" s="278">
        <v>1</v>
      </c>
      <c r="C30" s="279">
        <v>2</v>
      </c>
      <c r="D30" s="279">
        <v>3</v>
      </c>
      <c r="E30" s="279">
        <v>4</v>
      </c>
      <c r="F30" s="279">
        <v>5</v>
      </c>
      <c r="G30" s="279">
        <v>6</v>
      </c>
      <c r="H30" s="279">
        <v>7</v>
      </c>
      <c r="I30" s="279">
        <v>8</v>
      </c>
      <c r="J30" s="279">
        <v>9</v>
      </c>
      <c r="K30" s="279">
        <v>10</v>
      </c>
      <c r="L30" s="279">
        <v>11</v>
      </c>
      <c r="M30" s="279">
        <v>12</v>
      </c>
      <c r="N30" s="279">
        <v>13</v>
      </c>
      <c r="O30" s="279">
        <v>14</v>
      </c>
      <c r="P30" s="279">
        <v>15</v>
      </c>
      <c r="Q30" s="279">
        <v>16</v>
      </c>
      <c r="R30" s="279">
        <v>17</v>
      </c>
      <c r="S30" s="279">
        <v>18</v>
      </c>
      <c r="T30" s="279">
        <v>19</v>
      </c>
      <c r="U30" s="279">
        <v>20</v>
      </c>
      <c r="V30" s="279">
        <v>21</v>
      </c>
      <c r="W30" s="279">
        <v>22</v>
      </c>
      <c r="X30" s="279">
        <v>23</v>
      </c>
      <c r="Y30" s="279">
        <v>24</v>
      </c>
      <c r="Z30" s="279">
        <v>25</v>
      </c>
      <c r="AA30" s="280"/>
      <c r="AB30" s="281"/>
    </row>
    <row r="31" spans="1:28" s="7" customFormat="1" ht="15.75" thickBot="1" x14ac:dyDescent="0.3">
      <c r="A31" s="297" t="s">
        <v>83</v>
      </c>
      <c r="B31" s="298">
        <f>'[2]Bldg Info, Cost Est'!$Z$61</f>
        <v>30000</v>
      </c>
      <c r="C31" s="299">
        <f>B31*(1+$G$8)</f>
        <v>30900</v>
      </c>
      <c r="D31" s="299">
        <f>C31*(1+$G$8)</f>
        <v>31827</v>
      </c>
      <c r="E31" s="299">
        <f t="shared" ref="E31:Z31" si="12">D31*(1+$G$8)</f>
        <v>32781.81</v>
      </c>
      <c r="F31" s="299">
        <f t="shared" si="12"/>
        <v>33765.264299999995</v>
      </c>
      <c r="G31" s="299">
        <f t="shared" si="12"/>
        <v>34778.222228999999</v>
      </c>
      <c r="H31" s="299">
        <f t="shared" si="12"/>
        <v>35821.568895869998</v>
      </c>
      <c r="I31" s="299">
        <f t="shared" si="12"/>
        <v>36896.215962746101</v>
      </c>
      <c r="J31" s="299">
        <f t="shared" si="12"/>
        <v>38003.102441628485</v>
      </c>
      <c r="K31" s="299">
        <f t="shared" si="12"/>
        <v>39143.195514877341</v>
      </c>
      <c r="L31" s="299">
        <f t="shared" si="12"/>
        <v>40317.491380323663</v>
      </c>
      <c r="M31" s="299">
        <f t="shared" si="12"/>
        <v>41527.016121733373</v>
      </c>
      <c r="N31" s="299">
        <f t="shared" si="12"/>
        <v>42772.826605385373</v>
      </c>
      <c r="O31" s="299">
        <f t="shared" si="12"/>
        <v>44056.011403546938</v>
      </c>
      <c r="P31" s="299">
        <f t="shared" si="12"/>
        <v>45377.691745653348</v>
      </c>
      <c r="Q31" s="299">
        <f t="shared" si="12"/>
        <v>46739.022498022947</v>
      </c>
      <c r="R31" s="299">
        <f t="shared" si="12"/>
        <v>48141.193172963634</v>
      </c>
      <c r="S31" s="299">
        <f t="shared" si="12"/>
        <v>49585.428968152548</v>
      </c>
      <c r="T31" s="299">
        <f t="shared" si="12"/>
        <v>51072.991837197129</v>
      </c>
      <c r="U31" s="299">
        <f t="shared" si="12"/>
        <v>52605.181592313042</v>
      </c>
      <c r="V31" s="299">
        <f t="shared" si="12"/>
        <v>54183.337040082435</v>
      </c>
      <c r="W31" s="299">
        <f t="shared" si="12"/>
        <v>55808.837151284912</v>
      </c>
      <c r="X31" s="299">
        <f t="shared" si="12"/>
        <v>57483.102265823458</v>
      </c>
      <c r="Y31" s="299">
        <f t="shared" si="12"/>
        <v>59207.595333798163</v>
      </c>
      <c r="Z31" s="299">
        <f t="shared" si="12"/>
        <v>60983.82319381211</v>
      </c>
      <c r="AA31" s="300">
        <f>SUM(B31:Z31)</f>
        <v>1093777.929654215</v>
      </c>
      <c r="AB31" s="301">
        <f>AVERAGE(B31:Z31)</f>
        <v>43751.117186168602</v>
      </c>
    </row>
    <row r="32" spans="1:28" s="7" customFormat="1" x14ac:dyDescent="0.25">
      <c r="A32" s="259"/>
      <c r="B32" s="275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75"/>
    </row>
    <row r="33" spans="1:28" s="7" customFormat="1" ht="19.5" thickBot="1" x14ac:dyDescent="0.3">
      <c r="A33" s="2" t="s">
        <v>84</v>
      </c>
      <c r="B33" s="275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75"/>
    </row>
    <row r="34" spans="1:28" s="7" customFormat="1" ht="15" customHeight="1" thickBot="1" x14ac:dyDescent="0.3">
      <c r="A34" s="541"/>
      <c r="B34" s="276" t="s">
        <v>21</v>
      </c>
      <c r="C34" s="157" t="s">
        <v>22</v>
      </c>
      <c r="D34" s="157" t="s">
        <v>23</v>
      </c>
      <c r="E34" s="157" t="s">
        <v>24</v>
      </c>
      <c r="F34" s="157" t="s">
        <v>25</v>
      </c>
      <c r="G34" s="157" t="s">
        <v>26</v>
      </c>
      <c r="H34" s="157" t="s">
        <v>27</v>
      </c>
      <c r="I34" s="157" t="s">
        <v>28</v>
      </c>
      <c r="J34" s="157" t="s">
        <v>29</v>
      </c>
      <c r="K34" s="157" t="s">
        <v>30</v>
      </c>
      <c r="L34" s="157" t="s">
        <v>31</v>
      </c>
      <c r="M34" s="157" t="s">
        <v>32</v>
      </c>
      <c r="N34" s="157" t="s">
        <v>33</v>
      </c>
      <c r="O34" s="157" t="s">
        <v>34</v>
      </c>
      <c r="P34" s="157" t="s">
        <v>35</v>
      </c>
      <c r="Q34" s="157" t="s">
        <v>36</v>
      </c>
      <c r="R34" s="157" t="s">
        <v>37</v>
      </c>
      <c r="S34" s="157" t="s">
        <v>38</v>
      </c>
      <c r="T34" s="157" t="s">
        <v>39</v>
      </c>
      <c r="U34" s="157" t="s">
        <v>40</v>
      </c>
      <c r="V34" s="157" t="s">
        <v>41</v>
      </c>
      <c r="W34" s="157" t="s">
        <v>42</v>
      </c>
      <c r="X34" s="157" t="s">
        <v>43</v>
      </c>
      <c r="Y34" s="157" t="s">
        <v>44</v>
      </c>
      <c r="Z34" s="158" t="s">
        <v>45</v>
      </c>
      <c r="AA34" s="129"/>
      <c r="AB34" s="129"/>
    </row>
    <row r="35" spans="1:28" s="7" customFormat="1" ht="14.25" customHeight="1" thickBot="1" x14ac:dyDescent="0.3">
      <c r="A35" s="542"/>
      <c r="B35" s="278">
        <v>1</v>
      </c>
      <c r="C35" s="279">
        <v>2</v>
      </c>
      <c r="D35" s="279">
        <v>3</v>
      </c>
      <c r="E35" s="279">
        <v>4</v>
      </c>
      <c r="F35" s="279">
        <v>5</v>
      </c>
      <c r="G35" s="279">
        <v>6</v>
      </c>
      <c r="H35" s="279">
        <v>7</v>
      </c>
      <c r="I35" s="279">
        <v>8</v>
      </c>
      <c r="J35" s="279">
        <v>9</v>
      </c>
      <c r="K35" s="279">
        <v>10</v>
      </c>
      <c r="L35" s="279">
        <v>11</v>
      </c>
      <c r="M35" s="279">
        <v>12</v>
      </c>
      <c r="N35" s="279">
        <v>13</v>
      </c>
      <c r="O35" s="279">
        <v>14</v>
      </c>
      <c r="P35" s="279">
        <v>15</v>
      </c>
      <c r="Q35" s="279">
        <v>16</v>
      </c>
      <c r="R35" s="279">
        <v>17</v>
      </c>
      <c r="S35" s="279">
        <v>18</v>
      </c>
      <c r="T35" s="279">
        <v>19</v>
      </c>
      <c r="U35" s="279">
        <v>20</v>
      </c>
      <c r="V35" s="279">
        <v>21</v>
      </c>
      <c r="W35" s="279">
        <v>22</v>
      </c>
      <c r="X35" s="279">
        <v>23</v>
      </c>
      <c r="Y35" s="279">
        <v>24</v>
      </c>
      <c r="Z35" s="464">
        <v>25</v>
      </c>
      <c r="AA35" s="129"/>
      <c r="AB35" s="129"/>
    </row>
    <row r="36" spans="1:28" s="7" customFormat="1" x14ac:dyDescent="0.25">
      <c r="A36" s="266" t="s">
        <v>85</v>
      </c>
      <c r="B36" s="465">
        <f>(('Cost of Carbon'!$E$56*'Baseline LCA'!B35+'Cost of Carbon'!$F$56)*'Baseline LCA'!B17)/1000</f>
        <v>13420.912531421216</v>
      </c>
      <c r="C36" s="462">
        <f>(('Cost of Carbon'!$E$56*'Baseline LCA'!C35+'Cost of Carbon'!$F$56)*'Baseline LCA'!C17)/1000</f>
        <v>12746.335085762939</v>
      </c>
      <c r="D36" s="462">
        <f>(('Cost of Carbon'!$E$56*'Baseline LCA'!D35+'Cost of Carbon'!$F$56)*'Baseline LCA'!D17)/1000</f>
        <v>12068.300872173049</v>
      </c>
      <c r="E36" s="462">
        <f>(('Cost of Carbon'!$E$56*'Baseline LCA'!E35+'Cost of Carbon'!$F$56)*'Baseline LCA'!E17)/1000</f>
        <v>11386.796822920922</v>
      </c>
      <c r="F36" s="462">
        <f>(('Cost of Carbon'!$E$56*'Baseline LCA'!F35+'Cost of Carbon'!$F$56)*'Baseline LCA'!F17)/1000</f>
        <v>10701.809826542085</v>
      </c>
      <c r="G36" s="462">
        <f>(('Cost of Carbon'!$E$56*'Baseline LCA'!G35+'Cost of Carbon'!$F$56)*'Baseline LCA'!G17)/1000</f>
        <v>10013.326727701211</v>
      </c>
      <c r="H36" s="462">
        <f>(('Cost of Carbon'!$E$56*'Baseline LCA'!H35+'Cost of Carbon'!$F$56)*'Baseline LCA'!H17)/1000</f>
        <v>9321.3343270547175</v>
      </c>
      <c r="I36" s="462">
        <f>(('Cost of Carbon'!$E$56*'Baseline LCA'!I35+'Cost of Carbon'!$F$56)*'Baseline LCA'!I17)/1000</f>
        <v>8625.8193811129422</v>
      </c>
      <c r="J36" s="462">
        <f>(('Cost of Carbon'!$E$56*'Baseline LCA'!J35+'Cost of Carbon'!$F$56)*'Baseline LCA'!J17)/1000</f>
        <v>7926.7686021019135</v>
      </c>
      <c r="K36" s="462">
        <f>(('Cost of Carbon'!$E$56*'Baseline LCA'!K35+'Cost of Carbon'!$F$56)*'Baseline LCA'!K17)/1000</f>
        <v>7224.168657824699</v>
      </c>
      <c r="L36" s="462">
        <f>(('Cost of Carbon'!$E$56*'Baseline LCA'!L35+'Cost of Carbon'!$F$56)*'Baseline LCA'!L17)/1000</f>
        <v>6518.0061715223355</v>
      </c>
      <c r="M36" s="462">
        <f>(('Cost of Carbon'!$E$56*'Baseline LCA'!M35+'Cost of Carbon'!$F$56)*'Baseline LCA'!M17)/1000</f>
        <v>5808.267721734348</v>
      </c>
      <c r="N36" s="462">
        <f>(('Cost of Carbon'!$E$56*'Baseline LCA'!N35+'Cost of Carbon'!$F$56)*'Baseline LCA'!N17)/1000</f>
        <v>5094.9398421588485</v>
      </c>
      <c r="O36" s="462">
        <f>(('Cost of Carbon'!$E$56*'Baseline LCA'!O35+'Cost of Carbon'!$F$56)*'Baseline LCA'!O17)/1000</f>
        <v>4378.0090215122109</v>
      </c>
      <c r="P36" s="462">
        <f>(('Cost of Carbon'!$E$56*'Baseline LCA'!P35+'Cost of Carbon'!$F$56)*'Baseline LCA'!P17)/1000</f>
        <v>3657.4617033883274</v>
      </c>
      <c r="Q36" s="462">
        <f>(('Cost of Carbon'!$E$56*'Baseline LCA'!Q35+'Cost of Carbon'!$F$56)*'Baseline LCA'!Q17)/1000</f>
        <v>2933.2842861174395</v>
      </c>
      <c r="R36" s="462">
        <f>(('Cost of Carbon'!$E$56*'Baseline LCA'!R35+'Cost of Carbon'!$F$56)*'Baseline LCA'!R17)/1000</f>
        <v>2205.463122624551</v>
      </c>
      <c r="S36" s="462">
        <f>(('Cost of Carbon'!$E$56*'Baseline LCA'!S35+'Cost of Carbon'!$F$56)*'Baseline LCA'!S17)/1000</f>
        <v>1473.9845202874096</v>
      </c>
      <c r="T36" s="462">
        <f>(('Cost of Carbon'!$E$56*'Baseline LCA'!T35+'Cost of Carbon'!$F$56)*'Baseline LCA'!T17)/1000</f>
        <v>738.83474079406665</v>
      </c>
      <c r="U36" s="462">
        <f>(('Cost of Carbon'!$E$56*'Baseline LCA'!U35+'Cost of Carbon'!$F$56)*'Baseline LCA'!U17)/1000</f>
        <v>5.2080394535025264E-12</v>
      </c>
      <c r="V36" s="462">
        <v>0</v>
      </c>
      <c r="W36" s="462">
        <v>0</v>
      </c>
      <c r="X36" s="462">
        <v>0</v>
      </c>
      <c r="Y36" s="462">
        <v>0</v>
      </c>
      <c r="Z36" s="463">
        <v>0</v>
      </c>
      <c r="AA36" s="262"/>
      <c r="AB36" s="275"/>
    </row>
    <row r="37" spans="1:28" s="7" customFormat="1" x14ac:dyDescent="0.25">
      <c r="A37" s="267" t="s">
        <v>86</v>
      </c>
      <c r="B37" s="466">
        <f>(('Cost of Carbon'!$E$60*'Baseline LCA'!B35+'Cost of Carbon'!$F$60)*('Baseline LCA'!B16/10))</f>
        <v>6140.3754322864525</v>
      </c>
      <c r="C37" s="370">
        <f>(('Cost of Carbon'!$E$60*'Baseline LCA'!C35+'Cost of Carbon'!$F$60)*('Baseline LCA'!C16/10))</f>
        <v>5831.7407724004761</v>
      </c>
      <c r="D37" s="370">
        <f>(('Cost of Carbon'!$E$60*'Baseline LCA'!D35+'Cost of Carbon'!$F$60)*('Baseline LCA'!D16/10))</f>
        <v>5521.5245618686176</v>
      </c>
      <c r="E37" s="370">
        <f>(('Cost of Carbon'!$E$60*'Baseline LCA'!E35+'Cost of Carbon'!$F$60)*('Baseline LCA'!E16/10))</f>
        <v>5209.7208219042723</v>
      </c>
      <c r="F37" s="370">
        <f>(('Cost of Carbon'!$E$60*'Baseline LCA'!F35+'Cost of Carbon'!$F$60)*('Baseline LCA'!F16/10))</f>
        <v>4896.3235537115925</v>
      </c>
      <c r="G37" s="370">
        <f>(('Cost of Carbon'!$E$60*'Baseline LCA'!G35+'Cost of Carbon'!$F$60)*('Baseline LCA'!G16/10))</f>
        <v>4581.326738422812</v>
      </c>
      <c r="H37" s="370">
        <f>(('Cost of Carbon'!$E$60*'Baseline LCA'!H35+'Cost of Carbon'!$F$60)*('Baseline LCA'!H16/10))</f>
        <v>4264.724337035379</v>
      </c>
      <c r="I37" s="370">
        <f>(('Cost of Carbon'!$E$60*'Baseline LCA'!I35+'Cost of Carbon'!$F$60)*('Baseline LCA'!I16/10))</f>
        <v>3946.5102903488923</v>
      </c>
      <c r="J37" s="370">
        <f>(('Cost of Carbon'!$E$60*'Baseline LCA'!J35+'Cost of Carbon'!$F$60)*('Baseline LCA'!J16/10))</f>
        <v>3626.6785189018683</v>
      </c>
      <c r="K37" s="370">
        <f>(('Cost of Carbon'!$E$60*'Baseline LCA'!K35+'Cost of Carbon'!$F$60)*('Baseline LCA'!K16/10))</f>
        <v>3305.2229229082936</v>
      </c>
      <c r="L37" s="370">
        <f>(('Cost of Carbon'!$E$60*'Baseline LCA'!L35+'Cost of Carbon'!$F$60)*('Baseline LCA'!L16/10))</f>
        <v>2982.1373821940078</v>
      </c>
      <c r="M37" s="370">
        <f>(('Cost of Carbon'!$E$60*'Baseline LCA'!M35+'Cost of Carbon'!$F$60)*('Baseline LCA'!M16/10))</f>
        <v>2657.4157561328825</v>
      </c>
      <c r="N37" s="370">
        <f>(('Cost of Carbon'!$E$60*'Baseline LCA'!N35+'Cost of Carbon'!$F$60)*('Baseline LCA'!N16/10))</f>
        <v>2331.0518835828134</v>
      </c>
      <c r="O37" s="370">
        <f>(('Cost of Carbon'!$E$60*'Baseline LCA'!O35+'Cost of Carbon'!$F$60)*('Baseline LCA'!O16/10))</f>
        <v>2003.0395828215178</v>
      </c>
      <c r="P37" s="370">
        <f>(('Cost of Carbon'!$E$60*'Baseline LCA'!P35+'Cost of Carbon'!$F$60)*('Baseline LCA'!P16/10))</f>
        <v>1673.3726514821435</v>
      </c>
      <c r="Q37" s="370">
        <f>(('Cost of Carbon'!$E$60*'Baseline LCA'!Q35+'Cost of Carbon'!$F$60)*('Baseline LCA'!Q16/10))</f>
        <v>1342.0448664886796</v>
      </c>
      <c r="R37" s="370">
        <f>(('Cost of Carbon'!$E$60*'Baseline LCA'!R35+'Cost of Carbon'!$F$60)*('Baseline LCA'!R16/10))</f>
        <v>1009.0499839911768</v>
      </c>
      <c r="S37" s="370">
        <f>(('Cost of Carbon'!$E$60*'Baseline LCA'!S35+'Cost of Carbon'!$F$60)*('Baseline LCA'!S16/10))</f>
        <v>674.38173930077085</v>
      </c>
      <c r="T37" s="370">
        <f>(('Cost of Carbon'!$E$60*'Baseline LCA'!T35+'Cost of Carbon'!$F$60)*('Baseline LCA'!T16/10))</f>
        <v>338.03384682451303</v>
      </c>
      <c r="U37" s="370">
        <f>(('Cost of Carbon'!$E$60*'Baseline LCA'!U35+'Cost of Carbon'!$F$60)*('Baseline LCA'!U16/10))</f>
        <v>3.2611280349859686E-12</v>
      </c>
      <c r="V37" s="370">
        <v>0</v>
      </c>
      <c r="W37" s="370">
        <v>0</v>
      </c>
      <c r="X37" s="370">
        <v>0</v>
      </c>
      <c r="Y37" s="370">
        <v>0</v>
      </c>
      <c r="Z37" s="382">
        <v>0</v>
      </c>
      <c r="AA37" s="262"/>
      <c r="AB37" s="275"/>
    </row>
    <row r="38" spans="1:28" s="7" customFormat="1" ht="15.75" thickBot="1" x14ac:dyDescent="0.3">
      <c r="A38" s="268" t="s">
        <v>57</v>
      </c>
      <c r="B38" s="479">
        <f t="shared" ref="B38:Z38" si="13">(B16/10)*44.7*0.035/2205</f>
        <v>79.502601617195126</v>
      </c>
      <c r="C38" s="474">
        <f t="shared" si="13"/>
        <v>79.70135812123813</v>
      </c>
      <c r="D38" s="474">
        <f t="shared" si="13"/>
        <v>79.900611516541204</v>
      </c>
      <c r="E38" s="474">
        <f t="shared" si="13"/>
        <v>80.100363045332571</v>
      </c>
      <c r="F38" s="474">
        <f t="shared" si="13"/>
        <v>80.300613952945881</v>
      </c>
      <c r="G38" s="474">
        <f t="shared" si="13"/>
        <v>80.501365487828238</v>
      </c>
      <c r="H38" s="474">
        <f t="shared" si="13"/>
        <v>80.702618901547794</v>
      </c>
      <c r="I38" s="474">
        <f t="shared" si="13"/>
        <v>80.904375448801673</v>
      </c>
      <c r="J38" s="474">
        <f t="shared" si="13"/>
        <v>81.106636387423663</v>
      </c>
      <c r="K38" s="474">
        <f t="shared" si="13"/>
        <v>81.309402978392214</v>
      </c>
      <c r="L38" s="474">
        <f t="shared" si="13"/>
        <v>81.512676485838199</v>
      </c>
      <c r="M38" s="474">
        <f t="shared" si="13"/>
        <v>81.716458177052772</v>
      </c>
      <c r="N38" s="474">
        <f t="shared" si="13"/>
        <v>81.920749322495411</v>
      </c>
      <c r="O38" s="474">
        <f t="shared" si="13"/>
        <v>82.125551195801634</v>
      </c>
      <c r="P38" s="474">
        <f t="shared" si="13"/>
        <v>82.330865073791145</v>
      </c>
      <c r="Q38" s="474">
        <f t="shared" si="13"/>
        <v>82.536692236475631</v>
      </c>
      <c r="R38" s="474">
        <f t="shared" si="13"/>
        <v>82.743033967066793</v>
      </c>
      <c r="S38" s="474">
        <f t="shared" si="13"/>
        <v>82.949891551984464</v>
      </c>
      <c r="T38" s="474">
        <f t="shared" si="13"/>
        <v>83.157266280864434</v>
      </c>
      <c r="U38" s="474">
        <f t="shared" si="13"/>
        <v>83.365159446566594</v>
      </c>
      <c r="V38" s="474">
        <f t="shared" si="13"/>
        <v>83.573572345182995</v>
      </c>
      <c r="W38" s="474">
        <f t="shared" si="13"/>
        <v>83.78250627604595</v>
      </c>
      <c r="X38" s="474">
        <f t="shared" si="13"/>
        <v>83.991962541736058</v>
      </c>
      <c r="Y38" s="474">
        <f t="shared" si="13"/>
        <v>84.201942448090406</v>
      </c>
      <c r="Z38" s="475">
        <f t="shared" si="13"/>
        <v>84.41244730421063</v>
      </c>
      <c r="AA38" s="262"/>
      <c r="AB38" s="275"/>
    </row>
    <row r="39" spans="1:28" s="7" customFormat="1" ht="15.75" thickBot="1" x14ac:dyDescent="0.3">
      <c r="A39" s="297" t="s">
        <v>46</v>
      </c>
      <c r="B39" s="482">
        <f>SUM(B36:B38)</f>
        <v>19640.790565324864</v>
      </c>
      <c r="C39" s="483">
        <f>SUM(C36:C38)</f>
        <v>18657.777216284652</v>
      </c>
      <c r="D39" s="483">
        <f t="shared" ref="D39:Z39" si="14">SUM(D36:D38)</f>
        <v>17669.726045558211</v>
      </c>
      <c r="E39" s="483">
        <f t="shared" si="14"/>
        <v>16676.618007870529</v>
      </c>
      <c r="F39" s="483">
        <f t="shared" si="14"/>
        <v>15678.433994206624</v>
      </c>
      <c r="G39" s="483">
        <f t="shared" si="14"/>
        <v>14675.15483161185</v>
      </c>
      <c r="H39" s="483">
        <f t="shared" si="14"/>
        <v>13666.761282991643</v>
      </c>
      <c r="I39" s="483">
        <f t="shared" si="14"/>
        <v>12653.234046910635</v>
      </c>
      <c r="J39" s="483">
        <f t="shared" si="14"/>
        <v>11634.553757391204</v>
      </c>
      <c r="K39" s="483">
        <f t="shared" si="14"/>
        <v>10610.700983711384</v>
      </c>
      <c r="L39" s="483">
        <f t="shared" si="14"/>
        <v>9581.6562302021812</v>
      </c>
      <c r="M39" s="483">
        <f t="shared" si="14"/>
        <v>8547.3999360442831</v>
      </c>
      <c r="N39" s="483">
        <f t="shared" si="14"/>
        <v>7507.9124750641577</v>
      </c>
      <c r="O39" s="483">
        <f t="shared" si="14"/>
        <v>6463.1741555295303</v>
      </c>
      <c r="P39" s="483">
        <f t="shared" si="14"/>
        <v>5413.1652199442615</v>
      </c>
      <c r="Q39" s="483">
        <f t="shared" si="14"/>
        <v>4357.8658448425949</v>
      </c>
      <c r="R39" s="483">
        <f t="shared" si="14"/>
        <v>3297.2561405827946</v>
      </c>
      <c r="S39" s="483">
        <f t="shared" si="14"/>
        <v>2231.3161511401649</v>
      </c>
      <c r="T39" s="483">
        <f t="shared" si="14"/>
        <v>1160.025853899444</v>
      </c>
      <c r="U39" s="483">
        <f t="shared" si="14"/>
        <v>83.365159446575063</v>
      </c>
      <c r="V39" s="483">
        <f t="shared" si="14"/>
        <v>83.573572345182995</v>
      </c>
      <c r="W39" s="483">
        <f t="shared" si="14"/>
        <v>83.78250627604595</v>
      </c>
      <c r="X39" s="483">
        <f t="shared" si="14"/>
        <v>83.991962541736058</v>
      </c>
      <c r="Y39" s="483">
        <f t="shared" si="14"/>
        <v>84.201942448090406</v>
      </c>
      <c r="Z39" s="484">
        <f t="shared" si="14"/>
        <v>84.41244730421063</v>
      </c>
      <c r="AA39" s="262"/>
      <c r="AB39" s="275"/>
    </row>
    <row r="40" spans="1:28" s="7" customFormat="1" ht="15.75" thickBot="1" x14ac:dyDescent="0.3">
      <c r="A40" s="497" t="s">
        <v>87</v>
      </c>
      <c r="B40" s="491">
        <f>((B36+B37)*VLOOKUP(B35,'Cost of Carbon'!$L$10:$O$34,4))+(B38*ROUND(74.83*B35+2635.4,-2))</f>
        <v>2620695.4439024702</v>
      </c>
      <c r="C40" s="492">
        <f>((C36+C37)*VLOOKUP(C35,'Cost of Carbon'!$L$10:$O$34,4))+(C38*ROUND(74.83*C35+2635.4,-2))</f>
        <v>2526845.2091517299</v>
      </c>
      <c r="D40" s="492">
        <f>((D36+D37)*VLOOKUP(D35,'Cost of Carbon'!$L$10:$O$34,4))+(D38*ROUND(74.83*D35+2635.4,-2))</f>
        <v>2448029.7780872197</v>
      </c>
      <c r="E40" s="492">
        <f>((E36+E37)*VLOOKUP(E35,'Cost of Carbon'!$L$10:$O$34,4))+(E38*ROUND(74.83*E35+2635.4,-2))</f>
        <v>2356645.3113690894</v>
      </c>
      <c r="F40" s="492">
        <f>((F36+F37)*VLOOKUP(F35,'Cost of Carbon'!$L$10:$O$34,4))+(F38*ROUND(74.83*F35+2635.4,-2))</f>
        <v>2253061.047911562</v>
      </c>
      <c r="G40" s="492">
        <f>((G36+G37)*VLOOKUP(G35,'Cost of Carbon'!$L$10:$O$34,4))+(G38*ROUND(74.83*G35+2635.4,-2))</f>
        <v>2161453.8370745145</v>
      </c>
      <c r="H40" s="492">
        <f>((H36+H37)*VLOOKUP(H35,'Cost of Carbon'!$L$10:$O$34,4))+(H38*ROUND(74.83*H35+2635.4,-2))</f>
        <v>2051608.1241448456</v>
      </c>
      <c r="I40" s="492">
        <f>((I36+I37)*VLOOKUP(I35,'Cost of Carbon'!$L$10:$O$34,4))+(I38*ROUND(74.83*I35+2635.4,-2))</f>
        <v>1943586.177412051</v>
      </c>
      <c r="J40" s="492">
        <f>((J36+J37)*VLOOKUP(J35,'Cost of Carbon'!$L$10:$O$34,4))+(J38*ROUND(74.83*J35+2635.4,-2))</f>
        <v>1838920.7085350123</v>
      </c>
      <c r="K40" s="492">
        <f>((K36+K37)*VLOOKUP(K35,'Cost of Carbon'!$L$10:$O$34,4))+(K38*ROUND(74.83*K35+2635.4,-2))</f>
        <v>1718978.6166869537</v>
      </c>
      <c r="L40" s="492">
        <f>((L36+L37)*VLOOKUP(L35,'Cost of Carbon'!$L$10:$O$34,4))+(L38*ROUND(74.83*L35+2635.4,-2))</f>
        <v>1603914.2929562624</v>
      </c>
      <c r="M40" s="492">
        <f>((M36+M37)*VLOOKUP(M35,'Cost of Carbon'!$L$10:$O$34,4))+(M38*ROUND(74.83*M35+2635.4,-2))</f>
        <v>1474589.563912244</v>
      </c>
      <c r="N40" s="492">
        <f>((N36+N37)*VLOOKUP(N35,'Cost of Carbon'!$L$10:$O$34,4))+(N38*ROUND(74.83*N35+2635.4,-2))</f>
        <v>1349405.5226162996</v>
      </c>
      <c r="O40" s="492">
        <f>((O36+O37)*VLOOKUP(O35,'Cost of Carbon'!$L$10:$O$34,4))+(O38*ROUND(74.83*O35+2635.4,-2))</f>
        <v>1220183.1190067895</v>
      </c>
      <c r="P40" s="492">
        <f>((P36+P37)*VLOOKUP(P35,'Cost of Carbon'!$L$10:$O$34,4))+(P38*ROUND(74.83*P35+2635.4,-2))</f>
        <v>1086894.4356075986</v>
      </c>
      <c r="Q40" s="492">
        <f>((Q36+Q37)*VLOOKUP(Q35,'Cost of Carbon'!$L$10:$O$34,4))+(Q38*ROUND(74.83*Q35+2635.4,-2))</f>
        <v>941257.75010118587</v>
      </c>
      <c r="R40" s="492">
        <f>((R36+R37)*VLOOKUP(R35,'Cost of Carbon'!$L$10:$O$34,4))+(R38*ROUND(74.83*R35+2635.4,-2))</f>
        <v>799731.57749333454</v>
      </c>
      <c r="S40" s="492">
        <f>((S36+S37)*VLOOKUP(S35,'Cost of Carbon'!$L$10:$O$34,4))+(S38*ROUND(74.83*S35+2635.4,-2))</f>
        <v>654054.50514616491</v>
      </c>
      <c r="T40" s="492">
        <f>((T36+T37)*VLOOKUP(T35,'Cost of Carbon'!$L$10:$O$34,4))+(T38*ROUND(74.83*T35+2635.4,-2))</f>
        <v>504198.0696345208</v>
      </c>
      <c r="U40" s="492">
        <f>((U36+U37)*VLOOKUP(U35,'Cost of Carbon'!$L$10:$O$34,4))+(U38*ROUND(74.83*U35+2635.4,-2))</f>
        <v>341797.1537309243</v>
      </c>
      <c r="V40" s="492">
        <f>((V36+V37)*VLOOKUP(V35,'Cost of Carbon'!$L$10:$O$34,4))+(V38*ROUND(74.83*V35+2635.4,-2))</f>
        <v>351009.0038497686</v>
      </c>
      <c r="W40" s="492">
        <f>((W36+W37)*VLOOKUP(W35,'Cost of Carbon'!$L$10:$O$34,4))+(W38*ROUND(74.83*W35+2635.4,-2))</f>
        <v>360264.77698699757</v>
      </c>
      <c r="X40" s="492">
        <f>((X36+X37)*VLOOKUP(X35,'Cost of Carbon'!$L$10:$O$34,4))+(X38*ROUND(74.83*X35+2635.4,-2))</f>
        <v>369564.63518363866</v>
      </c>
      <c r="Y40" s="492">
        <f>((Y36+Y37)*VLOOKUP(Y35,'Cost of Carbon'!$L$10:$O$34,4))+(Y38*ROUND(74.83*Y35+2635.4,-2))</f>
        <v>370488.54677159782</v>
      </c>
      <c r="Z40" s="493">
        <f>((Z36+Z37)*VLOOKUP(Z35,'Cost of Carbon'!$L$10:$O$34,4))+(Z38*ROUND(74.83*Z35+2635.4,-2))</f>
        <v>379856.01286894782</v>
      </c>
      <c r="AA40" s="262"/>
      <c r="AB40" s="275"/>
    </row>
    <row r="41" spans="1:28" s="7" customFormat="1" x14ac:dyDescent="0.25">
      <c r="A41" s="259"/>
      <c r="B41" s="373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75"/>
    </row>
    <row r="42" spans="1:28" s="7" customFormat="1" ht="19.5" thickBot="1" x14ac:dyDescent="0.3">
      <c r="A42" s="2" t="s">
        <v>88</v>
      </c>
      <c r="B42" s="3"/>
      <c r="C42" s="3"/>
      <c r="D42" s="5"/>
      <c r="E42" s="262"/>
      <c r="F42" s="262"/>
      <c r="G42" s="262"/>
      <c r="H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75"/>
    </row>
    <row r="43" spans="1:28" s="7" customFormat="1" ht="15.75" customHeight="1" thickBot="1" x14ac:dyDescent="0.3">
      <c r="A43" s="167"/>
      <c r="B43" s="182" t="s">
        <v>61</v>
      </c>
      <c r="C43" s="158" t="s">
        <v>62</v>
      </c>
      <c r="D43" s="129"/>
      <c r="E43" s="262"/>
      <c r="F43" s="262"/>
      <c r="G43" s="262"/>
      <c r="H43" s="262"/>
      <c r="I43" s="129"/>
      <c r="J43" s="277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  <c r="AA43" s="262"/>
      <c r="AB43" s="275"/>
    </row>
    <row r="44" spans="1:28" s="7" customFormat="1" x14ac:dyDescent="0.25">
      <c r="A44" s="195" t="s">
        <v>63</v>
      </c>
      <c r="B44" s="448">
        <f>ROUND('[2]Bldg Info, Cost Est'!$O$55,-3)</f>
        <v>0</v>
      </c>
      <c r="C44" s="392">
        <f>B44*0.1</f>
        <v>0</v>
      </c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75"/>
    </row>
    <row r="45" spans="1:28" s="7" customFormat="1" ht="15.75" thickBot="1" x14ac:dyDescent="0.3">
      <c r="A45" s="388" t="s">
        <v>64</v>
      </c>
      <c r="B45" s="449">
        <f>ROUND('[2]Bldg Info, Cost Est'!$W$55,-3)</f>
        <v>230000</v>
      </c>
      <c r="C45" s="450">
        <f>B45*0.1</f>
        <v>23000</v>
      </c>
      <c r="D45" s="262"/>
      <c r="E45" s="262" t="s">
        <v>65</v>
      </c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75"/>
    </row>
    <row r="46" spans="1:28" s="5" customFormat="1" ht="8.25" customHeight="1" thickBot="1" x14ac:dyDescent="0.3"/>
    <row r="47" spans="1:28" s="7" customFormat="1" ht="15.75" thickBot="1" x14ac:dyDescent="0.3">
      <c r="A47" s="451"/>
      <c r="B47" s="276" t="s">
        <v>21</v>
      </c>
      <c r="C47" s="157" t="s">
        <v>22</v>
      </c>
      <c r="D47" s="157" t="s">
        <v>23</v>
      </c>
      <c r="E47" s="157" t="s">
        <v>24</v>
      </c>
      <c r="F47" s="157" t="s">
        <v>25</v>
      </c>
      <c r="G47" s="157" t="s">
        <v>26</v>
      </c>
      <c r="H47" s="157" t="s">
        <v>27</v>
      </c>
      <c r="I47" s="157" t="s">
        <v>28</v>
      </c>
      <c r="J47" s="157" t="s">
        <v>29</v>
      </c>
      <c r="K47" s="157" t="s">
        <v>30</v>
      </c>
      <c r="L47" s="157" t="s">
        <v>31</v>
      </c>
      <c r="M47" s="157" t="s">
        <v>32</v>
      </c>
      <c r="N47" s="157" t="s">
        <v>33</v>
      </c>
      <c r="O47" s="157" t="s">
        <v>34</v>
      </c>
      <c r="P47" s="157" t="s">
        <v>35</v>
      </c>
      <c r="Q47" s="157" t="s">
        <v>36</v>
      </c>
      <c r="R47" s="157" t="s">
        <v>37</v>
      </c>
      <c r="S47" s="157" t="s">
        <v>38</v>
      </c>
      <c r="T47" s="157" t="s">
        <v>39</v>
      </c>
      <c r="U47" s="157" t="s">
        <v>40</v>
      </c>
      <c r="V47" s="157" t="s">
        <v>41</v>
      </c>
      <c r="W47" s="157" t="s">
        <v>42</v>
      </c>
      <c r="X47" s="157" t="s">
        <v>43</v>
      </c>
      <c r="Y47" s="157" t="s">
        <v>44</v>
      </c>
      <c r="Z47" s="157" t="s">
        <v>45</v>
      </c>
      <c r="AA47" s="158" t="s">
        <v>52</v>
      </c>
      <c r="AB47" s="130"/>
    </row>
    <row r="48" spans="1:28" s="7" customFormat="1" ht="15.75" thickBot="1" x14ac:dyDescent="0.3">
      <c r="A48" s="282" t="s">
        <v>82</v>
      </c>
      <c r="B48" s="292">
        <v>1</v>
      </c>
      <c r="C48" s="279">
        <v>2</v>
      </c>
      <c r="D48" s="279">
        <v>3</v>
      </c>
      <c r="E48" s="279">
        <v>4</v>
      </c>
      <c r="F48" s="279">
        <v>5</v>
      </c>
      <c r="G48" s="279">
        <v>6</v>
      </c>
      <c r="H48" s="279">
        <v>7</v>
      </c>
      <c r="I48" s="279">
        <v>8</v>
      </c>
      <c r="J48" s="279">
        <v>9</v>
      </c>
      <c r="K48" s="279">
        <v>10</v>
      </c>
      <c r="L48" s="279">
        <v>11</v>
      </c>
      <c r="M48" s="279">
        <v>12</v>
      </c>
      <c r="N48" s="279">
        <v>13</v>
      </c>
      <c r="O48" s="279">
        <v>14</v>
      </c>
      <c r="P48" s="279">
        <v>15</v>
      </c>
      <c r="Q48" s="279">
        <v>16</v>
      </c>
      <c r="R48" s="279">
        <v>17</v>
      </c>
      <c r="S48" s="279">
        <v>18</v>
      </c>
      <c r="T48" s="279">
        <v>19</v>
      </c>
      <c r="U48" s="279">
        <v>20</v>
      </c>
      <c r="V48" s="279">
        <v>21</v>
      </c>
      <c r="W48" s="279">
        <v>22</v>
      </c>
      <c r="X48" s="279">
        <v>23</v>
      </c>
      <c r="Y48" s="279">
        <v>24</v>
      </c>
      <c r="Z48" s="280">
        <v>25</v>
      </c>
      <c r="AA48" s="281"/>
      <c r="AB48" s="130"/>
    </row>
    <row r="49" spans="1:28" s="6" customFormat="1" x14ac:dyDescent="0.25">
      <c r="A49" s="195" t="s">
        <v>67</v>
      </c>
      <c r="B49" s="448">
        <f>C44</f>
        <v>0</v>
      </c>
      <c r="C49" s="295">
        <f>B49*(1+$G$8)</f>
        <v>0</v>
      </c>
      <c r="D49" s="295">
        <f t="shared" ref="D49:Z49" si="15">C49*(1+$G$8)</f>
        <v>0</v>
      </c>
      <c r="E49" s="295">
        <f t="shared" si="15"/>
        <v>0</v>
      </c>
      <c r="F49" s="295">
        <f t="shared" si="15"/>
        <v>0</v>
      </c>
      <c r="G49" s="295">
        <f t="shared" si="15"/>
        <v>0</v>
      </c>
      <c r="H49" s="295">
        <f t="shared" si="15"/>
        <v>0</v>
      </c>
      <c r="I49" s="295">
        <f t="shared" si="15"/>
        <v>0</v>
      </c>
      <c r="J49" s="295">
        <f t="shared" si="15"/>
        <v>0</v>
      </c>
      <c r="K49" s="295">
        <f t="shared" si="15"/>
        <v>0</v>
      </c>
      <c r="L49" s="295">
        <f t="shared" si="15"/>
        <v>0</v>
      </c>
      <c r="M49" s="295">
        <f t="shared" si="15"/>
        <v>0</v>
      </c>
      <c r="N49" s="295">
        <f t="shared" si="15"/>
        <v>0</v>
      </c>
      <c r="O49" s="295">
        <f t="shared" si="15"/>
        <v>0</v>
      </c>
      <c r="P49" s="295">
        <f t="shared" si="15"/>
        <v>0</v>
      </c>
      <c r="Q49" s="295">
        <f t="shared" si="15"/>
        <v>0</v>
      </c>
      <c r="R49" s="295">
        <f t="shared" si="15"/>
        <v>0</v>
      </c>
      <c r="S49" s="295">
        <f t="shared" si="15"/>
        <v>0</v>
      </c>
      <c r="T49" s="295">
        <f t="shared" si="15"/>
        <v>0</v>
      </c>
      <c r="U49" s="295">
        <f t="shared" si="15"/>
        <v>0</v>
      </c>
      <c r="V49" s="295">
        <f t="shared" si="15"/>
        <v>0</v>
      </c>
      <c r="W49" s="295">
        <f t="shared" si="15"/>
        <v>0</v>
      </c>
      <c r="X49" s="295">
        <f t="shared" si="15"/>
        <v>0</v>
      </c>
      <c r="Y49" s="295">
        <f t="shared" si="15"/>
        <v>0</v>
      </c>
      <c r="Z49" s="295">
        <f t="shared" si="15"/>
        <v>0</v>
      </c>
      <c r="AA49" s="293">
        <f>SUM(B49:Z49)</f>
        <v>0</v>
      </c>
      <c r="AB49" s="131"/>
    </row>
    <row r="50" spans="1:28" s="6" customFormat="1" ht="15.6" customHeight="1" thickBot="1" x14ac:dyDescent="0.3">
      <c r="A50" s="197" t="s">
        <v>68</v>
      </c>
      <c r="B50" s="503">
        <f>C45</f>
        <v>23000</v>
      </c>
      <c r="C50" s="390">
        <f>B50*(1+$G$8)</f>
        <v>23690</v>
      </c>
      <c r="D50" s="390">
        <f t="shared" ref="D50:Z50" si="16">C50*(1+$G$8)</f>
        <v>24400.7</v>
      </c>
      <c r="E50" s="390">
        <f>D50*(1+$G$8)</f>
        <v>25132.721000000001</v>
      </c>
      <c r="F50" s="390">
        <f t="shared" si="16"/>
        <v>25886.702630000003</v>
      </c>
      <c r="G50" s="390">
        <f t="shared" si="16"/>
        <v>26663.303708900003</v>
      </c>
      <c r="H50" s="390">
        <f t="shared" si="16"/>
        <v>27463.202820167004</v>
      </c>
      <c r="I50" s="390">
        <f t="shared" si="16"/>
        <v>28287.098904772014</v>
      </c>
      <c r="J50" s="390">
        <f t="shared" si="16"/>
        <v>29135.711871915177</v>
      </c>
      <c r="K50" s="390">
        <f t="shared" si="16"/>
        <v>30009.783228072632</v>
      </c>
      <c r="L50" s="390">
        <f t="shared" si="16"/>
        <v>30910.076724914812</v>
      </c>
      <c r="M50" s="390">
        <f t="shared" si="16"/>
        <v>31837.379026662256</v>
      </c>
      <c r="N50" s="390">
        <f t="shared" si="16"/>
        <v>32792.500397462121</v>
      </c>
      <c r="O50" s="390">
        <f t="shared" si="16"/>
        <v>33776.275409385984</v>
      </c>
      <c r="P50" s="390">
        <f t="shared" si="16"/>
        <v>34789.563671667565</v>
      </c>
      <c r="Q50" s="390">
        <f t="shared" si="16"/>
        <v>35833.250581817592</v>
      </c>
      <c r="R50" s="390">
        <f t="shared" si="16"/>
        <v>36908.248099272118</v>
      </c>
      <c r="S50" s="390">
        <f t="shared" si="16"/>
        <v>38015.495542250283</v>
      </c>
      <c r="T50" s="390">
        <f t="shared" si="16"/>
        <v>39155.960408517793</v>
      </c>
      <c r="U50" s="390">
        <f t="shared" si="16"/>
        <v>40330.63922077333</v>
      </c>
      <c r="V50" s="390">
        <f t="shared" si="16"/>
        <v>41540.558397396533</v>
      </c>
      <c r="W50" s="390">
        <f t="shared" si="16"/>
        <v>42786.775149318433</v>
      </c>
      <c r="X50" s="390">
        <f t="shared" si="16"/>
        <v>44070.378403797986</v>
      </c>
      <c r="Y50" s="390">
        <f t="shared" si="16"/>
        <v>45392.489755911927</v>
      </c>
      <c r="Z50" s="390">
        <f t="shared" si="16"/>
        <v>46754.264448589289</v>
      </c>
      <c r="AA50" s="391">
        <f>SUM(B50:Z50)</f>
        <v>838563.0794015649</v>
      </c>
      <c r="AB50" s="131"/>
    </row>
    <row r="51" spans="1:28" s="6" customFormat="1" ht="15.75" thickBot="1" x14ac:dyDescent="0.3">
      <c r="A51" s="259"/>
      <c r="B51" s="298">
        <f>B49+B50</f>
        <v>23000</v>
      </c>
      <c r="C51" s="492">
        <f t="shared" ref="C51:AA51" si="17">C49+C50</f>
        <v>23690</v>
      </c>
      <c r="D51" s="492">
        <f t="shared" si="17"/>
        <v>24400.7</v>
      </c>
      <c r="E51" s="492">
        <f t="shared" si="17"/>
        <v>25132.721000000001</v>
      </c>
      <c r="F51" s="492">
        <f t="shared" si="17"/>
        <v>25886.702630000003</v>
      </c>
      <c r="G51" s="492">
        <f t="shared" si="17"/>
        <v>26663.303708900003</v>
      </c>
      <c r="H51" s="492">
        <f t="shared" si="17"/>
        <v>27463.202820167004</v>
      </c>
      <c r="I51" s="492">
        <f t="shared" si="17"/>
        <v>28287.098904772014</v>
      </c>
      <c r="J51" s="492">
        <f t="shared" si="17"/>
        <v>29135.711871915177</v>
      </c>
      <c r="K51" s="492">
        <f t="shared" si="17"/>
        <v>30009.783228072632</v>
      </c>
      <c r="L51" s="492">
        <f t="shared" si="17"/>
        <v>30910.076724914812</v>
      </c>
      <c r="M51" s="492">
        <f t="shared" si="17"/>
        <v>31837.379026662256</v>
      </c>
      <c r="N51" s="492">
        <f t="shared" si="17"/>
        <v>32792.500397462121</v>
      </c>
      <c r="O51" s="492">
        <f t="shared" si="17"/>
        <v>33776.275409385984</v>
      </c>
      <c r="P51" s="492">
        <f t="shared" si="17"/>
        <v>34789.563671667565</v>
      </c>
      <c r="Q51" s="492">
        <f t="shared" si="17"/>
        <v>35833.250581817592</v>
      </c>
      <c r="R51" s="492">
        <f t="shared" si="17"/>
        <v>36908.248099272118</v>
      </c>
      <c r="S51" s="492">
        <f t="shared" si="17"/>
        <v>38015.495542250283</v>
      </c>
      <c r="T51" s="492">
        <f t="shared" si="17"/>
        <v>39155.960408517793</v>
      </c>
      <c r="U51" s="492">
        <f t="shared" si="17"/>
        <v>40330.63922077333</v>
      </c>
      <c r="V51" s="492">
        <f t="shared" si="17"/>
        <v>41540.558397396533</v>
      </c>
      <c r="W51" s="492">
        <f t="shared" si="17"/>
        <v>42786.775149318433</v>
      </c>
      <c r="X51" s="492">
        <f t="shared" si="17"/>
        <v>44070.378403797986</v>
      </c>
      <c r="Y51" s="492">
        <f t="shared" si="17"/>
        <v>45392.489755911927</v>
      </c>
      <c r="Z51" s="492">
        <f t="shared" si="17"/>
        <v>46754.264448589289</v>
      </c>
      <c r="AA51" s="493">
        <f t="shared" si="17"/>
        <v>838563.0794015649</v>
      </c>
      <c r="AB51" s="131"/>
    </row>
    <row r="52" spans="1:28" s="6" customFormat="1" ht="14.1" customHeight="1" thickBot="1" x14ac:dyDescent="0.3">
      <c r="A52" s="133"/>
      <c r="B52" s="134"/>
      <c r="C52" s="132"/>
      <c r="D52" s="132"/>
      <c r="E52" s="132"/>
      <c r="F52" s="132"/>
      <c r="G52" s="132"/>
      <c r="H52" s="132"/>
      <c r="I52" s="132"/>
      <c r="J52" s="132"/>
      <c r="K52" s="3"/>
      <c r="L52" s="277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1"/>
    </row>
    <row r="53" spans="1:28" s="6" customFormat="1" ht="14.1" customHeight="1" thickBot="1" x14ac:dyDescent="0.3">
      <c r="A53" s="304" t="s">
        <v>70</v>
      </c>
      <c r="B53" s="305">
        <f t="shared" ref="B53:Z53" si="18">B22+B31+B49+B50</f>
        <v>4494280.5693777287</v>
      </c>
      <c r="C53" s="306">
        <f t="shared" si="18"/>
        <v>4805834.9266134808</v>
      </c>
      <c r="D53" s="306">
        <f t="shared" si="18"/>
        <v>5067905.0391225033</v>
      </c>
      <c r="E53" s="306">
        <f t="shared" si="18"/>
        <v>5356738.759503562</v>
      </c>
      <c r="F53" s="306">
        <f t="shared" si="18"/>
        <v>5749646.6915570553</v>
      </c>
      <c r="G53" s="306">
        <f t="shared" si="18"/>
        <v>6118960.1023643399</v>
      </c>
      <c r="H53" s="306">
        <f t="shared" si="18"/>
        <v>6522245.8502628719</v>
      </c>
      <c r="I53" s="306">
        <f t="shared" si="18"/>
        <v>6895359.3635413833</v>
      </c>
      <c r="J53" s="306">
        <f t="shared" si="18"/>
        <v>7315654.4124898715</v>
      </c>
      <c r="K53" s="306">
        <f t="shared" si="18"/>
        <v>7660276.9196863677</v>
      </c>
      <c r="L53" s="306">
        <f t="shared" si="18"/>
        <v>8078053.8893633699</v>
      </c>
      <c r="M53" s="306">
        <f t="shared" si="18"/>
        <v>8504488.9023826085</v>
      </c>
      <c r="N53" s="306">
        <f t="shared" si="18"/>
        <v>9057188.1592527423</v>
      </c>
      <c r="O53" s="306">
        <f t="shared" si="18"/>
        <v>9619250.844180882</v>
      </c>
      <c r="P53" s="306">
        <f t="shared" si="18"/>
        <v>10177510.284373239</v>
      </c>
      <c r="Q53" s="306">
        <f t="shared" si="18"/>
        <v>10666236.159003189</v>
      </c>
      <c r="R53" s="306">
        <f t="shared" si="18"/>
        <v>11196978.490532132</v>
      </c>
      <c r="S53" s="306">
        <f t="shared" si="18"/>
        <v>11770045.065028647</v>
      </c>
      <c r="T53" s="306">
        <f t="shared" si="18"/>
        <v>12352651.796347424</v>
      </c>
      <c r="U53" s="306">
        <f t="shared" si="18"/>
        <v>13064481.549546579</v>
      </c>
      <c r="V53" s="306">
        <f t="shared" si="18"/>
        <v>13786575.413693689</v>
      </c>
      <c r="W53" s="306">
        <f t="shared" si="18"/>
        <v>14665829.612584442</v>
      </c>
      <c r="X53" s="306">
        <f t="shared" si="18"/>
        <v>15402268.710987505</v>
      </c>
      <c r="Y53" s="306">
        <f t="shared" si="18"/>
        <v>16263193.715931043</v>
      </c>
      <c r="Z53" s="307">
        <f t="shared" si="18"/>
        <v>17135185.203648545</v>
      </c>
      <c r="AA53" s="296">
        <f>SUM(B53:Z53)</f>
        <v>241726840.43137518</v>
      </c>
      <c r="AB53" s="131"/>
    </row>
    <row r="54" spans="1:28" s="9" customFormat="1" ht="15.75" thickBot="1" x14ac:dyDescent="0.3">
      <c r="A54" s="13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1"/>
    </row>
    <row r="55" spans="1:28" s="6" customFormat="1" ht="15.75" thickBot="1" x14ac:dyDescent="0.3">
      <c r="A55" s="308" t="s">
        <v>71</v>
      </c>
      <c r="B55" s="309">
        <v>7.0000000000000007E-2</v>
      </c>
      <c r="AB55" s="16"/>
    </row>
    <row r="56" spans="1:28" s="6" customFormat="1" x14ac:dyDescent="0.25">
      <c r="A56" s="310" t="s">
        <v>89</v>
      </c>
      <c r="B56" s="313">
        <f>B53</f>
        <v>4494280.5693777287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10"/>
      <c r="AB56" s="16"/>
    </row>
    <row r="57" spans="1:28" s="7" customFormat="1" ht="15.75" thickBot="1" x14ac:dyDescent="0.3">
      <c r="A57" s="311" t="s">
        <v>72</v>
      </c>
      <c r="B57" s="312">
        <f>B56+NPV(B55,C53:Z53)</f>
        <v>99747660.153067946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 s="11"/>
    </row>
    <row r="58" spans="1:28" s="6" customFormat="1" x14ac:dyDescent="0.25">
      <c r="A58" s="13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10"/>
      <c r="AB58" s="16"/>
    </row>
    <row r="59" spans="1:28" x14ac:dyDescent="0.25">
      <c r="A59" s="13"/>
      <c r="B59" s="6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10"/>
      <c r="AB59" s="16"/>
    </row>
    <row r="60" spans="1:28" x14ac:dyDescent="0.25">
      <c r="B60" s="284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16"/>
    </row>
    <row r="61" spans="1:28" x14ac:dyDescent="0.25">
      <c r="B61" s="487"/>
      <c r="C61" s="487"/>
      <c r="D61" s="487"/>
      <c r="E61" s="487"/>
      <c r="F61" s="487"/>
      <c r="G61" s="487"/>
      <c r="H61" s="487"/>
      <c r="I61" s="487"/>
      <c r="J61" s="487"/>
      <c r="K61" s="487"/>
    </row>
  </sheetData>
  <sheetProtection algorithmName="SHA-512" hashValue="yEF4M2FKXgpdIWyzXHRNHL8HQwUsUJCZ95sXtwy1JJn19hW0Ous52Dy+c9Wtk+sl1CMKXOlSWT0c5caMV3tMJA==" saltValue="mcw90d6PrcqZS8nobiCYFA==" spinCount="100000" sheet="1" objects="1" scenarios="1"/>
  <mergeCells count="7">
    <mergeCell ref="A34:A35"/>
    <mergeCell ref="A6:A7"/>
    <mergeCell ref="E7:F7"/>
    <mergeCell ref="E8:F8"/>
    <mergeCell ref="E10:F10"/>
    <mergeCell ref="E11:F11"/>
    <mergeCell ref="E9:F9"/>
  </mergeCells>
  <pageMargins left="0.7" right="0.7" top="0.75" bottom="0.75" header="0.3" footer="0.3"/>
  <pageSetup paperSize="17" scale="49" orientation="landscape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76AF-9883-4FE8-9EC0-32CF9173D3AD}">
  <sheetPr>
    <tabColor rgb="FFFFFF00"/>
    <pageSetUpPr fitToPage="1"/>
  </sheetPr>
  <dimension ref="A1:AB62"/>
  <sheetViews>
    <sheetView showGridLines="0" view="pageBreakPreview" zoomScaleNormal="100" zoomScaleSheetLayoutView="100" workbookViewId="0">
      <selection activeCell="B62" sqref="B62"/>
    </sheetView>
  </sheetViews>
  <sheetFormatPr defaultColWidth="8.7109375" defaultRowHeight="15" x14ac:dyDescent="0.25"/>
  <cols>
    <col min="1" max="1" width="46.28515625" customWidth="1"/>
    <col min="2" max="2" width="22.42578125" bestFit="1" customWidth="1"/>
    <col min="3" max="3" width="14.7109375" bestFit="1" customWidth="1"/>
    <col min="4" max="4" width="13.7109375" bestFit="1" customWidth="1"/>
    <col min="5" max="5" width="12.28515625" bestFit="1" customWidth="1"/>
    <col min="6" max="6" width="17.7109375" customWidth="1"/>
    <col min="7" max="7" width="15.42578125" customWidth="1"/>
    <col min="8" max="8" width="12.5703125" customWidth="1"/>
    <col min="9" max="9" width="14.5703125" customWidth="1"/>
    <col min="10" max="10" width="12.7109375" customWidth="1"/>
    <col min="11" max="15" width="11.42578125" bestFit="1" customWidth="1"/>
    <col min="16" max="16" width="11.7109375" bestFit="1" customWidth="1"/>
    <col min="17" max="18" width="11.42578125" bestFit="1" customWidth="1"/>
    <col min="19" max="26" width="11.7109375" bestFit="1" customWidth="1"/>
    <col min="27" max="27" width="13.5703125" bestFit="1" customWidth="1"/>
    <col min="28" max="28" width="15" style="11" bestFit="1" customWidth="1"/>
  </cols>
  <sheetData>
    <row r="1" spans="1:28" x14ac:dyDescent="0.25">
      <c r="A1" s="286" t="s">
        <v>0</v>
      </c>
    </row>
    <row r="2" spans="1:28" x14ac:dyDescent="0.25">
      <c r="A2" s="286"/>
    </row>
    <row r="4" spans="1:28" ht="21" x14ac:dyDescent="0.25">
      <c r="A4" s="315" t="s">
        <v>90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28" ht="15.75" thickBot="1" x14ac:dyDescent="0.3"/>
    <row r="6" spans="1:28" s="1" customFormat="1" ht="30.75" thickBot="1" x14ac:dyDescent="0.3">
      <c r="A6" s="527" t="s">
        <v>2</v>
      </c>
      <c r="B6" s="225" t="s">
        <v>3</v>
      </c>
      <c r="C6" s="222" t="s">
        <v>4</v>
      </c>
      <c r="D6" s="225" t="s">
        <v>91</v>
      </c>
      <c r="F6" s="552" t="s">
        <v>92</v>
      </c>
      <c r="G6" s="553"/>
      <c r="H6" s="467">
        <v>0.25</v>
      </c>
      <c r="Y6" s="14"/>
    </row>
    <row r="7" spans="1:28" x14ac:dyDescent="0.25">
      <c r="A7" s="528"/>
      <c r="B7" s="226" t="s">
        <v>5</v>
      </c>
      <c r="C7" s="223" t="s">
        <v>6</v>
      </c>
      <c r="D7" s="226" t="s">
        <v>5</v>
      </c>
      <c r="F7" s="529" t="s">
        <v>7</v>
      </c>
      <c r="G7" s="554"/>
      <c r="H7" s="468">
        <v>2.5000000000000001E-3</v>
      </c>
      <c r="Y7" s="11"/>
      <c r="AB7"/>
    </row>
    <row r="8" spans="1:28" ht="15.75" thickBot="1" x14ac:dyDescent="0.3">
      <c r="A8" s="228">
        <f>Sizing!C55</f>
        <v>9032610</v>
      </c>
      <c r="B8" s="227">
        <f>ROUND([1]Summary!$E$16,3)</f>
        <v>8.5000000000000006E-2</v>
      </c>
      <c r="C8" s="224">
        <f>ROUND([1]Summary!$E$28/10,2)</f>
        <v>0.56999999999999995</v>
      </c>
      <c r="D8" s="227">
        <v>0.14599999999999999</v>
      </c>
      <c r="F8" s="521" t="s">
        <v>8</v>
      </c>
      <c r="G8" s="555"/>
      <c r="H8" s="469">
        <v>0.03</v>
      </c>
    </row>
    <row r="9" spans="1:28" x14ac:dyDescent="0.25">
      <c r="F9" s="531" t="s">
        <v>10</v>
      </c>
      <c r="G9" s="556"/>
      <c r="H9" s="470">
        <v>0.3</v>
      </c>
    </row>
    <row r="10" spans="1:28" ht="15.75" thickBot="1" x14ac:dyDescent="0.3">
      <c r="F10" s="549" t="s">
        <v>13</v>
      </c>
      <c r="G10" s="550"/>
      <c r="H10" s="471">
        <v>5.4800000000000001E-2</v>
      </c>
      <c r="AA10" s="442"/>
    </row>
    <row r="11" spans="1:28" x14ac:dyDescent="0.25">
      <c r="A11" s="195" t="s">
        <v>73</v>
      </c>
      <c r="B11" s="195" t="s">
        <v>74</v>
      </c>
      <c r="AA11" s="443"/>
      <c r="AB11"/>
    </row>
    <row r="12" spans="1:28" ht="15.75" thickBot="1" x14ac:dyDescent="0.3">
      <c r="A12" s="285">
        <f>AA25</f>
        <v>156846135.76035434</v>
      </c>
      <c r="B12" s="381">
        <f>SUM(B39:Z41)</f>
        <v>102120.58144677801</v>
      </c>
      <c r="AA12" s="11"/>
      <c r="AB12"/>
    </row>
    <row r="14" spans="1:28" s="3" customFormat="1" ht="27" customHeight="1" thickBot="1" x14ac:dyDescent="0.3">
      <c r="A14" s="2" t="s">
        <v>93</v>
      </c>
      <c r="AB14" s="15"/>
    </row>
    <row r="15" spans="1:28" s="4" customFormat="1" ht="15.75" thickBot="1" x14ac:dyDescent="0.3">
      <c r="A15" s="167"/>
      <c r="B15" s="182" t="s">
        <v>21</v>
      </c>
      <c r="C15" s="157" t="s">
        <v>22</v>
      </c>
      <c r="D15" s="157" t="s">
        <v>23</v>
      </c>
      <c r="E15" s="157" t="s">
        <v>24</v>
      </c>
      <c r="F15" s="157" t="s">
        <v>25</v>
      </c>
      <c r="G15" s="157" t="s">
        <v>26</v>
      </c>
      <c r="H15" s="157" t="s">
        <v>27</v>
      </c>
      <c r="I15" s="157" t="s">
        <v>28</v>
      </c>
      <c r="J15" s="157" t="s">
        <v>29</v>
      </c>
      <c r="K15" s="157" t="s">
        <v>30</v>
      </c>
      <c r="L15" s="157" t="s">
        <v>31</v>
      </c>
      <c r="M15" s="157" t="s">
        <v>32</v>
      </c>
      <c r="N15" s="157" t="s">
        <v>33</v>
      </c>
      <c r="O15" s="157" t="s">
        <v>34</v>
      </c>
      <c r="P15" s="157" t="s">
        <v>35</v>
      </c>
      <c r="Q15" s="157" t="s">
        <v>36</v>
      </c>
      <c r="R15" s="157" t="s">
        <v>37</v>
      </c>
      <c r="S15" s="157" t="s">
        <v>38</v>
      </c>
      <c r="T15" s="157" t="s">
        <v>39</v>
      </c>
      <c r="U15" s="157" t="s">
        <v>40</v>
      </c>
      <c r="V15" s="157" t="s">
        <v>41</v>
      </c>
      <c r="W15" s="157" t="s">
        <v>42</v>
      </c>
      <c r="X15" s="157" t="s">
        <v>43</v>
      </c>
      <c r="Y15" s="157" t="s">
        <v>44</v>
      </c>
      <c r="Z15" s="157" t="s">
        <v>45</v>
      </c>
      <c r="AA15" s="162" t="s">
        <v>46</v>
      </c>
      <c r="AB15" s="177" t="s">
        <v>47</v>
      </c>
    </row>
    <row r="16" spans="1:28" s="5" customFormat="1" ht="30" x14ac:dyDescent="0.25">
      <c r="A16" s="195" t="s">
        <v>94</v>
      </c>
      <c r="B16" s="190">
        <v>0</v>
      </c>
      <c r="C16" s="160">
        <f t="shared" ref="C16:Z16" si="0">B16*(1+$H$7)</f>
        <v>0</v>
      </c>
      <c r="D16" s="160">
        <f t="shared" si="0"/>
        <v>0</v>
      </c>
      <c r="E16" s="160">
        <f t="shared" si="0"/>
        <v>0</v>
      </c>
      <c r="F16" s="160">
        <f t="shared" si="0"/>
        <v>0</v>
      </c>
      <c r="G16" s="160">
        <f t="shared" si="0"/>
        <v>0</v>
      </c>
      <c r="H16" s="160">
        <f t="shared" si="0"/>
        <v>0</v>
      </c>
      <c r="I16" s="160">
        <f t="shared" si="0"/>
        <v>0</v>
      </c>
      <c r="J16" s="160">
        <f t="shared" si="0"/>
        <v>0</v>
      </c>
      <c r="K16" s="160">
        <f t="shared" si="0"/>
        <v>0</v>
      </c>
      <c r="L16" s="160">
        <f t="shared" si="0"/>
        <v>0</v>
      </c>
      <c r="M16" s="160">
        <f t="shared" si="0"/>
        <v>0</v>
      </c>
      <c r="N16" s="160">
        <f t="shared" si="0"/>
        <v>0</v>
      </c>
      <c r="O16" s="160">
        <f t="shared" si="0"/>
        <v>0</v>
      </c>
      <c r="P16" s="160">
        <f t="shared" si="0"/>
        <v>0</v>
      </c>
      <c r="Q16" s="160">
        <f t="shared" si="0"/>
        <v>0</v>
      </c>
      <c r="R16" s="160">
        <f t="shared" si="0"/>
        <v>0</v>
      </c>
      <c r="S16" s="160">
        <f t="shared" si="0"/>
        <v>0</v>
      </c>
      <c r="T16" s="160">
        <f t="shared" si="0"/>
        <v>0</v>
      </c>
      <c r="U16" s="160">
        <f t="shared" si="0"/>
        <v>0</v>
      </c>
      <c r="V16" s="160">
        <f t="shared" si="0"/>
        <v>0</v>
      </c>
      <c r="W16" s="160">
        <f t="shared" si="0"/>
        <v>0</v>
      </c>
      <c r="X16" s="160">
        <f t="shared" si="0"/>
        <v>0</v>
      </c>
      <c r="Y16" s="160">
        <f t="shared" si="0"/>
        <v>0</v>
      </c>
      <c r="Z16" s="160">
        <f t="shared" si="0"/>
        <v>0</v>
      </c>
      <c r="AA16" s="265">
        <f>SUM(B16:Z16)</f>
        <v>0</v>
      </c>
      <c r="AB16" s="168">
        <f>AVERAGE(B16:Z16)</f>
        <v>0</v>
      </c>
    </row>
    <row r="17" spans="1:28" s="5" customFormat="1" x14ac:dyDescent="0.25">
      <c r="A17" s="256" t="s">
        <v>95</v>
      </c>
      <c r="B17" s="472">
        <f>'Baseline LCA'!B17*(1-$H$6)</f>
        <v>33552281.32855304</v>
      </c>
      <c r="C17" s="356">
        <f t="shared" ref="C17:Z17" si="1">B17*(1+$H$7)</f>
        <v>33636162.031874418</v>
      </c>
      <c r="D17" s="356">
        <f t="shared" si="1"/>
        <v>33720252.436954103</v>
      </c>
      <c r="E17" s="356">
        <f t="shared" si="1"/>
        <v>33804553.068046488</v>
      </c>
      <c r="F17" s="356">
        <f t="shared" si="1"/>
        <v>33889064.4507166</v>
      </c>
      <c r="G17" s="356">
        <f t="shared" si="1"/>
        <v>33973787.111843392</v>
      </c>
      <c r="H17" s="356">
        <f t="shared" si="1"/>
        <v>34058721.579622999</v>
      </c>
      <c r="I17" s="356">
        <f t="shared" si="1"/>
        <v>34143868.383572057</v>
      </c>
      <c r="J17" s="356">
        <f t="shared" si="1"/>
        <v>34229228.054530986</v>
      </c>
      <c r="K17" s="356">
        <f t="shared" si="1"/>
        <v>34314801.124667309</v>
      </c>
      <c r="L17" s="356">
        <f t="shared" si="1"/>
        <v>34400588.127478972</v>
      </c>
      <c r="M17" s="356">
        <f t="shared" si="1"/>
        <v>34486589.597797669</v>
      </c>
      <c r="N17" s="356">
        <f t="shared" si="1"/>
        <v>34572806.071792163</v>
      </c>
      <c r="O17" s="356">
        <f t="shared" si="1"/>
        <v>34659238.086971641</v>
      </c>
      <c r="P17" s="356">
        <f t="shared" si="1"/>
        <v>34745886.18218907</v>
      </c>
      <c r="Q17" s="356">
        <f t="shared" si="1"/>
        <v>34832750.897644542</v>
      </c>
      <c r="R17" s="356">
        <f t="shared" si="1"/>
        <v>34919832.77488865</v>
      </c>
      <c r="S17" s="356">
        <f t="shared" si="1"/>
        <v>35007132.356825866</v>
      </c>
      <c r="T17" s="356">
        <f t="shared" si="1"/>
        <v>35094650.187717929</v>
      </c>
      <c r="U17" s="356">
        <f t="shared" si="1"/>
        <v>35182386.813187219</v>
      </c>
      <c r="V17" s="356">
        <f t="shared" si="1"/>
        <v>35270342.780220188</v>
      </c>
      <c r="W17" s="356">
        <f t="shared" si="1"/>
        <v>35358518.637170739</v>
      </c>
      <c r="X17" s="356">
        <f t="shared" si="1"/>
        <v>35446914.933763668</v>
      </c>
      <c r="Y17" s="356">
        <f t="shared" si="1"/>
        <v>35535532.221098073</v>
      </c>
      <c r="Z17" s="356">
        <f t="shared" si="1"/>
        <v>35624371.051650815</v>
      </c>
      <c r="AA17" s="357">
        <f>SUM(B17:Z17)</f>
        <v>864460260.2907784</v>
      </c>
      <c r="AB17" s="358">
        <f t="shared" ref="AB17:AB21" si="2">AVERAGE(B17:Z17)</f>
        <v>34578410.411631137</v>
      </c>
    </row>
    <row r="18" spans="1:28" s="5" customFormat="1" x14ac:dyDescent="0.25">
      <c r="A18" s="200" t="s">
        <v>96</v>
      </c>
      <c r="B18" s="506">
        <f>1409939.16325689</f>
        <v>1409939.1632568899</v>
      </c>
      <c r="C18" s="147">
        <f t="shared" ref="C18:Z18" si="3">B18*(1+$H$7)</f>
        <v>1413464.0111650322</v>
      </c>
      <c r="D18" s="147">
        <f t="shared" si="3"/>
        <v>1416997.6711929447</v>
      </c>
      <c r="E18" s="147">
        <f t="shared" si="3"/>
        <v>1420540.165370927</v>
      </c>
      <c r="F18" s="147">
        <f t="shared" si="3"/>
        <v>1424091.5157843542</v>
      </c>
      <c r="G18" s="147">
        <f t="shared" si="3"/>
        <v>1427651.744573815</v>
      </c>
      <c r="H18" s="147">
        <f t="shared" si="3"/>
        <v>1431220.8739352494</v>
      </c>
      <c r="I18" s="147">
        <f t="shared" si="3"/>
        <v>1434798.9261200875</v>
      </c>
      <c r="J18" s="147">
        <f t="shared" si="3"/>
        <v>1438385.9234353877</v>
      </c>
      <c r="K18" s="147">
        <f t="shared" si="3"/>
        <v>1441981.888243976</v>
      </c>
      <c r="L18" s="147">
        <f t="shared" si="3"/>
        <v>1445586.8429645859</v>
      </c>
      <c r="M18" s="147">
        <f t="shared" si="3"/>
        <v>1449200.8100719973</v>
      </c>
      <c r="N18" s="147">
        <f t="shared" si="3"/>
        <v>1452823.8120971774</v>
      </c>
      <c r="O18" s="147">
        <f t="shared" si="3"/>
        <v>1456455.8716274202</v>
      </c>
      <c r="P18" s="147">
        <f t="shared" si="3"/>
        <v>1460097.0113064887</v>
      </c>
      <c r="Q18" s="147">
        <f t="shared" si="3"/>
        <v>1463747.2538347547</v>
      </c>
      <c r="R18" s="147">
        <f t="shared" si="3"/>
        <v>1467406.6219693415</v>
      </c>
      <c r="S18" s="147">
        <f t="shared" si="3"/>
        <v>1471075.1385242648</v>
      </c>
      <c r="T18" s="147">
        <f t="shared" si="3"/>
        <v>1474752.8263705755</v>
      </c>
      <c r="U18" s="147">
        <f t="shared" si="3"/>
        <v>1478439.7084365019</v>
      </c>
      <c r="V18" s="147">
        <f t="shared" si="3"/>
        <v>1482135.8077075931</v>
      </c>
      <c r="W18" s="147">
        <f t="shared" si="3"/>
        <v>1485841.1472268619</v>
      </c>
      <c r="X18" s="147">
        <f t="shared" si="3"/>
        <v>1489555.750094929</v>
      </c>
      <c r="Y18" s="147">
        <f t="shared" si="3"/>
        <v>1493279.6394701663</v>
      </c>
      <c r="Z18" s="147">
        <f t="shared" si="3"/>
        <v>1497012.8385688416</v>
      </c>
      <c r="AA18" s="147">
        <f>Z18*(1+$H$7)</f>
        <v>1500755.3706652636</v>
      </c>
      <c r="AB18" s="507"/>
    </row>
    <row r="19" spans="1:28" s="5" customFormat="1" x14ac:dyDescent="0.25">
      <c r="A19" s="196" t="s">
        <v>97</v>
      </c>
      <c r="B19" s="472"/>
      <c r="C19" s="508"/>
      <c r="D19" s="508"/>
      <c r="E19" s="508"/>
      <c r="F19" s="508"/>
      <c r="G19" s="508"/>
      <c r="H19" s="508"/>
      <c r="I19" s="508"/>
      <c r="J19" s="508"/>
      <c r="K19" s="508"/>
      <c r="L19" s="508"/>
      <c r="M19" s="508"/>
      <c r="N19" s="508"/>
      <c r="O19" s="508"/>
      <c r="P19" s="508"/>
      <c r="Q19" s="508"/>
      <c r="R19" s="508"/>
      <c r="S19" s="508"/>
      <c r="T19" s="508"/>
      <c r="U19" s="508"/>
      <c r="V19" s="508"/>
      <c r="W19" s="508"/>
      <c r="X19" s="508"/>
      <c r="Y19" s="508"/>
      <c r="Z19" s="508"/>
      <c r="AA19" s="164"/>
      <c r="AB19" s="169"/>
    </row>
    <row r="20" spans="1:28" s="5" customFormat="1" ht="15.75" thickBot="1" x14ac:dyDescent="0.3">
      <c r="A20" s="374" t="s">
        <v>98</v>
      </c>
      <c r="B20" s="375"/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7"/>
      <c r="AB20" s="378"/>
    </row>
    <row r="21" spans="1:28" s="5" customFormat="1" x14ac:dyDescent="0.25">
      <c r="A21" s="195" t="s">
        <v>17</v>
      </c>
      <c r="B21" s="359">
        <f>$C$8*B27</f>
        <v>0.56999999999999995</v>
      </c>
      <c r="C21" s="359">
        <f>$C$8*C27</f>
        <v>0.59849999999999992</v>
      </c>
      <c r="D21" s="359">
        <f t="shared" ref="D21:Z21" si="4">$C$8*D27</f>
        <v>0.61560000000000004</v>
      </c>
      <c r="E21" s="359">
        <f>$C$8*E27</f>
        <v>0.62129999999999996</v>
      </c>
      <c r="F21" s="359">
        <f t="shared" si="4"/>
        <v>0.64979999999999993</v>
      </c>
      <c r="G21" s="359">
        <f t="shared" si="4"/>
        <v>0.68969999999999987</v>
      </c>
      <c r="H21" s="359">
        <f t="shared" si="4"/>
        <v>0.72389999999999999</v>
      </c>
      <c r="I21" s="359">
        <f t="shared" si="4"/>
        <v>0.76380000000000003</v>
      </c>
      <c r="J21" s="359">
        <f t="shared" si="4"/>
        <v>0.8093999999999999</v>
      </c>
      <c r="K21" s="359">
        <f t="shared" si="4"/>
        <v>0.85499999999999998</v>
      </c>
      <c r="L21" s="359">
        <f t="shared" si="4"/>
        <v>0.89489999999999992</v>
      </c>
      <c r="M21" s="359">
        <f t="shared" si="4"/>
        <v>0.94049999999999989</v>
      </c>
      <c r="N21" s="359">
        <f t="shared" si="4"/>
        <v>0.9917999999999999</v>
      </c>
      <c r="O21" s="359">
        <f t="shared" si="4"/>
        <v>1.0488</v>
      </c>
      <c r="P21" s="359">
        <f t="shared" si="4"/>
        <v>1.1000999999999999</v>
      </c>
      <c r="Q21" s="359">
        <f t="shared" si="4"/>
        <v>1.1570999999999998</v>
      </c>
      <c r="R21" s="359">
        <f t="shared" si="4"/>
        <v>1.2140999999999997</v>
      </c>
      <c r="S21" s="359">
        <f t="shared" si="4"/>
        <v>1.2710999999999999</v>
      </c>
      <c r="T21" s="359">
        <f t="shared" si="4"/>
        <v>1.3337999999999999</v>
      </c>
      <c r="U21" s="359">
        <f t="shared" si="4"/>
        <v>1.4021999999999999</v>
      </c>
      <c r="V21" s="359">
        <f t="shared" si="4"/>
        <v>1.4762999999999997</v>
      </c>
      <c r="W21" s="359">
        <f t="shared" si="4"/>
        <v>1.5446999999999997</v>
      </c>
      <c r="X21" s="359">
        <f t="shared" si="4"/>
        <v>1.6244999999999998</v>
      </c>
      <c r="Y21" s="359">
        <f t="shared" si="4"/>
        <v>1.7042999999999999</v>
      </c>
      <c r="Z21" s="359">
        <f t="shared" si="4"/>
        <v>1.7897999999999998</v>
      </c>
      <c r="AA21" s="360"/>
      <c r="AB21" s="361">
        <f t="shared" si="2"/>
        <v>1.0556399999999999</v>
      </c>
    </row>
    <row r="22" spans="1:28" s="4" customFormat="1" ht="15.6" customHeight="1" thickBot="1" x14ac:dyDescent="0.3">
      <c r="A22" s="197" t="s">
        <v>18</v>
      </c>
      <c r="B22" s="194">
        <f>$B$8*B28</f>
        <v>8.5000000000000006E-2</v>
      </c>
      <c r="C22" s="194">
        <f>$B$8*C28</f>
        <v>9.0950000000000017E-2</v>
      </c>
      <c r="D22" s="194">
        <f t="shared" ref="D22:Z22" si="5">$B$8*D28</f>
        <v>9.6049999999999996E-2</v>
      </c>
      <c r="E22" s="194">
        <f t="shared" si="5"/>
        <v>0.10200000000000001</v>
      </c>
      <c r="F22" s="194">
        <f t="shared" si="5"/>
        <v>0.10965000000000001</v>
      </c>
      <c r="G22" s="194">
        <f t="shared" si="5"/>
        <v>0.11645000000000001</v>
      </c>
      <c r="H22" s="194">
        <f t="shared" si="5"/>
        <v>0.1241</v>
      </c>
      <c r="I22" s="194">
        <f t="shared" si="5"/>
        <v>0.13090000000000002</v>
      </c>
      <c r="J22" s="194">
        <f t="shared" si="5"/>
        <v>0.13855000000000001</v>
      </c>
      <c r="K22" s="194">
        <f t="shared" si="5"/>
        <v>0.14450000000000002</v>
      </c>
      <c r="L22" s="194">
        <f t="shared" si="5"/>
        <v>0.15215000000000001</v>
      </c>
      <c r="M22" s="194">
        <f t="shared" si="5"/>
        <v>0.1598</v>
      </c>
      <c r="N22" s="194">
        <f t="shared" si="5"/>
        <v>0.17</v>
      </c>
      <c r="O22" s="194">
        <f t="shared" si="5"/>
        <v>0.18020000000000003</v>
      </c>
      <c r="P22" s="194">
        <f t="shared" si="5"/>
        <v>0.19040000000000004</v>
      </c>
      <c r="Q22" s="194">
        <f t="shared" si="5"/>
        <v>0.19889999999999999</v>
      </c>
      <c r="R22" s="194">
        <f t="shared" si="5"/>
        <v>0.20825000000000002</v>
      </c>
      <c r="S22" s="194">
        <f t="shared" si="5"/>
        <v>0.21845000000000001</v>
      </c>
      <c r="T22" s="194">
        <f t="shared" si="5"/>
        <v>0.22865000000000002</v>
      </c>
      <c r="U22" s="194">
        <f t="shared" si="5"/>
        <v>0.2414</v>
      </c>
      <c r="V22" s="194">
        <f t="shared" si="5"/>
        <v>0.25415000000000004</v>
      </c>
      <c r="W22" s="194">
        <f t="shared" si="5"/>
        <v>0.27030000000000004</v>
      </c>
      <c r="X22" s="194">
        <f t="shared" si="5"/>
        <v>0.28305000000000002</v>
      </c>
      <c r="Y22" s="194">
        <f t="shared" si="5"/>
        <v>0.29835</v>
      </c>
      <c r="Z22" s="194">
        <f t="shared" si="5"/>
        <v>0.31365000000000004</v>
      </c>
      <c r="AA22" s="166"/>
      <c r="AB22" s="171">
        <f>AVERAGE(B22:Z22)</f>
        <v>0.18023400000000003</v>
      </c>
    </row>
    <row r="23" spans="1:28" s="4" customFormat="1" ht="15.6" customHeight="1" x14ac:dyDescent="0.25">
      <c r="A23" s="266" t="s">
        <v>48</v>
      </c>
      <c r="B23" s="269">
        <f>B21*B16</f>
        <v>0</v>
      </c>
      <c r="C23" s="255">
        <f t="shared" ref="C23:Z23" si="6">C21*C16</f>
        <v>0</v>
      </c>
      <c r="D23" s="255">
        <f t="shared" si="6"/>
        <v>0</v>
      </c>
      <c r="E23" s="255">
        <f t="shared" si="6"/>
        <v>0</v>
      </c>
      <c r="F23" s="255">
        <f t="shared" si="6"/>
        <v>0</v>
      </c>
      <c r="G23" s="255">
        <f t="shared" si="6"/>
        <v>0</v>
      </c>
      <c r="H23" s="255">
        <f t="shared" si="6"/>
        <v>0</v>
      </c>
      <c r="I23" s="255">
        <f t="shared" si="6"/>
        <v>0</v>
      </c>
      <c r="J23" s="255">
        <f t="shared" si="6"/>
        <v>0</v>
      </c>
      <c r="K23" s="255">
        <f t="shared" si="6"/>
        <v>0</v>
      </c>
      <c r="L23" s="255">
        <f t="shared" si="6"/>
        <v>0</v>
      </c>
      <c r="M23" s="255">
        <f t="shared" si="6"/>
        <v>0</v>
      </c>
      <c r="N23" s="255">
        <f t="shared" si="6"/>
        <v>0</v>
      </c>
      <c r="O23" s="255">
        <f t="shared" si="6"/>
        <v>0</v>
      </c>
      <c r="P23" s="255">
        <f t="shared" si="6"/>
        <v>0</v>
      </c>
      <c r="Q23" s="255">
        <f t="shared" si="6"/>
        <v>0</v>
      </c>
      <c r="R23" s="255">
        <f t="shared" si="6"/>
        <v>0</v>
      </c>
      <c r="S23" s="255">
        <f t="shared" si="6"/>
        <v>0</v>
      </c>
      <c r="T23" s="255">
        <f t="shared" si="6"/>
        <v>0</v>
      </c>
      <c r="U23" s="255">
        <f t="shared" si="6"/>
        <v>0</v>
      </c>
      <c r="V23" s="255">
        <f t="shared" si="6"/>
        <v>0</v>
      </c>
      <c r="W23" s="255">
        <f t="shared" si="6"/>
        <v>0</v>
      </c>
      <c r="X23" s="255">
        <f t="shared" si="6"/>
        <v>0</v>
      </c>
      <c r="Y23" s="255">
        <f t="shared" si="6"/>
        <v>0</v>
      </c>
      <c r="Z23" s="255">
        <f t="shared" si="6"/>
        <v>0</v>
      </c>
      <c r="AA23" s="270">
        <f>SUM(B23:Z23)</f>
        <v>0</v>
      </c>
      <c r="AB23" s="252">
        <f t="shared" ref="AB23:AB25" si="7">AVERAGE(B23:Z23)</f>
        <v>0</v>
      </c>
    </row>
    <row r="24" spans="1:28" s="4" customFormat="1" ht="15.6" customHeight="1" x14ac:dyDescent="0.25">
      <c r="A24" s="267" t="s">
        <v>49</v>
      </c>
      <c r="B24" s="473">
        <f>B22*B17</f>
        <v>2851943.9129270087</v>
      </c>
      <c r="C24" s="446">
        <f t="shared" ref="C24:Z24" si="8">C22*C17</f>
        <v>3059208.9367989791</v>
      </c>
      <c r="D24" s="446">
        <f t="shared" si="8"/>
        <v>3238830.2465694416</v>
      </c>
      <c r="E24" s="446">
        <f t="shared" si="8"/>
        <v>3448064.412940742</v>
      </c>
      <c r="F24" s="446">
        <f t="shared" si="8"/>
        <v>3715935.9170210757</v>
      </c>
      <c r="G24" s="446">
        <f t="shared" si="8"/>
        <v>3956247.5091741635</v>
      </c>
      <c r="H24" s="446">
        <f t="shared" si="8"/>
        <v>4226687.3480312144</v>
      </c>
      <c r="I24" s="446">
        <f t="shared" si="8"/>
        <v>4469432.3714095829</v>
      </c>
      <c r="J24" s="446">
        <f t="shared" si="8"/>
        <v>4742459.5469552679</v>
      </c>
      <c r="K24" s="446">
        <f t="shared" si="8"/>
        <v>4958488.7625144264</v>
      </c>
      <c r="L24" s="446">
        <f t="shared" si="8"/>
        <v>5234049.4835959263</v>
      </c>
      <c r="M24" s="446">
        <f t="shared" si="8"/>
        <v>5510957.0177280679</v>
      </c>
      <c r="N24" s="446">
        <f t="shared" si="8"/>
        <v>5877377.032204668</v>
      </c>
      <c r="O24" s="446">
        <f t="shared" si="8"/>
        <v>6245594.7032722905</v>
      </c>
      <c r="P24" s="446">
        <f t="shared" si="8"/>
        <v>6615616.7290888</v>
      </c>
      <c r="Q24" s="446">
        <f t="shared" si="8"/>
        <v>6928234.1535414988</v>
      </c>
      <c r="R24" s="446">
        <f t="shared" si="8"/>
        <v>7272055.1753705619</v>
      </c>
      <c r="S24" s="446">
        <f t="shared" si="8"/>
        <v>7647308.0633486109</v>
      </c>
      <c r="T24" s="446">
        <f t="shared" si="8"/>
        <v>8024391.7654217053</v>
      </c>
      <c r="U24" s="446">
        <f t="shared" si="8"/>
        <v>8493028.1767033953</v>
      </c>
      <c r="V24" s="446">
        <f t="shared" si="8"/>
        <v>8963957.6175929625</v>
      </c>
      <c r="W24" s="446">
        <f t="shared" si="8"/>
        <v>9557407.5876272526</v>
      </c>
      <c r="X24" s="446">
        <f t="shared" si="8"/>
        <v>10033249.272001807</v>
      </c>
      <c r="Y24" s="446">
        <f t="shared" si="8"/>
        <v>10602026.03816461</v>
      </c>
      <c r="Z24" s="445">
        <f t="shared" si="8"/>
        <v>11173583.98035028</v>
      </c>
      <c r="AA24" s="271">
        <f>SUM(B24:Z24)</f>
        <v>156846135.76035434</v>
      </c>
      <c r="AB24" s="253">
        <f t="shared" si="7"/>
        <v>6273845.4304141738</v>
      </c>
    </row>
    <row r="25" spans="1:28" s="4" customFormat="1" ht="15.6" customHeight="1" thickBot="1" x14ac:dyDescent="0.3">
      <c r="A25" s="268" t="s">
        <v>78</v>
      </c>
      <c r="B25" s="229">
        <f>B23+B24</f>
        <v>2851943.9129270087</v>
      </c>
      <c r="C25" s="151">
        <f t="shared" ref="C25:Z25" si="9">C23+C24</f>
        <v>3059208.9367989791</v>
      </c>
      <c r="D25" s="151">
        <f>D23+D24</f>
        <v>3238830.2465694416</v>
      </c>
      <c r="E25" s="151">
        <f t="shared" si="9"/>
        <v>3448064.412940742</v>
      </c>
      <c r="F25" s="151">
        <f t="shared" si="9"/>
        <v>3715935.9170210757</v>
      </c>
      <c r="G25" s="151">
        <f t="shared" si="9"/>
        <v>3956247.5091741635</v>
      </c>
      <c r="H25" s="151">
        <f t="shared" si="9"/>
        <v>4226687.3480312144</v>
      </c>
      <c r="I25" s="151">
        <f t="shared" si="9"/>
        <v>4469432.3714095829</v>
      </c>
      <c r="J25" s="151">
        <f t="shared" si="9"/>
        <v>4742459.5469552679</v>
      </c>
      <c r="K25" s="151">
        <f t="shared" si="9"/>
        <v>4958488.7625144264</v>
      </c>
      <c r="L25" s="151">
        <f t="shared" si="9"/>
        <v>5234049.4835959263</v>
      </c>
      <c r="M25" s="151">
        <f t="shared" si="9"/>
        <v>5510957.0177280679</v>
      </c>
      <c r="N25" s="151">
        <f t="shared" si="9"/>
        <v>5877377.032204668</v>
      </c>
      <c r="O25" s="151">
        <f t="shared" si="9"/>
        <v>6245594.7032722905</v>
      </c>
      <c r="P25" s="151">
        <f t="shared" si="9"/>
        <v>6615616.7290888</v>
      </c>
      <c r="Q25" s="151">
        <f t="shared" si="9"/>
        <v>6928234.1535414988</v>
      </c>
      <c r="R25" s="151">
        <f t="shared" si="9"/>
        <v>7272055.1753705619</v>
      </c>
      <c r="S25" s="151">
        <f t="shared" si="9"/>
        <v>7647308.0633486109</v>
      </c>
      <c r="T25" s="151">
        <f t="shared" si="9"/>
        <v>8024391.7654217053</v>
      </c>
      <c r="U25" s="151">
        <f t="shared" si="9"/>
        <v>8493028.1767033953</v>
      </c>
      <c r="V25" s="151">
        <f t="shared" si="9"/>
        <v>8963957.6175929625</v>
      </c>
      <c r="W25" s="151">
        <f t="shared" si="9"/>
        <v>9557407.5876272526</v>
      </c>
      <c r="X25" s="151">
        <f t="shared" si="9"/>
        <v>10033249.272001807</v>
      </c>
      <c r="Y25" s="151">
        <f t="shared" si="9"/>
        <v>10602026.03816461</v>
      </c>
      <c r="Z25" s="151">
        <f t="shared" si="9"/>
        <v>11173583.98035028</v>
      </c>
      <c r="AA25" s="152">
        <f>SUM(B25:Z25)</f>
        <v>156846135.76035434</v>
      </c>
      <c r="AB25" s="254">
        <f t="shared" si="7"/>
        <v>6273845.4304141738</v>
      </c>
    </row>
    <row r="26" spans="1:28" s="4" customFormat="1" ht="15.6" customHeight="1" thickBot="1" x14ac:dyDescent="0.3">
      <c r="A26" s="259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0"/>
      <c r="AB26" s="261"/>
    </row>
    <row r="27" spans="1:28" s="4" customFormat="1" ht="15.6" customHeight="1" x14ac:dyDescent="0.25">
      <c r="A27" s="195" t="s">
        <v>79</v>
      </c>
      <c r="B27" s="263">
        <f>'Fuel Indices'!I8</f>
        <v>1</v>
      </c>
      <c r="C27" s="263">
        <f>'Fuel Indices'!J8</f>
        <v>1.05</v>
      </c>
      <c r="D27" s="263">
        <f>'Fuel Indices'!K8</f>
        <v>1.08</v>
      </c>
      <c r="E27" s="263">
        <f>'Fuel Indices'!L8</f>
        <v>1.0900000000000001</v>
      </c>
      <c r="F27" s="263">
        <f>'Fuel Indices'!M8</f>
        <v>1.1399999999999999</v>
      </c>
      <c r="G27" s="263">
        <f>'Fuel Indices'!N8</f>
        <v>1.21</v>
      </c>
      <c r="H27" s="263">
        <f>'Fuel Indices'!O8</f>
        <v>1.27</v>
      </c>
      <c r="I27" s="263">
        <f>'Fuel Indices'!P8</f>
        <v>1.34</v>
      </c>
      <c r="J27" s="263">
        <f>'Fuel Indices'!Q8</f>
        <v>1.42</v>
      </c>
      <c r="K27" s="263">
        <f>'Fuel Indices'!R8</f>
        <v>1.5</v>
      </c>
      <c r="L27" s="263">
        <f>'Fuel Indices'!S8</f>
        <v>1.57</v>
      </c>
      <c r="M27" s="263">
        <f>'Fuel Indices'!T8</f>
        <v>1.65</v>
      </c>
      <c r="N27" s="263">
        <f>'Fuel Indices'!U8</f>
        <v>1.74</v>
      </c>
      <c r="O27" s="263">
        <f>'Fuel Indices'!V8</f>
        <v>1.84</v>
      </c>
      <c r="P27" s="263">
        <f>'Fuel Indices'!W8</f>
        <v>1.93</v>
      </c>
      <c r="Q27" s="263">
        <f>'Fuel Indices'!X8</f>
        <v>2.0299999999999998</v>
      </c>
      <c r="R27" s="263">
        <f>'Fuel Indices'!Y8</f>
        <v>2.13</v>
      </c>
      <c r="S27" s="263">
        <f>'Fuel Indices'!Z8</f>
        <v>2.23</v>
      </c>
      <c r="T27" s="263">
        <f>'Fuel Indices'!AA8</f>
        <v>2.34</v>
      </c>
      <c r="U27" s="263">
        <f>'Fuel Indices'!AB8</f>
        <v>2.46</v>
      </c>
      <c r="V27" s="263">
        <f>'Fuel Indices'!AC8</f>
        <v>2.59</v>
      </c>
      <c r="W27" s="263">
        <f>'Fuel Indices'!AD8</f>
        <v>2.71</v>
      </c>
      <c r="X27" s="263">
        <f>'Fuel Indices'!AE8</f>
        <v>2.85</v>
      </c>
      <c r="Y27" s="263">
        <f>'Fuel Indices'!AF8</f>
        <v>2.99</v>
      </c>
      <c r="Z27" s="263">
        <f>'Fuel Indices'!AG8</f>
        <v>3.14</v>
      </c>
      <c r="AA27" s="260"/>
      <c r="AB27" s="261"/>
    </row>
    <row r="28" spans="1:28" s="4" customFormat="1" ht="15.6" customHeight="1" thickBot="1" x14ac:dyDescent="0.3">
      <c r="A28" s="197" t="s">
        <v>80</v>
      </c>
      <c r="B28" s="264">
        <f>'Fuel Indices'!I7</f>
        <v>1</v>
      </c>
      <c r="C28" s="264">
        <f>'Fuel Indices'!J7</f>
        <v>1.07</v>
      </c>
      <c r="D28" s="264">
        <f>'Fuel Indices'!K7</f>
        <v>1.1299999999999999</v>
      </c>
      <c r="E28" s="264">
        <f>'Fuel Indices'!L7</f>
        <v>1.2</v>
      </c>
      <c r="F28" s="264">
        <f>'Fuel Indices'!M7</f>
        <v>1.29</v>
      </c>
      <c r="G28" s="264">
        <f>'Fuel Indices'!N7</f>
        <v>1.37</v>
      </c>
      <c r="H28" s="264">
        <f>'Fuel Indices'!O7</f>
        <v>1.46</v>
      </c>
      <c r="I28" s="264">
        <f>'Fuel Indices'!P7</f>
        <v>1.54</v>
      </c>
      <c r="J28" s="264">
        <f>'Fuel Indices'!Q7</f>
        <v>1.63</v>
      </c>
      <c r="K28" s="264">
        <f>'Fuel Indices'!R7</f>
        <v>1.7</v>
      </c>
      <c r="L28" s="264">
        <f>'Fuel Indices'!S7</f>
        <v>1.79</v>
      </c>
      <c r="M28" s="264">
        <f>'Fuel Indices'!T7</f>
        <v>1.88</v>
      </c>
      <c r="N28" s="264">
        <f>'Fuel Indices'!U7</f>
        <v>2</v>
      </c>
      <c r="O28" s="264">
        <f>'Fuel Indices'!V7</f>
        <v>2.12</v>
      </c>
      <c r="P28" s="264">
        <f>'Fuel Indices'!W7</f>
        <v>2.2400000000000002</v>
      </c>
      <c r="Q28" s="264">
        <f>'Fuel Indices'!X7</f>
        <v>2.34</v>
      </c>
      <c r="R28" s="264">
        <f>'Fuel Indices'!Y7</f>
        <v>2.4500000000000002</v>
      </c>
      <c r="S28" s="264">
        <f>'Fuel Indices'!Z7</f>
        <v>2.57</v>
      </c>
      <c r="T28" s="264">
        <f>'Fuel Indices'!AA7</f>
        <v>2.69</v>
      </c>
      <c r="U28" s="264">
        <f>'Fuel Indices'!AB7</f>
        <v>2.84</v>
      </c>
      <c r="V28" s="264">
        <f>'Fuel Indices'!AC7</f>
        <v>2.99</v>
      </c>
      <c r="W28" s="264">
        <f>'Fuel Indices'!AD7</f>
        <v>3.18</v>
      </c>
      <c r="X28" s="264">
        <f>'Fuel Indices'!AE7</f>
        <v>3.33</v>
      </c>
      <c r="Y28" s="264">
        <f>'Fuel Indices'!AF7</f>
        <v>3.51</v>
      </c>
      <c r="Z28" s="264">
        <f>'Fuel Indices'!AG7</f>
        <v>3.69</v>
      </c>
      <c r="AA28" s="260"/>
      <c r="AB28" s="261"/>
    </row>
    <row r="29" spans="1:28" s="4" customFormat="1" ht="15.6" customHeight="1" x14ac:dyDescent="0.25">
      <c r="AA29" s="260"/>
      <c r="AB29" s="261"/>
    </row>
    <row r="30" spans="1:28" s="4" customFormat="1" ht="15.6" customHeight="1" x14ac:dyDescent="0.25">
      <c r="A30" s="259"/>
      <c r="B30" s="30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260"/>
      <c r="AB30" s="261"/>
    </row>
    <row r="31" spans="1:28" s="5" customFormat="1" ht="19.5" thickBot="1" x14ac:dyDescent="0.3">
      <c r="A31" s="2" t="s">
        <v>81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15"/>
    </row>
    <row r="32" spans="1:28" s="6" customFormat="1" ht="15.75" thickBot="1" x14ac:dyDescent="0.3">
      <c r="A32" s="167"/>
      <c r="B32" s="276" t="s">
        <v>21</v>
      </c>
      <c r="C32" s="157" t="s">
        <v>22</v>
      </c>
      <c r="D32" s="157" t="s">
        <v>23</v>
      </c>
      <c r="E32" s="157" t="s">
        <v>24</v>
      </c>
      <c r="F32" s="157" t="s">
        <v>25</v>
      </c>
      <c r="G32" s="157" t="s">
        <v>26</v>
      </c>
      <c r="H32" s="157" t="s">
        <v>27</v>
      </c>
      <c r="I32" s="157" t="s">
        <v>28</v>
      </c>
      <c r="J32" s="157" t="s">
        <v>29</v>
      </c>
      <c r="K32" s="157" t="s">
        <v>30</v>
      </c>
      <c r="L32" s="157" t="s">
        <v>31</v>
      </c>
      <c r="M32" s="157" t="s">
        <v>32</v>
      </c>
      <c r="N32" s="157" t="s">
        <v>33</v>
      </c>
      <c r="O32" s="157" t="s">
        <v>34</v>
      </c>
      <c r="P32" s="157" t="s">
        <v>35</v>
      </c>
      <c r="Q32" s="157" t="s">
        <v>36</v>
      </c>
      <c r="R32" s="157" t="s">
        <v>37</v>
      </c>
      <c r="S32" s="157" t="s">
        <v>38</v>
      </c>
      <c r="T32" s="157" t="s">
        <v>39</v>
      </c>
      <c r="U32" s="157" t="s">
        <v>40</v>
      </c>
      <c r="V32" s="157" t="s">
        <v>41</v>
      </c>
      <c r="W32" s="157" t="s">
        <v>42</v>
      </c>
      <c r="X32" s="157" t="s">
        <v>43</v>
      </c>
      <c r="Y32" s="157" t="s">
        <v>44</v>
      </c>
      <c r="Z32" s="157" t="s">
        <v>45</v>
      </c>
      <c r="AA32" s="162" t="s">
        <v>52</v>
      </c>
      <c r="AB32" s="177" t="s">
        <v>47</v>
      </c>
    </row>
    <row r="33" spans="1:28" s="6" customFormat="1" ht="15.75" thickBot="1" x14ac:dyDescent="0.3">
      <c r="A33" s="282" t="s">
        <v>82</v>
      </c>
      <c r="B33" s="278">
        <v>1</v>
      </c>
      <c r="C33" s="279">
        <v>2</v>
      </c>
      <c r="D33" s="279">
        <v>3</v>
      </c>
      <c r="E33" s="279">
        <v>4</v>
      </c>
      <c r="F33" s="279">
        <v>5</v>
      </c>
      <c r="G33" s="279">
        <v>6</v>
      </c>
      <c r="H33" s="279">
        <v>7</v>
      </c>
      <c r="I33" s="279">
        <v>8</v>
      </c>
      <c r="J33" s="279">
        <v>9</v>
      </c>
      <c r="K33" s="279">
        <v>10</v>
      </c>
      <c r="L33" s="279">
        <v>11</v>
      </c>
      <c r="M33" s="279">
        <v>12</v>
      </c>
      <c r="N33" s="279">
        <v>13</v>
      </c>
      <c r="O33" s="279">
        <v>14</v>
      </c>
      <c r="P33" s="279">
        <v>15</v>
      </c>
      <c r="Q33" s="279">
        <v>16</v>
      </c>
      <c r="R33" s="279">
        <v>17</v>
      </c>
      <c r="S33" s="279">
        <v>18</v>
      </c>
      <c r="T33" s="279">
        <v>19</v>
      </c>
      <c r="U33" s="279">
        <v>20</v>
      </c>
      <c r="V33" s="279">
        <v>21</v>
      </c>
      <c r="W33" s="279">
        <v>22</v>
      </c>
      <c r="X33" s="279">
        <v>23</v>
      </c>
      <c r="Y33" s="279">
        <v>24</v>
      </c>
      <c r="Z33" s="279">
        <v>25</v>
      </c>
      <c r="AA33" s="280"/>
      <c r="AB33" s="281"/>
    </row>
    <row r="34" spans="1:28" s="7" customFormat="1" ht="15.75" thickBot="1" x14ac:dyDescent="0.3">
      <c r="A34" s="297" t="s">
        <v>99</v>
      </c>
      <c r="B34" s="298">
        <v>319000</v>
      </c>
      <c r="C34" s="299">
        <f>B34*(1+$H$8)</f>
        <v>328570</v>
      </c>
      <c r="D34" s="299">
        <f t="shared" ref="D34:Z34" si="10">C34*(1+$H$8)</f>
        <v>338427.10000000003</v>
      </c>
      <c r="E34" s="299">
        <f t="shared" si="10"/>
        <v>348579.91300000006</v>
      </c>
      <c r="F34" s="299">
        <f t="shared" si="10"/>
        <v>359037.31039000006</v>
      </c>
      <c r="G34" s="299">
        <f t="shared" si="10"/>
        <v>369808.42970170005</v>
      </c>
      <c r="H34" s="299">
        <f t="shared" si="10"/>
        <v>380902.68259275105</v>
      </c>
      <c r="I34" s="299">
        <f t="shared" si="10"/>
        <v>392329.76307053358</v>
      </c>
      <c r="J34" s="299">
        <f t="shared" si="10"/>
        <v>404099.65596264962</v>
      </c>
      <c r="K34" s="299">
        <f t="shared" si="10"/>
        <v>416222.64564152912</v>
      </c>
      <c r="L34" s="299">
        <f t="shared" si="10"/>
        <v>428709.32501077501</v>
      </c>
      <c r="M34" s="299">
        <f t="shared" si="10"/>
        <v>441570.60476109828</v>
      </c>
      <c r="N34" s="299">
        <f t="shared" si="10"/>
        <v>454817.72290393122</v>
      </c>
      <c r="O34" s="299">
        <f t="shared" si="10"/>
        <v>468462.25459104916</v>
      </c>
      <c r="P34" s="299">
        <f t="shared" si="10"/>
        <v>482516.12222878064</v>
      </c>
      <c r="Q34" s="299">
        <f t="shared" si="10"/>
        <v>496991.60589564405</v>
      </c>
      <c r="R34" s="299">
        <f t="shared" si="10"/>
        <v>511901.35407251341</v>
      </c>
      <c r="S34" s="299">
        <f t="shared" si="10"/>
        <v>527258.39469468885</v>
      </c>
      <c r="T34" s="299">
        <f t="shared" si="10"/>
        <v>543076.14653552952</v>
      </c>
      <c r="U34" s="299">
        <f t="shared" si="10"/>
        <v>559368.43093159539</v>
      </c>
      <c r="V34" s="299">
        <f t="shared" si="10"/>
        <v>576149.48385954322</v>
      </c>
      <c r="W34" s="299">
        <f t="shared" si="10"/>
        <v>593433.96837532951</v>
      </c>
      <c r="X34" s="299">
        <f t="shared" si="10"/>
        <v>611236.98742658936</v>
      </c>
      <c r="Y34" s="299">
        <f t="shared" si="10"/>
        <v>629574.09704938706</v>
      </c>
      <c r="Z34" s="299">
        <f t="shared" si="10"/>
        <v>648461.31996086868</v>
      </c>
      <c r="AA34" s="300">
        <f>SUM(B34:Z34)</f>
        <v>11630505.318656487</v>
      </c>
      <c r="AB34" s="301">
        <f>AVERAGE(B34:Z34)</f>
        <v>465220.21274625952</v>
      </c>
    </row>
    <row r="35" spans="1:28" s="7" customFormat="1" x14ac:dyDescent="0.25">
      <c r="A35" s="259"/>
      <c r="B35" s="275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75"/>
    </row>
    <row r="36" spans="1:28" s="7" customFormat="1" ht="19.5" thickBot="1" x14ac:dyDescent="0.3">
      <c r="A36" s="2" t="s">
        <v>84</v>
      </c>
      <c r="B36" s="275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75"/>
    </row>
    <row r="37" spans="1:28" s="7" customFormat="1" ht="15.75" customHeight="1" thickBot="1" x14ac:dyDescent="0.3">
      <c r="A37" s="541"/>
      <c r="B37" s="276" t="s">
        <v>21</v>
      </c>
      <c r="C37" s="157" t="s">
        <v>22</v>
      </c>
      <c r="D37" s="157" t="s">
        <v>23</v>
      </c>
      <c r="E37" s="157" t="s">
        <v>24</v>
      </c>
      <c r="F37" s="157" t="s">
        <v>25</v>
      </c>
      <c r="G37" s="157" t="s">
        <v>26</v>
      </c>
      <c r="H37" s="157" t="s">
        <v>27</v>
      </c>
      <c r="I37" s="157" t="s">
        <v>28</v>
      </c>
      <c r="J37" s="157" t="s">
        <v>29</v>
      </c>
      <c r="K37" s="157" t="s">
        <v>30</v>
      </c>
      <c r="L37" s="157" t="s">
        <v>31</v>
      </c>
      <c r="M37" s="157" t="s">
        <v>32</v>
      </c>
      <c r="N37" s="157" t="s">
        <v>33</v>
      </c>
      <c r="O37" s="157" t="s">
        <v>34</v>
      </c>
      <c r="P37" s="157" t="s">
        <v>35</v>
      </c>
      <c r="Q37" s="157" t="s">
        <v>36</v>
      </c>
      <c r="R37" s="157" t="s">
        <v>37</v>
      </c>
      <c r="S37" s="157" t="s">
        <v>38</v>
      </c>
      <c r="T37" s="157" t="s">
        <v>39</v>
      </c>
      <c r="U37" s="157" t="s">
        <v>40</v>
      </c>
      <c r="V37" s="157" t="s">
        <v>41</v>
      </c>
      <c r="W37" s="157" t="s">
        <v>42</v>
      </c>
      <c r="X37" s="157" t="s">
        <v>43</v>
      </c>
      <c r="Y37" s="157" t="s">
        <v>44</v>
      </c>
      <c r="Z37" s="158" t="s">
        <v>45</v>
      </c>
      <c r="AA37" s="262"/>
      <c r="AB37" s="275"/>
    </row>
    <row r="38" spans="1:28" s="7" customFormat="1" ht="15.75" customHeight="1" thickBot="1" x14ac:dyDescent="0.3">
      <c r="A38" s="551"/>
      <c r="B38" s="278">
        <v>1</v>
      </c>
      <c r="C38" s="279">
        <v>2</v>
      </c>
      <c r="D38" s="279">
        <v>3</v>
      </c>
      <c r="E38" s="279">
        <v>4</v>
      </c>
      <c r="F38" s="279">
        <v>5</v>
      </c>
      <c r="G38" s="279">
        <v>6</v>
      </c>
      <c r="H38" s="279">
        <v>7</v>
      </c>
      <c r="I38" s="279">
        <v>8</v>
      </c>
      <c r="J38" s="279">
        <v>9</v>
      </c>
      <c r="K38" s="279">
        <v>10</v>
      </c>
      <c r="L38" s="279">
        <v>11</v>
      </c>
      <c r="M38" s="279">
        <v>12</v>
      </c>
      <c r="N38" s="279">
        <v>13</v>
      </c>
      <c r="O38" s="279">
        <v>14</v>
      </c>
      <c r="P38" s="279">
        <v>15</v>
      </c>
      <c r="Q38" s="279">
        <v>16</v>
      </c>
      <c r="R38" s="279">
        <v>17</v>
      </c>
      <c r="S38" s="279">
        <v>18</v>
      </c>
      <c r="T38" s="279">
        <v>19</v>
      </c>
      <c r="U38" s="279">
        <v>20</v>
      </c>
      <c r="V38" s="279">
        <v>21</v>
      </c>
      <c r="W38" s="279">
        <v>22</v>
      </c>
      <c r="X38" s="279">
        <v>23</v>
      </c>
      <c r="Y38" s="279">
        <v>24</v>
      </c>
      <c r="Z38" s="464">
        <v>25</v>
      </c>
      <c r="AA38" s="262"/>
      <c r="AB38" s="275"/>
    </row>
    <row r="39" spans="1:28" s="7" customFormat="1" x14ac:dyDescent="0.25">
      <c r="A39" s="195" t="s">
        <v>85</v>
      </c>
      <c r="B39" s="465">
        <f>((-0.0158*'DES LCA '!B33+0.3158)*'DES LCA '!B17)/1000</f>
        <v>10065.684398565912</v>
      </c>
      <c r="C39" s="462">
        <f>((-0.0158*'DES LCA '!C33+0.3158)*'DES LCA '!C17)/1000</f>
        <v>9559.3972494587106</v>
      </c>
      <c r="D39" s="462">
        <f>((-0.0158*'DES LCA '!D33+0.3158)*'DES LCA '!D17)/1000</f>
        <v>9050.515754078484</v>
      </c>
      <c r="E39" s="462">
        <f>((-0.0158*'DES LCA '!E33+0.3158)*'DES LCA '!E17)/1000</f>
        <v>8539.0301049885456</v>
      </c>
      <c r="F39" s="462">
        <f>((-0.0158*'DES LCA '!F33+0.3158)*'DES LCA '!F17)/1000</f>
        <v>8024.9304619296909</v>
      </c>
      <c r="G39" s="462">
        <f>((-0.0158*'DES LCA '!G33+0.3158)*'DES LCA '!G17)/1000</f>
        <v>7508.2069517173904</v>
      </c>
      <c r="H39" s="462">
        <f>((-0.0158*'DES LCA '!H33+0.3158)*'DES LCA '!H17)/1000</f>
        <v>6988.8496681386396</v>
      </c>
      <c r="I39" s="462">
        <f>((-0.0158*'DES LCA '!I33+0.3158)*'DES LCA '!I17)/1000</f>
        <v>6466.8486718485474</v>
      </c>
      <c r="J39" s="462">
        <f>((-0.0158*'DES LCA '!J33+0.3158)*'DES LCA '!J17)/1000</f>
        <v>5942.193990266579</v>
      </c>
      <c r="K39" s="462">
        <f>((-0.0158*'DES LCA '!K33+0.3158)*'DES LCA '!K17)/1000</f>
        <v>5414.8756174725013</v>
      </c>
      <c r="L39" s="462">
        <f>((-0.0158*'DES LCA '!L33+0.3158)*'DES LCA '!L17)/1000</f>
        <v>4884.8835141020145</v>
      </c>
      <c r="M39" s="462">
        <f>((-0.0158*'DES LCA '!M33+0.3158)*'DES LCA '!M17)/1000</f>
        <v>4352.2076072420668</v>
      </c>
      <c r="N39" s="462">
        <f>((-0.0158*'DES LCA '!N33+0.3158)*'DES LCA '!N17)/1000</f>
        <v>3816.8377903258547</v>
      </c>
      <c r="O39" s="462">
        <f>((-0.0158*'DES LCA '!O33+0.3158)*'DES LCA '!O17)/1000</f>
        <v>3278.7639230275176</v>
      </c>
      <c r="P39" s="462">
        <f>((-0.0158*'DES LCA '!P33+0.3158)*'DES LCA '!P17)/1000</f>
        <v>2737.9758311564992</v>
      </c>
      <c r="Q39" s="462">
        <f>((-0.0158*'DES LCA '!Q33+0.3158)*'DES LCA '!Q17)/1000</f>
        <v>2194.4633065516064</v>
      </c>
      <c r="R39" s="462">
        <f>((-0.0158*'DES LCA '!R33+0.3158)*'DES LCA '!R17)/1000</f>
        <v>1648.2161069747449</v>
      </c>
      <c r="S39" s="462">
        <f>((-0.0158*'DES LCA '!S33+0.3158)*'DES LCA '!S17)/1000</f>
        <v>1099.2239560043315</v>
      </c>
      <c r="T39" s="462">
        <f>((-0.0158*'DES LCA '!T33+0.3158)*'DES LCA '!T17)/1000</f>
        <v>547.47654292839979</v>
      </c>
      <c r="U39" s="462">
        <v>0</v>
      </c>
      <c r="V39" s="462">
        <v>0</v>
      </c>
      <c r="W39" s="462">
        <v>0</v>
      </c>
      <c r="X39" s="462">
        <v>0</v>
      </c>
      <c r="Y39" s="462">
        <v>0</v>
      </c>
      <c r="Z39" s="463">
        <v>0</v>
      </c>
      <c r="AA39" s="262"/>
      <c r="AB39" s="275"/>
    </row>
    <row r="40" spans="1:28" s="7" customFormat="1" x14ac:dyDescent="0.25">
      <c r="A40" s="196" t="s">
        <v>86</v>
      </c>
      <c r="B40" s="466">
        <f>(('Cost of Carbon'!$E$60*'Baseline LCA'!B35+'Cost of Carbon'!$F$60)*(B16/10))</f>
        <v>0</v>
      </c>
      <c r="C40" s="370">
        <f>(('Cost of Carbon'!$E$60*'Baseline LCA'!C35+'Cost of Carbon'!$F$60)*(C16/10))</f>
        <v>0</v>
      </c>
      <c r="D40" s="370">
        <f>(('Cost of Carbon'!$E$60*'Baseline LCA'!D35+'Cost of Carbon'!$F$60)*(D16/10))</f>
        <v>0</v>
      </c>
      <c r="E40" s="370">
        <f>(('Cost of Carbon'!$E$60*'Baseline LCA'!E35+'Cost of Carbon'!$F$60)*(E16/10))</f>
        <v>0</v>
      </c>
      <c r="F40" s="370">
        <f>(('Cost of Carbon'!$E$60*'Baseline LCA'!F35+'Cost of Carbon'!$F$60)*(F16/10))</f>
        <v>0</v>
      </c>
      <c r="G40" s="370">
        <f>(('Cost of Carbon'!$E$60*'Baseline LCA'!G35+'Cost of Carbon'!$F$60)*(G16/10))</f>
        <v>0</v>
      </c>
      <c r="H40" s="370">
        <f>(('Cost of Carbon'!$E$60*'Baseline LCA'!H35+'Cost of Carbon'!$F$60)*(H16/10))</f>
        <v>0</v>
      </c>
      <c r="I40" s="370">
        <f>(('Cost of Carbon'!$E$60*'Baseline LCA'!I35+'Cost of Carbon'!$F$60)*(I16/10))</f>
        <v>0</v>
      </c>
      <c r="J40" s="370">
        <f>(('Cost of Carbon'!$E$60*'Baseline LCA'!J35+'Cost of Carbon'!$F$60)*(J16/10))</f>
        <v>0</v>
      </c>
      <c r="K40" s="370">
        <f>(('Cost of Carbon'!$E$60*'Baseline LCA'!K35+'Cost of Carbon'!$F$60)*(K16/10))</f>
        <v>0</v>
      </c>
      <c r="L40" s="370">
        <f>(('Cost of Carbon'!$E$60*'Baseline LCA'!L35+'Cost of Carbon'!$F$60)*(L16/10))</f>
        <v>0</v>
      </c>
      <c r="M40" s="370">
        <f>(('Cost of Carbon'!$E$60*'Baseline LCA'!M35+'Cost of Carbon'!$F$60)*(M16/10))</f>
        <v>0</v>
      </c>
      <c r="N40" s="370">
        <f>(('Cost of Carbon'!$E$60*'Baseline LCA'!N35+'Cost of Carbon'!$F$60)*(N16/10))</f>
        <v>0</v>
      </c>
      <c r="O40" s="370">
        <f>(('Cost of Carbon'!$E$60*'Baseline LCA'!O35+'Cost of Carbon'!$F$60)*(O16/10))</f>
        <v>0</v>
      </c>
      <c r="P40" s="370">
        <f>(('Cost of Carbon'!$E$60*'Baseline LCA'!P35+'Cost of Carbon'!$F$60)*(P16/10))</f>
        <v>0</v>
      </c>
      <c r="Q40" s="370">
        <f>(('Cost of Carbon'!$E$60*'Baseline LCA'!Q35+'Cost of Carbon'!$F$60)*(Q16/10))</f>
        <v>0</v>
      </c>
      <c r="R40" s="370">
        <f>(('Cost of Carbon'!$E$60*'Baseline LCA'!R35+'Cost of Carbon'!$F$60)*(R16/10))</f>
        <v>0</v>
      </c>
      <c r="S40" s="370">
        <f>(('Cost of Carbon'!$E$60*'Baseline LCA'!S35+'Cost of Carbon'!$F$60)*(S16/10))</f>
        <v>0</v>
      </c>
      <c r="T40" s="370">
        <f>(('Cost of Carbon'!$E$60*'Baseline LCA'!T35+'Cost of Carbon'!$F$60)*(T16/10))</f>
        <v>0</v>
      </c>
      <c r="U40" s="370">
        <f>(('Cost of Carbon'!$E$60*'Baseline LCA'!U35+'Cost of Carbon'!$F$60)*(U16/10))</f>
        <v>0</v>
      </c>
      <c r="V40" s="370">
        <f>(('Cost of Carbon'!$E$60*'Baseline LCA'!V35+'Cost of Carbon'!$F$60)*(V16/10))</f>
        <v>0</v>
      </c>
      <c r="W40" s="370">
        <f>(('Cost of Carbon'!$E$60*'Baseline LCA'!W35+'Cost of Carbon'!$F$60)*(W16/10))</f>
        <v>0</v>
      </c>
      <c r="X40" s="370">
        <f>(('Cost of Carbon'!$E$60*'Baseline LCA'!X35+'Cost of Carbon'!$F$60)*(X16/10))</f>
        <v>0</v>
      </c>
      <c r="Y40" s="370">
        <f>(('Cost of Carbon'!$E$60*'Baseline LCA'!Y35+'Cost of Carbon'!$F$60)*(Y16/10))</f>
        <v>0</v>
      </c>
      <c r="Z40" s="382">
        <f>(('Cost of Carbon'!$E$60*'Baseline LCA'!Z35+'Cost of Carbon'!$F$60)*(Z16/10))</f>
        <v>0</v>
      </c>
      <c r="AA40" s="262"/>
      <c r="AB40" s="275"/>
    </row>
    <row r="41" spans="1:28" s="7" customFormat="1" ht="15.75" thickBot="1" x14ac:dyDescent="0.3">
      <c r="A41" s="256" t="s">
        <v>57</v>
      </c>
      <c r="B41" s="479">
        <f t="shared" ref="B41:Z41" si="11">(B16/10)*44.7*0.035/2205</f>
        <v>0</v>
      </c>
      <c r="C41" s="474">
        <f t="shared" si="11"/>
        <v>0</v>
      </c>
      <c r="D41" s="474">
        <f t="shared" si="11"/>
        <v>0</v>
      </c>
      <c r="E41" s="474">
        <f t="shared" si="11"/>
        <v>0</v>
      </c>
      <c r="F41" s="474">
        <f t="shared" si="11"/>
        <v>0</v>
      </c>
      <c r="G41" s="474">
        <f t="shared" si="11"/>
        <v>0</v>
      </c>
      <c r="H41" s="474">
        <f t="shared" si="11"/>
        <v>0</v>
      </c>
      <c r="I41" s="474">
        <f t="shared" si="11"/>
        <v>0</v>
      </c>
      <c r="J41" s="474">
        <f t="shared" si="11"/>
        <v>0</v>
      </c>
      <c r="K41" s="474">
        <f t="shared" si="11"/>
        <v>0</v>
      </c>
      <c r="L41" s="474">
        <f t="shared" si="11"/>
        <v>0</v>
      </c>
      <c r="M41" s="474">
        <f t="shared" si="11"/>
        <v>0</v>
      </c>
      <c r="N41" s="474">
        <f t="shared" si="11"/>
        <v>0</v>
      </c>
      <c r="O41" s="474">
        <f t="shared" si="11"/>
        <v>0</v>
      </c>
      <c r="P41" s="474">
        <f t="shared" si="11"/>
        <v>0</v>
      </c>
      <c r="Q41" s="474">
        <f t="shared" si="11"/>
        <v>0</v>
      </c>
      <c r="R41" s="474">
        <f t="shared" si="11"/>
        <v>0</v>
      </c>
      <c r="S41" s="474">
        <f t="shared" si="11"/>
        <v>0</v>
      </c>
      <c r="T41" s="474">
        <f t="shared" si="11"/>
        <v>0</v>
      </c>
      <c r="U41" s="474">
        <f t="shared" si="11"/>
        <v>0</v>
      </c>
      <c r="V41" s="474">
        <f t="shared" si="11"/>
        <v>0</v>
      </c>
      <c r="W41" s="474">
        <f t="shared" si="11"/>
        <v>0</v>
      </c>
      <c r="X41" s="474">
        <f t="shared" si="11"/>
        <v>0</v>
      </c>
      <c r="Y41" s="474">
        <f t="shared" si="11"/>
        <v>0</v>
      </c>
      <c r="Z41" s="475">
        <f t="shared" si="11"/>
        <v>0</v>
      </c>
      <c r="AA41" s="262"/>
      <c r="AB41" s="275"/>
    </row>
    <row r="42" spans="1:28" s="7" customFormat="1" ht="15.75" thickBot="1" x14ac:dyDescent="0.3">
      <c r="A42" s="304" t="s">
        <v>46</v>
      </c>
      <c r="B42" s="482">
        <f>SUM(B39:B41)</f>
        <v>10065.684398565912</v>
      </c>
      <c r="C42" s="483">
        <f t="shared" ref="C42:Z42" si="12">SUM(C39:C41)</f>
        <v>9559.3972494587106</v>
      </c>
      <c r="D42" s="483">
        <f t="shared" si="12"/>
        <v>9050.515754078484</v>
      </c>
      <c r="E42" s="483">
        <f t="shared" si="12"/>
        <v>8539.0301049885456</v>
      </c>
      <c r="F42" s="483">
        <f t="shared" si="12"/>
        <v>8024.9304619296909</v>
      </c>
      <c r="G42" s="483">
        <f t="shared" si="12"/>
        <v>7508.2069517173904</v>
      </c>
      <c r="H42" s="483">
        <f t="shared" si="12"/>
        <v>6988.8496681386396</v>
      </c>
      <c r="I42" s="483">
        <f t="shared" si="12"/>
        <v>6466.8486718485474</v>
      </c>
      <c r="J42" s="483">
        <f t="shared" si="12"/>
        <v>5942.193990266579</v>
      </c>
      <c r="K42" s="483">
        <f t="shared" si="12"/>
        <v>5414.8756174725013</v>
      </c>
      <c r="L42" s="483">
        <f t="shared" si="12"/>
        <v>4884.8835141020145</v>
      </c>
      <c r="M42" s="483">
        <f t="shared" si="12"/>
        <v>4352.2076072420668</v>
      </c>
      <c r="N42" s="483">
        <f t="shared" si="12"/>
        <v>3816.8377903258547</v>
      </c>
      <c r="O42" s="483">
        <f t="shared" si="12"/>
        <v>3278.7639230275176</v>
      </c>
      <c r="P42" s="483">
        <f t="shared" si="12"/>
        <v>2737.9758311564992</v>
      </c>
      <c r="Q42" s="483">
        <f t="shared" si="12"/>
        <v>2194.4633065516064</v>
      </c>
      <c r="R42" s="483">
        <f t="shared" si="12"/>
        <v>1648.2161069747449</v>
      </c>
      <c r="S42" s="483">
        <f t="shared" si="12"/>
        <v>1099.2239560043315</v>
      </c>
      <c r="T42" s="483">
        <f t="shared" si="12"/>
        <v>547.47654292839979</v>
      </c>
      <c r="U42" s="483">
        <f t="shared" si="12"/>
        <v>0</v>
      </c>
      <c r="V42" s="483">
        <f t="shared" si="12"/>
        <v>0</v>
      </c>
      <c r="W42" s="483">
        <f t="shared" si="12"/>
        <v>0</v>
      </c>
      <c r="X42" s="483">
        <f t="shared" si="12"/>
        <v>0</v>
      </c>
      <c r="Y42" s="483">
        <f t="shared" si="12"/>
        <v>0</v>
      </c>
      <c r="Z42" s="484">
        <f t="shared" si="12"/>
        <v>0</v>
      </c>
      <c r="AA42" s="262"/>
      <c r="AB42" s="275"/>
    </row>
    <row r="43" spans="1:28" s="7" customFormat="1" ht="15.75" thickBot="1" x14ac:dyDescent="0.3">
      <c r="A43" s="304" t="s">
        <v>100</v>
      </c>
      <c r="B43" s="480">
        <f>((B39+B40)*VLOOKUP(B38,'Cost of Carbon'!$L$10:$O$34,4))+(B41*ROUND(74.83*B38+2635.4,-2))</f>
        <v>1238079.1810236073</v>
      </c>
      <c r="C43" s="477">
        <f>((C39+C40)*VLOOKUP(C38,'Cost of Carbon'!$L$10:$O$34,4))+(C41*ROUND(74.83*C38+2635.4,-2))</f>
        <v>1185365.2589328801</v>
      </c>
      <c r="D43" s="477">
        <f>((D39+D40)*VLOOKUP(D38,'Cost of Carbon'!$L$10:$O$34,4))+(D41*ROUND(74.83*D38+2635.4,-2))</f>
        <v>1140364.9850138889</v>
      </c>
      <c r="E43" s="477">
        <f>((E39+E40)*VLOOKUP(E38,'Cost of Carbon'!$L$10:$O$34,4))+(E41*ROUND(74.83*E38+2635.4,-2))</f>
        <v>1092995.8534385338</v>
      </c>
      <c r="F43" s="477">
        <f>((F39+F40)*VLOOKUP(F38,'Cost of Carbon'!$L$10:$O$34,4))+(F41*ROUND(74.83*F38+2635.4,-2))</f>
        <v>1035216.0295889301</v>
      </c>
      <c r="G43" s="477">
        <f>((G39+G40)*VLOOKUP(G38,'Cost of Carbon'!$L$10:$O$34,4))+(G41*ROUND(74.83*G38+2635.4,-2))</f>
        <v>983575.11067497812</v>
      </c>
      <c r="H43" s="477">
        <f>((H39+H40)*VLOOKUP(H38,'Cost of Carbon'!$L$10:$O$34,4))+(H41*ROUND(74.83*H38+2635.4,-2))</f>
        <v>922528.15619430039</v>
      </c>
      <c r="I43" s="477">
        <f>((I39+I40)*VLOOKUP(I38,'Cost of Carbon'!$L$10:$O$34,4))+(I41*ROUND(74.83*I38+2635.4,-2))</f>
        <v>866557.7220277054</v>
      </c>
      <c r="J43" s="477">
        <f>((J39+J40)*VLOOKUP(J38,'Cost of Carbon'!$L$10:$O$34,4))+(J41*ROUND(74.83*J38+2635.4,-2))</f>
        <v>808138.38267625473</v>
      </c>
      <c r="K43" s="477">
        <f>((K39+K40)*VLOOKUP(K38,'Cost of Carbon'!$L$10:$O$34,4))+(K41*ROUND(74.83*K38+2635.4,-2))</f>
        <v>741837.95959373272</v>
      </c>
      <c r="L43" s="477">
        <f>((L39+L40)*VLOOKUP(L38,'Cost of Carbon'!$L$10:$O$34,4))+(L41*ROUND(74.83*L38+2635.4,-2))</f>
        <v>678021.83175735967</v>
      </c>
      <c r="M43" s="477">
        <f>((M39+M40)*VLOOKUP(M38,'Cost of Carbon'!$L$10:$O$34,4))+(M41*ROUND(74.83*M38+2635.4,-2))</f>
        <v>611049.9480567862</v>
      </c>
      <c r="N43" s="477">
        <f>((N39+N40)*VLOOKUP(N38,'Cost of Carbon'!$L$10:$O$34,4))+(N41*ROUND(74.83*N38+2635.4,-2))</f>
        <v>541990.96622627135</v>
      </c>
      <c r="O43" s="477">
        <f>((O39+O40)*VLOOKUP(O38,'Cost of Carbon'!$L$10:$O$34,4))+(O41*ROUND(74.83*O38+2635.4,-2))</f>
        <v>470830.49934675149</v>
      </c>
      <c r="P43" s="477">
        <f>((P39+P40)*VLOOKUP(P38,'Cost of Carbon'!$L$10:$O$34,4))+(P41*ROUND(74.83*P38+2635.4,-2))</f>
        <v>397554.09068392368</v>
      </c>
      <c r="Q43" s="477">
        <f>((Q39+Q40)*VLOOKUP(Q38,'Cost of Carbon'!$L$10:$O$34,4))+(Q41*ROUND(74.83*Q38+2635.4,-2))</f>
        <v>322147.21340177587</v>
      </c>
      <c r="R43" s="477">
        <f>((R39+R40)*VLOOKUP(R38,'Cost of Carbon'!$L$10:$O$34,4))+(R41*ROUND(74.83*R38+2635.4,-2))</f>
        <v>244595.27027505214</v>
      </c>
      <c r="S43" s="477">
        <f>((S39+S40)*VLOOKUP(S38,'Cost of Carbon'!$L$10:$O$34,4))+(S41*ROUND(74.83*S38+2635.4,-2))</f>
        <v>164883.59340064973</v>
      </c>
      <c r="T43" s="477">
        <f>((T39+T40)*VLOOKUP(T38,'Cost of Carbon'!$L$10:$O$34,4))+(T41*ROUND(74.83*T38+2635.4,-2))</f>
        <v>82997.443907945402</v>
      </c>
      <c r="U43" s="477">
        <f>((U39+U40)*VLOOKUP(U38,'Cost of Carbon'!$L$10:$O$34,4))+(U41*ROUND(74.83*U38+2635.4,-2))</f>
        <v>0</v>
      </c>
      <c r="V43" s="477">
        <f>((V39+V40)*VLOOKUP(V38,'Cost of Carbon'!$L$10:$O$34,4))+(V41*ROUND(74.83*V38+2635.4,-2))</f>
        <v>0</v>
      </c>
      <c r="W43" s="477">
        <f>((W39+W40)*VLOOKUP(W38,'Cost of Carbon'!$L$10:$O$34,4))+(W41*ROUND(74.83*W38+2635.4,-2))</f>
        <v>0</v>
      </c>
      <c r="X43" s="477">
        <f>((X39+X40)*VLOOKUP(X38,'Cost of Carbon'!$L$10:$O$34,4))+(X41*ROUND(74.83*X38+2635.4,-2))</f>
        <v>0</v>
      </c>
      <c r="Y43" s="477">
        <f>((Y39+Y40)*VLOOKUP(Y38,'Cost of Carbon'!$L$10:$O$34,4))+(Y41*ROUND(74.83*Y38+2635.4,-2))</f>
        <v>0</v>
      </c>
      <c r="Z43" s="478">
        <f>((Z39+Z40)*VLOOKUP(Z38,'Cost of Carbon'!$L$10:$O$34,4))+(Z41*ROUND(74.83*Z38+2635.4,-2))</f>
        <v>0</v>
      </c>
      <c r="AA43" s="476">
        <f>SUM(B43:Z43)</f>
        <v>13528729.496221326</v>
      </c>
      <c r="AB43" s="275"/>
    </row>
    <row r="44" spans="1:28" s="6" customFormat="1" x14ac:dyDescent="0.25">
      <c r="A44" s="259"/>
      <c r="B44" s="294"/>
      <c r="C44" s="275"/>
      <c r="D44" s="275"/>
      <c r="E44" s="283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1"/>
    </row>
    <row r="45" spans="1:28" s="6" customFormat="1" ht="14.1" customHeight="1" x14ac:dyDescent="0.25">
      <c r="A45" s="133"/>
      <c r="B45" s="134"/>
      <c r="C45" s="132"/>
      <c r="D45" s="132"/>
      <c r="E45" s="132"/>
      <c r="F45" s="132"/>
      <c r="G45" s="132"/>
      <c r="H45" s="132"/>
      <c r="I45" s="132"/>
      <c r="J45" s="132"/>
      <c r="K45" s="3"/>
      <c r="L45" s="277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1"/>
    </row>
    <row r="46" spans="1:28" s="6" customFormat="1" ht="14.1" customHeight="1" thickBot="1" x14ac:dyDescent="0.3">
      <c r="A46" s="133"/>
      <c r="B46" s="134"/>
      <c r="C46" s="132"/>
      <c r="D46" s="132"/>
      <c r="E46" s="132"/>
      <c r="F46" s="132"/>
      <c r="G46" s="132"/>
      <c r="H46" s="132"/>
      <c r="I46" s="132"/>
      <c r="J46" s="132"/>
      <c r="K46" s="3"/>
      <c r="L46" s="277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1"/>
    </row>
    <row r="47" spans="1:28" s="6" customFormat="1" ht="14.1" customHeight="1" thickBot="1" x14ac:dyDescent="0.3">
      <c r="A47" s="304" t="s">
        <v>101</v>
      </c>
      <c r="B47" s="305">
        <f>B25+B34+B43</f>
        <v>4409023.0939506162</v>
      </c>
      <c r="C47" s="306">
        <f>C25+C34+C43</f>
        <v>4573144.1957318597</v>
      </c>
      <c r="D47" s="306">
        <f t="shared" ref="D47:Z47" si="13">D25+D34+D43</f>
        <v>4717622.3315833304</v>
      </c>
      <c r="E47" s="306">
        <f t="shared" si="13"/>
        <v>4889640.179379276</v>
      </c>
      <c r="F47" s="306">
        <f t="shared" si="13"/>
        <v>5110189.2570000058</v>
      </c>
      <c r="G47" s="306">
        <f t="shared" si="13"/>
        <v>5309631.0495508416</v>
      </c>
      <c r="H47" s="306">
        <f t="shared" si="13"/>
        <v>5530118.1868182663</v>
      </c>
      <c r="I47" s="306">
        <f t="shared" si="13"/>
        <v>5728319.8565078219</v>
      </c>
      <c r="J47" s="306">
        <f t="shared" si="13"/>
        <v>5954697.5855941726</v>
      </c>
      <c r="K47" s="306">
        <f t="shared" si="13"/>
        <v>6116549.3677496882</v>
      </c>
      <c r="L47" s="306">
        <f t="shared" si="13"/>
        <v>6340780.6403640602</v>
      </c>
      <c r="M47" s="306">
        <f t="shared" si="13"/>
        <v>6563577.5705459528</v>
      </c>
      <c r="N47" s="306">
        <f t="shared" si="13"/>
        <v>6874185.7213348709</v>
      </c>
      <c r="O47" s="306">
        <f t="shared" si="13"/>
        <v>7184887.4572100919</v>
      </c>
      <c r="P47" s="306">
        <f t="shared" si="13"/>
        <v>7495686.9420015048</v>
      </c>
      <c r="Q47" s="306">
        <f t="shared" si="13"/>
        <v>7747372.9728389187</v>
      </c>
      <c r="R47" s="306">
        <f t="shared" si="13"/>
        <v>8028551.7997181267</v>
      </c>
      <c r="S47" s="306">
        <f t="shared" si="13"/>
        <v>8339450.0514439493</v>
      </c>
      <c r="T47" s="306">
        <f t="shared" si="13"/>
        <v>8650465.3558651786</v>
      </c>
      <c r="U47" s="306">
        <f t="shared" si="13"/>
        <v>9052396.6076349914</v>
      </c>
      <c r="V47" s="306">
        <f t="shared" si="13"/>
        <v>9540107.1014525052</v>
      </c>
      <c r="W47" s="306">
        <f t="shared" si="13"/>
        <v>10150841.556002581</v>
      </c>
      <c r="X47" s="306">
        <f t="shared" si="13"/>
        <v>10644486.259428397</v>
      </c>
      <c r="Y47" s="306">
        <f t="shared" si="13"/>
        <v>11231600.135213997</v>
      </c>
      <c r="Z47" s="435">
        <f t="shared" si="13"/>
        <v>11822045.300311148</v>
      </c>
      <c r="AA47" s="495">
        <f>AA25+AA34</f>
        <v>168476641.07901081</v>
      </c>
      <c r="AB47" s="131"/>
    </row>
    <row r="48" spans="1:28" s="6" customFormat="1" ht="14.1" customHeight="1" x14ac:dyDescent="0.25">
      <c r="AB48" s="131"/>
    </row>
    <row r="49" spans="1:28" s="9" customFormat="1" ht="15.75" thickBot="1" x14ac:dyDescent="0.3">
      <c r="A49" s="13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1"/>
    </row>
    <row r="50" spans="1:28" s="6" customFormat="1" x14ac:dyDescent="0.25">
      <c r="A50" s="308" t="s">
        <v>71</v>
      </c>
      <c r="B50" s="309">
        <v>7.0000000000000007E-2</v>
      </c>
      <c r="AB50" s="16"/>
    </row>
    <row r="51" spans="1:28" s="6" customFormat="1" ht="15.75" thickBot="1" x14ac:dyDescent="0.3">
      <c r="A51" s="311" t="s">
        <v>102</v>
      </c>
      <c r="B51" s="312">
        <f>B47+NPV(B50,C47:Z47)</f>
        <v>79055902.516898528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10"/>
      <c r="AB51" s="16"/>
    </row>
    <row r="52" spans="1:28" s="7" customFormat="1" ht="15.75" thickBot="1" x14ac:dyDescent="0.3">
      <c r="A52" s="311" t="s">
        <v>72</v>
      </c>
      <c r="B52" s="312">
        <f>B51+NPV(B58,C49:Z49)</f>
        <v>79055902.516898528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 s="11"/>
    </row>
    <row r="53" spans="1:28" s="6" customFormat="1" x14ac:dyDescent="0.25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10"/>
      <c r="AB53" s="16"/>
    </row>
    <row r="54" spans="1:28" x14ac:dyDescent="0.25">
      <c r="A54" s="13"/>
      <c r="B54" s="494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10"/>
      <c r="AB54" s="16"/>
    </row>
    <row r="55" spans="1:28" x14ac:dyDescent="0.25">
      <c r="B55" s="284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16"/>
    </row>
    <row r="57" spans="1:28" ht="15.75" thickBot="1" x14ac:dyDescent="0.3"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8" x14ac:dyDescent="0.25">
      <c r="A58" s="310" t="s">
        <v>103</v>
      </c>
      <c r="B58" s="313">
        <f>70000000</f>
        <v>70000000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8" x14ac:dyDescent="0.25">
      <c r="A59" s="259" t="s">
        <v>104</v>
      </c>
      <c r="B59" s="262">
        <f>'Baseline LCA'!B53-'DES LCA '!B47</f>
        <v>85257.475427112542</v>
      </c>
      <c r="C59" s="262">
        <f>'Baseline LCA'!C53-'DES LCA '!C47</f>
        <v>232690.73088162113</v>
      </c>
      <c r="D59" s="262">
        <f>'Baseline LCA'!D53-'DES LCA '!D47</f>
        <v>350282.70753917284</v>
      </c>
      <c r="E59" s="262">
        <f>'Baseline LCA'!E53-'DES LCA '!E47</f>
        <v>467098.580124286</v>
      </c>
      <c r="F59" s="262">
        <f>'Baseline LCA'!F53-'DES LCA '!F47</f>
        <v>639457.43455704954</v>
      </c>
      <c r="G59" s="262">
        <f>'Baseline LCA'!G53-'DES LCA '!G47</f>
        <v>809329.0528134983</v>
      </c>
      <c r="H59" s="262">
        <f>'Baseline LCA'!H53-'DES LCA '!H47</f>
        <v>992127.66344460566</v>
      </c>
      <c r="I59" s="262">
        <f>'Baseline LCA'!I53-'DES LCA '!I47</f>
        <v>1167039.5070335614</v>
      </c>
      <c r="J59" s="262">
        <f>'Baseline LCA'!J53-'DES LCA '!J47</f>
        <v>1360956.8268956989</v>
      </c>
      <c r="K59" s="262">
        <f>'Baseline LCA'!K53-'DES LCA '!K47</f>
        <v>1543727.5519366795</v>
      </c>
      <c r="L59" s="262">
        <f>'Baseline LCA'!L53-'DES LCA '!L47</f>
        <v>1737273.2489993097</v>
      </c>
      <c r="M59" s="262">
        <f>'Baseline LCA'!M53-'DES LCA '!M47</f>
        <v>1940911.3318366557</v>
      </c>
      <c r="N59" s="262">
        <f>'Baseline LCA'!N53-'DES LCA '!N47</f>
        <v>2183002.4379178714</v>
      </c>
      <c r="O59" s="262">
        <f>'Baseline LCA'!O53-'DES LCA '!O47</f>
        <v>2434363.3869707901</v>
      </c>
      <c r="P59" s="262">
        <f>'Baseline LCA'!P53-'DES LCA '!P47</f>
        <v>2681823.3423717339</v>
      </c>
      <c r="Q59" s="262">
        <f>'Baseline LCA'!Q53-'DES LCA '!Q47</f>
        <v>2918863.1861642702</v>
      </c>
      <c r="R59" s="262">
        <f>'Baseline LCA'!R53-'DES LCA '!R47</f>
        <v>3168426.6908140052</v>
      </c>
      <c r="S59" s="262">
        <f>'Baseline LCA'!S53-'DES LCA '!S47</f>
        <v>3430595.0135846976</v>
      </c>
      <c r="T59" s="262">
        <f>'Baseline LCA'!T53-'DES LCA '!T47</f>
        <v>3702186.4404822458</v>
      </c>
      <c r="U59" s="262">
        <f>'Baseline LCA'!U53-'DES LCA '!U47</f>
        <v>4012084.9419115875</v>
      </c>
      <c r="V59" s="262">
        <f>'Baseline LCA'!V53-'DES LCA '!V47</f>
        <v>4246468.3122411836</v>
      </c>
      <c r="W59" s="262">
        <f>'Baseline LCA'!W53-'DES LCA '!W47</f>
        <v>4514988.0565818604</v>
      </c>
      <c r="X59" s="262">
        <f>'Baseline LCA'!X53-'DES LCA '!X47</f>
        <v>4757782.4515591078</v>
      </c>
      <c r="Y59" s="262">
        <f>'Baseline LCA'!Y53-'DES LCA '!Y47</f>
        <v>5031593.5807170458</v>
      </c>
      <c r="Z59" s="262">
        <f>'Baseline LCA'!Z53-'DES LCA '!Z47</f>
        <v>5313139.9033373967</v>
      </c>
      <c r="AA59" s="262">
        <f>'Baseline LCA'!AA53-'DES LCA '!AA47</f>
        <v>73250199.352364361</v>
      </c>
    </row>
    <row r="62" spans="1:28" x14ac:dyDescent="0.25">
      <c r="B62" s="485"/>
    </row>
  </sheetData>
  <sheetProtection algorithmName="SHA-512" hashValue="38FUlRPBoTVPo8Xmjn0pSPAdKol/EPZ0n3R/XCoqG3y7lDMR4IZHjPtrpXvnN5//bzsHsML0xDEFMEaJbKhQdQ==" saltValue="LggI1Eay1WKpabW9pPePPw==" spinCount="100000" sheet="1" objects="1" scenarios="1"/>
  <mergeCells count="7">
    <mergeCell ref="F10:G10"/>
    <mergeCell ref="A37:A38"/>
    <mergeCell ref="A6:A7"/>
    <mergeCell ref="F6:G6"/>
    <mergeCell ref="F7:G7"/>
    <mergeCell ref="F8:G8"/>
    <mergeCell ref="F9:G9"/>
  </mergeCells>
  <conditionalFormatting sqref="C58:Z58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  <pageSetup paperSize="17" scale="49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424CC-BF83-471E-A405-BAC283AD722D}">
  <sheetPr>
    <tabColor rgb="FFFFFF00"/>
    <pageSetUpPr fitToPage="1"/>
  </sheetPr>
  <dimension ref="A1:AG43"/>
  <sheetViews>
    <sheetView zoomScale="85" zoomScaleNormal="85" workbookViewId="0">
      <selection activeCell="D3" sqref="D3"/>
    </sheetView>
  </sheetViews>
  <sheetFormatPr defaultRowHeight="15" x14ac:dyDescent="0.25"/>
  <cols>
    <col min="3" max="3" width="13.28515625" customWidth="1"/>
    <col min="4" max="4" width="12.7109375" customWidth="1"/>
    <col min="5" max="5" width="13.28515625" customWidth="1"/>
    <col min="6" max="6" width="13.5703125" customWidth="1"/>
    <col min="8" max="8" width="10.5703125" bestFit="1" customWidth="1"/>
    <col min="9" max="33" width="6.7109375" customWidth="1"/>
  </cols>
  <sheetData>
    <row r="1" spans="1:33" x14ac:dyDescent="0.25">
      <c r="A1" s="286" t="s">
        <v>0</v>
      </c>
    </row>
    <row r="3" spans="1:33" x14ac:dyDescent="0.25">
      <c r="A3" s="286" t="s">
        <v>398</v>
      </c>
    </row>
    <row r="6" spans="1:33" x14ac:dyDescent="0.25">
      <c r="C6" s="23" t="s">
        <v>105</v>
      </c>
      <c r="D6" s="23" t="s">
        <v>106</v>
      </c>
      <c r="E6" s="23" t="s">
        <v>107</v>
      </c>
      <c r="F6" s="23" t="s">
        <v>108</v>
      </c>
      <c r="H6" s="144"/>
      <c r="I6" s="257">
        <v>2021</v>
      </c>
      <c r="J6" s="257">
        <v>2022</v>
      </c>
      <c r="K6" s="257">
        <v>2023</v>
      </c>
      <c r="L6" s="257">
        <v>2024</v>
      </c>
      <c r="M6" s="257">
        <v>2025</v>
      </c>
      <c r="N6" s="257">
        <v>2026</v>
      </c>
      <c r="O6" s="257">
        <v>2027</v>
      </c>
      <c r="P6" s="257">
        <v>2028</v>
      </c>
      <c r="Q6" s="257">
        <v>2029</v>
      </c>
      <c r="R6" s="257">
        <v>2030</v>
      </c>
      <c r="S6" s="257">
        <v>2031</v>
      </c>
      <c r="T6" s="257">
        <v>2032</v>
      </c>
      <c r="U6" s="257">
        <v>2033</v>
      </c>
      <c r="V6" s="257">
        <v>2034</v>
      </c>
      <c r="W6" s="257">
        <v>2035</v>
      </c>
      <c r="X6" s="257">
        <v>2036</v>
      </c>
      <c r="Y6" s="257">
        <v>2037</v>
      </c>
      <c r="Z6" s="257">
        <v>2038</v>
      </c>
      <c r="AA6" s="257">
        <v>2039</v>
      </c>
      <c r="AB6" s="257">
        <v>2040</v>
      </c>
      <c r="AC6" s="257">
        <v>2041</v>
      </c>
      <c r="AD6" s="257">
        <v>2042</v>
      </c>
      <c r="AE6" s="257">
        <v>2043</v>
      </c>
      <c r="AF6" s="257">
        <v>2044</v>
      </c>
      <c r="AG6" s="257">
        <v>2045</v>
      </c>
    </row>
    <row r="7" spans="1:33" ht="18" customHeight="1" x14ac:dyDescent="0.25">
      <c r="A7" t="s">
        <v>109</v>
      </c>
      <c r="B7" s="258">
        <v>7.0000000000000007E-2</v>
      </c>
      <c r="C7" s="23">
        <v>1</v>
      </c>
      <c r="D7" s="23">
        <v>2</v>
      </c>
      <c r="E7" s="23">
        <v>2</v>
      </c>
      <c r="F7" s="23">
        <v>4</v>
      </c>
      <c r="H7" s="144" t="s">
        <v>110</v>
      </c>
      <c r="I7" s="257">
        <v>1</v>
      </c>
      <c r="J7" s="257">
        <v>1.07</v>
      </c>
      <c r="K7" s="257">
        <v>1.1299999999999999</v>
      </c>
      <c r="L7" s="509">
        <v>1.2</v>
      </c>
      <c r="M7" s="257">
        <v>1.29</v>
      </c>
      <c r="N7" s="257">
        <v>1.37</v>
      </c>
      <c r="O7" s="257">
        <v>1.46</v>
      </c>
      <c r="P7" s="257">
        <v>1.54</v>
      </c>
      <c r="Q7" s="257">
        <v>1.63</v>
      </c>
      <c r="R7" s="257">
        <v>1.7</v>
      </c>
      <c r="S7" s="257">
        <v>1.79</v>
      </c>
      <c r="T7" s="257">
        <v>1.88</v>
      </c>
      <c r="U7" s="143">
        <v>2</v>
      </c>
      <c r="V7" s="257">
        <v>2.12</v>
      </c>
      <c r="W7" s="257">
        <v>2.2400000000000002</v>
      </c>
      <c r="X7" s="257">
        <v>2.34</v>
      </c>
      <c r="Y7" s="257">
        <v>2.4500000000000002</v>
      </c>
      <c r="Z7" s="257">
        <v>2.57</v>
      </c>
      <c r="AA7" s="257">
        <v>2.69</v>
      </c>
      <c r="AB7" s="257">
        <v>2.84</v>
      </c>
      <c r="AC7" s="257">
        <v>2.99</v>
      </c>
      <c r="AD7" s="257">
        <v>3.18</v>
      </c>
      <c r="AE7" s="257">
        <v>3.33</v>
      </c>
      <c r="AF7" s="257">
        <v>3.51</v>
      </c>
      <c r="AG7" s="257">
        <v>3.69</v>
      </c>
    </row>
    <row r="8" spans="1:33" ht="18" customHeight="1" x14ac:dyDescent="0.25">
      <c r="A8" t="s">
        <v>111</v>
      </c>
      <c r="B8" s="258">
        <v>0.06</v>
      </c>
      <c r="C8" s="23">
        <v>3</v>
      </c>
      <c r="D8" s="23">
        <v>4</v>
      </c>
      <c r="E8" s="23">
        <v>3</v>
      </c>
      <c r="F8" s="23">
        <v>5</v>
      </c>
      <c r="H8" s="144" t="s">
        <v>112</v>
      </c>
      <c r="I8" s="257">
        <v>1</v>
      </c>
      <c r="J8" s="257">
        <v>1.05</v>
      </c>
      <c r="K8" s="257">
        <v>1.08</v>
      </c>
      <c r="L8" s="257">
        <v>1.0900000000000001</v>
      </c>
      <c r="M8" s="257">
        <v>1.1399999999999999</v>
      </c>
      <c r="N8" s="257">
        <v>1.21</v>
      </c>
      <c r="O8" s="257">
        <v>1.27</v>
      </c>
      <c r="P8" s="257">
        <v>1.34</v>
      </c>
      <c r="Q8" s="257">
        <v>1.42</v>
      </c>
      <c r="R8" s="257">
        <v>1.5</v>
      </c>
      <c r="S8" s="257">
        <v>1.57</v>
      </c>
      <c r="T8" s="257">
        <v>1.65</v>
      </c>
      <c r="U8" s="257">
        <v>1.74</v>
      </c>
      <c r="V8" s="257">
        <v>1.84</v>
      </c>
      <c r="W8" s="257">
        <v>1.93</v>
      </c>
      <c r="X8" s="257">
        <v>2.0299999999999998</v>
      </c>
      <c r="Y8" s="257">
        <v>2.13</v>
      </c>
      <c r="Z8" s="257">
        <v>2.23</v>
      </c>
      <c r="AA8" s="257">
        <v>2.34</v>
      </c>
      <c r="AB8" s="257">
        <v>2.46</v>
      </c>
      <c r="AC8" s="257">
        <v>2.59</v>
      </c>
      <c r="AD8" s="257">
        <v>2.71</v>
      </c>
      <c r="AE8" s="257">
        <v>2.85</v>
      </c>
      <c r="AF8" s="257">
        <v>2.99</v>
      </c>
      <c r="AG8" s="257">
        <v>3.14</v>
      </c>
    </row>
    <row r="9" spans="1:33" ht="18" customHeight="1" x14ac:dyDescent="0.25">
      <c r="B9" s="258">
        <v>0.05</v>
      </c>
      <c r="C9" s="23">
        <v>5</v>
      </c>
      <c r="D9" s="23">
        <v>6</v>
      </c>
      <c r="E9" s="23">
        <v>5</v>
      </c>
      <c r="F9" s="23">
        <v>8</v>
      </c>
    </row>
    <row r="10" spans="1:33" ht="18" customHeight="1" x14ac:dyDescent="0.25">
      <c r="B10" s="258">
        <v>0.04</v>
      </c>
      <c r="C10" s="23">
        <v>6</v>
      </c>
      <c r="D10" s="23">
        <v>8</v>
      </c>
      <c r="E10" s="23">
        <v>7</v>
      </c>
      <c r="F10" s="23">
        <v>10</v>
      </c>
    </row>
    <row r="11" spans="1:33" ht="18" customHeight="1" x14ac:dyDescent="0.25">
      <c r="B11" s="258">
        <v>0.03</v>
      </c>
      <c r="C11" s="23">
        <v>7</v>
      </c>
      <c r="D11" s="23">
        <v>9</v>
      </c>
      <c r="E11" s="23">
        <v>11</v>
      </c>
      <c r="F11" s="23">
        <v>12</v>
      </c>
    </row>
    <row r="17" spans="9:10" x14ac:dyDescent="0.25">
      <c r="I17" s="258"/>
    </row>
    <row r="18" spans="9:10" x14ac:dyDescent="0.25">
      <c r="I18" s="23"/>
      <c r="J18" s="23"/>
    </row>
    <row r="19" spans="9:10" x14ac:dyDescent="0.25">
      <c r="I19" s="23"/>
      <c r="J19" s="23"/>
    </row>
    <row r="20" spans="9:10" x14ac:dyDescent="0.25">
      <c r="I20" s="117"/>
      <c r="J20" s="23"/>
    </row>
    <row r="21" spans="9:10" x14ac:dyDescent="0.25">
      <c r="I21" s="117"/>
      <c r="J21" s="23"/>
    </row>
    <row r="22" spans="9:10" x14ac:dyDescent="0.25">
      <c r="I22" s="117"/>
      <c r="J22" s="23"/>
    </row>
    <row r="23" spans="9:10" x14ac:dyDescent="0.25">
      <c r="I23" s="117"/>
      <c r="J23" s="23"/>
    </row>
    <row r="24" spans="9:10" x14ac:dyDescent="0.25">
      <c r="I24" s="117"/>
      <c r="J24" s="23"/>
    </row>
    <row r="25" spans="9:10" x14ac:dyDescent="0.25">
      <c r="I25" s="117"/>
      <c r="J25" s="23"/>
    </row>
    <row r="26" spans="9:10" x14ac:dyDescent="0.25">
      <c r="I26" s="117"/>
      <c r="J26" s="23"/>
    </row>
    <row r="27" spans="9:10" x14ac:dyDescent="0.25">
      <c r="I27" s="117"/>
      <c r="J27" s="23"/>
    </row>
    <row r="28" spans="9:10" x14ac:dyDescent="0.25">
      <c r="I28" s="117"/>
      <c r="J28" s="23"/>
    </row>
    <row r="29" spans="9:10" x14ac:dyDescent="0.25">
      <c r="I29" s="117"/>
      <c r="J29" s="23"/>
    </row>
    <row r="30" spans="9:10" x14ac:dyDescent="0.25">
      <c r="I30" s="117"/>
      <c r="J30" s="23"/>
    </row>
    <row r="31" spans="9:10" x14ac:dyDescent="0.25">
      <c r="I31" s="117"/>
      <c r="J31" s="23"/>
    </row>
    <row r="32" spans="9:10" x14ac:dyDescent="0.25">
      <c r="I32" s="117"/>
      <c r="J32" s="23"/>
    </row>
    <row r="33" spans="9:10" x14ac:dyDescent="0.25">
      <c r="I33" s="117"/>
      <c r="J33" s="23"/>
    </row>
    <row r="34" spans="9:10" x14ac:dyDescent="0.25">
      <c r="I34" s="117"/>
      <c r="J34" s="23"/>
    </row>
    <row r="35" spans="9:10" x14ac:dyDescent="0.25">
      <c r="I35" s="117"/>
      <c r="J35" s="23"/>
    </row>
    <row r="36" spans="9:10" x14ac:dyDescent="0.25">
      <c r="I36" s="117"/>
      <c r="J36" s="23"/>
    </row>
    <row r="37" spans="9:10" x14ac:dyDescent="0.25">
      <c r="I37" s="117"/>
      <c r="J37" s="23"/>
    </row>
    <row r="38" spans="9:10" x14ac:dyDescent="0.25">
      <c r="I38" s="117"/>
      <c r="J38" s="23"/>
    </row>
    <row r="39" spans="9:10" x14ac:dyDescent="0.25">
      <c r="I39" s="117"/>
      <c r="J39" s="23"/>
    </row>
    <row r="40" spans="9:10" x14ac:dyDescent="0.25">
      <c r="I40" s="117"/>
      <c r="J40" s="23"/>
    </row>
    <row r="41" spans="9:10" x14ac:dyDescent="0.25">
      <c r="I41" s="117"/>
      <c r="J41" s="23"/>
    </row>
    <row r="42" spans="9:10" x14ac:dyDescent="0.25">
      <c r="I42" s="117"/>
      <c r="J42" s="23"/>
    </row>
    <row r="43" spans="9:10" x14ac:dyDescent="0.25">
      <c r="I43" s="117"/>
      <c r="J43" s="23"/>
    </row>
  </sheetData>
  <sheetProtection algorithmName="SHA-512" hashValue="X5QCDJiCmRw27gb9KsD7n21OGVvjOMPfQO9i/XwFxNu1WFR7eQtcS7iLHegCSfEFhagqxkVQnXRFVcFvHOySXA==" saltValue="yBAeffrhmUbtA717Hi+vbQ==" spinCount="100000" sheet="1" objects="1" scenarios="1"/>
  <conditionalFormatting sqref="C7:F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5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83341-8E69-4278-BA59-580B5C2DF222}">
  <sheetPr>
    <tabColor rgb="FFFFFF00"/>
    <pageSetUpPr fitToPage="1"/>
  </sheetPr>
  <dimension ref="A1:S65"/>
  <sheetViews>
    <sheetView zoomScaleNormal="100" workbookViewId="0">
      <selection activeCell="R51" sqref="R51"/>
    </sheetView>
  </sheetViews>
  <sheetFormatPr defaultRowHeight="15" x14ac:dyDescent="0.25"/>
  <cols>
    <col min="11" max="11" width="7.28515625" customWidth="1"/>
    <col min="12" max="12" width="12" bestFit="1" customWidth="1"/>
    <col min="13" max="13" width="12.28515625" bestFit="1" customWidth="1"/>
    <col min="14" max="14" width="14.42578125" bestFit="1" customWidth="1"/>
    <col min="15" max="15" width="12" bestFit="1" customWidth="1"/>
    <col min="18" max="18" width="10.7109375" bestFit="1" customWidth="1"/>
    <col min="19" max="19" width="14.42578125" bestFit="1" customWidth="1"/>
    <col min="20" max="20" width="12" bestFit="1" customWidth="1"/>
  </cols>
  <sheetData>
    <row r="1" spans="1:16" x14ac:dyDescent="0.25">
      <c r="A1" s="286" t="s">
        <v>0</v>
      </c>
    </row>
    <row r="3" spans="1:16" x14ac:dyDescent="0.25">
      <c r="A3" s="286" t="s">
        <v>399</v>
      </c>
    </row>
    <row r="6" spans="1:16" ht="15.75" thickBot="1" x14ac:dyDescent="0.3">
      <c r="B6" s="379" t="s">
        <v>113</v>
      </c>
    </row>
    <row r="7" spans="1:16" x14ac:dyDescent="0.25">
      <c r="K7" s="557" t="s">
        <v>82</v>
      </c>
      <c r="L7" s="558"/>
      <c r="M7" s="317" t="s">
        <v>114</v>
      </c>
      <c r="N7" s="333" t="s">
        <v>115</v>
      </c>
      <c r="O7" s="337" t="s">
        <v>116</v>
      </c>
      <c r="P7" s="23" t="s">
        <v>117</v>
      </c>
    </row>
    <row r="8" spans="1:16" ht="15.75" thickBot="1" x14ac:dyDescent="0.3">
      <c r="K8" s="559"/>
      <c r="L8" s="560"/>
      <c r="M8" s="316" t="s">
        <v>118</v>
      </c>
      <c r="N8" s="334" t="s">
        <v>119</v>
      </c>
      <c r="O8" s="332" t="s">
        <v>119</v>
      </c>
      <c r="P8" s="23"/>
    </row>
    <row r="9" spans="1:16" x14ac:dyDescent="0.25">
      <c r="K9" s="238">
        <v>2020</v>
      </c>
      <c r="L9" s="328">
        <v>0</v>
      </c>
      <c r="M9" s="329"/>
      <c r="N9" s="335"/>
      <c r="O9" s="338"/>
      <c r="P9" s="23"/>
    </row>
    <row r="10" spans="1:16" x14ac:dyDescent="0.25">
      <c r="K10" s="145">
        <v>2021</v>
      </c>
      <c r="L10" s="223">
        <v>1</v>
      </c>
      <c r="M10" s="329">
        <v>5000</v>
      </c>
      <c r="N10" s="335">
        <v>615000</v>
      </c>
      <c r="O10" s="338">
        <f>N10/M10</f>
        <v>123</v>
      </c>
      <c r="P10" s="115">
        <f>ROUND(74.83*L10+2635.4,-2)</f>
        <v>2700</v>
      </c>
    </row>
    <row r="11" spans="1:16" x14ac:dyDescent="0.25">
      <c r="J11" s="273"/>
      <c r="K11" s="145">
        <v>2022</v>
      </c>
      <c r="L11" s="223">
        <v>2</v>
      </c>
      <c r="M11" s="330">
        <v>10000</v>
      </c>
      <c r="N11" s="336">
        <v>1240000</v>
      </c>
      <c r="O11" s="339">
        <f t="shared" ref="O11:O19" si="0">N11/M11</f>
        <v>124</v>
      </c>
      <c r="P11" s="115">
        <f>ROUND(74.83*L11+2635.4,-2)</f>
        <v>2800</v>
      </c>
    </row>
    <row r="12" spans="1:16" x14ac:dyDescent="0.25">
      <c r="J12" s="273"/>
      <c r="K12" s="145">
        <v>2023</v>
      </c>
      <c r="L12" s="223">
        <v>3</v>
      </c>
      <c r="M12" s="330">
        <v>15000</v>
      </c>
      <c r="N12" s="336">
        <v>1890000</v>
      </c>
      <c r="O12" s="339">
        <f>N12/M12</f>
        <v>126</v>
      </c>
      <c r="P12" s="115">
        <f t="shared" ref="P12:P34" si="1">ROUND(74.83*L12+2635.4,-2)</f>
        <v>2900</v>
      </c>
    </row>
    <row r="13" spans="1:16" x14ac:dyDescent="0.25">
      <c r="J13" s="273"/>
      <c r="K13" s="145">
        <v>2024</v>
      </c>
      <c r="L13" s="223">
        <v>4</v>
      </c>
      <c r="M13" s="330">
        <v>20000</v>
      </c>
      <c r="N13" s="336">
        <v>2560000</v>
      </c>
      <c r="O13" s="339">
        <f>N13/M13</f>
        <v>128</v>
      </c>
      <c r="P13" s="115">
        <f t="shared" si="1"/>
        <v>2900</v>
      </c>
    </row>
    <row r="14" spans="1:16" x14ac:dyDescent="0.25">
      <c r="J14" s="273"/>
      <c r="K14" s="145">
        <v>2025</v>
      </c>
      <c r="L14" s="223">
        <v>5</v>
      </c>
      <c r="M14" s="330">
        <v>25000</v>
      </c>
      <c r="N14" s="336">
        <v>3225000</v>
      </c>
      <c r="O14" s="339">
        <f t="shared" si="0"/>
        <v>129</v>
      </c>
      <c r="P14" s="115">
        <f t="shared" si="1"/>
        <v>3000</v>
      </c>
    </row>
    <row r="15" spans="1:16" x14ac:dyDescent="0.25">
      <c r="J15" s="273"/>
      <c r="K15" s="145">
        <v>2026</v>
      </c>
      <c r="L15" s="223">
        <v>6</v>
      </c>
      <c r="M15" s="330">
        <v>30000</v>
      </c>
      <c r="N15" s="336">
        <v>3930000</v>
      </c>
      <c r="O15" s="339">
        <f t="shared" si="0"/>
        <v>131</v>
      </c>
      <c r="P15" s="115">
        <f t="shared" si="1"/>
        <v>3100</v>
      </c>
    </row>
    <row r="16" spans="1:16" x14ac:dyDescent="0.25">
      <c r="J16" s="273"/>
      <c r="K16" s="145">
        <v>2027</v>
      </c>
      <c r="L16" s="223">
        <v>7</v>
      </c>
      <c r="M16" s="330">
        <v>35000</v>
      </c>
      <c r="N16" s="336">
        <v>4620000</v>
      </c>
      <c r="O16" s="339">
        <f t="shared" si="0"/>
        <v>132</v>
      </c>
      <c r="P16" s="115">
        <f t="shared" si="1"/>
        <v>3200</v>
      </c>
    </row>
    <row r="17" spans="10:19" x14ac:dyDescent="0.25">
      <c r="J17" s="273"/>
      <c r="K17" s="145">
        <v>2028</v>
      </c>
      <c r="L17" s="223">
        <v>8</v>
      </c>
      <c r="M17" s="330">
        <v>40000</v>
      </c>
      <c r="N17" s="336">
        <v>5360000</v>
      </c>
      <c r="O17" s="339">
        <f t="shared" si="0"/>
        <v>134</v>
      </c>
      <c r="P17" s="115">
        <f t="shared" si="1"/>
        <v>3200</v>
      </c>
    </row>
    <row r="18" spans="10:19" x14ac:dyDescent="0.25">
      <c r="J18" s="273"/>
      <c r="K18" s="145">
        <v>2029</v>
      </c>
      <c r="L18" s="223">
        <v>9</v>
      </c>
      <c r="M18" s="330">
        <v>45000</v>
      </c>
      <c r="N18" s="336">
        <v>6120000</v>
      </c>
      <c r="O18" s="339">
        <f t="shared" si="0"/>
        <v>136</v>
      </c>
      <c r="P18" s="115">
        <f t="shared" si="1"/>
        <v>3300</v>
      </c>
    </row>
    <row r="19" spans="10:19" ht="15.75" thickBot="1" x14ac:dyDescent="0.3">
      <c r="J19" s="273"/>
      <c r="K19" s="341">
        <v>2030</v>
      </c>
      <c r="L19" s="342">
        <v>10</v>
      </c>
      <c r="M19" s="345">
        <v>50000</v>
      </c>
      <c r="N19" s="346">
        <v>6850000</v>
      </c>
      <c r="O19" s="347">
        <f t="shared" si="0"/>
        <v>137</v>
      </c>
      <c r="P19" s="115">
        <f t="shared" si="1"/>
        <v>3400</v>
      </c>
    </row>
    <row r="20" spans="10:19" x14ac:dyDescent="0.25">
      <c r="J20" s="273"/>
      <c r="K20" s="238">
        <v>2031</v>
      </c>
      <c r="L20" s="343">
        <v>11</v>
      </c>
      <c r="M20" s="348"/>
      <c r="N20" s="333"/>
      <c r="O20" s="355">
        <f>($R$24*L20)+$S$24</f>
        <v>138.80000000000001</v>
      </c>
      <c r="P20" s="115">
        <f t="shared" si="1"/>
        <v>3500</v>
      </c>
    </row>
    <row r="21" spans="10:19" ht="15.75" thickBot="1" x14ac:dyDescent="0.3">
      <c r="J21" s="273"/>
      <c r="K21" s="145">
        <v>2032</v>
      </c>
      <c r="L21" s="344">
        <v>12</v>
      </c>
      <c r="M21" s="349"/>
      <c r="N21" s="351"/>
      <c r="O21" s="339">
        <f>($R$24*L21)+$S$24</f>
        <v>140.4</v>
      </c>
      <c r="P21" s="115">
        <f t="shared" si="1"/>
        <v>3500</v>
      </c>
    </row>
    <row r="22" spans="10:19" ht="15.75" thickBot="1" x14ac:dyDescent="0.3">
      <c r="J22" s="273"/>
      <c r="K22" s="145">
        <v>2033</v>
      </c>
      <c r="L22" s="344">
        <v>13</v>
      </c>
      <c r="M22" s="349"/>
      <c r="N22" s="351"/>
      <c r="O22" s="339">
        <f t="shared" ref="O22:O34" si="2">($R$24*L22)+$S$24</f>
        <v>142</v>
      </c>
      <c r="P22" s="115">
        <f t="shared" si="1"/>
        <v>3600</v>
      </c>
      <c r="R22" s="561" t="s">
        <v>120</v>
      </c>
      <c r="S22" s="562"/>
    </row>
    <row r="23" spans="10:19" x14ac:dyDescent="0.25">
      <c r="J23" s="273"/>
      <c r="K23" s="145">
        <v>2034</v>
      </c>
      <c r="L23" s="344">
        <v>14</v>
      </c>
      <c r="M23" s="349"/>
      <c r="N23" s="351"/>
      <c r="O23" s="339">
        <f t="shared" si="2"/>
        <v>143.6</v>
      </c>
      <c r="P23" s="115">
        <f t="shared" si="1"/>
        <v>3700</v>
      </c>
      <c r="R23" s="238" t="s">
        <v>121</v>
      </c>
      <c r="S23" s="328" t="s">
        <v>122</v>
      </c>
    </row>
    <row r="24" spans="10:19" ht="15.75" thickBot="1" x14ac:dyDescent="0.3">
      <c r="J24" s="273"/>
      <c r="K24" s="145">
        <v>2035</v>
      </c>
      <c r="L24" s="344">
        <v>15</v>
      </c>
      <c r="M24" s="349"/>
      <c r="N24" s="351"/>
      <c r="O24" s="339">
        <f>($R$24*L24)+$S$24</f>
        <v>145.19999999999999</v>
      </c>
      <c r="P24" s="115">
        <f t="shared" si="1"/>
        <v>3800</v>
      </c>
      <c r="R24" s="353">
        <f t="array" ref="R24:S24">LINEST(O10:O19,L10:L19^{1})</f>
        <v>1.6</v>
      </c>
      <c r="S24" s="354">
        <v>121.2</v>
      </c>
    </row>
    <row r="25" spans="10:19" x14ac:dyDescent="0.25">
      <c r="J25" s="273"/>
      <c r="K25" s="145">
        <v>2036</v>
      </c>
      <c r="L25" s="344">
        <v>16</v>
      </c>
      <c r="M25" s="349"/>
      <c r="N25" s="351"/>
      <c r="O25" s="339">
        <f t="shared" si="2"/>
        <v>146.80000000000001</v>
      </c>
      <c r="P25" s="115">
        <f t="shared" si="1"/>
        <v>3800</v>
      </c>
    </row>
    <row r="26" spans="10:19" x14ac:dyDescent="0.25">
      <c r="J26" s="273"/>
      <c r="K26" s="145">
        <v>2037</v>
      </c>
      <c r="L26" s="344">
        <v>17</v>
      </c>
      <c r="M26" s="349"/>
      <c r="N26" s="351"/>
      <c r="O26" s="339">
        <f t="shared" si="2"/>
        <v>148.4</v>
      </c>
      <c r="P26" s="115">
        <f t="shared" si="1"/>
        <v>3900</v>
      </c>
    </row>
    <row r="27" spans="10:19" x14ac:dyDescent="0.25">
      <c r="J27" s="273"/>
      <c r="K27" s="145">
        <v>2038</v>
      </c>
      <c r="L27" s="344">
        <v>18</v>
      </c>
      <c r="M27" s="349"/>
      <c r="N27" s="351"/>
      <c r="O27" s="339">
        <f t="shared" si="2"/>
        <v>150</v>
      </c>
      <c r="P27" s="115">
        <f t="shared" si="1"/>
        <v>4000</v>
      </c>
    </row>
    <row r="28" spans="10:19" x14ac:dyDescent="0.25">
      <c r="J28" s="273"/>
      <c r="K28" s="145">
        <v>2039</v>
      </c>
      <c r="L28" s="344">
        <v>19</v>
      </c>
      <c r="M28" s="349"/>
      <c r="N28" s="351"/>
      <c r="O28" s="339">
        <f t="shared" si="2"/>
        <v>151.6</v>
      </c>
      <c r="P28" s="115">
        <f t="shared" si="1"/>
        <v>4100</v>
      </c>
    </row>
    <row r="29" spans="10:19" x14ac:dyDescent="0.25">
      <c r="J29" s="273"/>
      <c r="K29" s="145">
        <v>2040</v>
      </c>
      <c r="L29" s="344">
        <v>20</v>
      </c>
      <c r="M29" s="349"/>
      <c r="N29" s="351"/>
      <c r="O29" s="339">
        <f t="shared" si="2"/>
        <v>153.19999999999999</v>
      </c>
      <c r="P29" s="115">
        <f t="shared" si="1"/>
        <v>4100</v>
      </c>
    </row>
    <row r="30" spans="10:19" x14ac:dyDescent="0.25">
      <c r="J30" s="273"/>
      <c r="K30" s="145">
        <v>2041</v>
      </c>
      <c r="L30" s="344">
        <v>21</v>
      </c>
      <c r="M30" s="349"/>
      <c r="N30" s="351"/>
      <c r="O30" s="339">
        <f t="shared" si="2"/>
        <v>154.80000000000001</v>
      </c>
      <c r="P30" s="115">
        <f t="shared" si="1"/>
        <v>4200</v>
      </c>
    </row>
    <row r="31" spans="10:19" x14ac:dyDescent="0.25">
      <c r="J31" s="273"/>
      <c r="K31" s="145">
        <v>2042</v>
      </c>
      <c r="L31" s="344">
        <v>22</v>
      </c>
      <c r="M31" s="349"/>
      <c r="N31" s="351"/>
      <c r="O31" s="339">
        <f t="shared" si="2"/>
        <v>156.4</v>
      </c>
      <c r="P31" s="115">
        <f t="shared" si="1"/>
        <v>4300</v>
      </c>
    </row>
    <row r="32" spans="10:19" x14ac:dyDescent="0.25">
      <c r="J32" s="273"/>
      <c r="K32" s="145">
        <v>2043</v>
      </c>
      <c r="L32" s="344">
        <v>23</v>
      </c>
      <c r="M32" s="349"/>
      <c r="N32" s="351"/>
      <c r="O32" s="339">
        <f t="shared" si="2"/>
        <v>158</v>
      </c>
      <c r="P32" s="115">
        <f t="shared" si="1"/>
        <v>4400</v>
      </c>
    </row>
    <row r="33" spans="10:16" x14ac:dyDescent="0.25">
      <c r="J33" s="273"/>
      <c r="K33" s="145">
        <v>2044</v>
      </c>
      <c r="L33" s="344">
        <v>24</v>
      </c>
      <c r="M33" s="349"/>
      <c r="N33" s="351"/>
      <c r="O33" s="339">
        <f t="shared" si="2"/>
        <v>159.60000000000002</v>
      </c>
      <c r="P33" s="115">
        <f t="shared" si="1"/>
        <v>4400</v>
      </c>
    </row>
    <row r="34" spans="10:16" ht="15.75" thickBot="1" x14ac:dyDescent="0.3">
      <c r="J34" s="273"/>
      <c r="K34" s="320">
        <v>2045</v>
      </c>
      <c r="L34" s="334">
        <v>25</v>
      </c>
      <c r="M34" s="350"/>
      <c r="N34" s="352"/>
      <c r="O34" s="340">
        <f t="shared" si="2"/>
        <v>161.19999999999999</v>
      </c>
      <c r="P34" s="115">
        <f t="shared" si="1"/>
        <v>4500</v>
      </c>
    </row>
    <row r="37" spans="10:16" ht="15.75" thickBot="1" x14ac:dyDescent="0.3"/>
    <row r="38" spans="10:16" ht="15.75" thickBot="1" x14ac:dyDescent="0.3">
      <c r="K38" s="365" t="s">
        <v>82</v>
      </c>
      <c r="L38" s="366" t="s">
        <v>123</v>
      </c>
      <c r="M38" s="367" t="s">
        <v>124</v>
      </c>
    </row>
    <row r="39" spans="10:16" x14ac:dyDescent="0.25">
      <c r="J39">
        <v>1</v>
      </c>
      <c r="K39" s="337">
        <v>2021</v>
      </c>
      <c r="L39" s="371">
        <f>'Benefits Only LCA'!I10</f>
        <v>0.3</v>
      </c>
      <c r="M39" s="515">
        <f>'Benefits Only LCA'!I11</f>
        <v>5.4800000000000001E-2</v>
      </c>
    </row>
    <row r="40" spans="10:16" x14ac:dyDescent="0.25">
      <c r="J40">
        <v>2</v>
      </c>
      <c r="K40" s="331">
        <v>2022</v>
      </c>
      <c r="L40" s="372">
        <f>L39-(($L$39-$L$58)/($K$58-$K$39))</f>
        <v>0.28421052631578947</v>
      </c>
      <c r="M40" s="516">
        <f>M39-(($M$39-$M$58)/($K$58-$K$39))</f>
        <v>5.1915789473684214E-2</v>
      </c>
    </row>
    <row r="41" spans="10:16" x14ac:dyDescent="0.25">
      <c r="J41">
        <v>3</v>
      </c>
      <c r="K41" s="331">
        <v>2023</v>
      </c>
      <c r="L41" s="372">
        <f t="shared" ref="L41:L56" si="3">L40-(($L$39-$L$58)/($K$58-$K$39))</f>
        <v>0.26842105263157895</v>
      </c>
      <c r="M41" s="516">
        <f t="shared" ref="M41:M57" si="4">M40-(($M$39-$M$58)/($K$58-$K$39))</f>
        <v>4.9031578947368426E-2</v>
      </c>
    </row>
    <row r="42" spans="10:16" x14ac:dyDescent="0.25">
      <c r="J42">
        <v>4</v>
      </c>
      <c r="K42" s="331">
        <v>2024</v>
      </c>
      <c r="L42" s="372">
        <f t="shared" si="3"/>
        <v>0.25263157894736843</v>
      </c>
      <c r="M42" s="516">
        <f t="shared" si="4"/>
        <v>4.6147368421052638E-2</v>
      </c>
    </row>
    <row r="43" spans="10:16" x14ac:dyDescent="0.25">
      <c r="J43">
        <v>5</v>
      </c>
      <c r="K43" s="331">
        <v>2025</v>
      </c>
      <c r="L43" s="372">
        <f t="shared" si="3"/>
        <v>0.23684210526315791</v>
      </c>
      <c r="M43" s="516">
        <f t="shared" si="4"/>
        <v>4.3263157894736851E-2</v>
      </c>
    </row>
    <row r="44" spans="10:16" x14ac:dyDescent="0.25">
      <c r="J44">
        <v>6</v>
      </c>
      <c r="K44" s="331">
        <v>2026</v>
      </c>
      <c r="L44" s="372">
        <f t="shared" si="3"/>
        <v>0.22105263157894739</v>
      </c>
      <c r="M44" s="516">
        <f t="shared" si="4"/>
        <v>4.0378947368421063E-2</v>
      </c>
    </row>
    <row r="45" spans="10:16" x14ac:dyDescent="0.25">
      <c r="J45">
        <v>7</v>
      </c>
      <c r="K45" s="331">
        <v>2027</v>
      </c>
      <c r="L45" s="372">
        <f t="shared" si="3"/>
        <v>0.20526315789473687</v>
      </c>
      <c r="M45" s="516">
        <f t="shared" si="4"/>
        <v>3.7494736842105275E-2</v>
      </c>
    </row>
    <row r="46" spans="10:16" x14ac:dyDescent="0.25">
      <c r="J46">
        <v>8</v>
      </c>
      <c r="K46" s="331">
        <v>2028</v>
      </c>
      <c r="L46" s="372">
        <f t="shared" si="3"/>
        <v>0.18947368421052635</v>
      </c>
      <c r="M46" s="516">
        <f t="shared" si="4"/>
        <v>3.4610526315789487E-2</v>
      </c>
    </row>
    <row r="47" spans="10:16" x14ac:dyDescent="0.25">
      <c r="J47">
        <v>9</v>
      </c>
      <c r="K47" s="331">
        <v>2029</v>
      </c>
      <c r="L47" s="372">
        <f t="shared" si="3"/>
        <v>0.17368421052631583</v>
      </c>
      <c r="M47" s="516">
        <f t="shared" si="4"/>
        <v>3.17263157894737E-2</v>
      </c>
    </row>
    <row r="48" spans="10:16" x14ac:dyDescent="0.25">
      <c r="J48">
        <v>10</v>
      </c>
      <c r="K48" s="331">
        <v>2030</v>
      </c>
      <c r="L48" s="372">
        <f t="shared" si="3"/>
        <v>0.15789473684210531</v>
      </c>
      <c r="M48" s="516">
        <f t="shared" si="4"/>
        <v>2.8842105263157912E-2</v>
      </c>
    </row>
    <row r="49" spans="5:13" x14ac:dyDescent="0.25">
      <c r="J49">
        <v>11</v>
      </c>
      <c r="K49" s="331">
        <v>2031</v>
      </c>
      <c r="L49" s="372">
        <f t="shared" si="3"/>
        <v>0.14210526315789479</v>
      </c>
      <c r="M49" s="516">
        <f t="shared" si="4"/>
        <v>2.5957894736842124E-2</v>
      </c>
    </row>
    <row r="50" spans="5:13" x14ac:dyDescent="0.25">
      <c r="J50">
        <v>12</v>
      </c>
      <c r="K50" s="331">
        <v>2032</v>
      </c>
      <c r="L50" s="372">
        <f t="shared" si="3"/>
        <v>0.12631578947368427</v>
      </c>
      <c r="M50" s="516">
        <f t="shared" si="4"/>
        <v>2.3073684210526337E-2</v>
      </c>
    </row>
    <row r="51" spans="5:13" x14ac:dyDescent="0.25">
      <c r="J51">
        <v>13</v>
      </c>
      <c r="K51" s="331">
        <v>2033</v>
      </c>
      <c r="L51" s="372">
        <f t="shared" si="3"/>
        <v>0.11052631578947375</v>
      </c>
      <c r="M51" s="516">
        <f t="shared" si="4"/>
        <v>2.0189473684210549E-2</v>
      </c>
    </row>
    <row r="52" spans="5:13" x14ac:dyDescent="0.25">
      <c r="J52">
        <v>14</v>
      </c>
      <c r="K52" s="331">
        <v>2034</v>
      </c>
      <c r="L52" s="372">
        <f t="shared" si="3"/>
        <v>9.473684210526323E-2</v>
      </c>
      <c r="M52" s="516">
        <f t="shared" si="4"/>
        <v>1.7305263157894761E-2</v>
      </c>
    </row>
    <row r="53" spans="5:13" ht="15.75" thickBot="1" x14ac:dyDescent="0.3">
      <c r="J53">
        <v>15</v>
      </c>
      <c r="K53" s="331">
        <v>2035</v>
      </c>
      <c r="L53" s="372">
        <f t="shared" si="3"/>
        <v>7.894736842105271E-2</v>
      </c>
      <c r="M53" s="516">
        <f t="shared" si="4"/>
        <v>1.4421052631578972E-2</v>
      </c>
    </row>
    <row r="54" spans="5:13" ht="15.75" thickBot="1" x14ac:dyDescent="0.3">
      <c r="E54" s="561" t="s">
        <v>125</v>
      </c>
      <c r="F54" s="562"/>
      <c r="J54">
        <v>16</v>
      </c>
      <c r="K54" s="331">
        <v>2036</v>
      </c>
      <c r="L54" s="372">
        <f t="shared" si="3"/>
        <v>6.3157894736842191E-2</v>
      </c>
      <c r="M54" s="516">
        <f t="shared" si="4"/>
        <v>1.1536842105263182E-2</v>
      </c>
    </row>
    <row r="55" spans="5:13" ht="15.75" thickBot="1" x14ac:dyDescent="0.3">
      <c r="E55" s="430" t="s">
        <v>121</v>
      </c>
      <c r="F55" s="431" t="s">
        <v>122</v>
      </c>
      <c r="J55">
        <v>17</v>
      </c>
      <c r="K55" s="331">
        <v>2037</v>
      </c>
      <c r="L55" s="372">
        <f t="shared" si="3"/>
        <v>4.7368421052631664E-2</v>
      </c>
      <c r="M55" s="516">
        <f t="shared" si="4"/>
        <v>8.6526315789473927E-3</v>
      </c>
    </row>
    <row r="56" spans="5:13" ht="15.75" thickBot="1" x14ac:dyDescent="0.3">
      <c r="E56" s="365">
        <f t="array" ref="E56:F56">LINEST(L39:L57,J39:J57^{1})</f>
        <v>-1.578947368421052E-2</v>
      </c>
      <c r="F56" s="367">
        <v>0.31578947368421051</v>
      </c>
      <c r="J56">
        <v>18</v>
      </c>
      <c r="K56" s="331">
        <v>2038</v>
      </c>
      <c r="L56" s="372">
        <f t="shared" si="3"/>
        <v>3.1578947368421137E-2</v>
      </c>
      <c r="M56" s="516">
        <f t="shared" si="4"/>
        <v>5.7684210526316032E-3</v>
      </c>
    </row>
    <row r="57" spans="5:13" ht="15.75" thickBot="1" x14ac:dyDescent="0.3">
      <c r="J57">
        <v>19</v>
      </c>
      <c r="K57" s="331">
        <v>2039</v>
      </c>
      <c r="L57" s="372">
        <f>L56-(($L$39-$L$58)/($K$58-$K$39))</f>
        <v>1.578947368421061E-2</v>
      </c>
      <c r="M57" s="516">
        <f t="shared" si="4"/>
        <v>2.8842105263158137E-3</v>
      </c>
    </row>
    <row r="58" spans="5:13" ht="15.75" thickBot="1" x14ac:dyDescent="0.3">
      <c r="E58" s="561" t="s">
        <v>126</v>
      </c>
      <c r="F58" s="562"/>
      <c r="K58" s="331">
        <v>2040</v>
      </c>
      <c r="L58" s="368">
        <v>0</v>
      </c>
      <c r="M58" s="516">
        <v>0</v>
      </c>
    </row>
    <row r="59" spans="5:13" ht="15.75" thickBot="1" x14ac:dyDescent="0.3">
      <c r="E59" s="430" t="s">
        <v>121</v>
      </c>
      <c r="F59" s="431" t="s">
        <v>122</v>
      </c>
      <c r="K59" s="331">
        <v>2041</v>
      </c>
      <c r="L59" s="368">
        <v>0</v>
      </c>
      <c r="M59" s="516">
        <v>0</v>
      </c>
    </row>
    <row r="60" spans="5:13" ht="15.75" thickBot="1" x14ac:dyDescent="0.3">
      <c r="E60" s="365">
        <f t="array" ref="E60:F60">LINEST(M39:M57,J39:J57^{1})</f>
        <v>-2.8842105263157882E-3</v>
      </c>
      <c r="F60" s="367">
        <v>5.7684210526315789E-2</v>
      </c>
      <c r="K60" s="331">
        <v>2042</v>
      </c>
      <c r="L60" s="368">
        <v>0</v>
      </c>
      <c r="M60" s="516">
        <v>0</v>
      </c>
    </row>
    <row r="61" spans="5:13" x14ac:dyDescent="0.25">
      <c r="K61" s="331">
        <v>2043</v>
      </c>
      <c r="L61" s="368">
        <v>0</v>
      </c>
      <c r="M61" s="516">
        <v>0</v>
      </c>
    </row>
    <row r="62" spans="5:13" x14ac:dyDescent="0.25">
      <c r="K62" s="331">
        <v>2044</v>
      </c>
      <c r="L62" s="368">
        <v>0</v>
      </c>
      <c r="M62" s="516">
        <v>0</v>
      </c>
    </row>
    <row r="63" spans="5:13" ht="15.75" thickBot="1" x14ac:dyDescent="0.3">
      <c r="K63" s="332">
        <v>2045</v>
      </c>
      <c r="L63" s="369">
        <v>0</v>
      </c>
      <c r="M63" s="517">
        <v>0</v>
      </c>
    </row>
    <row r="64" spans="5:13" x14ac:dyDescent="0.25">
      <c r="L64" s="23"/>
      <c r="M64" s="23"/>
    </row>
    <row r="65" spans="12:13" x14ac:dyDescent="0.25">
      <c r="L65" s="23"/>
      <c r="M65" s="23"/>
    </row>
  </sheetData>
  <sheetProtection algorithmName="SHA-512" hashValue="OQQB1mRkycRCklJ8zqNc5ydAN/mThviBM+ynskMSSda96GRS8l3dXpUq+hagWwhOEZRhu8swSStVtKgfg9tyGw==" saltValue="aiMiBDciADDtd/p6VBKTkA==" spinCount="100000" sheet="1" objects="1" scenarios="1"/>
  <mergeCells count="4">
    <mergeCell ref="K7:L8"/>
    <mergeCell ref="R22:S22"/>
    <mergeCell ref="E54:F54"/>
    <mergeCell ref="E58:F58"/>
  </mergeCells>
  <hyperlinks>
    <hyperlink ref="B6" r:id="rId1" xr:uid="{37965EAB-CB4C-4699-8EB0-DABFF9A84772}"/>
  </hyperlinks>
  <pageMargins left="0.7" right="0.7" top="0.75" bottom="0.75" header="0.3" footer="0.3"/>
  <pageSetup paperSize="17" scale="47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2AF3B-AFDA-4409-BA89-CC630BA580FE}">
  <sheetPr>
    <tabColor rgb="FFFFFF00"/>
    <pageSetUpPr fitToPage="1"/>
  </sheetPr>
  <dimension ref="A1:O110"/>
  <sheetViews>
    <sheetView zoomScaleNormal="100" workbookViewId="0">
      <selection activeCell="S16" sqref="S16"/>
    </sheetView>
  </sheetViews>
  <sheetFormatPr defaultRowHeight="15" x14ac:dyDescent="0.25"/>
  <cols>
    <col min="2" max="2" width="31" customWidth="1"/>
    <col min="3" max="3" width="17.7109375" customWidth="1"/>
    <col min="4" max="4" width="12" customWidth="1"/>
    <col min="5" max="5" width="10.7109375" customWidth="1"/>
    <col min="9" max="9" width="11.28515625" customWidth="1"/>
    <col min="10" max="10" width="15.28515625" customWidth="1"/>
    <col min="11" max="11" width="16.28515625" customWidth="1"/>
    <col min="14" max="14" width="10.7109375" customWidth="1"/>
  </cols>
  <sheetData>
    <row r="1" spans="1:15" x14ac:dyDescent="0.25">
      <c r="A1" s="286" t="str">
        <f>'Benefits Only LCA'!A1</f>
        <v>Syracuse District Energy</v>
      </c>
    </row>
    <row r="2" spans="1:15" x14ac:dyDescent="0.25">
      <c r="A2" s="286"/>
    </row>
    <row r="3" spans="1:15" x14ac:dyDescent="0.25">
      <c r="A3" s="286" t="s">
        <v>400</v>
      </c>
      <c r="I3" s="234" t="s">
        <v>127</v>
      </c>
      <c r="J3" s="234" t="s">
        <v>128</v>
      </c>
    </row>
    <row r="4" spans="1:15" ht="15.75" thickBot="1" x14ac:dyDescent="0.3">
      <c r="D4" s="23" t="s">
        <v>129</v>
      </c>
      <c r="E4" s="23" t="s">
        <v>130</v>
      </c>
    </row>
    <row r="5" spans="1:15" ht="15.75" thickBot="1" x14ac:dyDescent="0.3">
      <c r="B5" s="249" t="s">
        <v>131</v>
      </c>
      <c r="C5" s="250" t="s">
        <v>132</v>
      </c>
      <c r="D5" s="250" t="s">
        <v>133</v>
      </c>
      <c r="E5" s="250" t="s">
        <v>133</v>
      </c>
      <c r="F5" s="250" t="s">
        <v>134</v>
      </c>
      <c r="G5" s="251" t="s">
        <v>135</v>
      </c>
      <c r="I5" s="249" t="s">
        <v>136</v>
      </c>
      <c r="J5" s="250" t="s">
        <v>137</v>
      </c>
      <c r="K5" s="250" t="s">
        <v>138</v>
      </c>
      <c r="L5" s="250" t="s">
        <v>139</v>
      </c>
      <c r="M5" s="250" t="s">
        <v>140</v>
      </c>
      <c r="N5" s="250" t="s">
        <v>141</v>
      </c>
      <c r="O5" s="251" t="s">
        <v>142</v>
      </c>
    </row>
    <row r="6" spans="1:15" x14ac:dyDescent="0.25">
      <c r="B6" s="238" t="str">
        <f>'[2]Bldg Info, Cost Est'!A6</f>
        <v>Phase A</v>
      </c>
      <c r="C6" s="239">
        <f>'[2]Bldg Info, Cost Est'!C6</f>
        <v>0</v>
      </c>
      <c r="D6" s="239">
        <f>'[2]Bldg Info, Cost Est'!M6</f>
        <v>0</v>
      </c>
      <c r="E6" s="239">
        <f t="array" ref="E6:E54">TRANSPOSE('[4]Cooling Profiles'!$E$20:$BA$20)</f>
        <v>4226.6591934511625</v>
      </c>
      <c r="F6" s="240" t="e">
        <f>D6*1000/C6</f>
        <v>#DIV/0!</v>
      </c>
      <c r="G6" s="241" t="e">
        <f>E6*1000/C6</f>
        <v>#DIV/0!</v>
      </c>
      <c r="H6" t="s">
        <v>395</v>
      </c>
      <c r="I6" s="245">
        <f>'[5]Bldg Info, Cost Est'!L6</f>
        <v>2.3880636687810664</v>
      </c>
      <c r="J6" s="239">
        <f>I6*1000</f>
        <v>2388.0636687810666</v>
      </c>
      <c r="K6" s="246"/>
      <c r="L6" s="246"/>
      <c r="M6" s="247">
        <f>'[5]Bldg Info, Cost Est'!E6</f>
        <v>309.74201782356636</v>
      </c>
      <c r="N6" s="246"/>
      <c r="O6" s="248"/>
    </row>
    <row r="7" spans="1:15" x14ac:dyDescent="0.25">
      <c r="B7" s="145" t="str">
        <f>'[2]Bldg Info, Cost Est'!A7</f>
        <v>Barclay Damon</v>
      </c>
      <c r="C7" s="142">
        <f>'[2]Bldg Info, Cost Est'!C7</f>
        <v>330000</v>
      </c>
      <c r="D7" s="142">
        <f>'[2]Bldg Info, Cost Est'!M7</f>
        <v>1460.7472524645293</v>
      </c>
      <c r="E7" s="142">
        <v>2177.3698875354476</v>
      </c>
      <c r="F7" s="143">
        <f t="shared" ref="F7:F53" si="0">D7*1000/C7</f>
        <v>4.4265068256500886</v>
      </c>
      <c r="G7" s="146">
        <f t="shared" ref="G7:G53" si="1">E7*1000/C7</f>
        <v>6.5980905682892352</v>
      </c>
      <c r="H7" t="s">
        <v>396</v>
      </c>
      <c r="I7" s="236">
        <f>'[5]Bldg Info, Cost Est'!L7</f>
        <v>1.2302146172508523</v>
      </c>
      <c r="J7" s="142">
        <f t="shared" ref="J7:J54" si="2">I7*1000</f>
        <v>1230.2146172508524</v>
      </c>
      <c r="K7" s="144"/>
      <c r="L7" s="144"/>
      <c r="M7" s="235">
        <f>'[5]Bldg Info, Cost Est'!E7</f>
        <v>159.56406978789781</v>
      </c>
      <c r="N7" s="144"/>
      <c r="O7" s="237"/>
    </row>
    <row r="8" spans="1:15" x14ac:dyDescent="0.25">
      <c r="B8" s="145" t="str">
        <f>'[2]Bldg Info, Cost Est'!A8</f>
        <v>State Tower</v>
      </c>
      <c r="C8" s="142">
        <f>'[2]Bldg Info, Cost Est'!C8</f>
        <v>1200000</v>
      </c>
      <c r="D8" s="142">
        <f>'[2]Bldg Info, Cost Est'!M8</f>
        <v>5311.8081907800733</v>
      </c>
      <c r="E8" s="142">
        <v>15369.669794367932</v>
      </c>
      <c r="F8" s="143">
        <f t="shared" si="0"/>
        <v>4.426506825650061</v>
      </c>
      <c r="G8" s="146">
        <f t="shared" si="1"/>
        <v>12.808058161973277</v>
      </c>
      <c r="H8" t="s">
        <v>395</v>
      </c>
      <c r="I8" s="236">
        <f>'[5]Bldg Info, Cost Est'!L8</f>
        <v>8.683867886476607</v>
      </c>
      <c r="J8" s="142">
        <f t="shared" si="2"/>
        <v>8683.8678864766061</v>
      </c>
      <c r="K8" s="144"/>
      <c r="L8" s="144"/>
      <c r="M8" s="235">
        <f>'[5]Bldg Info, Cost Est'!E8</f>
        <v>1126.3346102675141</v>
      </c>
      <c r="N8" s="144"/>
      <c r="O8" s="237"/>
    </row>
    <row r="9" spans="1:15" x14ac:dyDescent="0.25">
      <c r="B9" s="145" t="str">
        <f>'[2]Bldg Info, Cost Est'!A9</f>
        <v>Courtyard Marriott</v>
      </c>
      <c r="C9" s="142">
        <f>'[2]Bldg Info, Cost Est'!C9</f>
        <v>40000</v>
      </c>
      <c r="D9" s="142">
        <f>'[2]Bldg Info, Cost Est'!M9</f>
        <v>1420.0590428715707</v>
      </c>
      <c r="E9" s="142">
        <v>632.77000837053902</v>
      </c>
      <c r="F9" s="143">
        <f t="shared" si="0"/>
        <v>35.50147607178927</v>
      </c>
      <c r="G9" s="146">
        <f t="shared" si="1"/>
        <v>15.819250209263476</v>
      </c>
      <c r="H9" t="s">
        <v>395</v>
      </c>
      <c r="I9" s="236">
        <f>'[5]Bldg Info, Cost Est'!L9</f>
        <v>0.98565213472835578</v>
      </c>
      <c r="J9" s="142">
        <f t="shared" si="2"/>
        <v>985.6521347283558</v>
      </c>
      <c r="K9" s="144"/>
      <c r="L9" s="144"/>
      <c r="M9" s="235">
        <f>'[5]Bldg Info, Cost Est'!E9</f>
        <v>70.543561676757918</v>
      </c>
      <c r="N9" s="144"/>
      <c r="O9" s="237"/>
    </row>
    <row r="10" spans="1:15" x14ac:dyDescent="0.25">
      <c r="B10" s="145" t="str">
        <f>'[2]Bldg Info, Cost Est'!A10</f>
        <v>US Social Security Admin</v>
      </c>
      <c r="C10" s="142">
        <f>'[2]Bldg Info, Cost Est'!C10</f>
        <v>287000</v>
      </c>
      <c r="D10" s="142">
        <f>'[2]Bldg Info, Cost Est'!M10</f>
        <v>1270.4074589615693</v>
      </c>
      <c r="E10" s="142">
        <v>3675.9126924863263</v>
      </c>
      <c r="F10" s="143">
        <f t="shared" si="0"/>
        <v>4.4265068256500673</v>
      </c>
      <c r="G10" s="146">
        <f t="shared" si="1"/>
        <v>12.808058161973262</v>
      </c>
      <c r="H10" t="s">
        <v>395</v>
      </c>
      <c r="I10" s="236">
        <f>'[5]Bldg Info, Cost Est'!L10</f>
        <v>2.0768917361823216</v>
      </c>
      <c r="J10" s="142">
        <f t="shared" si="2"/>
        <v>2076.8917361823214</v>
      </c>
      <c r="K10" s="144"/>
      <c r="L10" s="144"/>
      <c r="M10" s="235">
        <f>'[5]Bldg Info, Cost Est'!E10</f>
        <v>269.38169428898044</v>
      </c>
      <c r="N10" s="144"/>
      <c r="O10" s="237"/>
    </row>
    <row r="11" spans="1:15" x14ac:dyDescent="0.25">
      <c r="B11" s="145" t="str">
        <f>'[2]Bldg Info, Cost Est'!A11</f>
        <v>M&amp;T Bank</v>
      </c>
      <c r="C11" s="142">
        <f>'[2]Bldg Info, Cost Est'!C11</f>
        <v>365000</v>
      </c>
      <c r="D11" s="142">
        <f>'[2]Bldg Info, Cost Est'!M11</f>
        <v>1615.6749913622746</v>
      </c>
      <c r="E11" s="142">
        <v>4674.9412291202343</v>
      </c>
      <c r="F11" s="143">
        <f t="shared" si="0"/>
        <v>4.4265068256500673</v>
      </c>
      <c r="G11" s="146">
        <f t="shared" si="1"/>
        <v>12.808058161973245</v>
      </c>
      <c r="H11" t="s">
        <v>395</v>
      </c>
      <c r="I11" s="236">
        <f>'[5]Bldg Info, Cost Est'!L11</f>
        <v>2.6413431488033008</v>
      </c>
      <c r="J11" s="142">
        <f t="shared" si="2"/>
        <v>2641.3431488033007</v>
      </c>
      <c r="K11" s="144"/>
      <c r="L11" s="144"/>
      <c r="M11" s="235">
        <f>'[5]Bldg Info, Cost Est'!E11</f>
        <v>342.59344395636884</v>
      </c>
      <c r="N11" s="144"/>
      <c r="O11" s="237"/>
    </row>
    <row r="12" spans="1:15" x14ac:dyDescent="0.25">
      <c r="B12" s="145" t="str">
        <f>'[2]Bldg Info, Cost Est'!A12</f>
        <v>State Office Building</v>
      </c>
      <c r="C12" s="142">
        <f>'[2]Bldg Info, Cost Est'!C12</f>
        <v>360000</v>
      </c>
      <c r="D12" s="142">
        <f>'[2]Bldg Info, Cost Est'!M12</f>
        <v>1593.5424572340228</v>
      </c>
      <c r="E12" s="142">
        <v>4610.9009383103521</v>
      </c>
      <c r="F12" s="143">
        <f t="shared" si="0"/>
        <v>4.4265068256500628</v>
      </c>
      <c r="G12" s="146">
        <f t="shared" si="1"/>
        <v>12.8080581619732</v>
      </c>
      <c r="H12" t="s">
        <v>395</v>
      </c>
      <c r="I12" s="236">
        <f>'[5]Bldg Info, Cost Est'!L12</f>
        <v>2.6051603659429814</v>
      </c>
      <c r="J12" s="142">
        <f t="shared" si="2"/>
        <v>2605.1603659429816</v>
      </c>
      <c r="K12" s="144"/>
      <c r="L12" s="144"/>
      <c r="M12" s="235">
        <f>'[5]Bldg Info, Cost Est'!E12</f>
        <v>337.90038308025419</v>
      </c>
      <c r="N12" s="144"/>
      <c r="O12" s="237"/>
    </row>
    <row r="13" spans="1:15" x14ac:dyDescent="0.25">
      <c r="B13" s="145" t="str">
        <f>'[2]Bldg Info, Cost Est'!A13</f>
        <v>SU-Warehouse</v>
      </c>
      <c r="C13" s="142">
        <f>'[2]Bldg Info, Cost Est'!C13</f>
        <v>72000</v>
      </c>
      <c r="D13" s="142">
        <f>'[2]Bldg Info, Cost Est'!M13</f>
        <v>1054.1905752366083</v>
      </c>
      <c r="E13" s="142">
        <v>1610.7961069050662</v>
      </c>
      <c r="F13" s="143">
        <f t="shared" si="0"/>
        <v>14.641535767175116</v>
      </c>
      <c r="G13" s="146">
        <f t="shared" si="1"/>
        <v>22.372168151459253</v>
      </c>
      <c r="H13" t="s">
        <v>395</v>
      </c>
      <c r="I13" s="236">
        <f>'[5]Bldg Info, Cost Est'!L13</f>
        <v>0.94720560570913559</v>
      </c>
      <c r="J13" s="142">
        <f t="shared" si="2"/>
        <v>947.20560570913563</v>
      </c>
      <c r="K13" s="144"/>
      <c r="L13" s="144"/>
      <c r="M13" s="235">
        <f>'[5]Bldg Info, Cost Est'!E13</f>
        <v>148.43999434106257</v>
      </c>
      <c r="N13" s="144"/>
      <c r="O13" s="237"/>
    </row>
    <row r="14" spans="1:15" x14ac:dyDescent="0.25">
      <c r="B14" s="145" t="str">
        <f>'[2]Bldg Info, Cost Est'!A14</f>
        <v>300 S State St</v>
      </c>
      <c r="C14" s="142">
        <f>'[2]Bldg Info, Cost Est'!C14</f>
        <v>252910</v>
      </c>
      <c r="D14" s="142">
        <f>'[2]Bldg Info, Cost Est'!M14</f>
        <v>1119.5078412751584</v>
      </c>
      <c r="E14" s="142">
        <v>3239.2859897446465</v>
      </c>
      <c r="F14" s="143">
        <f t="shared" si="0"/>
        <v>4.4265068256500664</v>
      </c>
      <c r="G14" s="146">
        <f t="shared" si="1"/>
        <v>12.808058161973218</v>
      </c>
      <c r="H14" t="s">
        <v>395</v>
      </c>
      <c r="I14" s="236">
        <f>'[5]Bldg Info, Cost Est'!L14</f>
        <v>1.830197522640665</v>
      </c>
      <c r="J14" s="142">
        <f t="shared" si="2"/>
        <v>1830.1975226406651</v>
      </c>
      <c r="K14" s="144"/>
      <c r="L14" s="144"/>
      <c r="M14" s="235">
        <f>'[5]Bldg Info, Cost Est'!E14</f>
        <v>237.38440523563079</v>
      </c>
      <c r="N14" s="144"/>
      <c r="O14" s="237"/>
    </row>
    <row r="15" spans="1:15" x14ac:dyDescent="0.25">
      <c r="B15" s="145" t="str">
        <f>'[2]Bldg Info, Cost Est'!A15</f>
        <v>Key Bank Building</v>
      </c>
      <c r="C15" s="142">
        <f>'[2]Bldg Info, Cost Est'!C15</f>
        <v>132000</v>
      </c>
      <c r="D15" s="142">
        <f>'[2]Bldg Info, Cost Est'!M15</f>
        <v>584.29890098580984</v>
      </c>
      <c r="E15" s="142">
        <v>1690.6636773804696</v>
      </c>
      <c r="F15" s="143">
        <f>D15*1000/C15</f>
        <v>4.4265068256500744</v>
      </c>
      <c r="G15" s="146">
        <f t="shared" si="1"/>
        <v>12.808058161973255</v>
      </c>
      <c r="H15" t="s">
        <v>395</v>
      </c>
      <c r="I15" s="236">
        <f>'[5]Bldg Info, Cost Est'!L15</f>
        <v>0.95522546751242643</v>
      </c>
      <c r="J15" s="142">
        <f t="shared" si="2"/>
        <v>955.22546751242646</v>
      </c>
      <c r="K15" s="144"/>
      <c r="L15" s="144"/>
      <c r="M15" s="235">
        <f>'[5]Bldg Info, Cost Est'!E15</f>
        <v>123.89680712942653</v>
      </c>
      <c r="N15" s="144"/>
      <c r="O15" s="237"/>
    </row>
    <row r="16" spans="1:15" x14ac:dyDescent="0.25">
      <c r="B16" s="145" t="str">
        <f>'[2]Bldg Info, Cost Est'!A16</f>
        <v>100 East Washington St</v>
      </c>
      <c r="C16" s="142">
        <f>'[2]Bldg Info, Cost Est'!C16</f>
        <v>50000</v>
      </c>
      <c r="D16" s="142">
        <f>'[2]Bldg Info, Cost Est'!M16</f>
        <v>1189.2120766056512</v>
      </c>
      <c r="E16" s="142">
        <v>373.01186986927445</v>
      </c>
      <c r="F16" s="143">
        <f t="shared" si="0"/>
        <v>23.784241532113025</v>
      </c>
      <c r="G16" s="146">
        <f t="shared" si="1"/>
        <v>7.4602373973854883</v>
      </c>
      <c r="H16" t="s">
        <v>395</v>
      </c>
      <c r="I16" s="236">
        <f>'[5]Bldg Info, Cost Est'!L16</f>
        <v>1.2263210130885605</v>
      </c>
      <c r="J16" s="142">
        <f t="shared" si="2"/>
        <v>1226.3210130885604</v>
      </c>
      <c r="K16" s="144"/>
      <c r="L16" s="144"/>
      <c r="M16" s="235">
        <f>'[5]Bldg Info, Cost Est'!E16</f>
        <v>82.682316973797143</v>
      </c>
      <c r="N16" s="144"/>
      <c r="O16" s="237"/>
    </row>
    <row r="17" spans="2:15" x14ac:dyDescent="0.25">
      <c r="B17" s="145" t="str">
        <f>'[2]Bldg Info, Cost Est'!A17</f>
        <v>Ramboll</v>
      </c>
      <c r="C17" s="142">
        <f>'[2]Bldg Info, Cost Est'!C17</f>
        <v>137000</v>
      </c>
      <c r="D17" s="142">
        <f>'[2]Bldg Info, Cost Est'!M17</f>
        <v>606.43143511405663</v>
      </c>
      <c r="E17" s="142">
        <v>1754.7039681903398</v>
      </c>
      <c r="F17" s="143">
        <f t="shared" si="0"/>
        <v>4.4265068256500477</v>
      </c>
      <c r="G17" s="146">
        <f t="shared" si="1"/>
        <v>12.808058161973284</v>
      </c>
      <c r="H17" t="s">
        <v>395</v>
      </c>
      <c r="I17" s="236">
        <f>'[5]Bldg Info, Cost Est'!L17</f>
        <v>0.99140825037274571</v>
      </c>
      <c r="J17" s="142">
        <f t="shared" si="2"/>
        <v>991.40825037274567</v>
      </c>
      <c r="K17" s="144"/>
      <c r="L17" s="144"/>
      <c r="M17" s="235">
        <f>'[5]Bldg Info, Cost Est'!E17</f>
        <v>128.58986800554118</v>
      </c>
      <c r="N17" s="144"/>
      <c r="O17" s="237"/>
    </row>
    <row r="18" spans="2:15" x14ac:dyDescent="0.25">
      <c r="B18" s="145" t="str">
        <f>'[2]Bldg Info, Cost Est'!A18</f>
        <v>City Hall</v>
      </c>
      <c r="C18" s="142">
        <f>'[2]Bldg Info, Cost Est'!C18</f>
        <v>84555</v>
      </c>
      <c r="D18" s="142">
        <f>'[2]Bldg Info, Cost Est'!M18</f>
        <v>1238.0150567934909</v>
      </c>
      <c r="E18" s="142">
        <v>1891.6786780466346</v>
      </c>
      <c r="F18" s="143">
        <f t="shared" si="0"/>
        <v>14.641535767175103</v>
      </c>
      <c r="G18" s="146">
        <f t="shared" si="1"/>
        <v>22.372168151459224</v>
      </c>
      <c r="H18" t="s">
        <v>395</v>
      </c>
      <c r="I18" s="236">
        <f>'[5]Bldg Info, Cost Est'!L18</f>
        <v>1.1123745832046661</v>
      </c>
      <c r="J18" s="142">
        <f t="shared" si="2"/>
        <v>1112.3745832046661</v>
      </c>
      <c r="K18" s="144"/>
      <c r="L18" s="144"/>
      <c r="M18" s="235">
        <f>'[5]Bldg Info, Cost Est'!E18</f>
        <v>174.32421835428534</v>
      </c>
      <c r="N18" s="144"/>
      <c r="O18" s="237"/>
    </row>
    <row r="19" spans="2:15" x14ac:dyDescent="0.25">
      <c r="B19" s="145" t="str">
        <f>'[2]Bldg Info, Cost Est'!A19</f>
        <v>1 Lincoln Center</v>
      </c>
      <c r="C19" s="142">
        <f>'[2]Bldg Info, Cost Est'!C19</f>
        <v>367500</v>
      </c>
      <c r="D19" s="142">
        <f>'[2]Bldg Info, Cost Est'!M19</f>
        <v>1626.7412584263961</v>
      </c>
      <c r="E19" s="142">
        <v>4706.9613745251499</v>
      </c>
      <c r="F19" s="143">
        <f t="shared" si="0"/>
        <v>4.4265068256500575</v>
      </c>
      <c r="G19" s="146">
        <f t="shared" si="1"/>
        <v>12.808058161973198</v>
      </c>
      <c r="H19" t="s">
        <v>395</v>
      </c>
      <c r="I19" s="236">
        <f>'[5]Bldg Info, Cost Est'!L19</f>
        <v>2.6594345402334607</v>
      </c>
      <c r="J19" s="142">
        <f t="shared" si="2"/>
        <v>2659.4345402334607</v>
      </c>
      <c r="K19" s="144"/>
      <c r="L19" s="144"/>
      <c r="M19" s="235">
        <f>'[5]Bldg Info, Cost Est'!E19</f>
        <v>344.9399743944262</v>
      </c>
      <c r="N19" s="144"/>
      <c r="O19" s="237"/>
    </row>
    <row r="20" spans="2:15" x14ac:dyDescent="0.25">
      <c r="B20" s="145" t="str">
        <f>'[2]Bldg Info, Cost Est'!A20</f>
        <v>SUNY Oswego MetroCenter</v>
      </c>
      <c r="C20" s="142">
        <f>'[2]Bldg Info, Cost Est'!C20</f>
        <v>185530</v>
      </c>
      <c r="D20" s="142">
        <f>'[2]Bldg Info, Cost Est'!M20</f>
        <v>821.24981136285749</v>
      </c>
      <c r="E20" s="142">
        <v>2376.2790307909022</v>
      </c>
      <c r="F20" s="143">
        <f t="shared" si="0"/>
        <v>4.4265068256500699</v>
      </c>
      <c r="G20" s="146">
        <f t="shared" si="1"/>
        <v>12.808058161973278</v>
      </c>
      <c r="H20" t="s">
        <v>395</v>
      </c>
      <c r="I20" s="236">
        <f>'[5]Bldg Info, Cost Est'!L20</f>
        <v>1.3425983408150037</v>
      </c>
      <c r="J20" s="142">
        <f t="shared" si="2"/>
        <v>1342.5983408150037</v>
      </c>
      <c r="K20" s="144"/>
      <c r="L20" s="144"/>
      <c r="M20" s="235">
        <f>'[5]Bldg Info, Cost Est'!E20</f>
        <v>174.14071686910987</v>
      </c>
      <c r="N20" s="144"/>
      <c r="O20" s="237"/>
    </row>
    <row r="21" spans="2:15" x14ac:dyDescent="0.25">
      <c r="B21" s="145" t="str">
        <f>'[2]Bldg Info, Cost Est'!A21</f>
        <v>217 Montgomery St</v>
      </c>
      <c r="C21" s="142">
        <f>'[2]Bldg Info, Cost Est'!C21</f>
        <v>50000</v>
      </c>
      <c r="D21" s="142">
        <f>'[2]Bldg Info, Cost Est'!M21</f>
        <v>732.07678835875299</v>
      </c>
      <c r="E21" s="142">
        <v>1118.6084075729582</v>
      </c>
      <c r="F21" s="143">
        <f t="shared" si="0"/>
        <v>14.641535767175059</v>
      </c>
      <c r="G21" s="146">
        <f t="shared" si="1"/>
        <v>22.372168151459164</v>
      </c>
      <c r="H21" t="s">
        <v>395</v>
      </c>
      <c r="I21" s="236">
        <f>'[5]Bldg Info, Cost Est'!L21</f>
        <v>0.65778167063134407</v>
      </c>
      <c r="J21" s="142">
        <f t="shared" si="2"/>
        <v>657.78167063134413</v>
      </c>
      <c r="K21" s="144"/>
      <c r="L21" s="144"/>
      <c r="M21" s="235">
        <f>'[5]Bldg Info, Cost Est'!E21</f>
        <v>103.08332940351566</v>
      </c>
      <c r="N21" s="144"/>
      <c r="O21" s="237"/>
    </row>
    <row r="22" spans="2:15" x14ac:dyDescent="0.25">
      <c r="B22" s="145" t="str">
        <f>'[2]Bldg Info, Cost Est'!A22</f>
        <v>City Hall Commons</v>
      </c>
      <c r="C22" s="142">
        <f>'[2]Bldg Info, Cost Est'!C22</f>
        <v>52957</v>
      </c>
      <c r="D22" s="142">
        <f>'[2]Bldg Info, Cost Est'!M22</f>
        <v>775.37180962229138</v>
      </c>
      <c r="E22" s="142">
        <v>1184.7629087968262</v>
      </c>
      <c r="F22" s="143">
        <f t="shared" si="0"/>
        <v>14.641535767175093</v>
      </c>
      <c r="G22" s="146">
        <f t="shared" si="1"/>
        <v>22.372168151459224</v>
      </c>
      <c r="H22" t="s">
        <v>395</v>
      </c>
      <c r="I22" s="236">
        <f>'[5]Bldg Info, Cost Est'!L22</f>
        <v>0.69668287863248179</v>
      </c>
      <c r="J22" s="142">
        <f t="shared" si="2"/>
        <v>696.68287863248179</v>
      </c>
      <c r="K22" s="144"/>
      <c r="L22" s="144"/>
      <c r="M22" s="235">
        <f>'[5]Bldg Info, Cost Est'!E22</f>
        <v>109.1796775044396</v>
      </c>
      <c r="N22" s="144"/>
      <c r="O22" s="237"/>
    </row>
    <row r="23" spans="2:15" x14ac:dyDescent="0.25">
      <c r="B23" s="145" t="str">
        <f>'[2]Bldg Info, Cost Est'!A23</f>
        <v>Salinas Place</v>
      </c>
      <c r="C23" s="142">
        <f>'[2]Bldg Info, Cost Est'!C23</f>
        <v>50000</v>
      </c>
      <c r="D23" s="142">
        <f>'[2]Bldg Info, Cost Est'!M23</f>
        <v>903.42808484364286</v>
      </c>
      <c r="E23" s="142">
        <v>553.52285549006717</v>
      </c>
      <c r="F23" s="143">
        <f t="shared" si="0"/>
        <v>18.068561696872859</v>
      </c>
      <c r="G23" s="146">
        <f t="shared" si="1"/>
        <v>11.070457109801342</v>
      </c>
      <c r="H23" t="s">
        <v>395</v>
      </c>
      <c r="I23" s="236">
        <f>'[5]Bldg Info, Cost Est'!L23</f>
        <v>0.74825658144755836</v>
      </c>
      <c r="J23" s="142">
        <f t="shared" si="2"/>
        <v>748.25658144755835</v>
      </c>
      <c r="K23" s="144"/>
      <c r="L23" s="144"/>
      <c r="M23" s="235">
        <f>'[5]Bldg Info, Cost Est'!E23</f>
        <v>74.878416893260535</v>
      </c>
      <c r="N23" s="144"/>
      <c r="O23" s="237"/>
    </row>
    <row r="24" spans="2:15" x14ac:dyDescent="0.25">
      <c r="B24" s="145" t="str">
        <f>'[2]Bldg Info, Cost Est'!A24</f>
        <v>SU-Peck Hall</v>
      </c>
      <c r="C24" s="142">
        <f>'[2]Bldg Info, Cost Est'!C24</f>
        <v>25920</v>
      </c>
      <c r="D24" s="142">
        <f>'[2]Bldg Info, Cost Est'!M24</f>
        <v>379.50860708517894</v>
      </c>
      <c r="E24" s="142">
        <v>8365.9290060632047</v>
      </c>
      <c r="F24" s="143">
        <f t="shared" si="0"/>
        <v>14.641535767175114</v>
      </c>
      <c r="G24" s="146">
        <f t="shared" si="1"/>
        <v>322.75960671540139</v>
      </c>
      <c r="H24" t="s">
        <v>396</v>
      </c>
      <c r="I24" s="236">
        <f>'[5]Bldg Info, Cost Est'!L24</f>
        <v>4.7267523120709409</v>
      </c>
      <c r="J24" s="142">
        <f t="shared" si="2"/>
        <v>4726.7523120709411</v>
      </c>
      <c r="K24" s="144"/>
      <c r="L24" s="144"/>
      <c r="M24" s="235">
        <f>'[5]Bldg Info, Cost Est'!E24</f>
        <v>613.07988477558661</v>
      </c>
      <c r="N24" s="144"/>
      <c r="O24" s="237"/>
    </row>
    <row r="25" spans="2:15" x14ac:dyDescent="0.25">
      <c r="B25" s="145" t="str">
        <f>'[2]Bldg Info, Cost Est'!A25</f>
        <v>Phase B</v>
      </c>
      <c r="C25" s="142">
        <f>'[2]Bldg Info, Cost Est'!C25</f>
        <v>0</v>
      </c>
      <c r="D25" s="142">
        <f>'[2]Bldg Info, Cost Est'!M25</f>
        <v>0</v>
      </c>
      <c r="E25" s="142">
        <v>32230.095094324159</v>
      </c>
      <c r="F25" s="143" t="e">
        <f t="shared" si="0"/>
        <v>#DIV/0!</v>
      </c>
      <c r="G25" s="146" t="e">
        <f t="shared" si="1"/>
        <v>#DIV/0!</v>
      </c>
      <c r="H25" t="s">
        <v>396</v>
      </c>
      <c r="I25" s="236">
        <f>'[5]Bldg Info, Cost Est'!L25</f>
        <v>18.210013065488862</v>
      </c>
      <c r="J25" s="142">
        <f t="shared" si="2"/>
        <v>18210.013065488864</v>
      </c>
      <c r="K25" s="144"/>
      <c r="L25" s="144"/>
      <c r="M25" s="235">
        <f>'[5]Bldg Info, Cost Est'!E25</f>
        <v>2361.9161688335748</v>
      </c>
      <c r="N25" s="144"/>
      <c r="O25" s="237"/>
    </row>
    <row r="26" spans="2:15" x14ac:dyDescent="0.25">
      <c r="B26" s="145" t="str">
        <f>'[2]Bldg Info, Cost Est'!A26</f>
        <v>Atrium</v>
      </c>
      <c r="C26" s="142">
        <f>'[2]Bldg Info, Cost Est'!C26</f>
        <v>170000</v>
      </c>
      <c r="D26" s="142">
        <f>'[2]Bldg Info, Cost Est'!M26</f>
        <v>752.50616036051213</v>
      </c>
      <c r="E26" s="142">
        <v>11389.860150669696</v>
      </c>
      <c r="F26" s="143">
        <f t="shared" si="0"/>
        <v>4.4265068256500708</v>
      </c>
      <c r="G26" s="146">
        <f t="shared" si="1"/>
        <v>66.999177356880566</v>
      </c>
      <c r="H26" t="s">
        <v>396</v>
      </c>
      <c r="I26" s="236">
        <f>'[5]Bldg Info, Cost Est'!L26</f>
        <v>17.741738425110402</v>
      </c>
      <c r="J26" s="142">
        <f t="shared" si="2"/>
        <v>17741.738425110401</v>
      </c>
      <c r="K26" s="144"/>
      <c r="L26" s="144"/>
      <c r="M26" s="235">
        <f>'[5]Bldg Info, Cost Est'!E26</f>
        <v>1269.7841101816423</v>
      </c>
      <c r="N26" s="144"/>
      <c r="O26" s="237"/>
    </row>
    <row r="27" spans="2:15" x14ac:dyDescent="0.25">
      <c r="B27" s="145" t="str">
        <f>'[2]Bldg Info, Cost Est'!A27</f>
        <v>AXA Towers</v>
      </c>
      <c r="C27" s="142">
        <f>'[2]Bldg Info, Cost Est'!C27</f>
        <v>653177</v>
      </c>
      <c r="D27" s="142">
        <f>'[2]Bldg Info, Cost Est'!M27</f>
        <v>2891.2924488576332</v>
      </c>
      <c r="E27" s="142">
        <v>795.33057778437183</v>
      </c>
      <c r="F27" s="143">
        <f t="shared" si="0"/>
        <v>4.4265068256500664</v>
      </c>
      <c r="G27" s="146">
        <f t="shared" si="1"/>
        <v>1.2176340835399468</v>
      </c>
      <c r="H27" t="s">
        <v>396</v>
      </c>
      <c r="I27" s="236">
        <f>'[5]Bldg Info, Cost Est'!L27</f>
        <v>0.46768276781888568</v>
      </c>
      <c r="J27" s="142">
        <f t="shared" si="2"/>
        <v>467.68276781888568</v>
      </c>
      <c r="K27" s="144"/>
      <c r="L27" s="144"/>
      <c r="M27" s="235">
        <f>'[5]Bldg Info, Cost Est'!E27</f>
        <v>73.292247205899642</v>
      </c>
      <c r="N27" s="144"/>
      <c r="O27" s="237"/>
    </row>
    <row r="28" spans="2:15" x14ac:dyDescent="0.25">
      <c r="B28" s="145" t="str">
        <f>'[2]Bldg Info, Cost Est'!A28</f>
        <v>Hotel Syracuse</v>
      </c>
      <c r="C28" s="142">
        <f>'[2]Bldg Info, Cost Est'!C28</f>
        <v>720000</v>
      </c>
      <c r="D28" s="142">
        <f>'[2]Bldg Info, Cost Est'!M28</f>
        <v>25561.062771688245</v>
      </c>
      <c r="E28" s="142">
        <v>485.01216806102047</v>
      </c>
      <c r="F28" s="143">
        <f t="shared" si="0"/>
        <v>35.501476071789227</v>
      </c>
      <c r="G28" s="146">
        <f t="shared" si="1"/>
        <v>0.6736280111958618</v>
      </c>
      <c r="H28" t="s">
        <v>396</v>
      </c>
      <c r="I28" s="236">
        <f>'[5]Bldg Info, Cost Est'!L28</f>
        <v>1.5930978929755228</v>
      </c>
      <c r="J28" s="142">
        <f t="shared" si="2"/>
        <v>1593.0978929755229</v>
      </c>
      <c r="K28" s="144"/>
      <c r="L28" s="144"/>
      <c r="M28" s="235">
        <f>'[5]Bldg Info, Cost Est'!E28</f>
        <v>107.33840173923672</v>
      </c>
      <c r="N28" s="144"/>
      <c r="O28" s="237"/>
    </row>
    <row r="29" spans="2:15" x14ac:dyDescent="0.25">
      <c r="B29" s="145" t="str">
        <f>'[2]Bldg Info, Cost Est'!A29</f>
        <v>Tech Garden</v>
      </c>
      <c r="C29" s="142">
        <f>'[2]Bldg Info, Cost Est'!C29</f>
        <v>35550</v>
      </c>
      <c r="D29" s="142">
        <f>'[2]Bldg Info, Cost Est'!M29</f>
        <v>520.5065965230765</v>
      </c>
      <c r="E29" s="142">
        <v>2305.4504691551761</v>
      </c>
      <c r="F29" s="143">
        <f t="shared" si="0"/>
        <v>14.641535767175148</v>
      </c>
      <c r="G29" s="146">
        <f t="shared" si="1"/>
        <v>64.850927402395953</v>
      </c>
      <c r="H29" t="s">
        <v>396</v>
      </c>
      <c r="I29" s="236">
        <f>'[5]Bldg Info, Cost Est'!L29</f>
        <v>1.3025801829714907</v>
      </c>
      <c r="J29" s="142">
        <f t="shared" si="2"/>
        <v>1302.5801829714908</v>
      </c>
      <c r="K29" s="144"/>
      <c r="L29" s="144"/>
      <c r="M29" s="235">
        <f>'[5]Bldg Info, Cost Est'!E29</f>
        <v>168.95019154012709</v>
      </c>
      <c r="N29" s="144"/>
      <c r="O29" s="237"/>
    </row>
    <row r="30" spans="2:15" x14ac:dyDescent="0.25">
      <c r="B30" s="145" t="str">
        <f>'[2]Bldg Info, Cost Est'!A30</f>
        <v>Bank of America</v>
      </c>
      <c r="C30" s="142">
        <f>'[2]Bldg Info, Cost Est'!C30</f>
        <v>45000</v>
      </c>
      <c r="D30" s="142">
        <f>'[2]Bldg Info, Cost Est'!M30</f>
        <v>1336.9322198138561</v>
      </c>
      <c r="E30" s="142">
        <v>6547.4793324007142</v>
      </c>
      <c r="F30" s="143">
        <f t="shared" si="0"/>
        <v>29.709604884752356</v>
      </c>
      <c r="G30" s="146">
        <f t="shared" si="1"/>
        <v>145.49954072001586</v>
      </c>
      <c r="H30" t="s">
        <v>396</v>
      </c>
      <c r="I30" s="236">
        <f>'[5]Bldg Info, Cost Est'!L30</f>
        <v>3.699327719639034</v>
      </c>
      <c r="J30" s="142">
        <f t="shared" si="2"/>
        <v>3699.3277196390341</v>
      </c>
      <c r="K30" s="144"/>
      <c r="L30" s="144"/>
      <c r="M30" s="235">
        <f>'[5]Bldg Info, Cost Est'!E30</f>
        <v>479.81854397396097</v>
      </c>
      <c r="N30" s="144"/>
      <c r="O30" s="237"/>
    </row>
    <row r="31" spans="2:15" x14ac:dyDescent="0.25">
      <c r="B31" s="145" t="str">
        <f>'[2]Bldg Info, Cost Est'!A31</f>
        <v>Clinton Exchange</v>
      </c>
      <c r="C31" s="142">
        <f>'[2]Bldg Info, Cost Est'!C31</f>
        <v>180000</v>
      </c>
      <c r="D31" s="142">
        <f>'[2]Bldg Info, Cost Est'!M31</f>
        <v>796.77122861701139</v>
      </c>
      <c r="E31" s="142">
        <v>2292.6424109932036</v>
      </c>
      <c r="F31" s="143">
        <f t="shared" si="0"/>
        <v>4.4265068256500628</v>
      </c>
      <c r="G31" s="146">
        <f t="shared" si="1"/>
        <v>12.736902283295574</v>
      </c>
      <c r="H31" t="s">
        <v>396</v>
      </c>
      <c r="I31" s="236">
        <f>'[5]Bldg Info, Cost Est'!L31</f>
        <v>1.2953436263994269</v>
      </c>
      <c r="J31" s="142">
        <f t="shared" si="2"/>
        <v>1295.343626399427</v>
      </c>
      <c r="K31" s="144"/>
      <c r="L31" s="144"/>
      <c r="M31" s="235">
        <f>'[5]Bldg Info, Cost Est'!E31</f>
        <v>168.01157936490418</v>
      </c>
      <c r="N31" s="144"/>
      <c r="O31" s="237"/>
    </row>
    <row r="32" spans="2:15" x14ac:dyDescent="0.25">
      <c r="B32" s="145" t="str">
        <f>'[2]Bldg Info, Cost Est'!A32</f>
        <v>National Grid</v>
      </c>
      <c r="C32" s="142">
        <f>'[2]Bldg Info, Cost Est'!C32</f>
        <v>511200</v>
      </c>
      <c r="D32" s="142">
        <f>'[2]Bldg Info, Cost Est'!M32</f>
        <v>2262.8302892723168</v>
      </c>
      <c r="E32" s="142">
        <v>2804.9647374721389</v>
      </c>
      <c r="F32" s="143">
        <f t="shared" si="0"/>
        <v>4.4265068256500717</v>
      </c>
      <c r="G32" s="146">
        <f t="shared" si="1"/>
        <v>5.4870202219721023</v>
      </c>
      <c r="H32" t="s">
        <v>396</v>
      </c>
      <c r="I32" s="236">
        <f>'[5]Bldg Info, Cost Est'!L32</f>
        <v>1.5848058892819803</v>
      </c>
      <c r="J32" s="142">
        <f t="shared" si="2"/>
        <v>1584.8058892819804</v>
      </c>
      <c r="K32" s="144"/>
      <c r="L32" s="144"/>
      <c r="M32" s="235">
        <f>'[5]Bldg Info, Cost Est'!E32</f>
        <v>205.5560663738213</v>
      </c>
      <c r="N32" s="144"/>
      <c r="O32" s="237"/>
    </row>
    <row r="33" spans="2:15" x14ac:dyDescent="0.25">
      <c r="B33" s="145" t="str">
        <f>'[2]Bldg Info, Cost Est'!A33</f>
        <v>Post Standard</v>
      </c>
      <c r="C33" s="142">
        <f>'[2]Bldg Info, Cost Est'!C33</f>
        <v>179000</v>
      </c>
      <c r="D33" s="142">
        <f>'[2]Bldg Info, Cost Est'!M33</f>
        <v>792.34472179136185</v>
      </c>
      <c r="E33" s="142">
        <v>1536.9669794367921</v>
      </c>
      <c r="F33" s="143">
        <f t="shared" si="0"/>
        <v>4.4265068256500664</v>
      </c>
      <c r="G33" s="146">
        <f t="shared" si="1"/>
        <v>8.5864077063507942</v>
      </c>
      <c r="H33" t="s">
        <v>396</v>
      </c>
      <c r="I33" s="236">
        <f>'[5]Bldg Info, Cost Est'!L33</f>
        <v>0.8683867886476605</v>
      </c>
      <c r="J33" s="142">
        <f t="shared" si="2"/>
        <v>868.38678864766052</v>
      </c>
      <c r="K33" s="144"/>
      <c r="L33" s="144"/>
      <c r="M33" s="235">
        <f>'[5]Bldg Info, Cost Est'!E33</f>
        <v>112.63346102675139</v>
      </c>
      <c r="N33" s="144"/>
      <c r="O33" s="237"/>
    </row>
    <row r="34" spans="2:15" x14ac:dyDescent="0.25">
      <c r="B34" s="145" t="str">
        <f>'[2]Bldg Info, Cost Est'!A34</f>
        <v>Galleries of Syracuse</v>
      </c>
      <c r="C34" s="142">
        <f>'[2]Bldg Info, Cost Est'!C34</f>
        <v>219000</v>
      </c>
      <c r="D34" s="142">
        <f>'[2]Bldg Info, Cost Est'!M34</f>
        <v>969.4049948173664</v>
      </c>
      <c r="E34" s="142">
        <v>2147.2135826726021</v>
      </c>
      <c r="F34" s="143">
        <f t="shared" si="0"/>
        <v>4.4265068256500744</v>
      </c>
      <c r="G34" s="146">
        <f t="shared" si="1"/>
        <v>9.804628231381745</v>
      </c>
      <c r="H34" t="s">
        <v>396</v>
      </c>
      <c r="I34" s="236">
        <f>'[5]Bldg Info, Cost Est'!L34</f>
        <v>1.2626382280436903</v>
      </c>
      <c r="J34" s="142">
        <f t="shared" si="2"/>
        <v>1262.6382280436903</v>
      </c>
      <c r="K34" s="144"/>
      <c r="L34" s="144"/>
      <c r="M34" s="235">
        <f>'[5]Bldg Info, Cost Est'!E34</f>
        <v>197.87257412322447</v>
      </c>
      <c r="N34" s="144"/>
      <c r="O34" s="237"/>
    </row>
    <row r="35" spans="2:15" x14ac:dyDescent="0.25">
      <c r="B35" s="145" t="str">
        <f>'[2]Bldg Info, Cost Est'!A35</f>
        <v>100 Clinton Sq</v>
      </c>
      <c r="C35" s="142">
        <f>'[2]Bldg Info, Cost Est'!C35</f>
        <v>120000</v>
      </c>
      <c r="D35" s="142">
        <f>'[2]Bldg Info, Cost Est'!M35</f>
        <v>531.18081907800786</v>
      </c>
      <c r="E35" s="142">
        <v>0</v>
      </c>
      <c r="F35" s="143">
        <f t="shared" si="0"/>
        <v>4.4265068256500655</v>
      </c>
      <c r="G35" s="146">
        <f t="shared" si="1"/>
        <v>0</v>
      </c>
      <c r="H35" t="s">
        <v>396</v>
      </c>
      <c r="I35" s="236">
        <f>'[5]Bldg Info, Cost Est'!L35</f>
        <v>13.489165358490565</v>
      </c>
      <c r="J35" s="142">
        <f t="shared" si="2"/>
        <v>13489.165358490565</v>
      </c>
      <c r="K35" s="144"/>
      <c r="L35" s="144"/>
      <c r="M35" s="235">
        <f>'[5]Bldg Info, Cost Est'!E35</f>
        <v>451.04903684478364</v>
      </c>
      <c r="N35" s="144"/>
      <c r="O35" s="237"/>
    </row>
    <row r="36" spans="2:15" x14ac:dyDescent="0.25">
      <c r="B36" s="145" t="str">
        <f>'[2]Bldg Info, Cost Est'!A36</f>
        <v>City of Syr Criminal Court House</v>
      </c>
      <c r="C36" s="142">
        <f>'[2]Bldg Info, Cost Est'!C36</f>
        <v>95977</v>
      </c>
      <c r="D36" s="142">
        <f>'[2]Bldg Info, Cost Est'!M36</f>
        <v>1405.2506783261676</v>
      </c>
      <c r="E36" s="142">
        <v>667.63563583175426</v>
      </c>
      <c r="F36" s="143">
        <f>D36*1000/C36</f>
        <v>14.641535767175132</v>
      </c>
      <c r="G36" s="146">
        <f t="shared" si="1"/>
        <v>6.9562044639002503</v>
      </c>
      <c r="H36" t="s">
        <v>396</v>
      </c>
      <c r="I36" s="236">
        <f>'[5]Bldg Info, Cost Est'!L36</f>
        <v>1.039961567351888</v>
      </c>
      <c r="J36" s="142">
        <f t="shared" si="2"/>
        <v>1039.9615673518881</v>
      </c>
      <c r="K36" s="144"/>
      <c r="L36" s="144"/>
      <c r="M36" s="235">
        <f>'[5]Bldg Info, Cost Est'!E36</f>
        <v>74.430511925147272</v>
      </c>
      <c r="N36" s="144"/>
      <c r="O36" s="237"/>
    </row>
    <row r="37" spans="2:15" x14ac:dyDescent="0.25">
      <c r="B37" s="145" t="str">
        <f>'[2]Bldg Info, Cost Est'!A37</f>
        <v>550 Harrison Building</v>
      </c>
      <c r="C37" s="142">
        <f>'[2]Bldg Info, Cost Est'!C37</f>
        <v>252000</v>
      </c>
      <c r="D37" s="142">
        <f>'[2]Bldg Info, Cost Est'!M37</f>
        <v>9975.4730390661898</v>
      </c>
      <c r="E37" s="142">
        <v>910.54724376438958</v>
      </c>
      <c r="F37" s="143">
        <f t="shared" si="0"/>
        <v>39.585210472484881</v>
      </c>
      <c r="G37" s="146">
        <f t="shared" si="1"/>
        <v>3.6132827133507521</v>
      </c>
      <c r="H37" t="s">
        <v>396</v>
      </c>
      <c r="I37" s="236">
        <f>'[5]Bldg Info, Cost Est'!L37</f>
        <v>0.53543427989391412</v>
      </c>
      <c r="J37" s="142">
        <f t="shared" si="2"/>
        <v>535.43427989391409</v>
      </c>
      <c r="K37" s="144"/>
      <c r="L37" s="144"/>
      <c r="M37" s="235">
        <f>'[5]Bldg Info, Cost Est'!E37</f>
        <v>83.909830134461757</v>
      </c>
      <c r="N37" s="144"/>
      <c r="O37" s="237"/>
    </row>
    <row r="38" spans="2:15" x14ac:dyDescent="0.25">
      <c r="B38" s="145" t="str">
        <f>'[2]Bldg Info, Cost Est'!A38</f>
        <v>Jefferson Clinton Hotel</v>
      </c>
      <c r="C38" s="142">
        <f>'[2]Bldg Info, Cost Est'!C38</f>
        <v>42204</v>
      </c>
      <c r="D38" s="142">
        <f>'[2]Bldg Info, Cost Est'!M38</f>
        <v>1498.3042961337962</v>
      </c>
      <c r="E38" s="142">
        <v>1336.7057107377987</v>
      </c>
      <c r="F38" s="143">
        <f t="shared" si="0"/>
        <v>35.501476071789313</v>
      </c>
      <c r="G38" s="146">
        <f t="shared" si="1"/>
        <v>31.672488644152178</v>
      </c>
      <c r="H38" t="s">
        <v>396</v>
      </c>
      <c r="I38" s="236">
        <f>'[5]Bldg Info, Cost Est'!L38</f>
        <v>4.6146281515176426</v>
      </c>
      <c r="J38" s="142">
        <f t="shared" si="2"/>
        <v>4614.6281515176424</v>
      </c>
      <c r="K38" s="144"/>
      <c r="L38" s="144"/>
      <c r="M38" s="235">
        <f>'[5]Bldg Info, Cost Est'!E38</f>
        <v>307.40376733875297</v>
      </c>
      <c r="N38" s="144"/>
      <c r="O38" s="237"/>
    </row>
    <row r="39" spans="2:15" x14ac:dyDescent="0.25">
      <c r="B39" s="145" t="str">
        <f>'[2]Bldg Info, Cost Est'!A39</f>
        <v>Sky Armory</v>
      </c>
      <c r="C39" s="142">
        <f>'[2]Bldg Info, Cost Est'!C39</f>
        <v>40700</v>
      </c>
      <c r="D39" s="142">
        <f>'[2]Bldg Info, Cost Est'!M39</f>
        <v>595.91050572402867</v>
      </c>
      <c r="E39" s="142">
        <v>894.88672605836632</v>
      </c>
      <c r="F39" s="143">
        <f t="shared" si="0"/>
        <v>14.641535767175151</v>
      </c>
      <c r="G39" s="146">
        <f t="shared" si="1"/>
        <v>21.987388846642908</v>
      </c>
      <c r="H39" t="s">
        <v>396</v>
      </c>
      <c r="I39" s="236">
        <f>'[5]Bldg Info, Cost Est'!L39</f>
        <v>0.5262253365050753</v>
      </c>
      <c r="J39" s="142">
        <f t="shared" si="2"/>
        <v>526.22533650507535</v>
      </c>
      <c r="K39" s="144"/>
      <c r="L39" s="144"/>
      <c r="M39" s="235">
        <f>'[5]Bldg Info, Cost Est'!E39</f>
        <v>82.466663522812539</v>
      </c>
      <c r="N39" s="144"/>
      <c r="O39" s="237"/>
    </row>
    <row r="40" spans="2:15" x14ac:dyDescent="0.25">
      <c r="B40" s="145" t="str">
        <f>'[2]Bldg Info, Cost Est'!A40</f>
        <v>Clinton Plaza</v>
      </c>
      <c r="C40" s="142">
        <f>'[2]Bldg Info, Cost Est'!C40</f>
        <v>254690</v>
      </c>
      <c r="D40" s="142">
        <f>'[2]Bldg Info, Cost Est'!M40</f>
        <v>5051.5212809580171</v>
      </c>
      <c r="E40" s="142">
        <v>820.70061646812803</v>
      </c>
      <c r="F40" s="143">
        <f t="shared" si="0"/>
        <v>19.833999297019975</v>
      </c>
      <c r="G40" s="146">
        <f t="shared" si="1"/>
        <v>3.2223511581456989</v>
      </c>
      <c r="H40" t="s">
        <v>396</v>
      </c>
      <c r="I40" s="236">
        <f>'[5]Bldg Info, Cost Est'!L40</f>
        <v>0.48260125610880461</v>
      </c>
      <c r="J40" s="142">
        <f t="shared" si="2"/>
        <v>482.60125610880459</v>
      </c>
      <c r="K40" s="144"/>
      <c r="L40" s="144"/>
      <c r="M40" s="235">
        <f>'[5]Bldg Info, Cost Est'!E40</f>
        <v>75.630177116771378</v>
      </c>
      <c r="N40" s="144"/>
      <c r="O40" s="237"/>
    </row>
    <row r="41" spans="2:15" x14ac:dyDescent="0.25">
      <c r="B41" s="145" t="str">
        <f>'[2]Bldg Info, Cost Est'!A41</f>
        <v>MOST</v>
      </c>
      <c r="C41" s="142">
        <f>'[2]Bldg Info, Cost Est'!C41</f>
        <v>40000</v>
      </c>
      <c r="D41" s="142">
        <f>'[2]Bldg Info, Cost Est'!M41</f>
        <v>585.66143068700376</v>
      </c>
      <c r="E41" s="142">
        <v>579.88659848582347</v>
      </c>
      <c r="F41" s="143">
        <f t="shared" si="0"/>
        <v>14.641535767175094</v>
      </c>
      <c r="G41" s="146">
        <f t="shared" si="1"/>
        <v>14.497164962145588</v>
      </c>
      <c r="H41" t="s">
        <v>395</v>
      </c>
      <c r="I41" s="236">
        <f>'[5]Bldg Info, Cost Est'!L41</f>
        <v>0.34099401805528878</v>
      </c>
      <c r="J41" s="142">
        <f t="shared" si="2"/>
        <v>340.99401805528879</v>
      </c>
      <c r="K41" s="144"/>
      <c r="L41" s="144"/>
      <c r="M41" s="235">
        <f>'[5]Bldg Info, Cost Est'!E41</f>
        <v>53.438397962782524</v>
      </c>
      <c r="N41" s="144"/>
      <c r="O41" s="237"/>
    </row>
    <row r="42" spans="2:15" x14ac:dyDescent="0.25">
      <c r="B42" s="145" t="str">
        <f>'[2]Bldg Info, Cost Est'!A42</f>
        <v>600 Montgomery St</v>
      </c>
      <c r="C42" s="142">
        <f>'[2]Bldg Info, Cost Est'!C42</f>
        <v>36684</v>
      </c>
      <c r="D42" s="142">
        <f>'[2]Bldg Info, Cost Est'!M42</f>
        <v>537.11009808305255</v>
      </c>
      <c r="E42" s="142">
        <v>3663.1241470979626</v>
      </c>
      <c r="F42" s="143">
        <f t="shared" si="0"/>
        <v>14.641535767175132</v>
      </c>
      <c r="G42" s="146">
        <f t="shared" si="1"/>
        <v>99.856181089792898</v>
      </c>
      <c r="H42" t="s">
        <v>397</v>
      </c>
      <c r="I42" s="236">
        <f>'[5]Bldg Info, Cost Est'!L42</f>
        <v>4.4689339093942806</v>
      </c>
      <c r="J42" s="142">
        <f t="shared" si="2"/>
        <v>4468.9339093942808</v>
      </c>
      <c r="K42" s="144"/>
      <c r="L42" s="144"/>
      <c r="M42" s="235">
        <f>'[5]Bldg Info, Cost Est'!E42</f>
        <v>453.67849427214128</v>
      </c>
      <c r="N42" s="144"/>
      <c r="O42" s="237"/>
    </row>
    <row r="43" spans="2:15" x14ac:dyDescent="0.25">
      <c r="B43" s="145" t="str">
        <f>'[2]Bldg Info, Cost Est'!A43</f>
        <v>Medical Office Bldg</v>
      </c>
      <c r="C43" s="142">
        <f>'[2]Bldg Info, Cost Est'!C43</f>
        <v>25056</v>
      </c>
      <c r="D43" s="142">
        <f>'[2]Bldg Info, Cost Est'!M43</f>
        <v>991.8470335985777</v>
      </c>
      <c r="E43" s="142">
        <v>1757.1305803890682</v>
      </c>
      <c r="F43" s="143">
        <f t="shared" si="0"/>
        <v>39.585210472484746</v>
      </c>
      <c r="G43" s="146">
        <f t="shared" si="1"/>
        <v>70.128136190496022</v>
      </c>
      <c r="H43" t="s">
        <v>397</v>
      </c>
      <c r="I43" s="236">
        <f>'[5]Bldg Info, Cost Est'!L43</f>
        <v>3.2375143137827833</v>
      </c>
      <c r="J43" s="142">
        <f t="shared" si="2"/>
        <v>3237.5143137827831</v>
      </c>
      <c r="K43" s="144"/>
      <c r="L43" s="144"/>
      <c r="M43" s="235">
        <f>'[5]Bldg Info, Cost Est'!E43</f>
        <v>268.2645567750576</v>
      </c>
      <c r="N43" s="144"/>
      <c r="O43" s="237"/>
    </row>
    <row r="44" spans="2:15" x14ac:dyDescent="0.25">
      <c r="B44" s="145" t="str">
        <f>'[2]Bldg Info, Cost Est'!A44</f>
        <v>Phase C</v>
      </c>
      <c r="C44" s="142">
        <f>'[2]Bldg Info, Cost Est'!C44</f>
        <v>0</v>
      </c>
      <c r="D44" s="142">
        <f>'[2]Bldg Info, Cost Est'!M44</f>
        <v>0</v>
      </c>
      <c r="E44" s="142">
        <v>402.06689851731301</v>
      </c>
      <c r="F44" s="143" t="e">
        <f t="shared" si="0"/>
        <v>#DIV/0!</v>
      </c>
      <c r="G44" s="146" t="e">
        <f t="shared" si="1"/>
        <v>#DIV/0!</v>
      </c>
      <c r="H44" t="s">
        <v>397</v>
      </c>
      <c r="I44" s="236">
        <f>'[5]Bldg Info, Cost Est'!L44</f>
        <v>1.3212040145334014</v>
      </c>
      <c r="J44" s="142">
        <f t="shared" si="2"/>
        <v>1321.2040145334015</v>
      </c>
      <c r="K44" s="144"/>
      <c r="L44" s="144"/>
      <c r="M44" s="235">
        <f>'[5]Bldg Info, Cost Est'!E44</f>
        <v>89.047114815448239</v>
      </c>
      <c r="N44" s="144"/>
      <c r="O44" s="237"/>
    </row>
    <row r="45" spans="2:15" x14ac:dyDescent="0.25">
      <c r="B45" s="145" t="str">
        <f>'[2]Bldg Info, Cost Est'!A45</f>
        <v>Parcel 1</v>
      </c>
      <c r="C45" s="142">
        <f>'[2]Bldg Info, Cost Est'!C45</f>
        <v>180000</v>
      </c>
      <c r="D45" s="142">
        <f>'[2]Bldg Info, Cost Est'!M45</f>
        <v>4132.0969204101166</v>
      </c>
      <c r="E45" s="142">
        <v>1610.703032023315</v>
      </c>
      <c r="F45" s="143">
        <f t="shared" si="0"/>
        <v>22.956094002278427</v>
      </c>
      <c r="G45" s="146">
        <f t="shared" si="1"/>
        <v>8.9483501779073062</v>
      </c>
      <c r="H45" t="s">
        <v>397</v>
      </c>
      <c r="I45" s="236">
        <f>'[5]Bldg Info, Cost Est'!L45</f>
        <v>2.967721454300885</v>
      </c>
      <c r="J45" s="142">
        <f t="shared" si="2"/>
        <v>2967.7214543008849</v>
      </c>
      <c r="K45" s="144"/>
      <c r="L45" s="144"/>
      <c r="M45" s="235">
        <f>'[5]Bldg Info, Cost Est'!E45</f>
        <v>245.90917704380286</v>
      </c>
      <c r="N45" s="144"/>
      <c r="O45" s="237"/>
    </row>
    <row r="46" spans="2:15" x14ac:dyDescent="0.25">
      <c r="B46" s="145" t="str">
        <f>'[2]Bldg Info, Cost Est'!A46</f>
        <v>Parcel 2</v>
      </c>
      <c r="C46" s="142">
        <f>'[2]Bldg Info, Cost Est'!C46</f>
        <v>120000</v>
      </c>
      <c r="D46" s="142">
        <f>'[2]Bldg Info, Cost Est'!M46</f>
        <v>2962.4298214671994</v>
      </c>
      <c r="E46" s="142">
        <v>268.04459901154235</v>
      </c>
      <c r="F46" s="143">
        <f t="shared" si="0"/>
        <v>24.686915178893329</v>
      </c>
      <c r="G46" s="146">
        <f t="shared" si="1"/>
        <v>2.2337049917628526</v>
      </c>
      <c r="H46" t="s">
        <v>397</v>
      </c>
      <c r="I46" s="236">
        <f>'[5]Bldg Info, Cost Est'!L46</f>
        <v>0.88080267635560106</v>
      </c>
      <c r="J46" s="142">
        <f t="shared" si="2"/>
        <v>880.80267635560108</v>
      </c>
      <c r="K46" s="144"/>
      <c r="L46" s="144"/>
      <c r="M46" s="235">
        <f>'[5]Bldg Info, Cost Est'!E46</f>
        <v>59.364743210298819</v>
      </c>
      <c r="N46" s="144"/>
      <c r="O46" s="237"/>
    </row>
    <row r="47" spans="2:15" x14ac:dyDescent="0.25">
      <c r="B47" s="145" t="str">
        <f>'[2]Bldg Info, Cost Est'!A47</f>
        <v>Parcel 3</v>
      </c>
      <c r="C47" s="142">
        <f>'[2]Bldg Info, Cost Est'!C47</f>
        <v>45000</v>
      </c>
      <c r="D47" s="142">
        <f>'[2]Bldg Info, Cost Est'!M47</f>
        <v>1188.7981359978742</v>
      </c>
      <c r="E47" s="142">
        <v>1180.8817971494891</v>
      </c>
      <c r="F47" s="143">
        <f t="shared" si="0"/>
        <v>26.417736355508314</v>
      </c>
      <c r="G47" s="146">
        <f t="shared" si="1"/>
        <v>26.241817714433093</v>
      </c>
      <c r="H47" t="s">
        <v>397</v>
      </c>
      <c r="I47" s="236">
        <f>'[5]Bldg Info, Cost Est'!L47</f>
        <v>4.0766866939866881</v>
      </c>
      <c r="J47" s="142">
        <f t="shared" si="2"/>
        <v>4076.6866939866882</v>
      </c>
      <c r="K47" s="144"/>
      <c r="L47" s="144"/>
      <c r="M47" s="235">
        <f>'[5]Bldg Info, Cost Est'!E47</f>
        <v>271.56876065499006</v>
      </c>
      <c r="N47" s="144"/>
      <c r="O47" s="237"/>
    </row>
    <row r="48" spans="2:15" x14ac:dyDescent="0.25">
      <c r="B48" s="145" t="str">
        <f>'[2]Bldg Info, Cost Est'!A48</f>
        <v>Parcel 4</v>
      </c>
      <c r="C48" s="142">
        <f>'[2]Bldg Info, Cost Est'!C48</f>
        <v>110000</v>
      </c>
      <c r="D48" s="142">
        <f>'[2]Bldg Info, Cost Est'!M48</f>
        <v>2715.5606696782647</v>
      </c>
      <c r="E48" s="142">
        <v>4685.6815477042046</v>
      </c>
      <c r="F48" s="143">
        <f t="shared" si="0"/>
        <v>24.686915178893315</v>
      </c>
      <c r="G48" s="146">
        <f t="shared" si="1"/>
        <v>42.597104979129135</v>
      </c>
      <c r="H48" t="s">
        <v>397</v>
      </c>
      <c r="I48" s="236">
        <f>'[5]Bldg Info, Cost Est'!L48</f>
        <v>8.6333715034207561</v>
      </c>
      <c r="J48" s="142">
        <f t="shared" si="2"/>
        <v>8633.3715034207562</v>
      </c>
      <c r="K48" s="144"/>
      <c r="L48" s="144"/>
      <c r="M48" s="235">
        <f>'[5]Bldg Info, Cost Est'!E48</f>
        <v>715.3721514001536</v>
      </c>
      <c r="N48" s="144"/>
      <c r="O48" s="237"/>
    </row>
    <row r="49" spans="2:15" x14ac:dyDescent="0.25">
      <c r="B49" s="145" t="str">
        <f>'[2]Bldg Info, Cost Est'!A49</f>
        <v>Parcel 5</v>
      </c>
      <c r="C49" s="142">
        <f>'[2]Bldg Info, Cost Est'!C49</f>
        <v>30000</v>
      </c>
      <c r="D49" s="142">
        <f>'[2]Bldg Info, Cost Est'!M49</f>
        <v>792.53209066524823</v>
      </c>
      <c r="E49" s="142">
        <v>629.80362514639694</v>
      </c>
      <c r="F49" s="143">
        <f t="shared" si="0"/>
        <v>26.417736355508275</v>
      </c>
      <c r="G49" s="146">
        <f t="shared" si="1"/>
        <v>20.993454171546563</v>
      </c>
      <c r="H49" t="s">
        <v>397</v>
      </c>
      <c r="I49" s="236">
        <f>'[5]Bldg Info, Cost Est'!L49</f>
        <v>2.1742329034595667</v>
      </c>
      <c r="J49" s="142">
        <f t="shared" si="2"/>
        <v>2174.2329034595668</v>
      </c>
      <c r="K49" s="144"/>
      <c r="L49" s="144"/>
      <c r="M49" s="235">
        <f>'[5]Bldg Info, Cost Est'!E49</f>
        <v>144.83667234932801</v>
      </c>
      <c r="N49" s="144"/>
      <c r="O49" s="237"/>
    </row>
    <row r="50" spans="2:15" x14ac:dyDescent="0.25">
      <c r="B50" s="145" t="str">
        <f>'[2]Bldg Info, Cost Est'!A50</f>
        <v>Parcel 6</v>
      </c>
      <c r="C50" s="142">
        <f>'[2]Bldg Info, Cost Est'!C50</f>
        <v>225000</v>
      </c>
      <c r="D50" s="142">
        <f>'[2]Bldg Info, Cost Est'!M50</f>
        <v>4462.6498418295059</v>
      </c>
      <c r="E50" s="142">
        <v>536.08919802308469</v>
      </c>
      <c r="F50" s="143">
        <f t="shared" si="0"/>
        <v>19.833999297020025</v>
      </c>
      <c r="G50" s="146">
        <f t="shared" si="1"/>
        <v>2.3826186578803763</v>
      </c>
      <c r="H50" t="s">
        <v>397</v>
      </c>
      <c r="I50" s="236">
        <f>'[5]Bldg Info, Cost Est'!L50</f>
        <v>1.7616053527112021</v>
      </c>
      <c r="J50" s="142">
        <f t="shared" si="2"/>
        <v>1761.6053527112022</v>
      </c>
      <c r="K50" s="144"/>
      <c r="L50" s="144"/>
      <c r="M50" s="235">
        <f>'[5]Bldg Info, Cost Est'!E50</f>
        <v>118.72948642059764</v>
      </c>
      <c r="N50" s="144"/>
      <c r="O50" s="237"/>
    </row>
    <row r="51" spans="2:15" x14ac:dyDescent="0.25">
      <c r="B51" s="145" t="str">
        <f>'[2]Bldg Info, Cost Est'!A51</f>
        <v>Parcel 7</v>
      </c>
      <c r="C51" s="142">
        <f>'[2]Bldg Info, Cost Est'!C51</f>
        <v>320000</v>
      </c>
      <c r="D51" s="142">
        <f>'[2]Bldg Info, Cost Est'!M51</f>
        <v>7899.8128572458645</v>
      </c>
      <c r="E51" s="142">
        <v>839.73816686186069</v>
      </c>
      <c r="F51" s="143">
        <f t="shared" si="0"/>
        <v>24.686915178893326</v>
      </c>
      <c r="G51" s="146">
        <f t="shared" si="1"/>
        <v>2.6241817714433147</v>
      </c>
      <c r="H51" t="s">
        <v>397</v>
      </c>
      <c r="I51" s="236">
        <f>'[5]Bldg Info, Cost Est'!L51</f>
        <v>2.898977204612756</v>
      </c>
      <c r="J51" s="142">
        <f t="shared" si="2"/>
        <v>2898.9772046127559</v>
      </c>
      <c r="K51" s="144"/>
      <c r="L51" s="144"/>
      <c r="M51" s="235">
        <f>'[5]Bldg Info, Cost Est'!E51</f>
        <v>193.11556313243736</v>
      </c>
      <c r="N51" s="144"/>
      <c r="O51" s="237"/>
    </row>
    <row r="52" spans="2:15" x14ac:dyDescent="0.25">
      <c r="B52" s="145" t="str">
        <f>'[2]Bldg Info, Cost Est'!A52</f>
        <v>Parcel 8</v>
      </c>
      <c r="C52" s="142">
        <f>'[2]Bldg Info, Cost Est'!C52</f>
        <v>120000</v>
      </c>
      <c r="D52" s="142">
        <f>'[2]Bldg Info, Cost Est'!M52</f>
        <v>2380.07991564241</v>
      </c>
      <c r="E52" s="142">
        <v>3953.5438058754025</v>
      </c>
      <c r="F52" s="143">
        <f t="shared" si="0"/>
        <v>19.833999297020085</v>
      </c>
      <c r="G52" s="146">
        <f t="shared" si="1"/>
        <v>32.946198382295023</v>
      </c>
      <c r="H52" t="s">
        <v>397</v>
      </c>
      <c r="I52" s="236">
        <f>'[5]Bldg Info, Cost Est'!L52</f>
        <v>7.284407206011263</v>
      </c>
      <c r="J52" s="142">
        <f t="shared" si="2"/>
        <v>7284.407206011263</v>
      </c>
      <c r="K52" s="144"/>
      <c r="L52" s="144"/>
      <c r="M52" s="235">
        <f>'[5]Bldg Info, Cost Est'!E52</f>
        <v>603.59525274387977</v>
      </c>
      <c r="N52" s="144"/>
      <c r="O52" s="237"/>
    </row>
    <row r="53" spans="2:15" x14ac:dyDescent="0.25">
      <c r="B53" s="145" t="str">
        <f>'[2]Bldg Info, Cost Est'!A53</f>
        <v>Parcel 9</v>
      </c>
      <c r="C53" s="142">
        <f>'[2]Bldg Info, Cost Est'!C53</f>
        <v>60000</v>
      </c>
      <c r="D53" s="142">
        <f>'[2]Bldg Info, Cost Est'!M53</f>
        <v>1585.0641813304965</v>
      </c>
      <c r="E53" s="142">
        <v>1133.8988082306882</v>
      </c>
      <c r="F53" s="143">
        <f t="shared" si="0"/>
        <v>26.417736355508275</v>
      </c>
      <c r="G53" s="146">
        <f t="shared" si="1"/>
        <v>18.898313470511471</v>
      </c>
      <c r="H53" t="s">
        <v>397</v>
      </c>
      <c r="I53" s="236">
        <f>'[5]Bldg Info, Cost Est'!L53</f>
        <v>2.6417507941667533</v>
      </c>
      <c r="J53" s="142">
        <f t="shared" si="2"/>
        <v>2641.7507941667532</v>
      </c>
      <c r="K53" s="144"/>
      <c r="L53" s="144"/>
      <c r="M53" s="235">
        <f>'[5]Bldg Info, Cost Est'!E53</f>
        <v>211.49456757662264</v>
      </c>
      <c r="N53" s="144"/>
      <c r="O53" s="237"/>
    </row>
    <row r="54" spans="2:15" ht="15.75" thickBot="1" x14ac:dyDescent="0.3">
      <c r="B54" s="320" t="str">
        <f>'[2]Bldg Info, Cost Est'!A54</f>
        <v>Parcel 10</v>
      </c>
      <c r="C54" s="321">
        <f>'[2]Bldg Info, Cost Est'!C54</f>
        <v>160000</v>
      </c>
      <c r="D54" s="321">
        <f>'[2]Bldg Info, Cost Est'!M54</f>
        <v>3173.4398875232018</v>
      </c>
      <c r="E54" s="321">
        <v>0</v>
      </c>
      <c r="F54" s="322">
        <f t="shared" ref="F54" si="3">D54*1000/C54</f>
        <v>19.833999297020011</v>
      </c>
      <c r="G54" s="323">
        <f>E54*1000/C54</f>
        <v>0</v>
      </c>
      <c r="H54" t="s">
        <v>396</v>
      </c>
      <c r="I54" s="324">
        <f>'[5]Bldg Info, Cost Est'!L54</f>
        <v>1.3412084413584906</v>
      </c>
      <c r="J54" s="321">
        <f t="shared" si="2"/>
        <v>1341.2084413584905</v>
      </c>
      <c r="K54" s="325"/>
      <c r="L54" s="325"/>
      <c r="M54" s="326">
        <f>'[5]Bldg Info, Cost Est'!E54</f>
        <v>44.847161377709917</v>
      </c>
      <c r="N54" s="325"/>
      <c r="O54" s="327"/>
    </row>
    <row r="55" spans="2:15" ht="15.75" thickBot="1" x14ac:dyDescent="0.3">
      <c r="B55" s="511"/>
      <c r="C55" s="512">
        <f>SUM(C6:C54)</f>
        <v>9032610</v>
      </c>
      <c r="D55" s="512">
        <f>SUM(D6:D54)</f>
        <v>112050.64657457032</v>
      </c>
      <c r="E55" s="512">
        <f>SUM(E6:E54)</f>
        <v>152640.51185736395</v>
      </c>
      <c r="F55" s="513"/>
      <c r="G55" s="514"/>
      <c r="I55" s="242"/>
      <c r="J55" s="243"/>
      <c r="K55" s="243"/>
      <c r="L55" s="243"/>
      <c r="M55" s="243"/>
      <c r="N55" s="243"/>
      <c r="O55" s="244"/>
    </row>
    <row r="56" spans="2:15" x14ac:dyDescent="0.25">
      <c r="B56" s="23" t="s">
        <v>395</v>
      </c>
      <c r="C56" s="510">
        <f>SUMIF($H$6:$H$54,"=A",C6:C54)</f>
        <v>3726452</v>
      </c>
      <c r="D56" s="510">
        <f t="shared" ref="D56:E56" si="4">SUMIF($H$6:$H$54,"=A",D6:D54)</f>
        <v>22447.677210521233</v>
      </c>
      <c r="E56" s="510">
        <f t="shared" si="4"/>
        <v>54271.015321904706</v>
      </c>
    </row>
    <row r="57" spans="2:15" x14ac:dyDescent="0.25">
      <c r="B57" s="23" t="s">
        <v>396</v>
      </c>
      <c r="C57" s="510">
        <f>SUMIF($H$6:$H$54,"=B",C6:C54)</f>
        <v>4034418</v>
      </c>
      <c r="D57" s="510">
        <f t="shared" ref="D57:E57" si="5">SUMIF($H$6:$H$54,"=B",D6:D54)</f>
        <v>59954.987798100505</v>
      </c>
      <c r="E57" s="510">
        <f t="shared" si="5"/>
        <v>77708.790329428957</v>
      </c>
    </row>
    <row r="58" spans="2:15" x14ac:dyDescent="0.25">
      <c r="B58" s="23" t="s">
        <v>397</v>
      </c>
      <c r="C58" s="510">
        <f>SUMIF($H$6:$H$54,"=C",C6:C54)</f>
        <v>1271740</v>
      </c>
      <c r="D58" s="510">
        <f t="shared" ref="D58:E58" si="6">SUMIF($H$6:$H$54,"=C",D6:D54)</f>
        <v>29647.981565948612</v>
      </c>
      <c r="E58" s="510">
        <f t="shared" si="6"/>
        <v>20660.706206030329</v>
      </c>
    </row>
    <row r="60" spans="2:15" x14ac:dyDescent="0.25">
      <c r="B60" s="23" t="s">
        <v>143</v>
      </c>
      <c r="C60" s="23">
        <v>330000</v>
      </c>
      <c r="D60" s="23">
        <v>973.8315016430156</v>
      </c>
      <c r="E60" s="115">
        <v>4226.6591934511625</v>
      </c>
      <c r="F60" s="23">
        <v>2.9510045504333808</v>
      </c>
      <c r="G60" s="23">
        <v>12.80805816197322</v>
      </c>
      <c r="H60" s="23"/>
      <c r="I60" s="23">
        <v>2.3880636687810664</v>
      </c>
      <c r="J60" s="115">
        <v>2388.0636687810666</v>
      </c>
      <c r="K60" s="23"/>
      <c r="L60" s="23"/>
      <c r="M60" s="23">
        <v>309.74201782356636</v>
      </c>
    </row>
    <row r="61" spans="2:15" x14ac:dyDescent="0.25">
      <c r="B61" s="23" t="s">
        <v>144</v>
      </c>
      <c r="C61" s="23">
        <v>45000</v>
      </c>
      <c r="D61" s="23">
        <v>1876.1928423533268</v>
      </c>
      <c r="E61" s="115">
        <v>485.01216806102047</v>
      </c>
      <c r="F61" s="23">
        <v>41.69317427451837</v>
      </c>
      <c r="G61" s="23">
        <v>10.778048179133789</v>
      </c>
      <c r="H61" s="23"/>
      <c r="I61" s="23">
        <v>1.5930978929755228</v>
      </c>
      <c r="J61" s="115">
        <v>1593.0978929755229</v>
      </c>
      <c r="K61" s="23"/>
      <c r="L61" s="23"/>
      <c r="M61" s="23">
        <v>107.33840173923672</v>
      </c>
    </row>
    <row r="62" spans="2:15" x14ac:dyDescent="0.25">
      <c r="B62" s="23" t="s">
        <v>145</v>
      </c>
      <c r="C62" s="23">
        <v>170000</v>
      </c>
      <c r="D62" s="23">
        <v>501.67077357367486</v>
      </c>
      <c r="E62" s="115">
        <v>2177.3698875354476</v>
      </c>
      <c r="F62" s="23">
        <v>2.9510045504333813</v>
      </c>
      <c r="G62" s="23">
        <v>12.808058161973221</v>
      </c>
      <c r="H62" s="23"/>
      <c r="I62" s="23">
        <v>1.2302146172508523</v>
      </c>
      <c r="J62" s="115">
        <v>1230.2146172508524</v>
      </c>
      <c r="K62" s="23"/>
      <c r="L62" s="23"/>
      <c r="M62" s="23">
        <v>159.56406978789781</v>
      </c>
    </row>
    <row r="63" spans="2:15" x14ac:dyDescent="0.25">
      <c r="B63" s="23" t="s">
        <v>146</v>
      </c>
      <c r="C63" s="23">
        <v>1200000</v>
      </c>
      <c r="D63" s="23">
        <v>3541.2054605200524</v>
      </c>
      <c r="E63" s="115">
        <v>15369.669794367932</v>
      </c>
      <c r="F63" s="23">
        <v>2.9510045504333768</v>
      </c>
      <c r="G63" s="23">
        <v>12.808058161973277</v>
      </c>
      <c r="H63" s="23"/>
      <c r="I63" s="23">
        <v>8.683867886476607</v>
      </c>
      <c r="J63" s="115">
        <v>8683.8678864766061</v>
      </c>
      <c r="K63" s="23"/>
      <c r="L63" s="23"/>
      <c r="M63" s="23">
        <v>1126.3346102675141</v>
      </c>
    </row>
    <row r="64" spans="2:15" x14ac:dyDescent="0.25">
      <c r="B64" s="287" t="s">
        <v>147</v>
      </c>
      <c r="C64" s="287">
        <v>40000</v>
      </c>
      <c r="D64" s="287">
        <v>1420.0590428715707</v>
      </c>
      <c r="E64" s="291">
        <v>632.77000837053902</v>
      </c>
      <c r="F64" s="287">
        <v>35.50147607178927</v>
      </c>
      <c r="G64" s="287">
        <v>15.819250209263476</v>
      </c>
      <c r="H64" s="23"/>
      <c r="I64" s="287">
        <v>0.98565213472835578</v>
      </c>
      <c r="J64" s="291">
        <v>985.6521347283558</v>
      </c>
      <c r="K64" s="287"/>
      <c r="L64" s="287"/>
      <c r="M64" s="287">
        <v>70.543561676757918</v>
      </c>
      <c r="N64" s="287"/>
      <c r="O64" s="287"/>
    </row>
    <row r="65" spans="2:15" x14ac:dyDescent="0.25">
      <c r="B65" s="23" t="s">
        <v>148</v>
      </c>
      <c r="C65" s="115">
        <v>287000</v>
      </c>
      <c r="D65" s="288">
        <v>846.93830597437852</v>
      </c>
      <c r="E65" s="115">
        <v>3675.9126924863263</v>
      </c>
      <c r="F65" s="288">
        <v>2.9510045504333746</v>
      </c>
      <c r="G65" s="117">
        <v>12.808058161973262</v>
      </c>
      <c r="H65" s="23"/>
      <c r="I65" s="23">
        <v>2.0768917361823216</v>
      </c>
      <c r="J65" s="115">
        <v>2076.8917361823214</v>
      </c>
      <c r="K65" s="23"/>
      <c r="L65" s="23"/>
      <c r="M65" s="288">
        <v>269.38169428898044</v>
      </c>
      <c r="N65" s="318"/>
      <c r="O65" s="318"/>
    </row>
    <row r="66" spans="2:15" x14ac:dyDescent="0.25">
      <c r="B66" s="23" t="s">
        <v>149</v>
      </c>
      <c r="C66" s="115">
        <v>365000</v>
      </c>
      <c r="D66" s="288">
        <v>1077.1166609081836</v>
      </c>
      <c r="E66" s="115">
        <v>4674.9412291202343</v>
      </c>
      <c r="F66" s="288">
        <v>2.9510045504333795</v>
      </c>
      <c r="G66" s="117">
        <v>12.808058161973245</v>
      </c>
      <c r="H66" s="23"/>
      <c r="I66" s="23">
        <v>2.6413431488033008</v>
      </c>
      <c r="J66" s="115">
        <v>2641.3431488033007</v>
      </c>
      <c r="K66" s="23"/>
      <c r="L66" s="23"/>
      <c r="M66" s="288">
        <v>342.59344395636884</v>
      </c>
      <c r="N66" s="318"/>
      <c r="O66" s="318"/>
    </row>
    <row r="67" spans="2:15" x14ac:dyDescent="0.25">
      <c r="B67" s="23" t="s">
        <v>150</v>
      </c>
      <c r="C67" s="115">
        <v>360000</v>
      </c>
      <c r="D67" s="288">
        <v>1062.3616381560157</v>
      </c>
      <c r="E67" s="115">
        <v>4610.9009383103521</v>
      </c>
      <c r="F67" s="288">
        <v>2.9510045504333768</v>
      </c>
      <c r="G67" s="117">
        <v>12.8080581619732</v>
      </c>
      <c r="H67" s="23"/>
      <c r="I67" s="23">
        <v>2.6051603659429814</v>
      </c>
      <c r="J67" s="115">
        <v>2605.1603659429816</v>
      </c>
      <c r="K67" s="23"/>
      <c r="L67" s="23"/>
      <c r="M67" s="288">
        <v>337.90038308025419</v>
      </c>
      <c r="N67" s="318"/>
      <c r="O67" s="318"/>
    </row>
    <row r="68" spans="2:15" x14ac:dyDescent="0.25">
      <c r="B68" s="23" t="s">
        <v>151</v>
      </c>
      <c r="C68" s="115">
        <v>72000</v>
      </c>
      <c r="D68" s="288">
        <v>702.79371682440569</v>
      </c>
      <c r="E68" s="115">
        <v>1610.7961069050662</v>
      </c>
      <c r="F68" s="288">
        <v>9.7610238447834128</v>
      </c>
      <c r="G68" s="117">
        <v>22.372168151459253</v>
      </c>
      <c r="H68" s="23"/>
      <c r="I68" s="23">
        <v>0.94720560570913559</v>
      </c>
      <c r="J68" s="115">
        <v>947.20560570913563</v>
      </c>
      <c r="K68" s="23"/>
      <c r="L68" s="23"/>
      <c r="M68" s="288">
        <v>148.43999434106257</v>
      </c>
      <c r="N68" s="318"/>
      <c r="O68" s="318"/>
    </row>
    <row r="69" spans="2:15" x14ac:dyDescent="0.25">
      <c r="B69" s="23" t="s">
        <v>152</v>
      </c>
      <c r="C69" s="115">
        <v>252910</v>
      </c>
      <c r="D69" s="288">
        <v>746.33856085010507</v>
      </c>
      <c r="E69" s="115">
        <v>3239.2859897446465</v>
      </c>
      <c r="F69" s="288">
        <v>2.9510045504333755</v>
      </c>
      <c r="G69" s="117">
        <v>12.808058161973218</v>
      </c>
      <c r="H69" s="23"/>
      <c r="I69" s="23">
        <v>1.830197522640665</v>
      </c>
      <c r="J69" s="115">
        <v>1830.1975226406651</v>
      </c>
      <c r="K69" s="23"/>
      <c r="L69" s="23"/>
      <c r="M69" s="288">
        <v>237.38440523563079</v>
      </c>
      <c r="N69" s="27"/>
    </row>
    <row r="70" spans="2:15" x14ac:dyDescent="0.25">
      <c r="B70" s="23" t="s">
        <v>153</v>
      </c>
      <c r="C70" s="115">
        <v>132000</v>
      </c>
      <c r="D70" s="288">
        <v>389.53260065720536</v>
      </c>
      <c r="E70" s="115">
        <v>1690.6636773804696</v>
      </c>
      <c r="F70" s="288">
        <v>2.9510045504333742</v>
      </c>
      <c r="G70" s="117">
        <v>12.808058161973255</v>
      </c>
      <c r="H70" s="23"/>
      <c r="I70" s="23">
        <v>0.95522546751242643</v>
      </c>
      <c r="J70" s="115">
        <v>955.22546751242646</v>
      </c>
      <c r="K70" s="23"/>
      <c r="L70" s="23"/>
      <c r="M70" s="288">
        <v>123.89680712942653</v>
      </c>
      <c r="N70" s="27"/>
    </row>
    <row r="71" spans="2:15" x14ac:dyDescent="0.25">
      <c r="B71" s="23" t="s">
        <v>154</v>
      </c>
      <c r="C71" s="115">
        <v>50000</v>
      </c>
      <c r="D71" s="288">
        <v>2147.897627787042</v>
      </c>
      <c r="E71" s="115">
        <v>373.01186986927445</v>
      </c>
      <c r="F71" s="288">
        <v>42.957952555740839</v>
      </c>
      <c r="G71" s="117">
        <v>7.4602373973854883</v>
      </c>
      <c r="H71" s="23"/>
      <c r="I71" s="23">
        <v>1.2263210130885605</v>
      </c>
      <c r="J71" s="115">
        <v>1226.3210130885604</v>
      </c>
      <c r="K71" s="23"/>
      <c r="L71" s="23"/>
      <c r="M71" s="288">
        <v>82.682316973797143</v>
      </c>
      <c r="N71" s="27"/>
    </row>
    <row r="72" spans="2:15" x14ac:dyDescent="0.25">
      <c r="B72" s="23" t="s">
        <v>155</v>
      </c>
      <c r="C72" s="115">
        <v>137000</v>
      </c>
      <c r="D72" s="288">
        <v>404.2876234093726</v>
      </c>
      <c r="E72" s="115">
        <v>1754.7039681903398</v>
      </c>
      <c r="F72" s="288">
        <v>2.9510045504333764</v>
      </c>
      <c r="G72" s="117">
        <v>12.808058161973284</v>
      </c>
      <c r="H72" s="23"/>
      <c r="I72" s="23">
        <v>0.99140825037274571</v>
      </c>
      <c r="J72" s="115">
        <v>991.40825037274567</v>
      </c>
      <c r="K72" s="23"/>
      <c r="L72" s="23"/>
      <c r="M72" s="288">
        <v>128.58986800554118</v>
      </c>
      <c r="N72" s="27"/>
    </row>
    <row r="73" spans="2:15" x14ac:dyDescent="0.25">
      <c r="B73" s="23" t="s">
        <v>156</v>
      </c>
      <c r="C73" s="115">
        <v>84555</v>
      </c>
      <c r="D73" s="288">
        <v>825.34337119565976</v>
      </c>
      <c r="E73" s="115">
        <v>1891.6786780466346</v>
      </c>
      <c r="F73" s="288">
        <v>9.7610238447833915</v>
      </c>
      <c r="G73" s="117">
        <v>22.372168151459224</v>
      </c>
      <c r="H73" s="23"/>
      <c r="I73" s="23">
        <v>1.1123745832046661</v>
      </c>
      <c r="J73" s="115">
        <v>1112.3745832046661</v>
      </c>
      <c r="K73" s="23"/>
      <c r="L73" s="23"/>
      <c r="M73" s="288">
        <v>174.32421835428534</v>
      </c>
      <c r="N73" s="27"/>
    </row>
    <row r="74" spans="2:15" x14ac:dyDescent="0.25">
      <c r="B74" s="23" t="s">
        <v>157</v>
      </c>
      <c r="C74" s="116">
        <v>367500</v>
      </c>
      <c r="D74" s="288">
        <v>1084.4941722842671</v>
      </c>
      <c r="E74" s="115">
        <v>4706.9613745251499</v>
      </c>
      <c r="F74" s="288">
        <v>2.9510045504333799</v>
      </c>
      <c r="G74" s="117">
        <v>12.808058161973198</v>
      </c>
      <c r="H74" s="23"/>
      <c r="I74" s="23">
        <v>2.6594345402334607</v>
      </c>
      <c r="J74" s="115">
        <v>2659.4345402334607</v>
      </c>
      <c r="K74" s="23"/>
      <c r="L74" s="23"/>
      <c r="M74" s="288">
        <v>344.9399743944262</v>
      </c>
      <c r="N74" s="27"/>
    </row>
    <row r="75" spans="2:15" x14ac:dyDescent="0.25">
      <c r="B75" s="23" t="s">
        <v>158</v>
      </c>
      <c r="C75" s="115">
        <v>185530</v>
      </c>
      <c r="D75" s="288">
        <v>547.49987424190431</v>
      </c>
      <c r="E75" s="115">
        <v>2376.2790307909022</v>
      </c>
      <c r="F75" s="288">
        <v>2.9510045504333764</v>
      </c>
      <c r="G75" s="117">
        <v>12.808058161973278</v>
      </c>
      <c r="H75" s="23"/>
      <c r="I75" s="23">
        <v>1.3425983408150037</v>
      </c>
      <c r="J75" s="115">
        <v>1342.5983408150037</v>
      </c>
      <c r="K75" s="23"/>
      <c r="L75" s="23"/>
      <c r="M75" s="288">
        <v>174.14071686910987</v>
      </c>
      <c r="N75" s="289"/>
    </row>
    <row r="76" spans="2:15" x14ac:dyDescent="0.25">
      <c r="B76" s="23" t="s">
        <v>159</v>
      </c>
      <c r="C76" s="115">
        <v>50000</v>
      </c>
      <c r="D76" s="288">
        <v>488.05119223916927</v>
      </c>
      <c r="E76" s="115">
        <v>1118.6084075729582</v>
      </c>
      <c r="F76" s="288">
        <v>9.7610238447833861</v>
      </c>
      <c r="G76" s="117">
        <v>22.372168151459164</v>
      </c>
      <c r="H76" s="23"/>
      <c r="I76" s="23">
        <v>0.65778167063134407</v>
      </c>
      <c r="J76" s="115">
        <v>657.78167063134413</v>
      </c>
      <c r="K76" s="23"/>
      <c r="L76" s="23"/>
      <c r="M76" s="288">
        <v>103.08332940351566</v>
      </c>
      <c r="N76" s="27"/>
    </row>
    <row r="77" spans="2:15" x14ac:dyDescent="0.25">
      <c r="B77" s="518" t="s">
        <v>160</v>
      </c>
      <c r="C77" s="290">
        <v>52957</v>
      </c>
      <c r="D77" s="288">
        <v>516.91453974819456</v>
      </c>
      <c r="E77" s="115">
        <v>1184.7629087968262</v>
      </c>
      <c r="F77" s="288">
        <v>9.7610238447834003</v>
      </c>
      <c r="G77" s="117">
        <v>22.372168151459224</v>
      </c>
      <c r="H77" s="23"/>
      <c r="I77" s="23">
        <v>0.69668287863248179</v>
      </c>
      <c r="J77" s="115">
        <v>696.68287863248179</v>
      </c>
      <c r="K77" s="23"/>
      <c r="L77" s="23"/>
      <c r="M77" s="288">
        <v>109.1796775044396</v>
      </c>
    </row>
    <row r="78" spans="2:15" x14ac:dyDescent="0.25">
      <c r="B78" s="518" t="s">
        <v>161</v>
      </c>
      <c r="C78" s="290">
        <v>50000</v>
      </c>
      <c r="D78" s="288">
        <v>1611.3749618875681</v>
      </c>
      <c r="E78" s="115">
        <v>553.52285549006717</v>
      </c>
      <c r="F78" s="288">
        <v>32.227499237751367</v>
      </c>
      <c r="G78" s="117">
        <v>11.070457109801342</v>
      </c>
      <c r="H78" s="23"/>
      <c r="I78" s="23">
        <v>0.74825658144755836</v>
      </c>
      <c r="J78" s="115">
        <v>748.25658144755835</v>
      </c>
      <c r="K78" s="23"/>
      <c r="L78" s="23"/>
      <c r="M78" s="288">
        <v>74.878416893260535</v>
      </c>
    </row>
    <row r="79" spans="2:15" x14ac:dyDescent="0.25">
      <c r="B79" s="518" t="s">
        <v>162</v>
      </c>
      <c r="C79" s="290">
        <v>653177</v>
      </c>
      <c r="D79" s="288">
        <v>1927.5282992384205</v>
      </c>
      <c r="E79" s="115">
        <v>8365.9290060632047</v>
      </c>
      <c r="F79" s="288">
        <v>2.9510045504333751</v>
      </c>
      <c r="G79" s="117">
        <v>12.808058161973253</v>
      </c>
      <c r="H79" s="23"/>
      <c r="I79" s="23">
        <v>4.7267523120709409</v>
      </c>
      <c r="J79" s="115">
        <v>4726.7523120709411</v>
      </c>
      <c r="K79" s="23"/>
      <c r="L79" s="23"/>
      <c r="M79" s="288">
        <v>613.07988477558661</v>
      </c>
    </row>
    <row r="80" spans="2:15" x14ac:dyDescent="0.25">
      <c r="B80" s="518" t="s">
        <v>163</v>
      </c>
      <c r="C80" s="290">
        <v>2516392</v>
      </c>
      <c r="D80" s="288">
        <v>7425.8842426741576</v>
      </c>
      <c r="E80" s="115">
        <v>32230.095094324159</v>
      </c>
      <c r="F80" s="288">
        <v>2.9510045504333817</v>
      </c>
      <c r="G80" s="117">
        <v>12.808058161973237</v>
      </c>
      <c r="H80" s="23"/>
      <c r="I80" s="23">
        <v>18.210013065488862</v>
      </c>
      <c r="J80" s="115">
        <v>18210.013065488864</v>
      </c>
      <c r="K80" s="23"/>
      <c r="L80" s="23"/>
      <c r="M80" s="288">
        <v>2361.9161688335748</v>
      </c>
    </row>
    <row r="81" spans="2:13" x14ac:dyDescent="0.25">
      <c r="B81" s="518" t="s">
        <v>164</v>
      </c>
      <c r="C81" s="290">
        <v>720000</v>
      </c>
      <c r="D81" s="288">
        <v>25561.062771688245</v>
      </c>
      <c r="E81" s="115">
        <v>11389.860150669696</v>
      </c>
      <c r="F81" s="288">
        <v>35.501476071789227</v>
      </c>
      <c r="G81" s="117">
        <v>15.819250209263467</v>
      </c>
      <c r="H81" s="23"/>
      <c r="I81" s="23">
        <v>17.741738425110402</v>
      </c>
      <c r="J81" s="115">
        <v>17741.738425110401</v>
      </c>
      <c r="K81" s="23"/>
      <c r="L81" s="23"/>
      <c r="M81" s="288">
        <v>1269.7841101816423</v>
      </c>
    </row>
    <row r="82" spans="2:13" x14ac:dyDescent="0.25">
      <c r="B82" s="518" t="s">
        <v>165</v>
      </c>
      <c r="C82" s="290">
        <v>35550</v>
      </c>
      <c r="D82" s="288">
        <v>347.00439768204996</v>
      </c>
      <c r="E82" s="115">
        <v>795.33057778437183</v>
      </c>
      <c r="F82" s="288">
        <v>9.7610238447834021</v>
      </c>
      <c r="G82" s="117">
        <v>22.372168151459121</v>
      </c>
      <c r="H82" s="23"/>
      <c r="I82" s="23">
        <v>0.46768276781888568</v>
      </c>
      <c r="J82" s="115">
        <v>467.68276781888568</v>
      </c>
      <c r="K82" s="23"/>
      <c r="L82" s="23"/>
      <c r="M82" s="288">
        <v>73.292247205899642</v>
      </c>
    </row>
    <row r="83" spans="2:13" x14ac:dyDescent="0.25">
      <c r="B83" s="518" t="s">
        <v>166</v>
      </c>
      <c r="C83" s="290">
        <v>40000</v>
      </c>
      <c r="D83" s="288">
        <v>1752.0455230621615</v>
      </c>
      <c r="E83" s="115">
        <v>209.93454171546517</v>
      </c>
      <c r="F83" s="288">
        <v>43.801138076554032</v>
      </c>
      <c r="G83" s="117">
        <v>5.2483635428866293</v>
      </c>
      <c r="H83" s="23"/>
      <c r="I83" s="23">
        <v>0.724744301153189</v>
      </c>
      <c r="J83" s="115">
        <v>724.74430115318899</v>
      </c>
      <c r="K83" s="23"/>
      <c r="L83" s="23"/>
      <c r="M83" s="288">
        <v>48.27889078310934</v>
      </c>
    </row>
    <row r="84" spans="2:13" x14ac:dyDescent="0.25">
      <c r="B84" s="518" t="s">
        <v>167</v>
      </c>
      <c r="C84" s="290">
        <v>180000</v>
      </c>
      <c r="D84" s="288">
        <v>531.18081907800786</v>
      </c>
      <c r="E84" s="115">
        <v>2305.4504691551761</v>
      </c>
      <c r="F84" s="288">
        <v>2.9510045504333768</v>
      </c>
      <c r="G84" s="117">
        <v>12.8080581619732</v>
      </c>
      <c r="H84" s="23"/>
      <c r="I84" s="23">
        <v>1.3025801829714907</v>
      </c>
      <c r="J84" s="115">
        <v>1302.5801829714908</v>
      </c>
      <c r="K84" s="23"/>
      <c r="L84" s="23"/>
      <c r="M84" s="288">
        <v>168.95019154012709</v>
      </c>
    </row>
    <row r="85" spans="2:13" x14ac:dyDescent="0.25">
      <c r="B85" s="23" t="s">
        <v>168</v>
      </c>
      <c r="C85" s="291">
        <v>511200</v>
      </c>
      <c r="D85" s="23">
        <v>1508.5535261815444</v>
      </c>
      <c r="E85" s="115">
        <v>6547.4793324007142</v>
      </c>
      <c r="F85" s="23">
        <v>2.9510045504333813</v>
      </c>
      <c r="G85" s="23">
        <v>12.808058161973229</v>
      </c>
      <c r="H85" s="23"/>
      <c r="I85" s="23">
        <v>3.699327719639034</v>
      </c>
      <c r="J85" s="115">
        <v>3699.3277196390341</v>
      </c>
      <c r="K85" s="23"/>
      <c r="L85" s="23"/>
      <c r="M85" s="23">
        <v>479.81854397396097</v>
      </c>
    </row>
    <row r="86" spans="2:13" x14ac:dyDescent="0.25">
      <c r="B86" s="23" t="s">
        <v>169</v>
      </c>
      <c r="C86" s="23">
        <v>179000</v>
      </c>
      <c r="D86" s="23">
        <v>528.22981452757233</v>
      </c>
      <c r="E86" s="115">
        <v>2292.6424109932036</v>
      </c>
      <c r="F86" s="23">
        <v>2.9510045504333653</v>
      </c>
      <c r="G86" s="23">
        <v>12.808058161973204</v>
      </c>
      <c r="H86" s="23"/>
      <c r="I86" s="23">
        <v>1.2953436263994269</v>
      </c>
      <c r="J86" s="115">
        <v>1295.343626399427</v>
      </c>
      <c r="K86" s="23"/>
      <c r="L86" s="23"/>
      <c r="M86" s="23">
        <v>168.01157936490418</v>
      </c>
    </row>
    <row r="87" spans="2:13" x14ac:dyDescent="0.25">
      <c r="B87" s="23" t="s">
        <v>170</v>
      </c>
      <c r="C87" s="23">
        <v>219000</v>
      </c>
      <c r="D87" s="23">
        <v>646.26999654490987</v>
      </c>
      <c r="E87" s="115">
        <v>2804.9647374721389</v>
      </c>
      <c r="F87" s="23">
        <v>2.9510045504333786</v>
      </c>
      <c r="G87" s="23">
        <v>12.808058161973237</v>
      </c>
      <c r="H87" s="23"/>
      <c r="I87" s="23">
        <v>1.5848058892819803</v>
      </c>
      <c r="J87" s="115">
        <v>1584.8058892819804</v>
      </c>
      <c r="K87" s="23"/>
      <c r="L87" s="23"/>
      <c r="M87" s="23">
        <v>205.5560663738213</v>
      </c>
    </row>
    <row r="88" spans="2:13" x14ac:dyDescent="0.25">
      <c r="B88" s="23" t="s">
        <v>171</v>
      </c>
      <c r="C88" s="23">
        <v>120000</v>
      </c>
      <c r="D88" s="23">
        <v>354.12054605200569</v>
      </c>
      <c r="E88" s="115">
        <v>1536.9669794367921</v>
      </c>
      <c r="F88" s="23">
        <v>2.9510045504333804</v>
      </c>
      <c r="G88" s="23">
        <v>12.808058161973268</v>
      </c>
      <c r="H88" s="23"/>
      <c r="I88" s="23">
        <v>0.8683867886476605</v>
      </c>
      <c r="J88" s="115">
        <v>868.38678864766052</v>
      </c>
      <c r="K88" s="23"/>
      <c r="L88" s="23"/>
      <c r="M88" s="23">
        <v>112.63346102675139</v>
      </c>
    </row>
    <row r="89" spans="2:13" x14ac:dyDescent="0.25">
      <c r="B89" s="23" t="s">
        <v>172</v>
      </c>
      <c r="C89" s="23">
        <v>95977</v>
      </c>
      <c r="D89" s="23">
        <v>936.83378555077786</v>
      </c>
      <c r="E89" s="115">
        <v>2147.2135826726021</v>
      </c>
      <c r="F89" s="23">
        <v>9.7610238447834163</v>
      </c>
      <c r="G89" s="23">
        <v>22.372168151459224</v>
      </c>
      <c r="H89" s="23"/>
      <c r="I89" s="23">
        <v>1.2626382280436903</v>
      </c>
      <c r="J89" s="115">
        <v>1262.6382280436903</v>
      </c>
      <c r="K89" s="23"/>
      <c r="L89" s="23"/>
      <c r="M89" s="23">
        <v>197.87257412322447</v>
      </c>
    </row>
    <row r="90" spans="2:13" x14ac:dyDescent="0.25">
      <c r="B90" s="23" t="s">
        <v>173</v>
      </c>
      <c r="C90" s="23">
        <v>252000</v>
      </c>
      <c r="D90" s="23">
        <v>9975.4730390661898</v>
      </c>
      <c r="E90" s="115">
        <v>1580.2591842186334</v>
      </c>
      <c r="F90" s="23">
        <v>39.585210472484881</v>
      </c>
      <c r="G90" s="23">
        <v>6.2708697786453707</v>
      </c>
      <c r="H90" s="23"/>
      <c r="I90" s="23">
        <v>13.489165358490565</v>
      </c>
      <c r="J90" s="115">
        <v>13489.165358490565</v>
      </c>
      <c r="K90" s="23"/>
      <c r="L90" s="23"/>
      <c r="M90" s="23">
        <v>451.04903684478364</v>
      </c>
    </row>
    <row r="91" spans="2:13" x14ac:dyDescent="0.25">
      <c r="B91" s="23" t="s">
        <v>174</v>
      </c>
      <c r="C91" s="23">
        <v>42204</v>
      </c>
      <c r="D91" s="23">
        <v>1498.3042961337962</v>
      </c>
      <c r="E91" s="115">
        <v>667.63563583175426</v>
      </c>
      <c r="F91" s="23">
        <v>35.501476071789313</v>
      </c>
      <c r="G91" s="23">
        <v>15.819250209263442</v>
      </c>
      <c r="H91" s="23"/>
      <c r="I91" s="23">
        <v>1.039961567351888</v>
      </c>
      <c r="J91" s="115">
        <v>1039.9615673518881</v>
      </c>
      <c r="K91" s="23"/>
      <c r="L91" s="23"/>
      <c r="M91" s="23">
        <v>74.430511925147272</v>
      </c>
    </row>
    <row r="92" spans="2:13" x14ac:dyDescent="0.25">
      <c r="B92" s="23" t="s">
        <v>175</v>
      </c>
      <c r="C92" s="23">
        <v>40700</v>
      </c>
      <c r="D92" s="23">
        <v>397.27367048268582</v>
      </c>
      <c r="E92" s="115">
        <v>910.54724376438958</v>
      </c>
      <c r="F92" s="23">
        <v>9.7610238447834341</v>
      </c>
      <c r="G92" s="23">
        <v>22.372168151459203</v>
      </c>
      <c r="H92" s="23"/>
      <c r="I92" s="23">
        <v>0.53543427989391412</v>
      </c>
      <c r="J92" s="115">
        <v>535.43427989391409</v>
      </c>
      <c r="K92" s="23"/>
      <c r="L92" s="23"/>
      <c r="M92" s="23">
        <v>83.909830134461757</v>
      </c>
    </row>
    <row r="93" spans="2:13" x14ac:dyDescent="0.25">
      <c r="B93" s="23" t="s">
        <v>176</v>
      </c>
      <c r="C93" s="23">
        <v>254690</v>
      </c>
      <c r="D93" s="23">
        <v>11155.711856717237</v>
      </c>
      <c r="E93" s="115">
        <v>1336.7057107377987</v>
      </c>
      <c r="F93" s="23">
        <v>43.801138076552817</v>
      </c>
      <c r="G93" s="23">
        <v>5.2483635428866409</v>
      </c>
      <c r="H93" s="23"/>
      <c r="I93" s="23">
        <v>4.6146281515176426</v>
      </c>
      <c r="J93" s="115">
        <v>4614.6281515176424</v>
      </c>
      <c r="K93" s="23"/>
      <c r="L93" s="23"/>
      <c r="M93" s="23">
        <v>307.40376733875297</v>
      </c>
    </row>
    <row r="94" spans="2:13" x14ac:dyDescent="0.25">
      <c r="B94" s="23" t="s">
        <v>177</v>
      </c>
      <c r="C94" s="23">
        <v>40000</v>
      </c>
      <c r="D94" s="23">
        <v>390.44095379133711</v>
      </c>
      <c r="E94" s="115">
        <v>894.88672605836632</v>
      </c>
      <c r="F94" s="23">
        <v>9.761023844783427</v>
      </c>
      <c r="G94" s="23">
        <v>22.37216815145916</v>
      </c>
      <c r="H94" s="23"/>
      <c r="I94" s="23">
        <v>0.5262253365050753</v>
      </c>
      <c r="J94" s="115">
        <v>526.22533650507535</v>
      </c>
      <c r="K94" s="23"/>
      <c r="L94" s="23"/>
      <c r="M94" s="23">
        <v>82.466663522812539</v>
      </c>
    </row>
    <row r="95" spans="2:13" x14ac:dyDescent="0.25">
      <c r="B95" s="23" t="s">
        <v>178</v>
      </c>
      <c r="C95" s="23">
        <v>36684</v>
      </c>
      <c r="D95" s="23">
        <v>358.07339872203443</v>
      </c>
      <c r="E95" s="115">
        <v>820.70061646812803</v>
      </c>
      <c r="F95" s="23">
        <v>9.7610238447834039</v>
      </c>
      <c r="G95" s="23">
        <v>22.372168151459167</v>
      </c>
      <c r="H95" s="23"/>
      <c r="I95" s="23">
        <v>0.48260125610880461</v>
      </c>
      <c r="J95" s="115">
        <v>482.60125610880459</v>
      </c>
      <c r="K95" s="23"/>
      <c r="L95" s="23"/>
      <c r="M95" s="23">
        <v>75.630177116771378</v>
      </c>
    </row>
    <row r="96" spans="2:13" x14ac:dyDescent="0.25">
      <c r="B96" s="23" t="s">
        <v>179</v>
      </c>
      <c r="C96" s="23">
        <v>25920</v>
      </c>
      <c r="D96" s="23">
        <v>253.00573805678576</v>
      </c>
      <c r="E96" s="115">
        <v>579.88659848582347</v>
      </c>
      <c r="F96" s="23">
        <v>9.7610238447834003</v>
      </c>
      <c r="G96" s="23">
        <v>22.372168151459238</v>
      </c>
      <c r="H96" s="23"/>
      <c r="I96" s="23">
        <v>0.34099401805528878</v>
      </c>
      <c r="J96" s="115">
        <v>340.99401805528879</v>
      </c>
      <c r="K96" s="23"/>
      <c r="L96" s="23"/>
      <c r="M96" s="23">
        <v>53.438397962782524</v>
      </c>
    </row>
    <row r="97" spans="2:13" x14ac:dyDescent="0.25">
      <c r="B97" s="23" t="s">
        <v>180</v>
      </c>
      <c r="C97" s="23">
        <v>180000</v>
      </c>
      <c r="D97" s="23">
        <v>3546.4354897231101</v>
      </c>
      <c r="E97" s="115">
        <v>3663.1241470979626</v>
      </c>
      <c r="F97" s="23">
        <v>19.702419387350613</v>
      </c>
      <c r="G97" s="23">
        <v>20.350689706099793</v>
      </c>
      <c r="H97" s="23"/>
      <c r="I97" s="23">
        <v>4.4689339093942806</v>
      </c>
      <c r="J97" s="115">
        <v>4468.9339093942808</v>
      </c>
      <c r="K97" s="23"/>
      <c r="L97" s="23"/>
      <c r="M97" s="23">
        <v>453.67849427214128</v>
      </c>
    </row>
    <row r="98" spans="2:13" x14ac:dyDescent="0.25">
      <c r="B98" s="23" t="s">
        <v>181</v>
      </c>
      <c r="C98" s="23">
        <v>120000</v>
      </c>
      <c r="D98" s="23">
        <v>3725.8948957527941</v>
      </c>
      <c r="E98" s="115">
        <v>1757.1305803890682</v>
      </c>
      <c r="F98" s="23">
        <v>31.049124131273285</v>
      </c>
      <c r="G98" s="23">
        <v>14.642754836575568</v>
      </c>
      <c r="H98" s="23"/>
      <c r="I98" s="23">
        <v>3.2375143137827833</v>
      </c>
      <c r="J98" s="115">
        <v>3237.5143137827831</v>
      </c>
      <c r="K98" s="23"/>
      <c r="L98" s="23"/>
      <c r="M98" s="23">
        <v>268.2645567750576</v>
      </c>
    </row>
    <row r="99" spans="2:13" x14ac:dyDescent="0.25">
      <c r="B99" s="23" t="s">
        <v>182</v>
      </c>
      <c r="C99" s="23">
        <v>45000</v>
      </c>
      <c r="D99" s="23">
        <v>1907.8122993838629</v>
      </c>
      <c r="E99" s="115">
        <v>402.06689851731301</v>
      </c>
      <c r="F99" s="23">
        <v>42.395828875196955</v>
      </c>
      <c r="G99" s="23">
        <v>8.9348199670513999</v>
      </c>
      <c r="H99" s="23"/>
      <c r="I99" s="23">
        <v>1.3212040145334014</v>
      </c>
      <c r="J99" s="115">
        <v>1321.2040145334015</v>
      </c>
      <c r="K99" s="23"/>
      <c r="L99" s="23"/>
      <c r="M99" s="23">
        <v>89.047114815448239</v>
      </c>
    </row>
    <row r="100" spans="2:13" x14ac:dyDescent="0.25">
      <c r="B100" s="23" t="s">
        <v>183</v>
      </c>
      <c r="C100" s="23">
        <v>110000</v>
      </c>
      <c r="D100" s="23">
        <v>3415.4036544400687</v>
      </c>
      <c r="E100" s="115">
        <v>1610.703032023315</v>
      </c>
      <c r="F100" s="23">
        <v>31.049124131273352</v>
      </c>
      <c r="G100" s="23">
        <v>14.642754836575591</v>
      </c>
      <c r="H100" s="23"/>
      <c r="I100" s="23">
        <v>2.967721454300885</v>
      </c>
      <c r="J100" s="115">
        <v>2967.7214543008849</v>
      </c>
      <c r="K100" s="23"/>
      <c r="L100" s="23"/>
      <c r="M100" s="23">
        <v>245.90917704380286</v>
      </c>
    </row>
    <row r="101" spans="2:13" x14ac:dyDescent="0.25">
      <c r="B101" s="23" t="s">
        <v>184</v>
      </c>
      <c r="C101" s="23">
        <v>30000</v>
      </c>
      <c r="D101" s="23">
        <v>1271.8748662559433</v>
      </c>
      <c r="E101" s="115">
        <v>268.04459901154235</v>
      </c>
      <c r="F101" s="23">
        <v>42.395828875198106</v>
      </c>
      <c r="G101" s="23">
        <v>8.9348199670514106</v>
      </c>
      <c r="H101" s="23"/>
      <c r="I101" s="23">
        <v>0.88080267635560106</v>
      </c>
      <c r="J101" s="115">
        <v>880.80267635560108</v>
      </c>
      <c r="K101" s="23"/>
      <c r="L101" s="23"/>
      <c r="M101" s="23">
        <v>59.364743210298819</v>
      </c>
    </row>
    <row r="102" spans="2:13" x14ac:dyDescent="0.25">
      <c r="B102" s="23" t="s">
        <v>185</v>
      </c>
      <c r="C102" s="23">
        <v>225000</v>
      </c>
      <c r="D102" s="23">
        <v>9855.2560672241816</v>
      </c>
      <c r="E102" s="115">
        <v>1180.8817971494891</v>
      </c>
      <c r="F102" s="23">
        <v>43.801138076551922</v>
      </c>
      <c r="G102" s="23">
        <v>5.2483635428866187</v>
      </c>
      <c r="H102" s="23"/>
      <c r="I102" s="23">
        <v>4.0766866939866881</v>
      </c>
      <c r="J102" s="115">
        <v>4076.6866939866882</v>
      </c>
      <c r="K102" s="23"/>
      <c r="L102" s="23"/>
      <c r="M102" s="23">
        <v>271.56876065499006</v>
      </c>
    </row>
    <row r="103" spans="2:13" x14ac:dyDescent="0.25">
      <c r="B103" s="23" t="s">
        <v>186</v>
      </c>
      <c r="C103" s="23">
        <v>320000</v>
      </c>
      <c r="D103" s="23">
        <v>9935.7197220077269</v>
      </c>
      <c r="E103" s="115">
        <v>4685.6815477042046</v>
      </c>
      <c r="F103" s="23">
        <v>31.049124131274148</v>
      </c>
      <c r="G103" s="23">
        <v>14.642754836575641</v>
      </c>
      <c r="H103" s="23"/>
      <c r="I103" s="23">
        <v>8.6333715034207561</v>
      </c>
      <c r="J103" s="115">
        <v>8633.3715034207562</v>
      </c>
      <c r="K103" s="23"/>
      <c r="L103" s="23"/>
      <c r="M103" s="23">
        <v>715.3721514001536</v>
      </c>
    </row>
    <row r="104" spans="2:13" x14ac:dyDescent="0.25">
      <c r="B104" s="23" t="s">
        <v>187</v>
      </c>
      <c r="C104" s="23">
        <v>120000</v>
      </c>
      <c r="D104" s="23">
        <v>5256.136569186232</v>
      </c>
      <c r="E104" s="115">
        <v>629.80362514639694</v>
      </c>
      <c r="F104" s="23">
        <v>43.801138076551936</v>
      </c>
      <c r="G104" s="23">
        <v>5.2483635428866409</v>
      </c>
      <c r="H104" s="23"/>
      <c r="I104" s="23">
        <v>2.1742329034595667</v>
      </c>
      <c r="J104" s="115">
        <v>2174.2329034595668</v>
      </c>
      <c r="K104" s="23"/>
      <c r="L104" s="23"/>
      <c r="M104" s="23">
        <v>144.83667234932801</v>
      </c>
    </row>
    <row r="105" spans="2:13" x14ac:dyDescent="0.25">
      <c r="B105" s="23" t="s">
        <v>188</v>
      </c>
      <c r="C105" s="23">
        <v>60000</v>
      </c>
      <c r="D105" s="23">
        <v>2543.7497325118866</v>
      </c>
      <c r="E105" s="115">
        <v>536.08919802308469</v>
      </c>
      <c r="F105" s="23">
        <v>42.395828875198106</v>
      </c>
      <c r="G105" s="23">
        <v>8.9348199670514106</v>
      </c>
      <c r="H105" s="23"/>
      <c r="I105" s="23">
        <v>1.7616053527112021</v>
      </c>
      <c r="J105" s="115">
        <v>1761.6053527112022</v>
      </c>
      <c r="K105" s="23"/>
      <c r="L105" s="23"/>
      <c r="M105" s="23">
        <v>118.72948642059764</v>
      </c>
    </row>
    <row r="106" spans="2:13" x14ac:dyDescent="0.25">
      <c r="B106" s="23" t="s">
        <v>189</v>
      </c>
      <c r="C106" s="23">
        <v>160000</v>
      </c>
      <c r="D106" s="23">
        <v>7008.1820922486459</v>
      </c>
      <c r="E106" s="115">
        <v>839.73816686186069</v>
      </c>
      <c r="F106" s="23">
        <v>43.801138076554032</v>
      </c>
      <c r="G106" s="23">
        <v>5.2483635428866293</v>
      </c>
      <c r="H106" s="23"/>
      <c r="I106" s="23">
        <v>2.898977204612756</v>
      </c>
      <c r="J106" s="115">
        <v>2898.9772046127559</v>
      </c>
      <c r="K106" s="23"/>
      <c r="L106" s="23"/>
      <c r="M106" s="23">
        <v>193.11556313243736</v>
      </c>
    </row>
    <row r="107" spans="2:13" x14ac:dyDescent="0.25">
      <c r="B107" s="23" t="s">
        <v>190</v>
      </c>
      <c r="C107" s="23">
        <v>270000</v>
      </c>
      <c r="D107" s="23">
        <v>8383.2635154438231</v>
      </c>
      <c r="E107" s="115">
        <v>3953.5438058754025</v>
      </c>
      <c r="F107" s="23">
        <v>31.04912413127342</v>
      </c>
      <c r="G107" s="23">
        <v>14.642754836575564</v>
      </c>
      <c r="H107" s="23"/>
      <c r="I107" s="23">
        <v>7.284407206011263</v>
      </c>
      <c r="J107" s="115">
        <v>7284.407206011263</v>
      </c>
      <c r="K107" s="23"/>
      <c r="L107" s="23"/>
      <c r="M107" s="23">
        <v>603.59525274387977</v>
      </c>
    </row>
    <row r="108" spans="2:13" x14ac:dyDescent="0.25">
      <c r="B108" s="23" t="s">
        <v>191</v>
      </c>
      <c r="C108" s="23">
        <v>85000</v>
      </c>
      <c r="D108" s="23">
        <v>1613.4141832960281</v>
      </c>
      <c r="E108" s="115">
        <v>1133.8988082306882</v>
      </c>
      <c r="F108" s="23">
        <v>18.981343332894447</v>
      </c>
      <c r="G108" s="23">
        <v>13.339985979184569</v>
      </c>
      <c r="H108" s="23"/>
      <c r="I108" s="23">
        <v>2.6417507941667533</v>
      </c>
      <c r="J108" s="115">
        <v>2641.7507941667532</v>
      </c>
      <c r="K108" s="23"/>
      <c r="L108" s="23"/>
      <c r="M108" s="23">
        <v>211.49456757662264</v>
      </c>
    </row>
    <row r="109" spans="2:13" x14ac:dyDescent="0.25">
      <c r="B109" s="23" t="s">
        <v>192</v>
      </c>
      <c r="C109" s="23">
        <v>25056</v>
      </c>
      <c r="D109" s="23">
        <v>991.8470335985777</v>
      </c>
      <c r="E109" s="115">
        <v>157.12291317373848</v>
      </c>
      <c r="F109" s="23">
        <v>39.585210472484746</v>
      </c>
      <c r="G109" s="23">
        <v>6.2708697786453742</v>
      </c>
      <c r="H109" s="23"/>
      <c r="I109" s="23">
        <v>1.3412084413584906</v>
      </c>
      <c r="J109" s="115">
        <v>1341.2084413584905</v>
      </c>
      <c r="K109" s="23"/>
      <c r="L109" s="23"/>
      <c r="M109" s="23">
        <v>44.847161377709917</v>
      </c>
    </row>
    <row r="110" spans="2:13" x14ac:dyDescent="0.25">
      <c r="C110" s="319">
        <v>11944002</v>
      </c>
      <c r="D110" s="319">
        <v>145765.89126344791</v>
      </c>
      <c r="E110" s="319">
        <v>154587.8284964718</v>
      </c>
    </row>
  </sheetData>
  <sheetProtection algorithmName="SHA-512" hashValue="TCR7ng9vODhJsT+TEIMgyX4b8sU96f57JDgosM+o06hE2/SBV3CgEJMJybFNcgswKuttT2urHW+bh41mL+l6yg==" saltValue="RE21pnUc1iG02EKOXZ3N4g==" spinCount="100000" sheet="1" objects="1" scenarios="1"/>
  <phoneticPr fontId="10" type="noConversion"/>
  <pageMargins left="0.7" right="0.7" top="0.75" bottom="0.75" header="0.3" footer="0.3"/>
  <pageSetup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F2757-03C5-4245-B69F-5AC3F2C925C4}">
  <sheetPr>
    <tabColor rgb="FFFFFF00"/>
  </sheetPr>
  <dimension ref="A4:H26"/>
  <sheetViews>
    <sheetView zoomScale="115" zoomScaleNormal="115" workbookViewId="0">
      <selection activeCell="F22" sqref="F22"/>
    </sheetView>
  </sheetViews>
  <sheetFormatPr defaultRowHeight="15" x14ac:dyDescent="0.25"/>
  <cols>
    <col min="1" max="1" width="23.28515625" customWidth="1"/>
    <col min="3" max="3" width="9.7109375" customWidth="1"/>
    <col min="4" max="4" width="20.28515625" customWidth="1"/>
    <col min="5" max="5" width="11" customWidth="1"/>
    <col min="6" max="6" width="31.28515625" customWidth="1"/>
    <col min="7" max="7" width="12.28515625" bestFit="1" customWidth="1"/>
    <col min="11" max="11" width="17.5703125" bestFit="1" customWidth="1"/>
  </cols>
  <sheetData>
    <row r="4" spans="1:8" x14ac:dyDescent="0.25">
      <c r="A4" s="84"/>
      <c r="B4" s="84" t="s">
        <v>193</v>
      </c>
      <c r="C4" s="84"/>
      <c r="D4" s="84"/>
      <c r="E4" s="84"/>
    </row>
    <row r="5" spans="1:8" x14ac:dyDescent="0.25">
      <c r="A5" s="23" t="s">
        <v>194</v>
      </c>
      <c r="B5" s="23" t="s">
        <v>195</v>
      </c>
      <c r="C5" s="23" t="s">
        <v>196</v>
      </c>
      <c r="D5" s="23" t="s">
        <v>46</v>
      </c>
    </row>
    <row r="6" spans="1:8" x14ac:dyDescent="0.25">
      <c r="A6" s="27" t="s">
        <v>197</v>
      </c>
      <c r="B6" s="85">
        <v>2100</v>
      </c>
      <c r="C6" s="85">
        <v>600</v>
      </c>
      <c r="D6" s="85">
        <f>SUM(B6:C6)</f>
        <v>2700</v>
      </c>
      <c r="E6" s="272"/>
    </row>
    <row r="7" spans="1:8" x14ac:dyDescent="0.25">
      <c r="A7" s="27" t="s">
        <v>198</v>
      </c>
      <c r="B7" s="85">
        <v>230</v>
      </c>
      <c r="C7" s="85">
        <v>600</v>
      </c>
      <c r="D7" s="85">
        <f>SUM(B7:C7)</f>
        <v>830</v>
      </c>
      <c r="E7" s="272"/>
    </row>
    <row r="8" spans="1:8" x14ac:dyDescent="0.25">
      <c r="A8" s="27" t="s">
        <v>46</v>
      </c>
      <c r="B8" s="85"/>
      <c r="C8" s="85"/>
      <c r="D8" s="85">
        <f>SUM(D6:D7)</f>
        <v>3530</v>
      </c>
      <c r="E8" s="272"/>
    </row>
    <row r="9" spans="1:8" x14ac:dyDescent="0.25">
      <c r="A9" s="23" t="s">
        <v>199</v>
      </c>
      <c r="B9" s="23"/>
      <c r="C9" s="23"/>
      <c r="D9" s="23">
        <v>20</v>
      </c>
    </row>
    <row r="10" spans="1:8" x14ac:dyDescent="0.25">
      <c r="A10" s="27" t="s">
        <v>200</v>
      </c>
      <c r="B10" s="23"/>
      <c r="C10" s="23"/>
      <c r="D10" s="85">
        <f>D8/D9</f>
        <v>176.5</v>
      </c>
    </row>
    <row r="11" spans="1:8" x14ac:dyDescent="0.25">
      <c r="A11" s="27" t="s">
        <v>201</v>
      </c>
      <c r="B11" s="23"/>
      <c r="C11" s="23"/>
      <c r="D11" s="85">
        <f>D6/D9</f>
        <v>135</v>
      </c>
    </row>
    <row r="12" spans="1:8" x14ac:dyDescent="0.25">
      <c r="A12" s="27"/>
      <c r="B12" s="23"/>
      <c r="C12" s="23"/>
      <c r="D12" s="85"/>
    </row>
    <row r="13" spans="1:8" x14ac:dyDescent="0.25">
      <c r="A13" s="27" t="s">
        <v>202</v>
      </c>
      <c r="B13" s="23"/>
      <c r="C13" s="23"/>
      <c r="D13" s="116">
        <f>'[6]Bldg Info, Cost Est'!$L$56</f>
        <v>151973.21764807223</v>
      </c>
    </row>
    <row r="14" spans="1:8" x14ac:dyDescent="0.25">
      <c r="A14" s="27" t="s">
        <v>203</v>
      </c>
      <c r="B14" s="23"/>
      <c r="C14" s="23"/>
      <c r="D14" s="85">
        <f>D13*D10</f>
        <v>26823272.91488475</v>
      </c>
      <c r="F14" t="s">
        <v>204</v>
      </c>
      <c r="G14" s="115">
        <f>Sizing!C55</f>
        <v>9032610</v>
      </c>
      <c r="H14" t="s">
        <v>205</v>
      </c>
    </row>
    <row r="15" spans="1:8" x14ac:dyDescent="0.25">
      <c r="A15" s="27" t="s">
        <v>206</v>
      </c>
      <c r="B15" s="23"/>
      <c r="C15" s="23"/>
      <c r="D15" s="85">
        <f>D13*D11</f>
        <v>20516384.382489752</v>
      </c>
      <c r="F15" t="s">
        <v>207</v>
      </c>
      <c r="G15" s="85">
        <f>D14</f>
        <v>26823272.91488475</v>
      </c>
    </row>
    <row r="16" spans="1:8" x14ac:dyDescent="0.25">
      <c r="A16" s="27"/>
      <c r="B16" s="23"/>
      <c r="C16" s="23"/>
      <c r="D16" s="85"/>
      <c r="G16" s="274">
        <f>G15/G14</f>
        <v>2.9696037928001706</v>
      </c>
    </row>
    <row r="17" spans="1:5" x14ac:dyDescent="0.25">
      <c r="A17" s="27"/>
    </row>
    <row r="18" spans="1:5" x14ac:dyDescent="0.25">
      <c r="A18" s="84"/>
      <c r="B18" s="84" t="s">
        <v>208</v>
      </c>
      <c r="C18" s="84"/>
      <c r="D18" s="84"/>
      <c r="E18" s="84"/>
    </row>
    <row r="19" spans="1:5" x14ac:dyDescent="0.25">
      <c r="A19" s="23" t="s">
        <v>209</v>
      </c>
      <c r="B19" s="23" t="s">
        <v>195</v>
      </c>
      <c r="C19" s="23" t="s">
        <v>196</v>
      </c>
      <c r="D19" s="23" t="s">
        <v>46</v>
      </c>
    </row>
    <row r="20" spans="1:5" x14ac:dyDescent="0.25">
      <c r="A20" s="23" t="s">
        <v>210</v>
      </c>
      <c r="B20" s="85">
        <v>1750</v>
      </c>
      <c r="C20" s="85">
        <v>600</v>
      </c>
      <c r="D20" s="85">
        <f>SUM(B20:C20)</f>
        <v>2350</v>
      </c>
    </row>
    <row r="21" spans="1:5" x14ac:dyDescent="0.25">
      <c r="A21" s="23" t="s">
        <v>199</v>
      </c>
      <c r="D21" s="23">
        <v>20</v>
      </c>
    </row>
    <row r="22" spans="1:5" x14ac:dyDescent="0.25">
      <c r="A22" s="23" t="s">
        <v>211</v>
      </c>
      <c r="D22" s="85">
        <f>D20/D21</f>
        <v>117.5</v>
      </c>
      <c r="E22" s="272"/>
    </row>
    <row r="23" spans="1:5" x14ac:dyDescent="0.25">
      <c r="E23" s="273"/>
    </row>
    <row r="24" spans="1:5" x14ac:dyDescent="0.25">
      <c r="A24" s="27" t="s">
        <v>202</v>
      </c>
      <c r="B24" s="23"/>
      <c r="C24" s="23"/>
      <c r="D24" s="115">
        <f>D13</f>
        <v>151973.21764807223</v>
      </c>
    </row>
    <row r="25" spans="1:5" x14ac:dyDescent="0.25">
      <c r="A25" s="27" t="s">
        <v>203</v>
      </c>
      <c r="B25" s="23"/>
      <c r="C25" s="23"/>
      <c r="D25" s="85">
        <f>D24*D22</f>
        <v>17856853.073648486</v>
      </c>
    </row>
    <row r="26" spans="1:5" x14ac:dyDescent="0.25">
      <c r="A26" s="27" t="s">
        <v>206</v>
      </c>
      <c r="B26" s="23"/>
      <c r="C26" s="23"/>
      <c r="D26" s="85">
        <f>D24*D22</f>
        <v>17856853.073648486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08AAE-0E83-484F-AEB6-B04F101D70D4}">
  <sheetPr>
    <tabColor rgb="FFFF0000"/>
  </sheetPr>
  <dimension ref="A1:AB52"/>
  <sheetViews>
    <sheetView showGridLines="0" topLeftCell="A19" zoomScale="85" zoomScaleNormal="85" workbookViewId="0">
      <selection activeCell="D57" sqref="D57"/>
    </sheetView>
  </sheetViews>
  <sheetFormatPr defaultColWidth="8.7109375" defaultRowHeight="15" x14ac:dyDescent="0.25"/>
  <cols>
    <col min="1" max="1" width="39" customWidth="1"/>
    <col min="2" max="2" width="19.7109375" customWidth="1"/>
    <col min="3" max="3" width="13.7109375" bestFit="1" customWidth="1"/>
    <col min="4" max="4" width="10.5703125" bestFit="1" customWidth="1"/>
    <col min="5" max="5" width="19.42578125" customWidth="1"/>
    <col min="6" max="6" width="13.42578125" customWidth="1"/>
    <col min="7" max="26" width="10.5703125" bestFit="1" customWidth="1"/>
    <col min="27" max="27" width="11.5703125" bestFit="1" customWidth="1"/>
    <col min="28" max="28" width="10.42578125" style="11" bestFit="1" customWidth="1"/>
  </cols>
  <sheetData>
    <row r="1" spans="1:28" ht="21" x14ac:dyDescent="0.25">
      <c r="A1" s="563" t="s">
        <v>212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</row>
    <row r="2" spans="1:28" ht="15.75" thickBot="1" x14ac:dyDescent="0.3"/>
    <row r="3" spans="1:28" s="1" customFormat="1" ht="30.75" thickBot="1" x14ac:dyDescent="0.3">
      <c r="A3" s="527" t="s">
        <v>2</v>
      </c>
      <c r="B3" s="225" t="s">
        <v>3</v>
      </c>
      <c r="C3" s="222" t="s">
        <v>4</v>
      </c>
      <c r="Y3" s="14"/>
    </row>
    <row r="4" spans="1:28" x14ac:dyDescent="0.25">
      <c r="A4" s="528"/>
      <c r="B4" s="226" t="s">
        <v>5</v>
      </c>
      <c r="C4" s="223" t="s">
        <v>6</v>
      </c>
      <c r="E4" s="543" t="s">
        <v>213</v>
      </c>
      <c r="F4" s="544"/>
      <c r="G4" s="230">
        <v>0.03</v>
      </c>
      <c r="Y4" s="11"/>
      <c r="AB4"/>
    </row>
    <row r="5" spans="1:28" ht="15.75" thickBot="1" x14ac:dyDescent="0.3">
      <c r="A5" s="228">
        <f>Sizing!C55</f>
        <v>9032610</v>
      </c>
      <c r="B5" s="227">
        <f>ROUND([7]Summary!$E$16,3)</f>
        <v>8.5000000000000006E-2</v>
      </c>
      <c r="C5" s="224">
        <f>ROUND([7]Summary!$E$28/10,2)</f>
        <v>0.56999999999999995</v>
      </c>
      <c r="E5" s="564" t="s">
        <v>214</v>
      </c>
      <c r="F5" s="565"/>
      <c r="G5" s="231">
        <v>0.02</v>
      </c>
    </row>
    <row r="6" spans="1:28" x14ac:dyDescent="0.25">
      <c r="E6" s="564" t="s">
        <v>7</v>
      </c>
      <c r="F6" s="565"/>
      <c r="G6" s="232">
        <v>2.5000000000000001E-3</v>
      </c>
    </row>
    <row r="7" spans="1:28" ht="15.75" thickBot="1" x14ac:dyDescent="0.3">
      <c r="E7" s="566" t="s">
        <v>215</v>
      </c>
      <c r="F7" s="567"/>
      <c r="G7" s="233">
        <v>0.02</v>
      </c>
    </row>
    <row r="8" spans="1:28" ht="60" x14ac:dyDescent="0.25">
      <c r="A8" s="172" t="s">
        <v>216</v>
      </c>
      <c r="B8" s="222" t="s">
        <v>217</v>
      </c>
      <c r="AA8" s="11"/>
      <c r="AB8"/>
    </row>
    <row r="9" spans="1:28" ht="15.75" thickBot="1" x14ac:dyDescent="0.3">
      <c r="A9" s="229">
        <f>Z35</f>
        <v>8981994.9333805479</v>
      </c>
      <c r="B9" s="152">
        <f>Z48</f>
        <v>8989232.9010031857</v>
      </c>
      <c r="AA9" s="11"/>
      <c r="AB9"/>
    </row>
    <row r="11" spans="1:28" s="3" customFormat="1" ht="27" customHeight="1" thickBot="1" x14ac:dyDescent="0.3">
      <c r="A11" s="2" t="s">
        <v>75</v>
      </c>
      <c r="AB11" s="15"/>
    </row>
    <row r="12" spans="1:28" s="4" customFormat="1" ht="15.75" thickBot="1" x14ac:dyDescent="0.3">
      <c r="A12" s="167"/>
      <c r="B12" s="182" t="s">
        <v>21</v>
      </c>
      <c r="C12" s="157" t="s">
        <v>22</v>
      </c>
      <c r="D12" s="157" t="s">
        <v>23</v>
      </c>
      <c r="E12" s="157" t="s">
        <v>24</v>
      </c>
      <c r="F12" s="157" t="s">
        <v>25</v>
      </c>
      <c r="G12" s="157" t="s">
        <v>26</v>
      </c>
      <c r="H12" s="157" t="s">
        <v>27</v>
      </c>
      <c r="I12" s="157" t="s">
        <v>28</v>
      </c>
      <c r="J12" s="157" t="s">
        <v>29</v>
      </c>
      <c r="K12" s="157" t="s">
        <v>30</v>
      </c>
      <c r="L12" s="157" t="s">
        <v>31</v>
      </c>
      <c r="M12" s="157" t="s">
        <v>32</v>
      </c>
      <c r="N12" s="157" t="s">
        <v>33</v>
      </c>
      <c r="O12" s="157" t="s">
        <v>34</v>
      </c>
      <c r="P12" s="157" t="s">
        <v>35</v>
      </c>
      <c r="Q12" s="157" t="s">
        <v>36</v>
      </c>
      <c r="R12" s="157" t="s">
        <v>37</v>
      </c>
      <c r="S12" s="157" t="s">
        <v>38</v>
      </c>
      <c r="T12" s="157" t="s">
        <v>39</v>
      </c>
      <c r="U12" s="157" t="s">
        <v>40</v>
      </c>
      <c r="V12" s="157" t="s">
        <v>41</v>
      </c>
      <c r="W12" s="157" t="s">
        <v>42</v>
      </c>
      <c r="X12" s="157" t="s">
        <v>43</v>
      </c>
      <c r="Y12" s="157" t="s">
        <v>44</v>
      </c>
      <c r="Z12" s="157" t="s">
        <v>45</v>
      </c>
      <c r="AA12" s="162" t="s">
        <v>218</v>
      </c>
      <c r="AB12" s="167"/>
    </row>
    <row r="13" spans="1:28" s="5" customFormat="1" ht="30" x14ac:dyDescent="0.25">
      <c r="A13" s="195" t="s">
        <v>219</v>
      </c>
      <c r="B13" s="190">
        <f>Sizing!D55*10</f>
        <v>1120506.4657457031</v>
      </c>
      <c r="C13" s="160">
        <f t="shared" ref="C13:AA13" si="0">B13*(1+$G$6)</f>
        <v>1123307.7319100674</v>
      </c>
      <c r="D13" s="160">
        <f t="shared" si="0"/>
        <v>1126116.0012398425</v>
      </c>
      <c r="E13" s="160">
        <f t="shared" si="0"/>
        <v>1128931.291242942</v>
      </c>
      <c r="F13" s="160">
        <f t="shared" si="0"/>
        <v>1131753.6194710492</v>
      </c>
      <c r="G13" s="160">
        <f t="shared" si="0"/>
        <v>1134583.0035197267</v>
      </c>
      <c r="H13" s="160">
        <f t="shared" si="0"/>
        <v>1137419.4610285258</v>
      </c>
      <c r="I13" s="160">
        <f t="shared" si="0"/>
        <v>1140263.009681097</v>
      </c>
      <c r="J13" s="160">
        <f t="shared" si="0"/>
        <v>1143113.6672052997</v>
      </c>
      <c r="K13" s="160">
        <f t="shared" si="0"/>
        <v>1145971.4513733129</v>
      </c>
      <c r="L13" s="160">
        <f t="shared" si="0"/>
        <v>1148836.3800017461</v>
      </c>
      <c r="M13" s="160">
        <f t="shared" si="0"/>
        <v>1151708.4709517504</v>
      </c>
      <c r="N13" s="160">
        <f t="shared" si="0"/>
        <v>1154587.7421291298</v>
      </c>
      <c r="O13" s="160">
        <f t="shared" si="0"/>
        <v>1157474.2114844525</v>
      </c>
      <c r="P13" s="160">
        <f t="shared" si="0"/>
        <v>1160367.8970131637</v>
      </c>
      <c r="Q13" s="160">
        <f t="shared" si="0"/>
        <v>1163268.8167556964</v>
      </c>
      <c r="R13" s="160">
        <f t="shared" si="0"/>
        <v>1166176.9887975857</v>
      </c>
      <c r="S13" s="160">
        <f t="shared" si="0"/>
        <v>1169092.4312695796</v>
      </c>
      <c r="T13" s="160">
        <f t="shared" si="0"/>
        <v>1172015.1623477535</v>
      </c>
      <c r="U13" s="160">
        <f t="shared" si="0"/>
        <v>1174945.2002536228</v>
      </c>
      <c r="V13" s="160">
        <f t="shared" si="0"/>
        <v>1177882.5632542567</v>
      </c>
      <c r="W13" s="160">
        <f t="shared" si="0"/>
        <v>1180827.2696623923</v>
      </c>
      <c r="X13" s="160">
        <f t="shared" si="0"/>
        <v>1183779.3378365482</v>
      </c>
      <c r="Y13" s="160">
        <f t="shared" si="0"/>
        <v>1186738.7861811395</v>
      </c>
      <c r="Z13" s="160">
        <f t="shared" si="0"/>
        <v>1189705.6331465924</v>
      </c>
      <c r="AA13" s="163">
        <f t="shared" si="0"/>
        <v>1192679.8972294589</v>
      </c>
      <c r="AB13" s="168">
        <f>AVERAGE(B13:Z13)</f>
        <v>1154774.903740119</v>
      </c>
    </row>
    <row r="14" spans="1:28" s="5" customFormat="1" ht="30" x14ac:dyDescent="0.25">
      <c r="A14" s="196" t="s">
        <v>220</v>
      </c>
      <c r="B14" s="191">
        <v>0</v>
      </c>
      <c r="C14" s="147">
        <f t="shared" ref="C14:AA14" si="1">B14*(1+$G$6)</f>
        <v>0</v>
      </c>
      <c r="D14" s="147">
        <f t="shared" si="1"/>
        <v>0</v>
      </c>
      <c r="E14" s="147">
        <f t="shared" si="1"/>
        <v>0</v>
      </c>
      <c r="F14" s="147">
        <f t="shared" si="1"/>
        <v>0</v>
      </c>
      <c r="G14" s="147">
        <f t="shared" si="1"/>
        <v>0</v>
      </c>
      <c r="H14" s="147">
        <f t="shared" si="1"/>
        <v>0</v>
      </c>
      <c r="I14" s="147">
        <f t="shared" si="1"/>
        <v>0</v>
      </c>
      <c r="J14" s="147">
        <f t="shared" si="1"/>
        <v>0</v>
      </c>
      <c r="K14" s="147">
        <f t="shared" si="1"/>
        <v>0</v>
      </c>
      <c r="L14" s="147">
        <f t="shared" si="1"/>
        <v>0</v>
      </c>
      <c r="M14" s="147">
        <f t="shared" si="1"/>
        <v>0</v>
      </c>
      <c r="N14" s="147">
        <f t="shared" si="1"/>
        <v>0</v>
      </c>
      <c r="O14" s="147">
        <f t="shared" si="1"/>
        <v>0</v>
      </c>
      <c r="P14" s="147">
        <f t="shared" si="1"/>
        <v>0</v>
      </c>
      <c r="Q14" s="147">
        <f t="shared" si="1"/>
        <v>0</v>
      </c>
      <c r="R14" s="147">
        <f t="shared" si="1"/>
        <v>0</v>
      </c>
      <c r="S14" s="147">
        <f t="shared" si="1"/>
        <v>0</v>
      </c>
      <c r="T14" s="147">
        <f t="shared" si="1"/>
        <v>0</v>
      </c>
      <c r="U14" s="147">
        <f t="shared" si="1"/>
        <v>0</v>
      </c>
      <c r="V14" s="147">
        <f t="shared" si="1"/>
        <v>0</v>
      </c>
      <c r="W14" s="147">
        <f t="shared" si="1"/>
        <v>0</v>
      </c>
      <c r="X14" s="147">
        <f t="shared" si="1"/>
        <v>0</v>
      </c>
      <c r="Y14" s="147">
        <f t="shared" si="1"/>
        <v>0</v>
      </c>
      <c r="Z14" s="147">
        <f t="shared" si="1"/>
        <v>0</v>
      </c>
      <c r="AA14" s="164">
        <f t="shared" si="1"/>
        <v>0</v>
      </c>
      <c r="AB14" s="169">
        <f t="shared" ref="AB14:AB18" si="2">AVERAGE(B14:Z14)</f>
        <v>0</v>
      </c>
    </row>
    <row r="15" spans="1:28" s="5" customFormat="1" ht="30" x14ac:dyDescent="0.25">
      <c r="A15" s="196" t="s">
        <v>221</v>
      </c>
      <c r="B15" s="192">
        <f>(Sizing!E55*1000000)/3412</f>
        <v>44736375.104737386</v>
      </c>
      <c r="C15" s="147">
        <f t="shared" ref="C15:AA15" si="3">B15*(1+$G$6)</f>
        <v>44848216.042499229</v>
      </c>
      <c r="D15" s="147">
        <f t="shared" si="3"/>
        <v>44960336.582605474</v>
      </c>
      <c r="E15" s="147">
        <f t="shared" si="3"/>
        <v>45072737.424061984</v>
      </c>
      <c r="F15" s="147">
        <f t="shared" si="3"/>
        <v>45185419.267622136</v>
      </c>
      <c r="G15" s="147">
        <f t="shared" si="3"/>
        <v>45298382.81579119</v>
      </c>
      <c r="H15" s="147">
        <f t="shared" si="3"/>
        <v>45411628.772830665</v>
      </c>
      <c r="I15" s="147">
        <f t="shared" si="3"/>
        <v>45525157.844762743</v>
      </c>
      <c r="J15" s="147">
        <f t="shared" si="3"/>
        <v>45638970.739374645</v>
      </c>
      <c r="K15" s="147">
        <f t="shared" si="3"/>
        <v>45753068.166223079</v>
      </c>
      <c r="L15" s="147">
        <f t="shared" si="3"/>
        <v>45867450.836638637</v>
      </c>
      <c r="M15" s="147">
        <f t="shared" si="3"/>
        <v>45982119.463730231</v>
      </c>
      <c r="N15" s="147">
        <f t="shared" si="3"/>
        <v>46097074.762389556</v>
      </c>
      <c r="O15" s="147">
        <f t="shared" si="3"/>
        <v>46212317.449295528</v>
      </c>
      <c r="P15" s="147">
        <f t="shared" si="3"/>
        <v>46327848.242918767</v>
      </c>
      <c r="Q15" s="147">
        <f t="shared" si="3"/>
        <v>46443667.863526061</v>
      </c>
      <c r="R15" s="147">
        <f t="shared" si="3"/>
        <v>46559777.033184871</v>
      </c>
      <c r="S15" s="147">
        <f t="shared" si="3"/>
        <v>46676176.475767829</v>
      </c>
      <c r="T15" s="147">
        <f t="shared" si="3"/>
        <v>46792866.916957244</v>
      </c>
      <c r="U15" s="147">
        <f t="shared" si="3"/>
        <v>46909849.084249638</v>
      </c>
      <c r="V15" s="147">
        <f t="shared" si="3"/>
        <v>47027123.706960261</v>
      </c>
      <c r="W15" s="147">
        <f t="shared" si="3"/>
        <v>47144691.516227663</v>
      </c>
      <c r="X15" s="147">
        <f t="shared" si="3"/>
        <v>47262553.245018229</v>
      </c>
      <c r="Y15" s="147">
        <f t="shared" si="3"/>
        <v>47380709.628130771</v>
      </c>
      <c r="Z15" s="147">
        <f t="shared" si="3"/>
        <v>47499161.402201094</v>
      </c>
      <c r="AA15" s="164">
        <f t="shared" si="3"/>
        <v>47617909.30570659</v>
      </c>
      <c r="AB15" s="169">
        <f t="shared" si="2"/>
        <v>46104547.2155082</v>
      </c>
    </row>
    <row r="16" spans="1:28" s="5" customFormat="1" ht="30" x14ac:dyDescent="0.25">
      <c r="A16" s="196" t="s">
        <v>222</v>
      </c>
      <c r="B16" s="191">
        <v>1722459.0222619497</v>
      </c>
      <c r="C16" s="147">
        <f t="shared" ref="C16:AA16" si="4">B16*(1+$G$6)</f>
        <v>1726765.1698176046</v>
      </c>
      <c r="D16" s="147">
        <f t="shared" si="4"/>
        <v>1731082.0827421485</v>
      </c>
      <c r="E16" s="147">
        <f t="shared" si="4"/>
        <v>1735409.7879490037</v>
      </c>
      <c r="F16" s="147">
        <f t="shared" si="4"/>
        <v>1739748.3124188762</v>
      </c>
      <c r="G16" s="147">
        <f t="shared" si="4"/>
        <v>1744097.6831999233</v>
      </c>
      <c r="H16" s="147">
        <f t="shared" si="4"/>
        <v>1748457.9274079229</v>
      </c>
      <c r="I16" s="147">
        <f t="shared" si="4"/>
        <v>1752829.0722264426</v>
      </c>
      <c r="J16" s="147">
        <f t="shared" si="4"/>
        <v>1757211.1449070086</v>
      </c>
      <c r="K16" s="147">
        <f t="shared" si="4"/>
        <v>1761604.172769276</v>
      </c>
      <c r="L16" s="147">
        <f t="shared" si="4"/>
        <v>1766008.1832011992</v>
      </c>
      <c r="M16" s="147">
        <f t="shared" si="4"/>
        <v>1770423.203659202</v>
      </c>
      <c r="N16" s="147">
        <f t="shared" si="4"/>
        <v>1774849.2616683498</v>
      </c>
      <c r="O16" s="147">
        <f t="shared" si="4"/>
        <v>1779286.3848225207</v>
      </c>
      <c r="P16" s="147">
        <f t="shared" si="4"/>
        <v>1783734.600784577</v>
      </c>
      <c r="Q16" s="147">
        <f t="shared" si="4"/>
        <v>1788193.9372865383</v>
      </c>
      <c r="R16" s="147">
        <f t="shared" si="4"/>
        <v>1792664.4221297544</v>
      </c>
      <c r="S16" s="147">
        <f t="shared" si="4"/>
        <v>1797146.0831850788</v>
      </c>
      <c r="T16" s="147">
        <f t="shared" si="4"/>
        <v>1801638.9483930415</v>
      </c>
      <c r="U16" s="147">
        <f t="shared" si="4"/>
        <v>1806143.0457640239</v>
      </c>
      <c r="V16" s="147">
        <f t="shared" si="4"/>
        <v>1810658.4033784338</v>
      </c>
      <c r="W16" s="147">
        <f t="shared" si="4"/>
        <v>1815185.0493868797</v>
      </c>
      <c r="X16" s="147">
        <f t="shared" si="4"/>
        <v>1819723.0120103469</v>
      </c>
      <c r="Y16" s="147">
        <f t="shared" si="4"/>
        <v>1824272.3195403726</v>
      </c>
      <c r="Z16" s="147">
        <f t="shared" si="4"/>
        <v>1828833.0003392233</v>
      </c>
      <c r="AA16" s="164">
        <f t="shared" si="4"/>
        <v>1833405.0828400713</v>
      </c>
      <c r="AB16" s="169">
        <f t="shared" si="2"/>
        <v>1775136.969249988</v>
      </c>
    </row>
    <row r="17" spans="1:28" s="5" customFormat="1" x14ac:dyDescent="0.25">
      <c r="A17" s="196" t="s">
        <v>17</v>
      </c>
      <c r="B17" s="193">
        <f>C5</f>
        <v>0.56999999999999995</v>
      </c>
      <c r="C17" s="109">
        <f t="shared" ref="C17:Z17" si="5">B17*(1+$G$5)</f>
        <v>0.58139999999999992</v>
      </c>
      <c r="D17" s="109">
        <f t="shared" si="5"/>
        <v>0.59302799999999989</v>
      </c>
      <c r="E17" s="109">
        <f t="shared" si="5"/>
        <v>0.60488855999999991</v>
      </c>
      <c r="F17" s="109">
        <f t="shared" si="5"/>
        <v>0.6169863311999999</v>
      </c>
      <c r="G17" s="109">
        <f t="shared" si="5"/>
        <v>0.62932605782399986</v>
      </c>
      <c r="H17" s="109">
        <f t="shared" si="5"/>
        <v>0.64191257898047982</v>
      </c>
      <c r="I17" s="109">
        <f t="shared" si="5"/>
        <v>0.65475083056008943</v>
      </c>
      <c r="J17" s="109">
        <f t="shared" si="5"/>
        <v>0.66784584717129125</v>
      </c>
      <c r="K17" s="109">
        <f t="shared" si="5"/>
        <v>0.68120276411471714</v>
      </c>
      <c r="L17" s="109">
        <f t="shared" si="5"/>
        <v>0.69482681939701152</v>
      </c>
      <c r="M17" s="109">
        <f t="shared" si="5"/>
        <v>0.70872335578495171</v>
      </c>
      <c r="N17" s="109">
        <f t="shared" si="5"/>
        <v>0.72289782290065074</v>
      </c>
      <c r="O17" s="109">
        <f t="shared" si="5"/>
        <v>0.73735577935866381</v>
      </c>
      <c r="P17" s="109">
        <f t="shared" si="5"/>
        <v>0.75210289494583715</v>
      </c>
      <c r="Q17" s="109">
        <f t="shared" si="5"/>
        <v>0.76714495284475392</v>
      </c>
      <c r="R17" s="109">
        <f t="shared" si="5"/>
        <v>0.78248785190164905</v>
      </c>
      <c r="S17" s="109">
        <f t="shared" si="5"/>
        <v>0.798137608939682</v>
      </c>
      <c r="T17" s="109">
        <f t="shared" si="5"/>
        <v>0.81410036111847561</v>
      </c>
      <c r="U17" s="109">
        <f t="shared" si="5"/>
        <v>0.83038236834084511</v>
      </c>
      <c r="V17" s="109">
        <f t="shared" si="5"/>
        <v>0.84699001570766208</v>
      </c>
      <c r="W17" s="109">
        <f t="shared" si="5"/>
        <v>0.86392981602181529</v>
      </c>
      <c r="X17" s="109">
        <f t="shared" si="5"/>
        <v>0.88120841234225156</v>
      </c>
      <c r="Y17" s="109">
        <f t="shared" si="5"/>
        <v>0.89883258058909665</v>
      </c>
      <c r="Z17" s="109">
        <f t="shared" si="5"/>
        <v>0.91680923220087862</v>
      </c>
      <c r="AA17" s="165"/>
      <c r="AB17" s="170">
        <f t="shared" si="2"/>
        <v>0.7302908336897922</v>
      </c>
    </row>
    <row r="18" spans="1:28" s="4" customFormat="1" ht="15.6" customHeight="1" thickBot="1" x14ac:dyDescent="0.3">
      <c r="A18" s="197" t="s">
        <v>18</v>
      </c>
      <c r="B18" s="194">
        <f>B5</f>
        <v>8.5000000000000006E-2</v>
      </c>
      <c r="C18" s="161">
        <f t="shared" ref="C18:Z18" si="6">B18*(1+$G$4)</f>
        <v>8.7550000000000003E-2</v>
      </c>
      <c r="D18" s="161">
        <f t="shared" si="6"/>
        <v>9.0176500000000007E-2</v>
      </c>
      <c r="E18" s="161">
        <f t="shared" si="6"/>
        <v>9.2881795000000003E-2</v>
      </c>
      <c r="F18" s="161">
        <f t="shared" si="6"/>
        <v>9.5668248850000012E-2</v>
      </c>
      <c r="G18" s="161">
        <f t="shared" si="6"/>
        <v>9.8538296315500012E-2</v>
      </c>
      <c r="H18" s="161">
        <f t="shared" si="6"/>
        <v>0.10149444520496502</v>
      </c>
      <c r="I18" s="161">
        <f t="shared" si="6"/>
        <v>0.10453927856111397</v>
      </c>
      <c r="J18" s="161">
        <f t="shared" si="6"/>
        <v>0.1076754569179474</v>
      </c>
      <c r="K18" s="161">
        <f t="shared" si="6"/>
        <v>0.11090572062548583</v>
      </c>
      <c r="L18" s="161">
        <f t="shared" si="6"/>
        <v>0.1142328922442504</v>
      </c>
      <c r="M18" s="161">
        <f t="shared" si="6"/>
        <v>0.11765987901157791</v>
      </c>
      <c r="N18" s="161">
        <f t="shared" si="6"/>
        <v>0.12118967538192525</v>
      </c>
      <c r="O18" s="161">
        <f t="shared" si="6"/>
        <v>0.12482536564338301</v>
      </c>
      <c r="P18" s="161">
        <f t="shared" si="6"/>
        <v>0.12857012661268449</v>
      </c>
      <c r="Q18" s="161">
        <f t="shared" si="6"/>
        <v>0.13242723041106502</v>
      </c>
      <c r="R18" s="161">
        <f t="shared" si="6"/>
        <v>0.13640004732339697</v>
      </c>
      <c r="S18" s="161">
        <f t="shared" si="6"/>
        <v>0.1404920487430989</v>
      </c>
      <c r="T18" s="161">
        <f t="shared" si="6"/>
        <v>0.14470681020539186</v>
      </c>
      <c r="U18" s="161">
        <f t="shared" si="6"/>
        <v>0.14904801451155361</v>
      </c>
      <c r="V18" s="161">
        <f t="shared" si="6"/>
        <v>0.15351945494690022</v>
      </c>
      <c r="W18" s="161">
        <f t="shared" si="6"/>
        <v>0.15812503859530724</v>
      </c>
      <c r="X18" s="161">
        <f t="shared" si="6"/>
        <v>0.16286878975316646</v>
      </c>
      <c r="Y18" s="161">
        <f t="shared" si="6"/>
        <v>0.16775485344576146</v>
      </c>
      <c r="Z18" s="161">
        <f t="shared" si="6"/>
        <v>0.17278749904913432</v>
      </c>
      <c r="AA18" s="166"/>
      <c r="AB18" s="171">
        <f t="shared" si="2"/>
        <v>0.12396149869414443</v>
      </c>
    </row>
    <row r="19" spans="1:28" s="3" customFormat="1" ht="27" customHeight="1" x14ac:dyDescent="0.25"/>
    <row r="20" spans="1:28" s="5" customFormat="1" ht="19.5" thickBot="1" x14ac:dyDescent="0.3">
      <c r="A20" s="2" t="s">
        <v>81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15"/>
    </row>
    <row r="21" spans="1:28" s="6" customFormat="1" ht="15.75" thickBot="1" x14ac:dyDescent="0.3">
      <c r="A21" s="167"/>
      <c r="B21" s="182" t="s">
        <v>21</v>
      </c>
      <c r="C21" s="157" t="s">
        <v>22</v>
      </c>
      <c r="D21" s="157" t="s">
        <v>23</v>
      </c>
      <c r="E21" s="157" t="s">
        <v>24</v>
      </c>
      <c r="F21" s="157" t="s">
        <v>25</v>
      </c>
      <c r="G21" s="157" t="s">
        <v>26</v>
      </c>
      <c r="H21" s="157" t="s">
        <v>27</v>
      </c>
      <c r="I21" s="157" t="s">
        <v>28</v>
      </c>
      <c r="J21" s="157" t="s">
        <v>29</v>
      </c>
      <c r="K21" s="157" t="s">
        <v>30</v>
      </c>
      <c r="L21" s="157" t="s">
        <v>31</v>
      </c>
      <c r="M21" s="157" t="s">
        <v>32</v>
      </c>
      <c r="N21" s="157" t="s">
        <v>33</v>
      </c>
      <c r="O21" s="157" t="s">
        <v>34</v>
      </c>
      <c r="P21" s="157" t="s">
        <v>35</v>
      </c>
      <c r="Q21" s="157" t="s">
        <v>36</v>
      </c>
      <c r="R21" s="157" t="s">
        <v>37</v>
      </c>
      <c r="S21" s="157" t="s">
        <v>38</v>
      </c>
      <c r="T21" s="157" t="s">
        <v>39</v>
      </c>
      <c r="U21" s="157" t="s">
        <v>40</v>
      </c>
      <c r="V21" s="157" t="s">
        <v>41</v>
      </c>
      <c r="W21" s="157" t="s">
        <v>42</v>
      </c>
      <c r="X21" s="157" t="s">
        <v>43</v>
      </c>
      <c r="Y21" s="157" t="s">
        <v>44</v>
      </c>
      <c r="Z21" s="157" t="s">
        <v>45</v>
      </c>
      <c r="AA21" s="158" t="s">
        <v>52</v>
      </c>
      <c r="AB21" s="159"/>
    </row>
    <row r="22" spans="1:28" s="7" customFormat="1" x14ac:dyDescent="0.25">
      <c r="A22" s="200" t="s">
        <v>223</v>
      </c>
      <c r="B22" s="198">
        <v>6500</v>
      </c>
      <c r="C22" s="154">
        <f t="shared" ref="C22:Z22" si="7">B22*(1+$G$7)</f>
        <v>6630</v>
      </c>
      <c r="D22" s="154">
        <f t="shared" si="7"/>
        <v>6762.6</v>
      </c>
      <c r="E22" s="154">
        <f t="shared" si="7"/>
        <v>6897.8520000000008</v>
      </c>
      <c r="F22" s="154">
        <f t="shared" si="7"/>
        <v>7035.809040000001</v>
      </c>
      <c r="G22" s="154">
        <f t="shared" si="7"/>
        <v>7176.5252208000011</v>
      </c>
      <c r="H22" s="154">
        <f t="shared" si="7"/>
        <v>7320.0557252160015</v>
      </c>
      <c r="I22" s="154">
        <f t="shared" si="7"/>
        <v>7466.456839720322</v>
      </c>
      <c r="J22" s="154">
        <f t="shared" si="7"/>
        <v>7615.7859765147286</v>
      </c>
      <c r="K22" s="154">
        <f t="shared" si="7"/>
        <v>7768.1016960450233</v>
      </c>
      <c r="L22" s="154">
        <f t="shared" si="7"/>
        <v>7923.4637299659244</v>
      </c>
      <c r="M22" s="154">
        <f t="shared" si="7"/>
        <v>8081.9330045652432</v>
      </c>
      <c r="N22" s="154">
        <f t="shared" si="7"/>
        <v>8243.5716646565488</v>
      </c>
      <c r="O22" s="154">
        <f t="shared" si="7"/>
        <v>8408.4430979496792</v>
      </c>
      <c r="P22" s="154">
        <f t="shared" si="7"/>
        <v>8576.6119599086724</v>
      </c>
      <c r="Q22" s="154">
        <f t="shared" si="7"/>
        <v>8748.1441991068459</v>
      </c>
      <c r="R22" s="154">
        <f t="shared" si="7"/>
        <v>8923.1070830889821</v>
      </c>
      <c r="S22" s="154">
        <f t="shared" si="7"/>
        <v>9101.5692247507614</v>
      </c>
      <c r="T22" s="154">
        <f t="shared" si="7"/>
        <v>9283.6006092457774</v>
      </c>
      <c r="U22" s="154">
        <f t="shared" si="7"/>
        <v>9469.2726214306931</v>
      </c>
      <c r="V22" s="154">
        <f t="shared" si="7"/>
        <v>9658.6580738593075</v>
      </c>
      <c r="W22" s="154">
        <f t="shared" si="7"/>
        <v>9851.8312353364945</v>
      </c>
      <c r="X22" s="154">
        <f t="shared" si="7"/>
        <v>10048.867860043225</v>
      </c>
      <c r="Y22" s="154">
        <f t="shared" si="7"/>
        <v>10249.84521724409</v>
      </c>
      <c r="Z22" s="154">
        <f t="shared" si="7"/>
        <v>10454.842121588972</v>
      </c>
      <c r="AA22" s="155">
        <f>SUM(B22:Z22)</f>
        <v>208196.94820103727</v>
      </c>
      <c r="AB22" s="156">
        <f>AVERAGE(B22:Z22)</f>
        <v>8327.877928041491</v>
      </c>
    </row>
    <row r="23" spans="1:28" s="6" customFormat="1" ht="15.75" thickBot="1" x14ac:dyDescent="0.3">
      <c r="A23" s="197" t="s">
        <v>224</v>
      </c>
      <c r="B23" s="199">
        <v>2000</v>
      </c>
      <c r="C23" s="151">
        <f t="shared" ref="C23:Z23" si="8">B23*(1+$G$7)</f>
        <v>2040</v>
      </c>
      <c r="D23" s="151">
        <f t="shared" si="8"/>
        <v>2080.8000000000002</v>
      </c>
      <c r="E23" s="151">
        <f t="shared" si="8"/>
        <v>2122.4160000000002</v>
      </c>
      <c r="F23" s="151">
        <f t="shared" si="8"/>
        <v>2164.8643200000001</v>
      </c>
      <c r="G23" s="151">
        <f t="shared" si="8"/>
        <v>2208.1616064</v>
      </c>
      <c r="H23" s="151">
        <f t="shared" si="8"/>
        <v>2252.3248385279999</v>
      </c>
      <c r="I23" s="151">
        <f t="shared" si="8"/>
        <v>2297.3713352985601</v>
      </c>
      <c r="J23" s="151">
        <f t="shared" si="8"/>
        <v>2343.3187620045314</v>
      </c>
      <c r="K23" s="151">
        <f t="shared" si="8"/>
        <v>2390.1851372446222</v>
      </c>
      <c r="L23" s="151">
        <f t="shared" si="8"/>
        <v>2437.9888399895149</v>
      </c>
      <c r="M23" s="151">
        <f t="shared" si="8"/>
        <v>2486.7486167893053</v>
      </c>
      <c r="N23" s="151">
        <f t="shared" si="8"/>
        <v>2536.4835891250914</v>
      </c>
      <c r="O23" s="151">
        <f t="shared" si="8"/>
        <v>2587.2132609075934</v>
      </c>
      <c r="P23" s="151">
        <f t="shared" si="8"/>
        <v>2638.9575261257455</v>
      </c>
      <c r="Q23" s="151">
        <f t="shared" si="8"/>
        <v>2691.7366766482605</v>
      </c>
      <c r="R23" s="151">
        <f t="shared" si="8"/>
        <v>2745.5714101812259</v>
      </c>
      <c r="S23" s="151">
        <f t="shared" si="8"/>
        <v>2800.4828383848503</v>
      </c>
      <c r="T23" s="151">
        <f t="shared" si="8"/>
        <v>2856.4924951525472</v>
      </c>
      <c r="U23" s="151">
        <f t="shared" si="8"/>
        <v>2913.6223450555981</v>
      </c>
      <c r="V23" s="151">
        <f t="shared" si="8"/>
        <v>2971.8947919567099</v>
      </c>
      <c r="W23" s="151">
        <f t="shared" si="8"/>
        <v>3031.3326877958443</v>
      </c>
      <c r="X23" s="151">
        <f t="shared" si="8"/>
        <v>3091.9593415517611</v>
      </c>
      <c r="Y23" s="151">
        <f t="shared" si="8"/>
        <v>3153.7985283827966</v>
      </c>
      <c r="Z23" s="151">
        <f t="shared" si="8"/>
        <v>3216.8744989504526</v>
      </c>
      <c r="AA23" s="152">
        <f>SUM(B23:Z23)</f>
        <v>64060.59944647301</v>
      </c>
      <c r="AB23" s="153">
        <f>AVERAGE(B23:Z23)</f>
        <v>2562.4239778589204</v>
      </c>
    </row>
    <row r="24" spans="1:28" s="5" customFormat="1" x14ac:dyDescent="0.25"/>
    <row r="25" spans="1:28" s="6" customFormat="1" ht="19.5" thickBot="1" x14ac:dyDescent="0.3">
      <c r="A25" s="2" t="s">
        <v>225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15"/>
    </row>
    <row r="26" spans="1:28" s="7" customFormat="1" ht="15.75" thickBot="1" x14ac:dyDescent="0.3">
      <c r="A26" s="167"/>
      <c r="B26" s="182" t="s">
        <v>21</v>
      </c>
      <c r="C26" s="157" t="s">
        <v>226</v>
      </c>
      <c r="D26" s="162" t="s">
        <v>227</v>
      </c>
      <c r="E26" s="177" t="s">
        <v>228</v>
      </c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30"/>
    </row>
    <row r="27" spans="1:28" s="6" customFormat="1" x14ac:dyDescent="0.25">
      <c r="A27" s="200" t="s">
        <v>223</v>
      </c>
      <c r="B27" s="198">
        <f>'Install Cost Blr_Ch_Twr'!M124</f>
        <v>3476146.9148999988</v>
      </c>
      <c r="C27" s="174">
        <f>D27/((1+$B$44)^20)</f>
        <v>519660.8171788844</v>
      </c>
      <c r="D27" s="175">
        <f>'Install Cost Blr_Ch_Twr'!M4+'Install Cost Blr_Ch_Twr'!M5</f>
        <v>2010923.3900000001</v>
      </c>
      <c r="E27" s="178">
        <f>B27+C27</f>
        <v>3995807.7320788833</v>
      </c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1"/>
    </row>
    <row r="28" spans="1:28" s="6" customFormat="1" ht="15.75" thickBot="1" x14ac:dyDescent="0.3">
      <c r="A28" s="197" t="s">
        <v>224</v>
      </c>
      <c r="B28" s="199">
        <f>'Install Cost DES'!M108</f>
        <v>3140477.7357525001</v>
      </c>
      <c r="C28" s="173">
        <f>D28/((1+$B$44)^20)</f>
        <v>0</v>
      </c>
      <c r="D28" s="176">
        <v>0</v>
      </c>
      <c r="E28" s="179">
        <f>B28+C28</f>
        <v>3140477.7357525001</v>
      </c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1"/>
    </row>
    <row r="29" spans="1:28" s="6" customFormat="1" x14ac:dyDescent="0.25">
      <c r="A29" s="133"/>
      <c r="B29" s="134" t="s">
        <v>229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1"/>
    </row>
    <row r="30" spans="1:28" s="9" customFormat="1" x14ac:dyDescent="0.25">
      <c r="A30" s="13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1"/>
    </row>
    <row r="31" spans="1:28" s="6" customFormat="1" ht="15.75" thickBot="1" x14ac:dyDescent="0.3">
      <c r="AB31" s="16"/>
    </row>
    <row r="32" spans="1:28" s="6" customFormat="1" ht="15.75" thickBot="1" x14ac:dyDescent="0.3">
      <c r="A32" s="186" t="s">
        <v>230</v>
      </c>
      <c r="B32" s="182" t="s">
        <v>21</v>
      </c>
      <c r="C32" s="157" t="s">
        <v>22</v>
      </c>
      <c r="D32" s="157" t="s">
        <v>23</v>
      </c>
      <c r="E32" s="157" t="s">
        <v>24</v>
      </c>
      <c r="F32" s="157" t="s">
        <v>25</v>
      </c>
      <c r="G32" s="157" t="s">
        <v>26</v>
      </c>
      <c r="H32" s="157" t="s">
        <v>27</v>
      </c>
      <c r="I32" s="157" t="s">
        <v>28</v>
      </c>
      <c r="J32" s="157" t="s">
        <v>29</v>
      </c>
      <c r="K32" s="157" t="s">
        <v>30</v>
      </c>
      <c r="L32" s="157" t="s">
        <v>31</v>
      </c>
      <c r="M32" s="157" t="s">
        <v>32</v>
      </c>
      <c r="N32" s="157" t="s">
        <v>33</v>
      </c>
      <c r="O32" s="157" t="s">
        <v>34</v>
      </c>
      <c r="P32" s="157" t="s">
        <v>35</v>
      </c>
      <c r="Q32" s="157" t="s">
        <v>36</v>
      </c>
      <c r="R32" s="157" t="s">
        <v>37</v>
      </c>
      <c r="S32" s="157" t="s">
        <v>38</v>
      </c>
      <c r="T32" s="157" t="s">
        <v>39</v>
      </c>
      <c r="U32" s="157" t="s">
        <v>40</v>
      </c>
      <c r="V32" s="157" t="s">
        <v>41</v>
      </c>
      <c r="W32" s="157" t="s">
        <v>42</v>
      </c>
      <c r="X32" s="157" t="s">
        <v>43</v>
      </c>
      <c r="Y32" s="157" t="s">
        <v>44</v>
      </c>
      <c r="Z32" s="162" t="s">
        <v>45</v>
      </c>
      <c r="AA32" s="186" t="s">
        <v>231</v>
      </c>
      <c r="AB32" s="17"/>
    </row>
    <row r="33" spans="1:28" s="6" customFormat="1" x14ac:dyDescent="0.25">
      <c r="A33" s="187" t="s">
        <v>232</v>
      </c>
      <c r="B33" s="183">
        <f>(B13-B14)*B17</f>
        <v>638688.6854750507</v>
      </c>
      <c r="C33" s="154">
        <f t="shared" ref="C33:Z33" si="9">(C13-C14)*C17</f>
        <v>653091.11533251312</v>
      </c>
      <c r="D33" s="154">
        <f t="shared" si="9"/>
        <v>667818.31998326117</v>
      </c>
      <c r="E33" s="154">
        <f t="shared" si="9"/>
        <v>682877.62309888366</v>
      </c>
      <c r="F33" s="154">
        <f t="shared" si="9"/>
        <v>698276.51349976344</v>
      </c>
      <c r="G33" s="154">
        <f t="shared" si="9"/>
        <v>714022.64887918299</v>
      </c>
      <c r="H33" s="154">
        <f t="shared" si="9"/>
        <v>730123.85961140844</v>
      </c>
      <c r="I33" s="154">
        <f t="shared" si="9"/>
        <v>746588.15264564555</v>
      </c>
      <c r="J33" s="154">
        <f t="shared" si="9"/>
        <v>763423.71548780485</v>
      </c>
      <c r="K33" s="154">
        <f t="shared" si="9"/>
        <v>780638.92027205485</v>
      </c>
      <c r="L33" s="154">
        <f t="shared" si="9"/>
        <v>798242.32792418974</v>
      </c>
      <c r="M33" s="154">
        <f t="shared" si="9"/>
        <v>816242.69241888018</v>
      </c>
      <c r="N33" s="154">
        <f t="shared" si="9"/>
        <v>834648.96513292589</v>
      </c>
      <c r="O33" s="154">
        <f t="shared" si="9"/>
        <v>853470.29929667327</v>
      </c>
      <c r="P33" s="154">
        <f t="shared" si="9"/>
        <v>872716.05454581336</v>
      </c>
      <c r="Q33" s="154">
        <f t="shared" si="9"/>
        <v>892395.80157582148</v>
      </c>
      <c r="R33" s="154">
        <f t="shared" si="9"/>
        <v>912519.32690135634</v>
      </c>
      <c r="S33" s="154">
        <f t="shared" si="9"/>
        <v>933096.63772298174</v>
      </c>
      <c r="T33" s="154">
        <f t="shared" si="9"/>
        <v>954137.96690363495</v>
      </c>
      <c r="U33" s="154">
        <f t="shared" si="9"/>
        <v>975653.77805731189</v>
      </c>
      <c r="V33" s="154">
        <f t="shared" si="9"/>
        <v>997654.77075250424</v>
      </c>
      <c r="W33" s="154">
        <f t="shared" si="9"/>
        <v>1020151.8858329731</v>
      </c>
      <c r="X33" s="154">
        <f t="shared" si="9"/>
        <v>1043156.3108585065</v>
      </c>
      <c r="Y33" s="154">
        <f t="shared" si="9"/>
        <v>1066679.4856683658</v>
      </c>
      <c r="Z33" s="201">
        <f t="shared" si="9"/>
        <v>1090733.1080701875</v>
      </c>
      <c r="AA33" s="204">
        <f>SUM(B33:U33)</f>
        <v>15918673.404765159</v>
      </c>
      <c r="AB33" s="16"/>
    </row>
    <row r="34" spans="1:28" ht="17.100000000000001" customHeight="1" thickBot="1" x14ac:dyDescent="0.3">
      <c r="A34" s="188" t="s">
        <v>233</v>
      </c>
      <c r="B34" s="184">
        <f t="shared" ref="B34:Z34" si="10">(B15-B16)*B18</f>
        <v>3656182.8670104127</v>
      </c>
      <c r="C34" s="180">
        <f t="shared" si="10"/>
        <v>3775283.0239032763</v>
      </c>
      <c r="D34" s="180">
        <f t="shared" si="10"/>
        <v>3898262.8684069254</v>
      </c>
      <c r="E34" s="180">
        <f t="shared" si="10"/>
        <v>4025248.7813452808</v>
      </c>
      <c r="F34" s="180">
        <f t="shared" si="10"/>
        <v>4156371.2603976028</v>
      </c>
      <c r="G34" s="180">
        <f t="shared" si="10"/>
        <v>4291765.0542050553</v>
      </c>
      <c r="H34" s="180">
        <f t="shared" si="10"/>
        <v>4431569.3008457851</v>
      </c>
      <c r="I34" s="180">
        <f t="shared" si="10"/>
        <v>4575927.670820836</v>
      </c>
      <c r="J34" s="180">
        <f t="shared" si="10"/>
        <v>4724988.5146978255</v>
      </c>
      <c r="K34" s="180">
        <f t="shared" si="10"/>
        <v>4878905.0155641064</v>
      </c>
      <c r="L34" s="180">
        <f t="shared" si="10"/>
        <v>5037835.3464461071</v>
      </c>
      <c r="M34" s="180">
        <f t="shared" si="10"/>
        <v>5201942.832856589</v>
      </c>
      <c r="N34" s="180">
        <f t="shared" si="10"/>
        <v>5371396.1206368925</v>
      </c>
      <c r="O34" s="180">
        <f t="shared" si="10"/>
        <v>5546369.349266639</v>
      </c>
      <c r="P34" s="180">
        <f t="shared" si="10"/>
        <v>5727042.3308189996</v>
      </c>
      <c r="Q34" s="180">
        <f t="shared" si="10"/>
        <v>5913600.734745427</v>
      </c>
      <c r="R34" s="180">
        <f t="shared" si="10"/>
        <v>6106236.2786797592</v>
      </c>
      <c r="S34" s="180">
        <f t="shared" si="10"/>
        <v>6305146.9254577523</v>
      </c>
      <c r="T34" s="180">
        <f t="shared" si="10"/>
        <v>6510537.0865545385</v>
      </c>
      <c r="U34" s="180">
        <f t="shared" si="10"/>
        <v>6722617.8321490521</v>
      </c>
      <c r="V34" s="180">
        <f t="shared" si="10"/>
        <v>6941607.1080313073</v>
      </c>
      <c r="W34" s="180">
        <f t="shared" si="10"/>
        <v>7167729.9595754277</v>
      </c>
      <c r="X34" s="180">
        <f t="shared" si="10"/>
        <v>7401218.7630085973</v>
      </c>
      <c r="Y34" s="180">
        <f t="shared" si="10"/>
        <v>7642313.4642136022</v>
      </c>
      <c r="Z34" s="202">
        <f t="shared" si="10"/>
        <v>7891261.8253103597</v>
      </c>
      <c r="AA34" s="205">
        <f>SUM(B34:U34)</f>
        <v>100857229.19480887</v>
      </c>
      <c r="AB34" s="207"/>
    </row>
    <row r="35" spans="1:28" s="6" customFormat="1" ht="15.75" thickBot="1" x14ac:dyDescent="0.3">
      <c r="A35" s="189" t="s">
        <v>234</v>
      </c>
      <c r="B35" s="185">
        <f>B34+B33</f>
        <v>4294871.5524854632</v>
      </c>
      <c r="C35" s="181">
        <f t="shared" ref="C35:Z35" si="11">C34+C33</f>
        <v>4428374.139235789</v>
      </c>
      <c r="D35" s="181">
        <f t="shared" si="11"/>
        <v>4566081.1883901861</v>
      </c>
      <c r="E35" s="181">
        <f t="shared" si="11"/>
        <v>4708126.4044441646</v>
      </c>
      <c r="F35" s="181">
        <f t="shared" si="11"/>
        <v>4854647.7738973666</v>
      </c>
      <c r="G35" s="181">
        <f t="shared" si="11"/>
        <v>5005787.7030842379</v>
      </c>
      <c r="H35" s="181">
        <f t="shared" si="11"/>
        <v>5161693.1604571939</v>
      </c>
      <c r="I35" s="181">
        <f t="shared" si="11"/>
        <v>5322515.8234664816</v>
      </c>
      <c r="J35" s="181">
        <f t="shared" si="11"/>
        <v>5488412.2301856307</v>
      </c>
      <c r="K35" s="181">
        <f t="shared" si="11"/>
        <v>5659543.9358361615</v>
      </c>
      <c r="L35" s="181">
        <f t="shared" si="11"/>
        <v>5836077.6743702972</v>
      </c>
      <c r="M35" s="181">
        <f t="shared" si="11"/>
        <v>6018185.5252754688</v>
      </c>
      <c r="N35" s="181">
        <f t="shared" si="11"/>
        <v>6206045.0857698182</v>
      </c>
      <c r="O35" s="181">
        <f t="shared" si="11"/>
        <v>6399839.6485633124</v>
      </c>
      <c r="P35" s="181">
        <f t="shared" si="11"/>
        <v>6599758.3853648128</v>
      </c>
      <c r="Q35" s="181">
        <f t="shared" si="11"/>
        <v>6805996.5363212489</v>
      </c>
      <c r="R35" s="181">
        <f t="shared" si="11"/>
        <v>7018755.6055811159</v>
      </c>
      <c r="S35" s="181">
        <f t="shared" si="11"/>
        <v>7238243.5631807344</v>
      </c>
      <c r="T35" s="181">
        <f t="shared" si="11"/>
        <v>7464675.0534581738</v>
      </c>
      <c r="U35" s="181">
        <f t="shared" si="11"/>
        <v>7698271.6102063637</v>
      </c>
      <c r="V35" s="181">
        <f t="shared" si="11"/>
        <v>7939261.8787838118</v>
      </c>
      <c r="W35" s="181">
        <f t="shared" si="11"/>
        <v>8187881.8454084005</v>
      </c>
      <c r="X35" s="181">
        <f t="shared" si="11"/>
        <v>8444375.0738671031</v>
      </c>
      <c r="Y35" s="181">
        <f t="shared" si="11"/>
        <v>8708992.9498819672</v>
      </c>
      <c r="Z35" s="203">
        <f t="shared" si="11"/>
        <v>8981994.9333805479</v>
      </c>
      <c r="AA35" s="206">
        <f>SUM(B35:U35)</f>
        <v>116775902.59957401</v>
      </c>
      <c r="AB35" s="16"/>
    </row>
    <row r="36" spans="1:28" s="6" customFormat="1" x14ac:dyDescent="0.25">
      <c r="A36" s="13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10"/>
      <c r="AB36" s="16"/>
    </row>
    <row r="37" spans="1:28" s="7" customForma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 s="11"/>
    </row>
    <row r="38" spans="1:28" s="6" customFormat="1" x14ac:dyDescent="0.25">
      <c r="A38" s="13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10"/>
      <c r="AB38" s="16"/>
    </row>
    <row r="39" spans="1:28" s="6" customFormat="1" ht="21" x14ac:dyDescent="0.35">
      <c r="A39" s="114" t="s">
        <v>235</v>
      </c>
      <c r="B39" s="110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2"/>
      <c r="AB39" s="113"/>
    </row>
    <row r="40" spans="1:28" ht="15.75" thickBot="1" x14ac:dyDescent="0.3">
      <c r="A40" s="13"/>
      <c r="B40" s="6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10"/>
      <c r="AB40" s="16"/>
    </row>
    <row r="41" spans="1:28" x14ac:dyDescent="0.25">
      <c r="A41" s="208" t="s">
        <v>236</v>
      </c>
      <c r="B41" s="211">
        <f>'Install Cost DES'!M108</f>
        <v>3140477.7357525001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17"/>
    </row>
    <row r="42" spans="1:28" ht="15" customHeight="1" x14ac:dyDescent="0.25">
      <c r="A42" s="209" t="s">
        <v>237</v>
      </c>
      <c r="B42" s="303">
        <f>'Install Cost Blr_Ch_Twr'!M124</f>
        <v>3476146.9148999988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16"/>
    </row>
    <row r="43" spans="1:28" x14ac:dyDescent="0.25">
      <c r="A43" s="209" t="s">
        <v>238</v>
      </c>
      <c r="B43" s="212">
        <f>B42-B41</f>
        <v>335669.17914749868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16"/>
    </row>
    <row r="44" spans="1:28" ht="15.75" thickBot="1" x14ac:dyDescent="0.3">
      <c r="A44" s="210" t="s">
        <v>71</v>
      </c>
      <c r="B44" s="213">
        <v>7.0000000000000007E-2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16"/>
    </row>
    <row r="46" spans="1:28" ht="15.75" thickBot="1" x14ac:dyDescent="0.3"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8" x14ac:dyDescent="0.25">
      <c r="A47" s="218" t="s">
        <v>239</v>
      </c>
      <c r="B47" s="216" t="s">
        <v>21</v>
      </c>
      <c r="C47" s="149" t="s">
        <v>22</v>
      </c>
      <c r="D47" s="149" t="s">
        <v>23</v>
      </c>
      <c r="E47" s="149" t="s">
        <v>24</v>
      </c>
      <c r="F47" s="149" t="s">
        <v>25</v>
      </c>
      <c r="G47" s="149" t="s">
        <v>26</v>
      </c>
      <c r="H47" s="149" t="s">
        <v>27</v>
      </c>
      <c r="I47" s="149" t="s">
        <v>28</v>
      </c>
      <c r="J47" s="149" t="s">
        <v>29</v>
      </c>
      <c r="K47" s="149" t="s">
        <v>30</v>
      </c>
      <c r="L47" s="149" t="s">
        <v>31</v>
      </c>
      <c r="M47" s="149" t="s">
        <v>32</v>
      </c>
      <c r="N47" s="149" t="s">
        <v>33</v>
      </c>
      <c r="O47" s="149" t="s">
        <v>34</v>
      </c>
      <c r="P47" s="149" t="s">
        <v>35</v>
      </c>
      <c r="Q47" s="149" t="s">
        <v>36</v>
      </c>
      <c r="R47" s="149" t="s">
        <v>37</v>
      </c>
      <c r="S47" s="149" t="s">
        <v>38</v>
      </c>
      <c r="T47" s="149" t="s">
        <v>39</v>
      </c>
      <c r="U47" s="149" t="s">
        <v>40</v>
      </c>
      <c r="V47" s="149" t="s">
        <v>41</v>
      </c>
      <c r="W47" s="149" t="s">
        <v>42</v>
      </c>
      <c r="X47" s="149" t="s">
        <v>43</v>
      </c>
      <c r="Y47" s="149" t="s">
        <v>44</v>
      </c>
      <c r="Z47" s="150" t="s">
        <v>45</v>
      </c>
    </row>
    <row r="48" spans="1:28" ht="15.75" thickBot="1" x14ac:dyDescent="0.3">
      <c r="A48" s="219"/>
      <c r="B48" s="217">
        <f>($B27-$B28)+B43+(B22-B23)</f>
        <v>675838.35829499736</v>
      </c>
      <c r="C48" s="214">
        <f>+(C22-C23)+C35</f>
        <v>4432964.139235789</v>
      </c>
      <c r="D48" s="214">
        <f>+(D22-D23)+D35</f>
        <v>4570762.9883901859</v>
      </c>
      <c r="E48" s="214">
        <f t="shared" ref="E48:Z48" si="12">+(E22-E23)+E35</f>
        <v>4712901.8404441644</v>
      </c>
      <c r="F48" s="214">
        <f t="shared" si="12"/>
        <v>4859518.7186173666</v>
      </c>
      <c r="G48" s="214">
        <f t="shared" si="12"/>
        <v>5010756.0666986378</v>
      </c>
      <c r="H48" s="214">
        <f t="shared" si="12"/>
        <v>5166760.8913438823</v>
      </c>
      <c r="I48" s="214">
        <f t="shared" si="12"/>
        <v>5327684.9089709036</v>
      </c>
      <c r="J48" s="214">
        <f t="shared" si="12"/>
        <v>5493684.6974001406</v>
      </c>
      <c r="K48" s="214">
        <f t="shared" si="12"/>
        <v>5664921.8523949618</v>
      </c>
      <c r="L48" s="214">
        <f t="shared" si="12"/>
        <v>5841563.1492602732</v>
      </c>
      <c r="M48" s="214">
        <f t="shared" si="12"/>
        <v>6023780.7096632449</v>
      </c>
      <c r="N48" s="214">
        <f t="shared" si="12"/>
        <v>6211752.1738453498</v>
      </c>
      <c r="O48" s="214">
        <f t="shared" si="12"/>
        <v>6405660.8784003546</v>
      </c>
      <c r="P48" s="214">
        <f t="shared" si="12"/>
        <v>6605696.0397985959</v>
      </c>
      <c r="Q48" s="214">
        <f t="shared" si="12"/>
        <v>6812052.9438437074</v>
      </c>
      <c r="R48" s="214">
        <f t="shared" si="12"/>
        <v>7024933.1412540236</v>
      </c>
      <c r="S48" s="214">
        <f t="shared" si="12"/>
        <v>7244544.6495671002</v>
      </c>
      <c r="T48" s="214">
        <f t="shared" si="12"/>
        <v>7471102.1615722673</v>
      </c>
      <c r="U48" s="214">
        <f t="shared" si="12"/>
        <v>7704827.2604827387</v>
      </c>
      <c r="V48" s="214">
        <f t="shared" si="12"/>
        <v>7945948.6420657141</v>
      </c>
      <c r="W48" s="214">
        <f t="shared" si="12"/>
        <v>8194702.3439559415</v>
      </c>
      <c r="X48" s="214">
        <f t="shared" si="12"/>
        <v>8451331.9823855944</v>
      </c>
      <c r="Y48" s="214">
        <f t="shared" si="12"/>
        <v>8716088.9965708293</v>
      </c>
      <c r="Z48" s="215">
        <f t="shared" si="12"/>
        <v>8989232.9010031857</v>
      </c>
    </row>
    <row r="49" spans="1:26" ht="15.75" thickBot="1" x14ac:dyDescent="0.3">
      <c r="A49" s="220" t="s">
        <v>240</v>
      </c>
      <c r="B49" s="221">
        <f>NPV(B44,C48:Z48)+B48</f>
        <v>67820722.709794909</v>
      </c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</row>
    <row r="50" spans="1:26" x14ac:dyDescent="0.25">
      <c r="B50" s="12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2" spans="1:26" x14ac:dyDescent="0.25">
      <c r="B52" s="125"/>
    </row>
  </sheetData>
  <mergeCells count="6">
    <mergeCell ref="A1:L1"/>
    <mergeCell ref="E4:F4"/>
    <mergeCell ref="E5:F5"/>
    <mergeCell ref="E6:F6"/>
    <mergeCell ref="E7:F7"/>
    <mergeCell ref="A3:A4"/>
  </mergeCells>
  <phoneticPr fontId="10" type="noConversion"/>
  <conditionalFormatting sqref="B49">
    <cfRule type="cellIs" dxfId="5" priority="1" operator="lessThan">
      <formula>0</formula>
    </cfRule>
    <cfRule type="cellIs" dxfId="4" priority="2" operator="greaterThan">
      <formula>0</formula>
    </cfRule>
  </conditionalFormatting>
  <conditionalFormatting sqref="B48:Z48">
    <cfRule type="cellIs" dxfId="3" priority="7" operator="lessThan">
      <formula>0</formula>
    </cfRule>
    <cfRule type="cellIs" dxfId="2" priority="8" operator="greaterThan">
      <formula>0</formula>
    </cfRule>
  </conditionalFormatting>
  <conditionalFormatting sqref="C49:Z50">
    <cfRule type="cellIs" dxfId="1" priority="5" operator="lessThan">
      <formula>0</formula>
    </cfRule>
    <cfRule type="cellIs" dxfId="0" priority="6" operator="greaterThan">
      <formula>0</formula>
    </cfRule>
  </conditionalFormatting>
  <pageMargins left="0.7" right="0.7" top="0.75" bottom="0.75" header="0.3" footer="0.3"/>
  <pageSetup orientation="portrait" horizont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BD8C1-D57E-4312-B0E5-8BC564E1E033}">
  <sheetPr>
    <tabColor rgb="FFFF0000"/>
  </sheetPr>
  <dimension ref="B1:AC116"/>
  <sheetViews>
    <sheetView showGridLines="0" zoomScale="85" zoomScaleNormal="85" workbookViewId="0">
      <selection activeCell="D57" sqref="D57"/>
    </sheetView>
  </sheetViews>
  <sheetFormatPr defaultRowHeight="15" x14ac:dyDescent="0.25"/>
  <cols>
    <col min="2" max="2" width="13" customWidth="1"/>
    <col min="3" max="3" width="13.7109375" customWidth="1"/>
    <col min="4" max="4" width="29.7109375" customWidth="1"/>
    <col min="5" max="5" width="17.28515625" customWidth="1"/>
    <col min="6" max="6" width="18" customWidth="1"/>
    <col min="7" max="7" width="11.5703125" bestFit="1" customWidth="1"/>
    <col min="8" max="8" width="10" customWidth="1"/>
    <col min="9" max="9" width="12.28515625" customWidth="1"/>
    <col min="10" max="10" width="10.5703125" customWidth="1"/>
    <col min="11" max="11" width="11.28515625" customWidth="1"/>
    <col min="12" max="12" width="13.28515625" customWidth="1"/>
    <col min="13" max="13" width="16.5703125" customWidth="1"/>
    <col min="15" max="15" width="24.28515625" customWidth="1"/>
  </cols>
  <sheetData>
    <row r="1" spans="2:29" ht="15.75" thickBot="1" x14ac:dyDescent="0.3">
      <c r="B1" s="18" t="s">
        <v>241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2:29" ht="15.75" thickTop="1" x14ac:dyDescent="0.25">
      <c r="B2" s="18"/>
      <c r="C2" s="19"/>
      <c r="D2" s="19"/>
      <c r="E2" s="19"/>
      <c r="F2" s="19"/>
      <c r="G2" s="20" t="s">
        <v>242</v>
      </c>
      <c r="H2" s="21"/>
      <c r="I2" s="22"/>
      <c r="J2" s="19"/>
      <c r="N2" s="19"/>
      <c r="O2" s="19"/>
    </row>
    <row r="3" spans="2:29" x14ac:dyDescent="0.25">
      <c r="B3" s="18"/>
      <c r="E3" s="23"/>
      <c r="F3" s="23"/>
      <c r="G3" s="24"/>
      <c r="H3" s="25" t="s">
        <v>243</v>
      </c>
      <c r="I3" s="26">
        <v>0.98299999999999998</v>
      </c>
      <c r="N3" s="27"/>
      <c r="O3" s="28"/>
    </row>
    <row r="4" spans="2:29" x14ac:dyDescent="0.25">
      <c r="E4" s="23"/>
      <c r="F4" s="23"/>
      <c r="G4" s="24"/>
      <c r="H4" s="25" t="s">
        <v>244</v>
      </c>
      <c r="I4" s="26">
        <v>1.0900000000000001</v>
      </c>
      <c r="N4" s="27"/>
      <c r="O4" s="28"/>
    </row>
    <row r="5" spans="2:29" ht="15.75" thickBot="1" x14ac:dyDescent="0.3">
      <c r="B5" s="29" t="s">
        <v>245</v>
      </c>
      <c r="E5" s="23"/>
      <c r="F5" s="23"/>
      <c r="G5" s="30"/>
      <c r="H5" s="31" t="s">
        <v>246</v>
      </c>
      <c r="I5" s="32">
        <v>1</v>
      </c>
      <c r="N5" s="27"/>
      <c r="O5" s="28"/>
    </row>
    <row r="6" spans="2:29" ht="16.5" thickTop="1" thickBot="1" x14ac:dyDescent="0.3">
      <c r="B6" s="19"/>
      <c r="E6" s="23"/>
      <c r="F6" s="23"/>
      <c r="G6" s="33"/>
      <c r="H6" s="33"/>
      <c r="I6" s="33"/>
      <c r="M6" s="23"/>
      <c r="N6" s="27"/>
      <c r="O6" s="28"/>
    </row>
    <row r="7" spans="2:29" ht="14.1" customHeight="1" thickTop="1" x14ac:dyDescent="0.25">
      <c r="B7" s="574" t="s">
        <v>247</v>
      </c>
      <c r="C7" s="575"/>
      <c r="D7" s="576"/>
      <c r="E7" s="580" t="s">
        <v>248</v>
      </c>
      <c r="F7" s="580" t="s">
        <v>249</v>
      </c>
      <c r="G7" s="582" t="s">
        <v>250</v>
      </c>
      <c r="H7" s="583"/>
      <c r="I7" s="584"/>
      <c r="J7" s="585" t="s">
        <v>251</v>
      </c>
      <c r="K7" s="586"/>
      <c r="L7" s="587"/>
      <c r="M7" s="588" t="s">
        <v>252</v>
      </c>
      <c r="N7" s="568" t="s">
        <v>253</v>
      </c>
      <c r="O7" s="569"/>
    </row>
    <row r="8" spans="2:29" ht="15.75" thickBot="1" x14ac:dyDescent="0.3">
      <c r="B8" s="577"/>
      <c r="C8" s="578"/>
      <c r="D8" s="579"/>
      <c r="E8" s="581"/>
      <c r="F8" s="581"/>
      <c r="G8" s="34" t="s">
        <v>254</v>
      </c>
      <c r="H8" s="35" t="s">
        <v>255</v>
      </c>
      <c r="I8" s="36" t="s">
        <v>256</v>
      </c>
      <c r="J8" s="37" t="s">
        <v>254</v>
      </c>
      <c r="K8" s="38" t="s">
        <v>255</v>
      </c>
      <c r="L8" s="39" t="s">
        <v>256</v>
      </c>
      <c r="M8" s="589"/>
      <c r="N8" s="570"/>
      <c r="O8" s="571"/>
    </row>
    <row r="9" spans="2:29" x14ac:dyDescent="0.25">
      <c r="B9" s="99" t="s">
        <v>257</v>
      </c>
      <c r="C9" s="100"/>
      <c r="D9" s="90"/>
      <c r="E9" s="101"/>
      <c r="F9" s="101"/>
      <c r="G9" s="102"/>
      <c r="H9" s="103"/>
      <c r="I9" s="102"/>
      <c r="J9" s="104"/>
      <c r="K9" s="105"/>
      <c r="L9" s="105"/>
      <c r="M9" s="106"/>
      <c r="N9" s="107"/>
      <c r="O9" s="108"/>
      <c r="X9" s="23"/>
      <c r="Y9" s="23"/>
      <c r="Z9" s="85"/>
      <c r="AC9" s="85"/>
    </row>
    <row r="10" spans="2:29" x14ac:dyDescent="0.25">
      <c r="B10" s="47" t="s">
        <v>257</v>
      </c>
      <c r="C10" s="48"/>
      <c r="D10" s="40"/>
      <c r="E10" s="41">
        <v>750</v>
      </c>
      <c r="F10" s="49" t="s">
        <v>205</v>
      </c>
      <c r="G10" s="42"/>
      <c r="H10" s="42"/>
      <c r="I10" s="42">
        <v>175</v>
      </c>
      <c r="J10" s="44">
        <f t="shared" ref="J10:J99" si="0">G10*$I$3*E10</f>
        <v>0</v>
      </c>
      <c r="K10" s="45">
        <f t="shared" ref="K10:K99" si="1">H10*$I$4*E10</f>
        <v>0</v>
      </c>
      <c r="L10" s="45">
        <f t="shared" ref="L10:L99" si="2">I10*$I$5*E10</f>
        <v>131250</v>
      </c>
      <c r="M10" s="50">
        <f t="shared" ref="M10:M100" si="3">SUM(J10:L10)</f>
        <v>131250</v>
      </c>
      <c r="N10" s="51"/>
      <c r="O10" s="52"/>
      <c r="X10" s="23"/>
      <c r="Y10" s="23"/>
      <c r="Z10" s="85"/>
      <c r="AC10" s="85"/>
    </row>
    <row r="11" spans="2:29" x14ac:dyDescent="0.25">
      <c r="B11" s="47" t="s">
        <v>258</v>
      </c>
      <c r="C11" s="48"/>
      <c r="D11" s="40"/>
      <c r="E11" s="41">
        <v>250</v>
      </c>
      <c r="F11" s="49" t="s">
        <v>205</v>
      </c>
      <c r="G11" s="42"/>
      <c r="H11" s="42"/>
      <c r="I11" s="42">
        <v>125</v>
      </c>
      <c r="J11" s="44">
        <f t="shared" si="0"/>
        <v>0</v>
      </c>
      <c r="K11" s="45">
        <f t="shared" si="1"/>
        <v>0</v>
      </c>
      <c r="L11" s="45">
        <f t="shared" si="2"/>
        <v>31250</v>
      </c>
      <c r="M11" s="46">
        <f t="shared" si="3"/>
        <v>31250</v>
      </c>
      <c r="N11" s="51"/>
      <c r="O11" s="52"/>
    </row>
    <row r="12" spans="2:29" x14ac:dyDescent="0.25">
      <c r="B12" s="47" t="s">
        <v>259</v>
      </c>
      <c r="C12" s="48"/>
      <c r="D12" s="40"/>
      <c r="E12" s="41">
        <v>2000</v>
      </c>
      <c r="F12" s="49" t="s">
        <v>260</v>
      </c>
      <c r="G12" s="42"/>
      <c r="H12" s="42"/>
      <c r="I12" s="42"/>
      <c r="J12" s="44">
        <f t="shared" si="0"/>
        <v>0</v>
      </c>
      <c r="K12" s="45">
        <f t="shared" si="1"/>
        <v>0</v>
      </c>
      <c r="L12" s="45">
        <f t="shared" si="2"/>
        <v>0</v>
      </c>
      <c r="M12" s="46">
        <f t="shared" si="3"/>
        <v>0</v>
      </c>
      <c r="N12" s="51"/>
      <c r="O12" s="52"/>
    </row>
    <row r="13" spans="2:29" x14ac:dyDescent="0.25">
      <c r="B13" s="47" t="s">
        <v>261</v>
      </c>
      <c r="C13" s="48"/>
      <c r="D13" s="40"/>
      <c r="E13" s="41">
        <v>2100</v>
      </c>
      <c r="F13" s="49" t="s">
        <v>260</v>
      </c>
      <c r="G13" s="42"/>
      <c r="H13" s="42"/>
      <c r="I13" s="42">
        <v>15</v>
      </c>
      <c r="J13" s="44">
        <f t="shared" si="0"/>
        <v>0</v>
      </c>
      <c r="K13" s="45">
        <f t="shared" si="1"/>
        <v>0</v>
      </c>
      <c r="L13" s="45">
        <f t="shared" si="2"/>
        <v>31500</v>
      </c>
      <c r="M13" s="46">
        <f t="shared" si="3"/>
        <v>31500</v>
      </c>
      <c r="N13" s="53"/>
      <c r="O13" s="54"/>
    </row>
    <row r="14" spans="2:29" x14ac:dyDescent="0.25">
      <c r="B14" s="47" t="s">
        <v>262</v>
      </c>
      <c r="C14" s="48"/>
      <c r="D14" s="40"/>
      <c r="E14" s="41">
        <v>4050</v>
      </c>
      <c r="F14" s="49" t="s">
        <v>260</v>
      </c>
      <c r="G14" s="42">
        <v>20</v>
      </c>
      <c r="H14" s="86">
        <v>7</v>
      </c>
      <c r="I14" s="42"/>
      <c r="J14" s="44">
        <f>G14*$I$3*E14</f>
        <v>79623</v>
      </c>
      <c r="K14" s="45">
        <f t="shared" si="1"/>
        <v>30901.500000000004</v>
      </c>
      <c r="L14" s="45">
        <f t="shared" si="2"/>
        <v>0</v>
      </c>
      <c r="M14" s="46">
        <f t="shared" si="3"/>
        <v>110524.5</v>
      </c>
      <c r="N14" s="55"/>
      <c r="O14" s="54"/>
    </row>
    <row r="15" spans="2:29" x14ac:dyDescent="0.25">
      <c r="B15" s="47" t="s">
        <v>263</v>
      </c>
      <c r="C15" s="48"/>
      <c r="D15" s="40"/>
      <c r="E15" s="41">
        <v>750</v>
      </c>
      <c r="F15" s="49" t="s">
        <v>260</v>
      </c>
      <c r="G15" s="42"/>
      <c r="H15" s="42"/>
      <c r="I15" s="42">
        <v>650</v>
      </c>
      <c r="J15" s="44">
        <f t="shared" ref="J15:J97" si="4">G15*$I$3*E15</f>
        <v>0</v>
      </c>
      <c r="K15" s="45">
        <f t="shared" si="1"/>
        <v>0</v>
      </c>
      <c r="L15" s="45">
        <f t="shared" si="2"/>
        <v>487500</v>
      </c>
      <c r="M15" s="46">
        <f t="shared" si="3"/>
        <v>487500</v>
      </c>
      <c r="N15" s="55"/>
      <c r="O15" s="54"/>
    </row>
    <row r="16" spans="2:29" x14ac:dyDescent="0.25">
      <c r="B16" s="47" t="s">
        <v>264</v>
      </c>
      <c r="C16" s="48"/>
      <c r="D16" s="40"/>
      <c r="E16" s="41">
        <v>20500</v>
      </c>
      <c r="F16" s="49" t="s">
        <v>205</v>
      </c>
      <c r="G16" s="42"/>
      <c r="H16" s="42"/>
      <c r="I16" s="42">
        <v>1.5</v>
      </c>
      <c r="J16" s="44">
        <f t="shared" si="4"/>
        <v>0</v>
      </c>
      <c r="K16" s="45">
        <f t="shared" si="1"/>
        <v>0</v>
      </c>
      <c r="L16" s="45">
        <f t="shared" si="2"/>
        <v>30750</v>
      </c>
      <c r="M16" s="46">
        <f t="shared" si="3"/>
        <v>30750</v>
      </c>
      <c r="N16" s="55"/>
      <c r="O16" s="54"/>
    </row>
    <row r="17" spans="2:15" x14ac:dyDescent="0.25">
      <c r="B17" s="56"/>
      <c r="C17" s="48"/>
      <c r="D17" s="40"/>
      <c r="E17" s="41"/>
      <c r="F17" s="41"/>
      <c r="G17" s="42"/>
      <c r="H17" s="42"/>
      <c r="I17" s="42"/>
      <c r="J17" s="44">
        <f t="shared" si="4"/>
        <v>0</v>
      </c>
      <c r="K17" s="45">
        <f t="shared" si="1"/>
        <v>0</v>
      </c>
      <c r="L17" s="45">
        <f t="shared" si="2"/>
        <v>0</v>
      </c>
      <c r="M17" s="46">
        <f t="shared" si="3"/>
        <v>0</v>
      </c>
      <c r="N17" s="55"/>
      <c r="O17" s="54"/>
    </row>
    <row r="18" spans="2:15" x14ac:dyDescent="0.25">
      <c r="B18" s="98" t="s">
        <v>265</v>
      </c>
      <c r="C18" s="89"/>
      <c r="D18" s="90"/>
      <c r="E18" s="91"/>
      <c r="F18" s="91"/>
      <c r="G18" s="92"/>
      <c r="H18" s="92"/>
      <c r="I18" s="92"/>
      <c r="J18" s="93">
        <f t="shared" si="4"/>
        <v>0</v>
      </c>
      <c r="K18" s="94">
        <f t="shared" si="1"/>
        <v>0</v>
      </c>
      <c r="L18" s="94">
        <f t="shared" si="2"/>
        <v>0</v>
      </c>
      <c r="M18" s="95">
        <f t="shared" si="3"/>
        <v>0</v>
      </c>
      <c r="N18" s="96"/>
      <c r="O18" s="97"/>
    </row>
    <row r="19" spans="2:15" x14ac:dyDescent="0.25">
      <c r="B19" s="47" t="s">
        <v>266</v>
      </c>
      <c r="C19" s="48"/>
      <c r="D19" s="40"/>
      <c r="E19" s="41">
        <v>2</v>
      </c>
      <c r="F19" s="49" t="s">
        <v>267</v>
      </c>
      <c r="G19" s="42">
        <v>15000</v>
      </c>
      <c r="H19" s="42">
        <v>1125</v>
      </c>
      <c r="I19" s="42"/>
      <c r="J19" s="44">
        <f t="shared" ref="J19:J25" si="5">G19*$I$3*E19</f>
        <v>29490</v>
      </c>
      <c r="K19" s="45">
        <f t="shared" ref="K19:K25" si="6">H19*$I$4*E19</f>
        <v>2452.5</v>
      </c>
      <c r="L19" s="45">
        <f t="shared" ref="L19:L25" si="7">I19*$I$5*E19</f>
        <v>0</v>
      </c>
      <c r="M19" s="46">
        <f t="shared" si="3"/>
        <v>31942.5</v>
      </c>
      <c r="N19" s="55"/>
      <c r="O19" s="54"/>
    </row>
    <row r="20" spans="2:15" x14ac:dyDescent="0.25">
      <c r="B20" s="47" t="s">
        <v>268</v>
      </c>
      <c r="C20" s="48"/>
      <c r="D20" s="40"/>
      <c r="E20" s="41">
        <v>2</v>
      </c>
      <c r="F20" s="49" t="s">
        <v>267</v>
      </c>
      <c r="G20" s="42">
        <v>7500</v>
      </c>
      <c r="H20" s="42">
        <v>1350</v>
      </c>
      <c r="I20" s="42"/>
      <c r="J20" s="44">
        <f t="shared" si="5"/>
        <v>14745</v>
      </c>
      <c r="K20" s="45">
        <f t="shared" si="6"/>
        <v>2943</v>
      </c>
      <c r="L20" s="45">
        <f t="shared" si="7"/>
        <v>0</v>
      </c>
      <c r="M20" s="46">
        <f t="shared" si="3"/>
        <v>17688</v>
      </c>
      <c r="N20" s="55"/>
      <c r="O20" s="54"/>
    </row>
    <row r="21" spans="2:15" x14ac:dyDescent="0.25">
      <c r="B21" s="47" t="s">
        <v>269</v>
      </c>
      <c r="C21" s="48"/>
      <c r="D21" s="40"/>
      <c r="E21" s="41">
        <v>2</v>
      </c>
      <c r="F21" s="49" t="s">
        <v>267</v>
      </c>
      <c r="G21" s="42">
        <v>10600</v>
      </c>
      <c r="H21" s="42">
        <v>1130</v>
      </c>
      <c r="I21" s="42"/>
      <c r="J21" s="44">
        <f t="shared" si="5"/>
        <v>20839.599999999999</v>
      </c>
      <c r="K21" s="45">
        <f t="shared" si="6"/>
        <v>2463.4</v>
      </c>
      <c r="L21" s="45">
        <f t="shared" si="7"/>
        <v>0</v>
      </c>
      <c r="M21" s="46">
        <f t="shared" si="3"/>
        <v>23303</v>
      </c>
      <c r="N21" s="55"/>
      <c r="O21" s="54"/>
    </row>
    <row r="22" spans="2:15" x14ac:dyDescent="0.25">
      <c r="B22" s="47" t="s">
        <v>270</v>
      </c>
      <c r="C22" s="48"/>
      <c r="D22" s="40"/>
      <c r="E22" s="41">
        <v>2</v>
      </c>
      <c r="F22" s="49" t="s">
        <v>267</v>
      </c>
      <c r="G22" s="42">
        <v>4350</v>
      </c>
      <c r="H22" s="42">
        <v>1350</v>
      </c>
      <c r="I22" s="42"/>
      <c r="J22" s="44">
        <f t="shared" si="5"/>
        <v>8552.1</v>
      </c>
      <c r="K22" s="45">
        <f t="shared" si="6"/>
        <v>2943</v>
      </c>
      <c r="L22" s="45">
        <f t="shared" si="7"/>
        <v>0</v>
      </c>
      <c r="M22" s="46">
        <f t="shared" si="3"/>
        <v>11495.1</v>
      </c>
      <c r="N22" s="55"/>
      <c r="O22" s="54"/>
    </row>
    <row r="23" spans="2:15" x14ac:dyDescent="0.25">
      <c r="B23" s="47" t="s">
        <v>271</v>
      </c>
      <c r="C23" s="48"/>
      <c r="D23" s="40"/>
      <c r="E23" s="41">
        <v>2</v>
      </c>
      <c r="F23" s="49" t="s">
        <v>267</v>
      </c>
      <c r="G23" s="42">
        <v>7500</v>
      </c>
      <c r="H23" s="42">
        <v>7500</v>
      </c>
      <c r="I23" s="42"/>
      <c r="J23" s="44">
        <f t="shared" si="5"/>
        <v>14745</v>
      </c>
      <c r="K23" s="45">
        <f t="shared" si="6"/>
        <v>16350.000000000002</v>
      </c>
      <c r="L23" s="45">
        <f t="shared" si="7"/>
        <v>0</v>
      </c>
      <c r="M23" s="46">
        <f t="shared" si="3"/>
        <v>31095</v>
      </c>
      <c r="N23" s="55"/>
      <c r="O23" s="54"/>
    </row>
    <row r="24" spans="2:15" x14ac:dyDescent="0.25">
      <c r="B24" s="47" t="s">
        <v>272</v>
      </c>
      <c r="C24" s="48"/>
      <c r="D24" s="40"/>
      <c r="E24" s="41">
        <v>2</v>
      </c>
      <c r="F24" s="49" t="s">
        <v>267</v>
      </c>
      <c r="G24" s="42">
        <v>3100</v>
      </c>
      <c r="H24" s="42">
        <v>3100</v>
      </c>
      <c r="I24" s="42"/>
      <c r="J24" s="44">
        <f t="shared" si="5"/>
        <v>6094.5999999999995</v>
      </c>
      <c r="K24" s="45">
        <f t="shared" si="6"/>
        <v>6758.0000000000009</v>
      </c>
      <c r="L24" s="45">
        <f t="shared" si="7"/>
        <v>0</v>
      </c>
      <c r="M24" s="46">
        <f t="shared" si="3"/>
        <v>12852.6</v>
      </c>
      <c r="N24" s="55"/>
      <c r="O24" s="54"/>
    </row>
    <row r="25" spans="2:15" x14ac:dyDescent="0.25">
      <c r="B25" s="47" t="s">
        <v>273</v>
      </c>
      <c r="C25" s="48"/>
      <c r="D25" s="40"/>
      <c r="E25" s="41">
        <v>250</v>
      </c>
      <c r="F25" s="49" t="s">
        <v>260</v>
      </c>
      <c r="G25" s="42">
        <v>45</v>
      </c>
      <c r="H25" s="42">
        <v>42</v>
      </c>
      <c r="I25" s="42"/>
      <c r="J25" s="44">
        <f t="shared" si="5"/>
        <v>11058.75</v>
      </c>
      <c r="K25" s="45">
        <f t="shared" si="6"/>
        <v>11445</v>
      </c>
      <c r="L25" s="45">
        <f t="shared" si="7"/>
        <v>0</v>
      </c>
      <c r="M25" s="46">
        <f t="shared" si="3"/>
        <v>22503.75</v>
      </c>
      <c r="N25" s="55"/>
      <c r="O25" s="54"/>
    </row>
    <row r="26" spans="2:15" x14ac:dyDescent="0.25">
      <c r="B26" s="47" t="s">
        <v>274</v>
      </c>
      <c r="C26" s="48"/>
      <c r="D26" s="40"/>
      <c r="E26" s="41">
        <v>0.3</v>
      </c>
      <c r="F26" s="49" t="s">
        <v>275</v>
      </c>
      <c r="G26" s="42"/>
      <c r="H26" s="42"/>
      <c r="I26" s="42">
        <v>7143.75</v>
      </c>
      <c r="J26" s="44">
        <f t="shared" si="4"/>
        <v>0</v>
      </c>
      <c r="K26" s="45">
        <f t="shared" ref="K26:K97" si="8">H26*$I$4*E26</f>
        <v>0</v>
      </c>
      <c r="L26" s="45">
        <f t="shared" ref="L26:L97" si="9">I26*$I$5*E26</f>
        <v>2143.125</v>
      </c>
      <c r="M26" s="46">
        <f t="shared" si="3"/>
        <v>2143.125</v>
      </c>
      <c r="N26" s="55"/>
      <c r="O26" s="54"/>
    </row>
    <row r="27" spans="2:15" x14ac:dyDescent="0.25">
      <c r="B27" s="47" t="s">
        <v>276</v>
      </c>
      <c r="C27" s="48"/>
      <c r="D27" s="40"/>
      <c r="E27" s="41">
        <v>50</v>
      </c>
      <c r="F27" s="49" t="s">
        <v>260</v>
      </c>
      <c r="G27" s="86">
        <v>3.83</v>
      </c>
      <c r="H27" s="42"/>
      <c r="I27" s="42"/>
      <c r="J27" s="44">
        <f t="shared" si="4"/>
        <v>188.24449999999999</v>
      </c>
      <c r="K27" s="45">
        <f t="shared" ref="K27:K92" si="10">H27*$I$4*E27</f>
        <v>0</v>
      </c>
      <c r="L27" s="45">
        <f t="shared" ref="L27:L92" si="11">I27*$I$5*E27</f>
        <v>0</v>
      </c>
      <c r="M27" s="46">
        <f t="shared" ref="M27:M92" si="12">SUM(J27:L27)</f>
        <v>188.24449999999999</v>
      </c>
      <c r="N27" s="55"/>
      <c r="O27" s="54"/>
    </row>
    <row r="28" spans="2:15" x14ac:dyDescent="0.25">
      <c r="B28" s="47" t="s">
        <v>277</v>
      </c>
      <c r="C28" s="48"/>
      <c r="D28" s="40"/>
      <c r="E28" s="41">
        <v>2100</v>
      </c>
      <c r="F28" s="49" t="s">
        <v>260</v>
      </c>
      <c r="G28" s="86"/>
      <c r="H28" s="42"/>
      <c r="I28" s="42">
        <v>15</v>
      </c>
      <c r="J28" s="44">
        <f t="shared" si="4"/>
        <v>0</v>
      </c>
      <c r="K28" s="45">
        <f t="shared" si="10"/>
        <v>0</v>
      </c>
      <c r="L28" s="45">
        <f t="shared" si="11"/>
        <v>31500</v>
      </c>
      <c r="M28" s="46">
        <f t="shared" si="12"/>
        <v>31500</v>
      </c>
      <c r="N28" s="55"/>
      <c r="O28" s="54"/>
    </row>
    <row r="29" spans="2:15" x14ac:dyDescent="0.25">
      <c r="B29" s="47" t="s">
        <v>278</v>
      </c>
      <c r="C29" s="48"/>
      <c r="D29" s="40"/>
      <c r="E29" s="41">
        <v>1700</v>
      </c>
      <c r="F29" s="49" t="s">
        <v>260</v>
      </c>
      <c r="G29" s="86">
        <v>2.52</v>
      </c>
      <c r="H29" s="86">
        <v>7.5</v>
      </c>
      <c r="I29" s="42"/>
      <c r="J29" s="44">
        <f t="shared" si="4"/>
        <v>4211.1720000000005</v>
      </c>
      <c r="K29" s="45">
        <f t="shared" si="10"/>
        <v>13897.500000000002</v>
      </c>
      <c r="L29" s="45">
        <f t="shared" si="11"/>
        <v>0</v>
      </c>
      <c r="M29" s="46">
        <f t="shared" si="12"/>
        <v>18108.672000000002</v>
      </c>
      <c r="N29" s="55"/>
      <c r="O29" s="54"/>
    </row>
    <row r="30" spans="2:15" x14ac:dyDescent="0.25">
      <c r="B30" s="47" t="s">
        <v>279</v>
      </c>
      <c r="C30" s="48"/>
      <c r="D30" s="40"/>
      <c r="E30" s="41">
        <v>720</v>
      </c>
      <c r="F30" s="49" t="s">
        <v>260</v>
      </c>
      <c r="G30" s="86">
        <v>2.2999999999999998</v>
      </c>
      <c r="H30" s="86">
        <v>7.5</v>
      </c>
      <c r="I30" s="42"/>
      <c r="J30" s="44">
        <f t="shared" si="4"/>
        <v>1627.848</v>
      </c>
      <c r="K30" s="45">
        <f t="shared" si="10"/>
        <v>5886.0000000000009</v>
      </c>
      <c r="L30" s="45">
        <f t="shared" si="11"/>
        <v>0</v>
      </c>
      <c r="M30" s="46">
        <f t="shared" si="12"/>
        <v>7513.8480000000009</v>
      </c>
      <c r="N30" s="55"/>
      <c r="O30" s="54"/>
    </row>
    <row r="31" spans="2:15" x14ac:dyDescent="0.25">
      <c r="B31" s="47" t="s">
        <v>280</v>
      </c>
      <c r="C31" s="48"/>
      <c r="D31" s="40"/>
      <c r="E31" s="41">
        <v>3600</v>
      </c>
      <c r="F31" s="49" t="s">
        <v>260</v>
      </c>
      <c r="G31" s="86">
        <v>1.89</v>
      </c>
      <c r="H31" s="86">
        <v>7.5</v>
      </c>
      <c r="I31" s="42"/>
      <c r="J31" s="44">
        <f t="shared" si="4"/>
        <v>6688.3319999999994</v>
      </c>
      <c r="K31" s="45">
        <f t="shared" si="10"/>
        <v>29430.000000000004</v>
      </c>
      <c r="L31" s="45">
        <f t="shared" si="11"/>
        <v>0</v>
      </c>
      <c r="M31" s="46">
        <f t="shared" si="12"/>
        <v>36118.332000000002</v>
      </c>
      <c r="N31" s="55"/>
      <c r="O31" s="54"/>
    </row>
    <row r="32" spans="2:15" x14ac:dyDescent="0.25">
      <c r="B32" s="47" t="s">
        <v>281</v>
      </c>
      <c r="C32" s="48"/>
      <c r="D32" s="40"/>
      <c r="E32" s="41">
        <v>1500</v>
      </c>
      <c r="F32" s="49" t="s">
        <v>260</v>
      </c>
      <c r="G32" s="86">
        <v>1.1399999999999999</v>
      </c>
      <c r="H32" s="86">
        <v>7.5</v>
      </c>
      <c r="I32" s="42"/>
      <c r="J32" s="44">
        <f t="shared" si="4"/>
        <v>1680.9299999999998</v>
      </c>
      <c r="K32" s="45">
        <f t="shared" si="10"/>
        <v>12262.500000000002</v>
      </c>
      <c r="L32" s="45">
        <f t="shared" si="11"/>
        <v>0</v>
      </c>
      <c r="M32" s="46">
        <f t="shared" si="12"/>
        <v>13943.430000000002</v>
      </c>
      <c r="N32" s="55"/>
      <c r="O32" s="54"/>
    </row>
    <row r="33" spans="2:15" x14ac:dyDescent="0.25">
      <c r="B33" s="47" t="s">
        <v>282</v>
      </c>
      <c r="C33" s="48"/>
      <c r="D33" s="40"/>
      <c r="E33" s="41">
        <v>0.15</v>
      </c>
      <c r="F33" s="49" t="s">
        <v>275</v>
      </c>
      <c r="G33" s="42"/>
      <c r="H33" s="42"/>
      <c r="I33" s="42">
        <v>10656.824999999999</v>
      </c>
      <c r="J33" s="44">
        <f t="shared" si="4"/>
        <v>0</v>
      </c>
      <c r="K33" s="45">
        <f t="shared" si="10"/>
        <v>0</v>
      </c>
      <c r="L33" s="45">
        <f t="shared" si="11"/>
        <v>1598.5237499999998</v>
      </c>
      <c r="M33" s="46">
        <f t="shared" si="12"/>
        <v>1598.5237499999998</v>
      </c>
      <c r="N33" s="55"/>
      <c r="O33" s="54"/>
    </row>
    <row r="34" spans="2:15" x14ac:dyDescent="0.25">
      <c r="B34" s="47" t="s">
        <v>283</v>
      </c>
      <c r="C34" s="48"/>
      <c r="D34" s="40"/>
      <c r="E34" s="41">
        <v>1</v>
      </c>
      <c r="F34" s="49" t="s">
        <v>267</v>
      </c>
      <c r="G34" s="42">
        <v>3950</v>
      </c>
      <c r="H34" s="42">
        <v>533</v>
      </c>
      <c r="I34" s="42"/>
      <c r="J34" s="44">
        <f t="shared" si="4"/>
        <v>3882.85</v>
      </c>
      <c r="K34" s="45">
        <f t="shared" si="10"/>
        <v>580.97</v>
      </c>
      <c r="L34" s="45">
        <f t="shared" si="11"/>
        <v>0</v>
      </c>
      <c r="M34" s="46">
        <f t="shared" si="12"/>
        <v>4463.82</v>
      </c>
      <c r="N34" s="55"/>
      <c r="O34" s="54"/>
    </row>
    <row r="35" spans="2:15" x14ac:dyDescent="0.25">
      <c r="B35" s="47" t="s">
        <v>284</v>
      </c>
      <c r="C35" s="48"/>
      <c r="D35" s="40"/>
      <c r="E35" s="41">
        <v>1</v>
      </c>
      <c r="F35" s="49" t="s">
        <v>267</v>
      </c>
      <c r="G35" s="42">
        <v>3000</v>
      </c>
      <c r="H35" s="42">
        <v>200</v>
      </c>
      <c r="I35" s="42"/>
      <c r="J35" s="44">
        <f t="shared" si="4"/>
        <v>2949</v>
      </c>
      <c r="K35" s="45">
        <f t="shared" si="10"/>
        <v>218.00000000000003</v>
      </c>
      <c r="L35" s="45">
        <f t="shared" si="11"/>
        <v>0</v>
      </c>
      <c r="M35" s="46">
        <f t="shared" si="12"/>
        <v>3167</v>
      </c>
      <c r="N35" s="55"/>
      <c r="O35" s="54"/>
    </row>
    <row r="36" spans="2:15" x14ac:dyDescent="0.25">
      <c r="B36" s="47" t="s">
        <v>285</v>
      </c>
      <c r="C36" s="48"/>
      <c r="D36" s="40"/>
      <c r="E36" s="41">
        <f>180*500</f>
        <v>90000</v>
      </c>
      <c r="F36" s="49" t="s">
        <v>260</v>
      </c>
      <c r="G36" s="42"/>
      <c r="H36" s="42"/>
      <c r="I36" s="42">
        <v>15</v>
      </c>
      <c r="J36" s="44">
        <f t="shared" si="4"/>
        <v>0</v>
      </c>
      <c r="K36" s="45">
        <f t="shared" si="10"/>
        <v>0</v>
      </c>
      <c r="L36" s="45">
        <f t="shared" si="11"/>
        <v>1350000</v>
      </c>
      <c r="M36" s="46">
        <f t="shared" si="12"/>
        <v>1350000</v>
      </c>
      <c r="N36" s="55"/>
      <c r="O36" s="54"/>
    </row>
    <row r="37" spans="2:15" x14ac:dyDescent="0.25">
      <c r="B37" s="47" t="s">
        <v>286</v>
      </c>
      <c r="C37" s="48"/>
      <c r="D37" s="40"/>
      <c r="E37" s="41">
        <v>2</v>
      </c>
      <c r="F37" s="41" t="s">
        <v>267</v>
      </c>
      <c r="G37" s="42">
        <v>15000</v>
      </c>
      <c r="H37" s="42">
        <v>6000</v>
      </c>
      <c r="I37" s="42"/>
      <c r="J37" s="44">
        <f t="shared" si="4"/>
        <v>29490</v>
      </c>
      <c r="K37" s="45">
        <f t="shared" si="10"/>
        <v>13080.000000000002</v>
      </c>
      <c r="L37" s="45">
        <f t="shared" si="11"/>
        <v>0</v>
      </c>
      <c r="M37" s="46">
        <f t="shared" si="12"/>
        <v>42570</v>
      </c>
      <c r="N37" s="55"/>
      <c r="O37" s="54"/>
    </row>
    <row r="38" spans="2:15" x14ac:dyDescent="0.25">
      <c r="B38" s="57"/>
      <c r="C38" s="48"/>
      <c r="D38" s="40"/>
      <c r="E38" s="41"/>
      <c r="F38" s="41"/>
      <c r="G38" s="42"/>
      <c r="H38" s="42"/>
      <c r="I38" s="42"/>
      <c r="J38" s="44">
        <f t="shared" si="4"/>
        <v>0</v>
      </c>
      <c r="K38" s="45">
        <f t="shared" si="10"/>
        <v>0</v>
      </c>
      <c r="L38" s="45">
        <f t="shared" si="11"/>
        <v>0</v>
      </c>
      <c r="M38" s="46">
        <f t="shared" si="12"/>
        <v>0</v>
      </c>
      <c r="N38" s="55"/>
      <c r="O38" s="54"/>
    </row>
    <row r="39" spans="2:15" x14ac:dyDescent="0.25">
      <c r="B39" s="98" t="s">
        <v>287</v>
      </c>
      <c r="C39" s="89"/>
      <c r="D39" s="90"/>
      <c r="E39" s="91"/>
      <c r="F39" s="91"/>
      <c r="G39" s="92"/>
      <c r="H39" s="92"/>
      <c r="I39" s="92"/>
      <c r="J39" s="93">
        <f t="shared" ref="J39" si="13">G39*$I$3*E39</f>
        <v>0</v>
      </c>
      <c r="K39" s="94">
        <f t="shared" si="10"/>
        <v>0</v>
      </c>
      <c r="L39" s="94">
        <f t="shared" si="11"/>
        <v>0</v>
      </c>
      <c r="M39" s="95">
        <f t="shared" si="12"/>
        <v>0</v>
      </c>
      <c r="N39" s="96"/>
      <c r="O39" s="97"/>
    </row>
    <row r="40" spans="2:15" x14ac:dyDescent="0.25">
      <c r="B40" s="47" t="s">
        <v>288</v>
      </c>
      <c r="C40" s="48"/>
      <c r="D40" s="40"/>
      <c r="E40" s="41">
        <v>1</v>
      </c>
      <c r="F40" s="41" t="s">
        <v>267</v>
      </c>
      <c r="G40" s="42">
        <v>16000</v>
      </c>
      <c r="H40" s="42">
        <v>1800</v>
      </c>
      <c r="I40" s="42"/>
      <c r="J40" s="44">
        <f t="shared" si="4"/>
        <v>15728</v>
      </c>
      <c r="K40" s="45">
        <f t="shared" si="10"/>
        <v>1962.0000000000002</v>
      </c>
      <c r="L40" s="45">
        <f t="shared" si="11"/>
        <v>0</v>
      </c>
      <c r="M40" s="46">
        <f t="shared" si="12"/>
        <v>17690</v>
      </c>
      <c r="N40" s="55"/>
      <c r="O40" s="54"/>
    </row>
    <row r="41" spans="2:15" x14ac:dyDescent="0.25">
      <c r="B41" s="47" t="s">
        <v>289</v>
      </c>
      <c r="C41" s="48"/>
      <c r="D41" s="40"/>
      <c r="E41" s="41">
        <v>1</v>
      </c>
      <c r="F41" s="41" t="s">
        <v>267</v>
      </c>
      <c r="G41" s="42">
        <v>2150</v>
      </c>
      <c r="H41" s="42">
        <v>1050</v>
      </c>
      <c r="I41" s="42"/>
      <c r="J41" s="44">
        <f t="shared" si="4"/>
        <v>2113.4499999999998</v>
      </c>
      <c r="K41" s="45">
        <f t="shared" si="10"/>
        <v>1144.5</v>
      </c>
      <c r="L41" s="45">
        <f t="shared" si="11"/>
        <v>0</v>
      </c>
      <c r="M41" s="46">
        <f t="shared" si="12"/>
        <v>3257.95</v>
      </c>
      <c r="N41" s="55"/>
      <c r="O41" s="54"/>
    </row>
    <row r="42" spans="2:15" x14ac:dyDescent="0.25">
      <c r="B42" s="47" t="s">
        <v>290</v>
      </c>
      <c r="C42" s="48"/>
      <c r="D42" s="40"/>
      <c r="E42" s="41">
        <v>1</v>
      </c>
      <c r="F42" s="41" t="s">
        <v>267</v>
      </c>
      <c r="G42" s="42">
        <v>1250</v>
      </c>
      <c r="H42" s="42">
        <v>1000</v>
      </c>
      <c r="I42" s="42"/>
      <c r="J42" s="44">
        <f t="shared" ref="J42:J69" si="14">G42*$I$3*E42</f>
        <v>1228.75</v>
      </c>
      <c r="K42" s="45">
        <f t="shared" ref="K42:K69" si="15">H42*$I$4*E42</f>
        <v>1090</v>
      </c>
      <c r="L42" s="45">
        <f t="shared" ref="L42:L69" si="16">I42*$I$5*E42</f>
        <v>0</v>
      </c>
      <c r="M42" s="46">
        <f t="shared" ref="M42:M69" si="17">SUM(J42:L42)</f>
        <v>2318.75</v>
      </c>
      <c r="N42" s="55"/>
      <c r="O42" s="54"/>
    </row>
    <row r="43" spans="2:15" x14ac:dyDescent="0.25">
      <c r="B43" s="47" t="s">
        <v>291</v>
      </c>
      <c r="C43" s="48"/>
      <c r="D43" s="40"/>
      <c r="E43" s="41">
        <v>2</v>
      </c>
      <c r="F43" s="41" t="s">
        <v>267</v>
      </c>
      <c r="G43" s="42"/>
      <c r="H43" s="42"/>
      <c r="I43" s="42">
        <v>1000</v>
      </c>
      <c r="J43" s="44">
        <f t="shared" si="14"/>
        <v>0</v>
      </c>
      <c r="K43" s="45">
        <f t="shared" si="15"/>
        <v>0</v>
      </c>
      <c r="L43" s="45">
        <f t="shared" si="16"/>
        <v>2000</v>
      </c>
      <c r="M43" s="46">
        <f t="shared" si="17"/>
        <v>2000</v>
      </c>
      <c r="N43" s="55"/>
      <c r="O43" s="54"/>
    </row>
    <row r="44" spans="2:15" x14ac:dyDescent="0.25">
      <c r="B44" s="47" t="s">
        <v>292</v>
      </c>
      <c r="C44" s="48"/>
      <c r="D44" s="40"/>
      <c r="E44" s="41">
        <v>1</v>
      </c>
      <c r="F44" s="41" t="s">
        <v>275</v>
      </c>
      <c r="G44" s="42"/>
      <c r="H44" s="42"/>
      <c r="I44" s="42">
        <v>10000</v>
      </c>
      <c r="J44" s="44">
        <f t="shared" si="14"/>
        <v>0</v>
      </c>
      <c r="K44" s="45">
        <f t="shared" si="15"/>
        <v>0</v>
      </c>
      <c r="L44" s="45">
        <f t="shared" si="16"/>
        <v>10000</v>
      </c>
      <c r="M44" s="46">
        <f t="shared" si="17"/>
        <v>10000</v>
      </c>
      <c r="N44" s="55"/>
      <c r="O44" s="54"/>
    </row>
    <row r="45" spans="2:15" x14ac:dyDescent="0.25">
      <c r="B45" s="57"/>
      <c r="C45" s="48"/>
      <c r="D45" s="40"/>
      <c r="E45" s="41"/>
      <c r="F45" s="41"/>
      <c r="G45" s="42"/>
      <c r="H45" s="42"/>
      <c r="I45" s="42">
        <v>5000</v>
      </c>
      <c r="J45" s="44">
        <f t="shared" si="14"/>
        <v>0</v>
      </c>
      <c r="K45" s="45">
        <f t="shared" si="15"/>
        <v>0</v>
      </c>
      <c r="L45" s="45">
        <f t="shared" si="16"/>
        <v>0</v>
      </c>
      <c r="M45" s="46">
        <f t="shared" si="17"/>
        <v>0</v>
      </c>
      <c r="N45" s="55"/>
      <c r="O45" s="54"/>
    </row>
    <row r="46" spans="2:15" x14ac:dyDescent="0.25">
      <c r="B46" s="98" t="s">
        <v>293</v>
      </c>
      <c r="C46" s="89"/>
      <c r="D46" s="90"/>
      <c r="E46" s="91"/>
      <c r="F46" s="91"/>
      <c r="G46" s="92"/>
      <c r="H46" s="92"/>
      <c r="I46" s="92"/>
      <c r="J46" s="93">
        <f t="shared" si="14"/>
        <v>0</v>
      </c>
      <c r="K46" s="94">
        <f t="shared" si="15"/>
        <v>0</v>
      </c>
      <c r="L46" s="94">
        <f t="shared" si="16"/>
        <v>0</v>
      </c>
      <c r="M46" s="95">
        <f t="shared" si="17"/>
        <v>0</v>
      </c>
      <c r="N46" s="96"/>
      <c r="O46" s="97"/>
    </row>
    <row r="47" spans="2:15" x14ac:dyDescent="0.25">
      <c r="B47" s="47" t="s">
        <v>139</v>
      </c>
      <c r="C47" s="48"/>
      <c r="D47" s="40"/>
      <c r="E47" s="41">
        <v>2</v>
      </c>
      <c r="F47" s="41" t="s">
        <v>267</v>
      </c>
      <c r="G47" s="42"/>
      <c r="H47" s="42"/>
      <c r="I47" s="42">
        <v>7500</v>
      </c>
      <c r="J47" s="44">
        <f t="shared" si="14"/>
        <v>0</v>
      </c>
      <c r="K47" s="45">
        <f t="shared" si="15"/>
        <v>0</v>
      </c>
      <c r="L47" s="45">
        <f t="shared" si="16"/>
        <v>15000</v>
      </c>
      <c r="M47" s="46">
        <f t="shared" si="17"/>
        <v>15000</v>
      </c>
      <c r="N47" s="55"/>
      <c r="O47" s="54"/>
    </row>
    <row r="48" spans="2:15" x14ac:dyDescent="0.25">
      <c r="B48" s="47" t="s">
        <v>286</v>
      </c>
      <c r="C48" s="48"/>
      <c r="D48" s="40"/>
      <c r="E48" s="41">
        <v>1</v>
      </c>
      <c r="F48" s="41" t="s">
        <v>267</v>
      </c>
      <c r="G48" s="42"/>
      <c r="H48" s="42"/>
      <c r="I48" s="42">
        <v>7500</v>
      </c>
      <c r="J48" s="44">
        <f t="shared" si="14"/>
        <v>0</v>
      </c>
      <c r="K48" s="45">
        <f t="shared" si="15"/>
        <v>0</v>
      </c>
      <c r="L48" s="45">
        <f t="shared" si="16"/>
        <v>7500</v>
      </c>
      <c r="M48" s="46">
        <f t="shared" si="17"/>
        <v>7500</v>
      </c>
      <c r="N48" s="55"/>
      <c r="O48" s="54"/>
    </row>
    <row r="49" spans="2:15" x14ac:dyDescent="0.25">
      <c r="B49" s="47" t="s">
        <v>294</v>
      </c>
      <c r="C49" s="48"/>
      <c r="D49" s="40"/>
      <c r="E49" s="41">
        <v>1</v>
      </c>
      <c r="F49" s="41" t="s">
        <v>267</v>
      </c>
      <c r="G49" s="42"/>
      <c r="H49" s="42"/>
      <c r="I49" s="42">
        <v>20000</v>
      </c>
      <c r="J49" s="44">
        <f t="shared" si="14"/>
        <v>0</v>
      </c>
      <c r="K49" s="45">
        <f t="shared" si="15"/>
        <v>0</v>
      </c>
      <c r="L49" s="45">
        <f t="shared" si="16"/>
        <v>20000</v>
      </c>
      <c r="M49" s="46">
        <f t="shared" si="17"/>
        <v>20000</v>
      </c>
      <c r="N49" s="55"/>
      <c r="O49" s="54"/>
    </row>
    <row r="50" spans="2:15" x14ac:dyDescent="0.25">
      <c r="B50" s="57" t="s">
        <v>295</v>
      </c>
      <c r="C50" s="48"/>
      <c r="D50" s="40"/>
      <c r="E50" s="41">
        <v>300</v>
      </c>
      <c r="F50" s="49" t="s">
        <v>296</v>
      </c>
      <c r="G50" s="42">
        <v>0</v>
      </c>
      <c r="H50" s="42">
        <v>100</v>
      </c>
      <c r="I50" s="42"/>
      <c r="J50" s="44">
        <f>G50*$I$3*E50</f>
        <v>0</v>
      </c>
      <c r="K50" s="45">
        <f>H50*$I$4*E50</f>
        <v>32700.000000000004</v>
      </c>
      <c r="L50" s="45">
        <f>I50*$I$5*E50</f>
        <v>0</v>
      </c>
      <c r="M50" s="46">
        <f t="shared" si="17"/>
        <v>32700.000000000004</v>
      </c>
      <c r="N50" s="55"/>
      <c r="O50" s="54"/>
    </row>
    <row r="51" spans="2:15" x14ac:dyDescent="0.25">
      <c r="B51" s="57"/>
      <c r="C51" s="48"/>
      <c r="D51" s="40"/>
      <c r="E51" s="41"/>
      <c r="F51" s="41"/>
      <c r="G51" s="42"/>
      <c r="H51" s="42"/>
      <c r="I51" s="42"/>
      <c r="J51" s="44">
        <f t="shared" si="14"/>
        <v>0</v>
      </c>
      <c r="K51" s="45">
        <f t="shared" si="15"/>
        <v>0</v>
      </c>
      <c r="L51" s="45">
        <f t="shared" si="16"/>
        <v>0</v>
      </c>
      <c r="M51" s="46">
        <f t="shared" si="17"/>
        <v>0</v>
      </c>
      <c r="N51" s="55"/>
      <c r="O51" s="54"/>
    </row>
    <row r="52" spans="2:15" hidden="1" x14ac:dyDescent="0.25">
      <c r="B52" s="57"/>
      <c r="C52" s="48"/>
      <c r="D52" s="40"/>
      <c r="E52" s="41"/>
      <c r="F52" s="41"/>
      <c r="G52" s="42"/>
      <c r="H52" s="42"/>
      <c r="I52" s="42"/>
      <c r="J52" s="44">
        <f t="shared" si="14"/>
        <v>0</v>
      </c>
      <c r="K52" s="45">
        <f t="shared" si="15"/>
        <v>0</v>
      </c>
      <c r="L52" s="45">
        <f t="shared" si="16"/>
        <v>0</v>
      </c>
      <c r="M52" s="46">
        <f t="shared" si="17"/>
        <v>0</v>
      </c>
      <c r="N52" s="55"/>
      <c r="O52" s="54"/>
    </row>
    <row r="53" spans="2:15" hidden="1" x14ac:dyDescent="0.25">
      <c r="B53" s="57"/>
      <c r="C53" s="48"/>
      <c r="D53" s="40"/>
      <c r="E53" s="41"/>
      <c r="F53" s="41"/>
      <c r="G53" s="42"/>
      <c r="H53" s="42"/>
      <c r="I53" s="42"/>
      <c r="J53" s="44">
        <f t="shared" si="14"/>
        <v>0</v>
      </c>
      <c r="K53" s="45">
        <f t="shared" si="15"/>
        <v>0</v>
      </c>
      <c r="L53" s="45">
        <f t="shared" si="16"/>
        <v>0</v>
      </c>
      <c r="M53" s="46">
        <f t="shared" si="17"/>
        <v>0</v>
      </c>
      <c r="N53" s="55"/>
      <c r="O53" s="54"/>
    </row>
    <row r="54" spans="2:15" hidden="1" x14ac:dyDescent="0.25">
      <c r="B54" s="57"/>
      <c r="C54" s="48"/>
      <c r="D54" s="40"/>
      <c r="E54" s="41"/>
      <c r="F54" s="41"/>
      <c r="G54" s="42"/>
      <c r="H54" s="42"/>
      <c r="I54" s="42"/>
      <c r="J54" s="44">
        <f t="shared" si="14"/>
        <v>0</v>
      </c>
      <c r="K54" s="45">
        <f t="shared" si="15"/>
        <v>0</v>
      </c>
      <c r="L54" s="45">
        <f t="shared" si="16"/>
        <v>0</v>
      </c>
      <c r="M54" s="46">
        <f t="shared" si="17"/>
        <v>0</v>
      </c>
      <c r="N54" s="55"/>
      <c r="O54" s="54"/>
    </row>
    <row r="55" spans="2:15" hidden="1" x14ac:dyDescent="0.25">
      <c r="B55" s="57"/>
      <c r="C55" s="48"/>
      <c r="D55" s="40"/>
      <c r="E55" s="41"/>
      <c r="F55" s="41"/>
      <c r="G55" s="42"/>
      <c r="H55" s="42"/>
      <c r="I55" s="42"/>
      <c r="J55" s="44">
        <f t="shared" si="14"/>
        <v>0</v>
      </c>
      <c r="K55" s="45">
        <f t="shared" si="15"/>
        <v>0</v>
      </c>
      <c r="L55" s="45">
        <f t="shared" si="16"/>
        <v>0</v>
      </c>
      <c r="M55" s="46">
        <f t="shared" si="17"/>
        <v>0</v>
      </c>
      <c r="N55" s="55"/>
      <c r="O55" s="54"/>
    </row>
    <row r="56" spans="2:15" hidden="1" x14ac:dyDescent="0.25">
      <c r="B56" s="57"/>
      <c r="C56" s="48"/>
      <c r="D56" s="40"/>
      <c r="E56" s="41"/>
      <c r="F56" s="41"/>
      <c r="G56" s="42"/>
      <c r="H56" s="42"/>
      <c r="I56" s="42"/>
      <c r="J56" s="44">
        <f t="shared" si="14"/>
        <v>0</v>
      </c>
      <c r="K56" s="45">
        <f t="shared" si="15"/>
        <v>0</v>
      </c>
      <c r="L56" s="45">
        <f t="shared" si="16"/>
        <v>0</v>
      </c>
      <c r="M56" s="46">
        <f t="shared" si="17"/>
        <v>0</v>
      </c>
      <c r="N56" s="55"/>
      <c r="O56" s="54"/>
    </row>
    <row r="57" spans="2:15" hidden="1" x14ac:dyDescent="0.25">
      <c r="B57" s="57"/>
      <c r="C57" s="48"/>
      <c r="D57" s="40"/>
      <c r="E57" s="41"/>
      <c r="F57" s="41"/>
      <c r="G57" s="42"/>
      <c r="H57" s="42"/>
      <c r="I57" s="42"/>
      <c r="J57" s="44">
        <f t="shared" si="14"/>
        <v>0</v>
      </c>
      <c r="K57" s="45">
        <f t="shared" si="15"/>
        <v>0</v>
      </c>
      <c r="L57" s="45">
        <f t="shared" si="16"/>
        <v>0</v>
      </c>
      <c r="M57" s="46">
        <f t="shared" si="17"/>
        <v>0</v>
      </c>
      <c r="N57" s="55"/>
      <c r="O57" s="54"/>
    </row>
    <row r="58" spans="2:15" hidden="1" x14ac:dyDescent="0.25">
      <c r="B58" s="57"/>
      <c r="C58" s="48"/>
      <c r="D58" s="40"/>
      <c r="E58" s="41"/>
      <c r="F58" s="41"/>
      <c r="G58" s="42"/>
      <c r="H58" s="42"/>
      <c r="I58" s="42"/>
      <c r="J58" s="44">
        <f t="shared" si="14"/>
        <v>0</v>
      </c>
      <c r="K58" s="45">
        <f t="shared" si="15"/>
        <v>0</v>
      </c>
      <c r="L58" s="45">
        <f t="shared" si="16"/>
        <v>0</v>
      </c>
      <c r="M58" s="46">
        <f t="shared" si="17"/>
        <v>0</v>
      </c>
      <c r="N58" s="55"/>
      <c r="O58" s="54"/>
    </row>
    <row r="59" spans="2:15" hidden="1" x14ac:dyDescent="0.25">
      <c r="B59" s="57"/>
      <c r="C59" s="48"/>
      <c r="D59" s="40"/>
      <c r="E59" s="41"/>
      <c r="F59" s="41"/>
      <c r="G59" s="42"/>
      <c r="H59" s="42"/>
      <c r="I59" s="42"/>
      <c r="J59" s="44">
        <f t="shared" si="14"/>
        <v>0</v>
      </c>
      <c r="K59" s="45">
        <f t="shared" si="15"/>
        <v>0</v>
      </c>
      <c r="L59" s="45">
        <f t="shared" si="16"/>
        <v>0</v>
      </c>
      <c r="M59" s="46">
        <f t="shared" si="17"/>
        <v>0</v>
      </c>
      <c r="N59" s="55"/>
      <c r="O59" s="54"/>
    </row>
    <row r="60" spans="2:15" hidden="1" x14ac:dyDescent="0.25">
      <c r="B60" s="57"/>
      <c r="C60" s="48"/>
      <c r="D60" s="40"/>
      <c r="E60" s="41"/>
      <c r="F60" s="41"/>
      <c r="G60" s="42"/>
      <c r="H60" s="42"/>
      <c r="I60" s="42"/>
      <c r="J60" s="44">
        <f t="shared" si="14"/>
        <v>0</v>
      </c>
      <c r="K60" s="45">
        <f t="shared" si="15"/>
        <v>0</v>
      </c>
      <c r="L60" s="45">
        <f t="shared" si="16"/>
        <v>0</v>
      </c>
      <c r="M60" s="46">
        <f t="shared" si="17"/>
        <v>0</v>
      </c>
      <c r="N60" s="55"/>
      <c r="O60" s="54"/>
    </row>
    <row r="61" spans="2:15" hidden="1" x14ac:dyDescent="0.25">
      <c r="B61" s="57"/>
      <c r="C61" s="48"/>
      <c r="D61" s="40"/>
      <c r="E61" s="41"/>
      <c r="F61" s="41"/>
      <c r="G61" s="42"/>
      <c r="H61" s="42"/>
      <c r="I61" s="42"/>
      <c r="J61" s="44">
        <f t="shared" si="14"/>
        <v>0</v>
      </c>
      <c r="K61" s="45">
        <f t="shared" si="15"/>
        <v>0</v>
      </c>
      <c r="L61" s="45">
        <f t="shared" si="16"/>
        <v>0</v>
      </c>
      <c r="M61" s="46">
        <f t="shared" si="17"/>
        <v>0</v>
      </c>
      <c r="N61" s="55"/>
      <c r="O61" s="54"/>
    </row>
    <row r="62" spans="2:15" hidden="1" x14ac:dyDescent="0.25">
      <c r="B62" s="57"/>
      <c r="C62" s="48"/>
      <c r="D62" s="40"/>
      <c r="E62" s="41"/>
      <c r="F62" s="41"/>
      <c r="G62" s="42"/>
      <c r="H62" s="42"/>
      <c r="I62" s="42"/>
      <c r="J62" s="44">
        <f t="shared" si="14"/>
        <v>0</v>
      </c>
      <c r="K62" s="45">
        <f t="shared" si="15"/>
        <v>0</v>
      </c>
      <c r="L62" s="45">
        <f t="shared" si="16"/>
        <v>0</v>
      </c>
      <c r="M62" s="46">
        <f t="shared" si="17"/>
        <v>0</v>
      </c>
      <c r="N62" s="55"/>
      <c r="O62" s="54"/>
    </row>
    <row r="63" spans="2:15" hidden="1" x14ac:dyDescent="0.25">
      <c r="B63" s="57"/>
      <c r="C63" s="48"/>
      <c r="D63" s="40"/>
      <c r="E63" s="41"/>
      <c r="F63" s="41"/>
      <c r="G63" s="42"/>
      <c r="H63" s="42"/>
      <c r="I63" s="42"/>
      <c r="J63" s="44">
        <f t="shared" si="14"/>
        <v>0</v>
      </c>
      <c r="K63" s="45">
        <f t="shared" si="15"/>
        <v>0</v>
      </c>
      <c r="L63" s="45">
        <f t="shared" si="16"/>
        <v>0</v>
      </c>
      <c r="M63" s="46">
        <f t="shared" si="17"/>
        <v>0</v>
      </c>
      <c r="N63" s="55"/>
      <c r="O63" s="54"/>
    </row>
    <row r="64" spans="2:15" hidden="1" x14ac:dyDescent="0.25">
      <c r="B64" s="57"/>
      <c r="C64" s="48"/>
      <c r="D64" s="40"/>
      <c r="E64" s="41"/>
      <c r="F64" s="41"/>
      <c r="G64" s="42"/>
      <c r="H64" s="42"/>
      <c r="I64" s="42"/>
      <c r="J64" s="44">
        <f t="shared" si="14"/>
        <v>0</v>
      </c>
      <c r="K64" s="45">
        <f t="shared" si="15"/>
        <v>0</v>
      </c>
      <c r="L64" s="45">
        <f t="shared" si="16"/>
        <v>0</v>
      </c>
      <c r="M64" s="46">
        <f t="shared" si="17"/>
        <v>0</v>
      </c>
      <c r="N64" s="55"/>
      <c r="O64" s="54"/>
    </row>
    <row r="65" spans="2:15" hidden="1" x14ac:dyDescent="0.25">
      <c r="B65" s="57"/>
      <c r="C65" s="48"/>
      <c r="D65" s="40"/>
      <c r="E65" s="41"/>
      <c r="F65" s="41"/>
      <c r="G65" s="42"/>
      <c r="H65" s="42"/>
      <c r="I65" s="42"/>
      <c r="J65" s="44">
        <f t="shared" si="14"/>
        <v>0</v>
      </c>
      <c r="K65" s="45">
        <f t="shared" si="15"/>
        <v>0</v>
      </c>
      <c r="L65" s="45">
        <f t="shared" si="16"/>
        <v>0</v>
      </c>
      <c r="M65" s="46">
        <f t="shared" si="17"/>
        <v>0</v>
      </c>
      <c r="N65" s="55"/>
      <c r="O65" s="54"/>
    </row>
    <row r="66" spans="2:15" hidden="1" x14ac:dyDescent="0.25">
      <c r="B66" s="57"/>
      <c r="C66" s="48"/>
      <c r="D66" s="40"/>
      <c r="E66" s="41"/>
      <c r="F66" s="41"/>
      <c r="G66" s="42"/>
      <c r="H66" s="42"/>
      <c r="I66" s="42"/>
      <c r="J66" s="44">
        <f t="shared" si="14"/>
        <v>0</v>
      </c>
      <c r="K66" s="45">
        <f t="shared" si="15"/>
        <v>0</v>
      </c>
      <c r="L66" s="45">
        <f t="shared" si="16"/>
        <v>0</v>
      </c>
      <c r="M66" s="46">
        <f t="shared" si="17"/>
        <v>0</v>
      </c>
      <c r="N66" s="55"/>
      <c r="O66" s="54"/>
    </row>
    <row r="67" spans="2:15" hidden="1" x14ac:dyDescent="0.25">
      <c r="B67" s="57"/>
      <c r="C67" s="48"/>
      <c r="D67" s="40"/>
      <c r="E67" s="41"/>
      <c r="F67" s="41"/>
      <c r="G67" s="42"/>
      <c r="H67" s="42"/>
      <c r="I67" s="42"/>
      <c r="J67" s="44">
        <f t="shared" si="14"/>
        <v>0</v>
      </c>
      <c r="K67" s="45">
        <f t="shared" si="15"/>
        <v>0</v>
      </c>
      <c r="L67" s="45">
        <f t="shared" si="16"/>
        <v>0</v>
      </c>
      <c r="M67" s="46">
        <f t="shared" si="17"/>
        <v>0</v>
      </c>
      <c r="N67" s="55"/>
      <c r="O67" s="54"/>
    </row>
    <row r="68" spans="2:15" hidden="1" x14ac:dyDescent="0.25">
      <c r="B68" s="57"/>
      <c r="C68" s="48"/>
      <c r="D68" s="40"/>
      <c r="E68" s="41"/>
      <c r="F68" s="41"/>
      <c r="G68" s="42"/>
      <c r="H68" s="42"/>
      <c r="I68" s="42"/>
      <c r="J68" s="44">
        <f t="shared" si="14"/>
        <v>0</v>
      </c>
      <c r="K68" s="45">
        <f t="shared" si="15"/>
        <v>0</v>
      </c>
      <c r="L68" s="45">
        <f t="shared" si="16"/>
        <v>0</v>
      </c>
      <c r="M68" s="46">
        <f t="shared" si="17"/>
        <v>0</v>
      </c>
      <c r="N68" s="55"/>
      <c r="O68" s="54"/>
    </row>
    <row r="69" spans="2:15" hidden="1" x14ac:dyDescent="0.25">
      <c r="B69" s="57"/>
      <c r="C69" s="48"/>
      <c r="D69" s="40"/>
      <c r="E69" s="41"/>
      <c r="F69" s="41"/>
      <c r="G69" s="42"/>
      <c r="H69" s="42"/>
      <c r="I69" s="42"/>
      <c r="J69" s="44">
        <f t="shared" si="14"/>
        <v>0</v>
      </c>
      <c r="K69" s="45">
        <f t="shared" si="15"/>
        <v>0</v>
      </c>
      <c r="L69" s="45">
        <f t="shared" si="16"/>
        <v>0</v>
      </c>
      <c r="M69" s="46">
        <f t="shared" si="17"/>
        <v>0</v>
      </c>
      <c r="N69" s="55"/>
      <c r="O69" s="54"/>
    </row>
    <row r="70" spans="2:15" hidden="1" x14ac:dyDescent="0.25">
      <c r="B70" s="57"/>
      <c r="C70" s="48"/>
      <c r="D70" s="40"/>
      <c r="E70" s="41"/>
      <c r="F70" s="41"/>
      <c r="G70" s="42"/>
      <c r="H70" s="42"/>
      <c r="I70" s="42"/>
      <c r="J70" s="44">
        <f t="shared" si="4"/>
        <v>0</v>
      </c>
      <c r="K70" s="45">
        <f t="shared" si="10"/>
        <v>0</v>
      </c>
      <c r="L70" s="45">
        <f t="shared" si="11"/>
        <v>0</v>
      </c>
      <c r="M70" s="46">
        <f t="shared" si="12"/>
        <v>0</v>
      </c>
      <c r="N70" s="55"/>
      <c r="O70" s="54"/>
    </row>
    <row r="71" spans="2:15" hidden="1" x14ac:dyDescent="0.25">
      <c r="B71" s="57"/>
      <c r="C71" s="48"/>
      <c r="D71" s="40"/>
      <c r="E71" s="41"/>
      <c r="F71" s="41"/>
      <c r="G71" s="42"/>
      <c r="H71" s="42"/>
      <c r="I71" s="42"/>
      <c r="J71" s="44">
        <f t="shared" si="4"/>
        <v>0</v>
      </c>
      <c r="K71" s="45">
        <f t="shared" si="10"/>
        <v>0</v>
      </c>
      <c r="L71" s="45">
        <f t="shared" si="11"/>
        <v>0</v>
      </c>
      <c r="M71" s="46">
        <f t="shared" si="12"/>
        <v>0</v>
      </c>
      <c r="N71" s="55"/>
      <c r="O71" s="54"/>
    </row>
    <row r="72" spans="2:15" hidden="1" x14ac:dyDescent="0.25">
      <c r="B72" s="57"/>
      <c r="C72" s="48"/>
      <c r="D72" s="40"/>
      <c r="E72" s="41"/>
      <c r="F72" s="41"/>
      <c r="G72" s="42"/>
      <c r="H72" s="42"/>
      <c r="I72" s="42"/>
      <c r="J72" s="44">
        <f t="shared" si="4"/>
        <v>0</v>
      </c>
      <c r="K72" s="45">
        <f t="shared" si="10"/>
        <v>0</v>
      </c>
      <c r="L72" s="45">
        <f t="shared" si="11"/>
        <v>0</v>
      </c>
      <c r="M72" s="46">
        <f t="shared" si="12"/>
        <v>0</v>
      </c>
      <c r="N72" s="55"/>
      <c r="O72" s="54"/>
    </row>
    <row r="73" spans="2:15" hidden="1" x14ac:dyDescent="0.25">
      <c r="B73" s="57"/>
      <c r="C73" s="48"/>
      <c r="D73" s="40"/>
      <c r="E73" s="41"/>
      <c r="F73" s="41"/>
      <c r="G73" s="42"/>
      <c r="H73" s="42"/>
      <c r="I73" s="42"/>
      <c r="J73" s="44">
        <f t="shared" si="4"/>
        <v>0</v>
      </c>
      <c r="K73" s="45">
        <f t="shared" si="10"/>
        <v>0</v>
      </c>
      <c r="L73" s="45">
        <f t="shared" si="11"/>
        <v>0</v>
      </c>
      <c r="M73" s="46">
        <f t="shared" si="12"/>
        <v>0</v>
      </c>
      <c r="N73" s="55"/>
      <c r="O73" s="54"/>
    </row>
    <row r="74" spans="2:15" hidden="1" x14ac:dyDescent="0.25">
      <c r="B74" s="57"/>
      <c r="C74" s="48"/>
      <c r="D74" s="40"/>
      <c r="E74" s="41"/>
      <c r="F74" s="41"/>
      <c r="G74" s="42"/>
      <c r="H74" s="42"/>
      <c r="I74" s="42"/>
      <c r="J74" s="44">
        <f t="shared" si="4"/>
        <v>0</v>
      </c>
      <c r="K74" s="45">
        <f t="shared" si="10"/>
        <v>0</v>
      </c>
      <c r="L74" s="45">
        <f t="shared" si="11"/>
        <v>0</v>
      </c>
      <c r="M74" s="46">
        <f t="shared" si="12"/>
        <v>0</v>
      </c>
      <c r="N74" s="55"/>
      <c r="O74" s="54"/>
    </row>
    <row r="75" spans="2:15" hidden="1" x14ac:dyDescent="0.25">
      <c r="B75" s="57"/>
      <c r="C75" s="48"/>
      <c r="D75" s="40"/>
      <c r="E75" s="41"/>
      <c r="F75" s="41"/>
      <c r="G75" s="42"/>
      <c r="H75" s="42"/>
      <c r="I75" s="42"/>
      <c r="J75" s="44">
        <f t="shared" si="4"/>
        <v>0</v>
      </c>
      <c r="K75" s="45">
        <f t="shared" si="10"/>
        <v>0</v>
      </c>
      <c r="L75" s="45">
        <f t="shared" si="11"/>
        <v>0</v>
      </c>
      <c r="M75" s="46">
        <f t="shared" si="12"/>
        <v>0</v>
      </c>
      <c r="N75" s="55"/>
      <c r="O75" s="54"/>
    </row>
    <row r="76" spans="2:15" hidden="1" x14ac:dyDescent="0.25">
      <c r="B76" s="57"/>
      <c r="C76" s="48"/>
      <c r="D76" s="40"/>
      <c r="E76" s="41"/>
      <c r="F76" s="41"/>
      <c r="G76" s="42"/>
      <c r="H76" s="42"/>
      <c r="I76" s="42"/>
      <c r="J76" s="44">
        <f t="shared" si="4"/>
        <v>0</v>
      </c>
      <c r="K76" s="45">
        <f t="shared" si="10"/>
        <v>0</v>
      </c>
      <c r="L76" s="45">
        <f t="shared" si="11"/>
        <v>0</v>
      </c>
      <c r="M76" s="46">
        <f t="shared" si="12"/>
        <v>0</v>
      </c>
      <c r="N76" s="55"/>
      <c r="O76" s="54"/>
    </row>
    <row r="77" spans="2:15" hidden="1" x14ac:dyDescent="0.25">
      <c r="B77" s="57"/>
      <c r="C77" s="48"/>
      <c r="D77" s="40"/>
      <c r="E77" s="41"/>
      <c r="F77" s="41"/>
      <c r="G77" s="42"/>
      <c r="H77" s="42"/>
      <c r="I77" s="42"/>
      <c r="J77" s="44">
        <f t="shared" si="4"/>
        <v>0</v>
      </c>
      <c r="K77" s="45">
        <f t="shared" si="10"/>
        <v>0</v>
      </c>
      <c r="L77" s="45">
        <f t="shared" si="11"/>
        <v>0</v>
      </c>
      <c r="M77" s="46">
        <f t="shared" si="12"/>
        <v>0</v>
      </c>
      <c r="N77" s="55"/>
      <c r="O77" s="54"/>
    </row>
    <row r="78" spans="2:15" hidden="1" x14ac:dyDescent="0.25">
      <c r="B78" s="57"/>
      <c r="C78" s="48"/>
      <c r="D78" s="40"/>
      <c r="E78" s="41"/>
      <c r="F78" s="41"/>
      <c r="G78" s="42"/>
      <c r="H78" s="42"/>
      <c r="I78" s="42"/>
      <c r="J78" s="44">
        <f t="shared" si="4"/>
        <v>0</v>
      </c>
      <c r="K78" s="45">
        <f t="shared" si="10"/>
        <v>0</v>
      </c>
      <c r="L78" s="45">
        <f t="shared" si="11"/>
        <v>0</v>
      </c>
      <c r="M78" s="46">
        <f t="shared" si="12"/>
        <v>0</v>
      </c>
      <c r="N78" s="55"/>
      <c r="O78" s="54"/>
    </row>
    <row r="79" spans="2:15" hidden="1" x14ac:dyDescent="0.25">
      <c r="B79" s="57"/>
      <c r="C79" s="48"/>
      <c r="D79" s="40"/>
      <c r="E79" s="41"/>
      <c r="F79" s="41"/>
      <c r="G79" s="42"/>
      <c r="H79" s="42"/>
      <c r="I79" s="42"/>
      <c r="J79" s="44">
        <f t="shared" si="4"/>
        <v>0</v>
      </c>
      <c r="K79" s="45">
        <f t="shared" si="10"/>
        <v>0</v>
      </c>
      <c r="L79" s="45">
        <f t="shared" si="11"/>
        <v>0</v>
      </c>
      <c r="M79" s="46">
        <f t="shared" si="12"/>
        <v>0</v>
      </c>
      <c r="N79" s="55"/>
      <c r="O79" s="54"/>
    </row>
    <row r="80" spans="2:15" hidden="1" x14ac:dyDescent="0.25">
      <c r="B80" s="57"/>
      <c r="C80" s="48"/>
      <c r="D80" s="40"/>
      <c r="E80" s="41"/>
      <c r="F80" s="41"/>
      <c r="G80" s="42"/>
      <c r="H80" s="42"/>
      <c r="I80" s="42"/>
      <c r="J80" s="44">
        <f t="shared" si="4"/>
        <v>0</v>
      </c>
      <c r="K80" s="45">
        <f t="shared" si="10"/>
        <v>0</v>
      </c>
      <c r="L80" s="45">
        <f t="shared" si="11"/>
        <v>0</v>
      </c>
      <c r="M80" s="46">
        <f t="shared" si="12"/>
        <v>0</v>
      </c>
      <c r="N80" s="55"/>
      <c r="O80" s="54"/>
    </row>
    <row r="81" spans="2:15" hidden="1" x14ac:dyDescent="0.25">
      <c r="B81" s="57"/>
      <c r="C81" s="48"/>
      <c r="D81" s="40"/>
      <c r="E81" s="41"/>
      <c r="F81" s="49"/>
      <c r="G81" s="42"/>
      <c r="H81" s="42"/>
      <c r="I81" s="42"/>
      <c r="J81" s="44">
        <f t="shared" si="4"/>
        <v>0</v>
      </c>
      <c r="K81" s="45">
        <f t="shared" si="10"/>
        <v>0</v>
      </c>
      <c r="L81" s="45">
        <f t="shared" si="11"/>
        <v>0</v>
      </c>
      <c r="M81" s="46">
        <f t="shared" si="12"/>
        <v>0</v>
      </c>
      <c r="N81" s="55"/>
      <c r="O81" s="54"/>
    </row>
    <row r="82" spans="2:15" hidden="1" x14ac:dyDescent="0.25">
      <c r="B82" s="57"/>
      <c r="C82" s="48"/>
      <c r="D82" s="40"/>
      <c r="E82" s="41"/>
      <c r="F82" s="41"/>
      <c r="G82" s="42"/>
      <c r="H82" s="42"/>
      <c r="I82" s="42"/>
      <c r="J82" s="44">
        <f t="shared" ref="J82:J88" si="18">G82*$I$3*E82</f>
        <v>0</v>
      </c>
      <c r="K82" s="45">
        <f t="shared" ref="K82:K88" si="19">H82*$I$4*E82</f>
        <v>0</v>
      </c>
      <c r="L82" s="45">
        <f t="shared" ref="L82:L88" si="20">I82*$I$5*E82</f>
        <v>0</v>
      </c>
      <c r="M82" s="46">
        <f t="shared" si="12"/>
        <v>0</v>
      </c>
      <c r="N82" s="55"/>
      <c r="O82" s="54"/>
    </row>
    <row r="83" spans="2:15" hidden="1" x14ac:dyDescent="0.25">
      <c r="B83" s="57"/>
      <c r="C83" s="48"/>
      <c r="D83" s="40"/>
      <c r="E83" s="41"/>
      <c r="F83" s="49"/>
      <c r="G83" s="42"/>
      <c r="H83" s="42"/>
      <c r="I83" s="42"/>
      <c r="J83" s="44">
        <f t="shared" si="18"/>
        <v>0</v>
      </c>
      <c r="K83" s="45">
        <f t="shared" si="19"/>
        <v>0</v>
      </c>
      <c r="L83" s="45">
        <f t="shared" si="20"/>
        <v>0</v>
      </c>
      <c r="M83" s="46">
        <f t="shared" si="12"/>
        <v>0</v>
      </c>
      <c r="N83" s="55"/>
      <c r="O83" s="54"/>
    </row>
    <row r="84" spans="2:15" hidden="1" x14ac:dyDescent="0.25">
      <c r="B84" s="57"/>
      <c r="C84" s="48"/>
      <c r="D84" s="40"/>
      <c r="E84" s="41"/>
      <c r="F84" s="49"/>
      <c r="G84" s="42"/>
      <c r="H84" s="42"/>
      <c r="I84" s="42"/>
      <c r="J84" s="44">
        <f t="shared" si="18"/>
        <v>0</v>
      </c>
      <c r="K84" s="45">
        <f t="shared" si="19"/>
        <v>0</v>
      </c>
      <c r="L84" s="45">
        <f t="shared" si="20"/>
        <v>0</v>
      </c>
      <c r="M84" s="46">
        <f t="shared" si="12"/>
        <v>0</v>
      </c>
      <c r="N84" s="55"/>
      <c r="O84" s="54"/>
    </row>
    <row r="85" spans="2:15" hidden="1" x14ac:dyDescent="0.25">
      <c r="B85" s="57"/>
      <c r="C85" s="48"/>
      <c r="D85" s="40"/>
      <c r="E85" s="41"/>
      <c r="F85" s="49"/>
      <c r="G85" s="42"/>
      <c r="H85" s="42"/>
      <c r="I85" s="42"/>
      <c r="J85" s="44">
        <f t="shared" si="18"/>
        <v>0</v>
      </c>
      <c r="K85" s="45">
        <f t="shared" si="19"/>
        <v>0</v>
      </c>
      <c r="L85" s="45">
        <f t="shared" si="20"/>
        <v>0</v>
      </c>
      <c r="M85" s="46">
        <f t="shared" si="12"/>
        <v>0</v>
      </c>
      <c r="N85" s="55"/>
      <c r="O85" s="54"/>
    </row>
    <row r="86" spans="2:15" hidden="1" x14ac:dyDescent="0.25">
      <c r="B86" s="57"/>
      <c r="C86" s="48"/>
      <c r="D86" s="40"/>
      <c r="E86" s="41"/>
      <c r="F86" s="41"/>
      <c r="G86" s="42"/>
      <c r="H86" s="42"/>
      <c r="I86" s="42"/>
      <c r="J86" s="44">
        <f t="shared" si="18"/>
        <v>0</v>
      </c>
      <c r="K86" s="45">
        <f t="shared" si="19"/>
        <v>0</v>
      </c>
      <c r="L86" s="45">
        <f t="shared" si="20"/>
        <v>0</v>
      </c>
      <c r="M86" s="46">
        <f t="shared" si="12"/>
        <v>0</v>
      </c>
      <c r="N86" s="55"/>
      <c r="O86" s="54"/>
    </row>
    <row r="87" spans="2:15" hidden="1" x14ac:dyDescent="0.25">
      <c r="B87" s="57"/>
      <c r="C87" s="48"/>
      <c r="D87" s="40"/>
      <c r="E87" s="41"/>
      <c r="F87" s="49"/>
      <c r="G87" s="42"/>
      <c r="H87" s="42"/>
      <c r="I87" s="42"/>
      <c r="J87" s="44">
        <f t="shared" si="18"/>
        <v>0</v>
      </c>
      <c r="K87" s="45">
        <f t="shared" si="19"/>
        <v>0</v>
      </c>
      <c r="L87" s="45">
        <f t="shared" si="20"/>
        <v>0</v>
      </c>
      <c r="M87" s="46">
        <f t="shared" si="12"/>
        <v>0</v>
      </c>
      <c r="N87" s="55"/>
      <c r="O87" s="54"/>
    </row>
    <row r="88" spans="2:15" hidden="1" x14ac:dyDescent="0.25">
      <c r="B88" s="57"/>
      <c r="C88" s="48"/>
      <c r="D88" s="40"/>
      <c r="E88" s="41"/>
      <c r="F88" s="41"/>
      <c r="G88" s="42"/>
      <c r="H88" s="42"/>
      <c r="I88" s="42"/>
      <c r="J88" s="44">
        <f t="shared" si="18"/>
        <v>0</v>
      </c>
      <c r="K88" s="45">
        <f t="shared" si="19"/>
        <v>0</v>
      </c>
      <c r="L88" s="45">
        <f t="shared" si="20"/>
        <v>0</v>
      </c>
      <c r="M88" s="46">
        <f t="shared" si="12"/>
        <v>0</v>
      </c>
      <c r="N88" s="55"/>
      <c r="O88" s="54"/>
    </row>
    <row r="89" spans="2:15" hidden="1" x14ac:dyDescent="0.25">
      <c r="B89" s="57"/>
      <c r="C89" s="48"/>
      <c r="D89" s="40"/>
      <c r="E89" s="41"/>
      <c r="F89" s="41"/>
      <c r="G89" s="42"/>
      <c r="H89" s="42"/>
      <c r="I89" s="42"/>
      <c r="J89" s="44">
        <f t="shared" si="4"/>
        <v>0</v>
      </c>
      <c r="K89" s="45">
        <f t="shared" si="10"/>
        <v>0</v>
      </c>
      <c r="L89" s="45">
        <f t="shared" si="11"/>
        <v>0</v>
      </c>
      <c r="M89" s="46">
        <f t="shared" si="12"/>
        <v>0</v>
      </c>
      <c r="N89" s="55"/>
      <c r="O89" s="54"/>
    </row>
    <row r="90" spans="2:15" hidden="1" x14ac:dyDescent="0.25">
      <c r="B90" s="57"/>
      <c r="C90" s="48"/>
      <c r="D90" s="40"/>
      <c r="E90" s="41"/>
      <c r="F90" s="41"/>
      <c r="G90" s="42"/>
      <c r="H90" s="42"/>
      <c r="I90" s="42"/>
      <c r="J90" s="44">
        <f t="shared" si="4"/>
        <v>0</v>
      </c>
      <c r="K90" s="45">
        <f t="shared" si="10"/>
        <v>0</v>
      </c>
      <c r="L90" s="45">
        <f t="shared" si="11"/>
        <v>0</v>
      </c>
      <c r="M90" s="46">
        <f t="shared" si="12"/>
        <v>0</v>
      </c>
      <c r="N90" s="55"/>
      <c r="O90" s="54"/>
    </row>
    <row r="91" spans="2:15" hidden="1" x14ac:dyDescent="0.25">
      <c r="B91" s="57"/>
      <c r="C91" s="48"/>
      <c r="D91" s="40"/>
      <c r="E91" s="41"/>
      <c r="F91" s="41"/>
      <c r="G91" s="42"/>
      <c r="H91" s="42"/>
      <c r="I91" s="42"/>
      <c r="J91" s="44">
        <f t="shared" si="4"/>
        <v>0</v>
      </c>
      <c r="K91" s="45">
        <f t="shared" si="10"/>
        <v>0</v>
      </c>
      <c r="L91" s="45">
        <f t="shared" si="11"/>
        <v>0</v>
      </c>
      <c r="M91" s="46">
        <f t="shared" si="12"/>
        <v>0</v>
      </c>
      <c r="N91" s="55"/>
      <c r="O91" s="54"/>
    </row>
    <row r="92" spans="2:15" hidden="1" x14ac:dyDescent="0.25">
      <c r="B92" s="57"/>
      <c r="C92" s="48"/>
      <c r="D92" s="40"/>
      <c r="E92" s="41"/>
      <c r="F92" s="41"/>
      <c r="G92" s="42"/>
      <c r="H92" s="42"/>
      <c r="I92" s="42"/>
      <c r="J92" s="44">
        <f t="shared" si="4"/>
        <v>0</v>
      </c>
      <c r="K92" s="45">
        <f t="shared" si="10"/>
        <v>0</v>
      </c>
      <c r="L92" s="45">
        <f t="shared" si="11"/>
        <v>0</v>
      </c>
      <c r="M92" s="46">
        <f t="shared" si="12"/>
        <v>0</v>
      </c>
      <c r="N92" s="55"/>
      <c r="O92" s="54"/>
    </row>
    <row r="93" spans="2:15" hidden="1" x14ac:dyDescent="0.25">
      <c r="B93" s="57"/>
      <c r="C93" s="48"/>
      <c r="D93" s="40"/>
      <c r="E93" s="49"/>
      <c r="F93" s="49"/>
      <c r="G93" s="43"/>
      <c r="H93" s="43"/>
      <c r="I93" s="88"/>
      <c r="J93" s="44">
        <f t="shared" si="4"/>
        <v>0</v>
      </c>
      <c r="K93" s="45">
        <f t="shared" si="8"/>
        <v>0</v>
      </c>
      <c r="L93" s="45">
        <f t="shared" si="9"/>
        <v>0</v>
      </c>
      <c r="M93" s="46">
        <f t="shared" si="3"/>
        <v>0</v>
      </c>
      <c r="N93" s="55"/>
      <c r="O93" s="54"/>
    </row>
    <row r="94" spans="2:15" hidden="1" x14ac:dyDescent="0.25">
      <c r="B94" s="57"/>
      <c r="C94" s="48"/>
      <c r="D94" s="40"/>
      <c r="E94" s="49"/>
      <c r="F94" s="49"/>
      <c r="G94" s="43"/>
      <c r="H94" s="43"/>
      <c r="I94" s="88"/>
      <c r="J94" s="44">
        <f t="shared" si="4"/>
        <v>0</v>
      </c>
      <c r="K94" s="45">
        <f t="shared" si="8"/>
        <v>0</v>
      </c>
      <c r="L94" s="45">
        <f t="shared" si="9"/>
        <v>0</v>
      </c>
      <c r="M94" s="46">
        <f t="shared" si="3"/>
        <v>0</v>
      </c>
      <c r="N94" s="55"/>
      <c r="O94" s="54"/>
    </row>
    <row r="95" spans="2:15" hidden="1" x14ac:dyDescent="0.25">
      <c r="B95" s="57"/>
      <c r="C95" s="48"/>
      <c r="D95" s="40"/>
      <c r="E95" s="87"/>
      <c r="F95" s="49"/>
      <c r="G95" s="88"/>
      <c r="H95" s="88"/>
      <c r="I95" s="88"/>
      <c r="J95" s="44">
        <f t="shared" si="4"/>
        <v>0</v>
      </c>
      <c r="K95" s="45">
        <f t="shared" si="8"/>
        <v>0</v>
      </c>
      <c r="L95" s="45">
        <f t="shared" si="9"/>
        <v>0</v>
      </c>
      <c r="M95" s="46">
        <f t="shared" si="3"/>
        <v>0</v>
      </c>
      <c r="N95" s="55"/>
      <c r="O95" s="54"/>
    </row>
    <row r="96" spans="2:15" hidden="1" x14ac:dyDescent="0.25">
      <c r="B96" s="57"/>
      <c r="C96" s="48"/>
      <c r="D96" s="40"/>
      <c r="E96" s="41"/>
      <c r="F96" s="49"/>
      <c r="G96" s="42"/>
      <c r="H96" s="42"/>
      <c r="I96" s="42"/>
      <c r="J96" s="44">
        <f t="shared" si="4"/>
        <v>0</v>
      </c>
      <c r="K96" s="45">
        <f t="shared" si="8"/>
        <v>0</v>
      </c>
      <c r="L96" s="45">
        <f t="shared" si="9"/>
        <v>0</v>
      </c>
      <c r="M96" s="46">
        <f t="shared" si="3"/>
        <v>0</v>
      </c>
      <c r="N96" s="55"/>
      <c r="O96" s="54"/>
    </row>
    <row r="97" spans="2:15" hidden="1" x14ac:dyDescent="0.25">
      <c r="B97" s="57"/>
      <c r="C97" s="48"/>
      <c r="D97" s="40"/>
      <c r="E97" s="41"/>
      <c r="F97" s="49"/>
      <c r="G97" s="42"/>
      <c r="H97" s="42"/>
      <c r="I97" s="42"/>
      <c r="J97" s="44">
        <f t="shared" si="4"/>
        <v>0</v>
      </c>
      <c r="K97" s="45">
        <f t="shared" si="8"/>
        <v>0</v>
      </c>
      <c r="L97" s="45">
        <f t="shared" si="9"/>
        <v>0</v>
      </c>
      <c r="M97" s="46">
        <f t="shared" si="3"/>
        <v>0</v>
      </c>
      <c r="N97" s="55"/>
      <c r="O97" s="54"/>
    </row>
    <row r="98" spans="2:15" hidden="1" x14ac:dyDescent="0.25">
      <c r="B98" s="57"/>
      <c r="C98" s="48"/>
      <c r="D98" s="40"/>
      <c r="E98" s="41"/>
      <c r="F98" s="49"/>
      <c r="G98" s="42"/>
      <c r="H98" s="42"/>
      <c r="I98" s="42"/>
      <c r="J98" s="44">
        <f t="shared" si="0"/>
        <v>0</v>
      </c>
      <c r="K98" s="45">
        <f t="shared" si="1"/>
        <v>0</v>
      </c>
      <c r="L98" s="45">
        <f t="shared" si="2"/>
        <v>0</v>
      </c>
      <c r="M98" s="46">
        <f t="shared" si="3"/>
        <v>0</v>
      </c>
      <c r="N98" s="51"/>
      <c r="O98" s="52"/>
    </row>
    <row r="99" spans="2:15" hidden="1" x14ac:dyDescent="0.25">
      <c r="B99" s="57"/>
      <c r="C99" s="48"/>
      <c r="D99" s="40"/>
      <c r="E99" s="41"/>
      <c r="F99" s="49"/>
      <c r="G99" s="42"/>
      <c r="H99" s="42"/>
      <c r="I99" s="42"/>
      <c r="J99" s="44">
        <f t="shared" si="0"/>
        <v>0</v>
      </c>
      <c r="K99" s="45">
        <f t="shared" si="1"/>
        <v>0</v>
      </c>
      <c r="L99" s="45">
        <f t="shared" si="2"/>
        <v>0</v>
      </c>
      <c r="M99" s="46">
        <f t="shared" si="3"/>
        <v>0</v>
      </c>
      <c r="N99" s="51"/>
      <c r="O99" s="52"/>
    </row>
    <row r="100" spans="2:15" hidden="1" x14ac:dyDescent="0.25">
      <c r="B100" s="57"/>
      <c r="C100" s="48"/>
      <c r="D100" s="40"/>
      <c r="E100" s="41"/>
      <c r="F100" s="49"/>
      <c r="G100" s="42"/>
      <c r="H100" s="42"/>
      <c r="I100" s="42"/>
      <c r="J100" s="44">
        <f>G100*$I$3*E100</f>
        <v>0</v>
      </c>
      <c r="K100" s="45">
        <f>H100*$I$4*E100</f>
        <v>0</v>
      </c>
      <c r="L100" s="45">
        <f>I100*$I$5*E100</f>
        <v>0</v>
      </c>
      <c r="M100" s="46">
        <f t="shared" si="3"/>
        <v>0</v>
      </c>
      <c r="N100" s="51"/>
      <c r="O100" s="52"/>
    </row>
    <row r="101" spans="2:15" x14ac:dyDescent="0.25">
      <c r="B101" s="58"/>
      <c r="C101" s="48"/>
      <c r="D101" s="40"/>
      <c r="E101" s="41"/>
      <c r="F101" s="41"/>
      <c r="G101" s="42"/>
      <c r="H101" s="43"/>
      <c r="I101" s="42"/>
      <c r="J101" s="44"/>
      <c r="K101" s="45"/>
      <c r="L101" s="45"/>
      <c r="M101" s="50"/>
      <c r="N101" s="53"/>
      <c r="O101" s="54"/>
    </row>
    <row r="102" spans="2:15" ht="15.75" thickBot="1" x14ac:dyDescent="0.3">
      <c r="B102" s="59"/>
      <c r="C102" s="60"/>
      <c r="D102" s="19"/>
      <c r="E102" s="61"/>
      <c r="F102" s="61"/>
      <c r="G102" s="42"/>
      <c r="H102" s="43"/>
      <c r="I102" s="62"/>
      <c r="J102" s="44"/>
      <c r="K102" s="45"/>
      <c r="L102" s="45"/>
      <c r="M102" s="63"/>
      <c r="N102" s="64"/>
      <c r="O102" s="65"/>
    </row>
    <row r="103" spans="2:15" ht="16.5" thickTop="1" thickBot="1" x14ac:dyDescent="0.3">
      <c r="B103" s="19"/>
      <c r="C103" s="66"/>
      <c r="D103" s="66"/>
      <c r="E103" s="67"/>
      <c r="F103" s="67"/>
      <c r="G103" s="68"/>
      <c r="H103" s="68"/>
      <c r="I103" s="68"/>
      <c r="J103" s="68"/>
      <c r="K103" s="68"/>
      <c r="L103" s="68"/>
      <c r="M103" s="69"/>
      <c r="N103" s="70"/>
      <c r="O103" s="28"/>
    </row>
    <row r="104" spans="2:15" ht="15.75" thickTop="1" x14ac:dyDescent="0.25">
      <c r="B104" s="19"/>
      <c r="E104" s="23"/>
      <c r="F104" s="23"/>
      <c r="G104" s="71"/>
      <c r="H104" s="71"/>
      <c r="I104" s="71"/>
      <c r="J104" s="71"/>
      <c r="K104" s="71"/>
      <c r="L104" s="71"/>
      <c r="M104" s="72">
        <f>SUM(M9:M102)</f>
        <v>2595436.1452500001</v>
      </c>
      <c r="N104" s="73" t="s">
        <v>297</v>
      </c>
      <c r="O104" s="74"/>
    </row>
    <row r="105" spans="2:15" x14ac:dyDescent="0.25">
      <c r="B105" s="19"/>
      <c r="E105" s="23"/>
      <c r="F105" s="23"/>
      <c r="G105" s="71"/>
      <c r="H105" s="71"/>
      <c r="I105" s="71"/>
      <c r="J105" s="71"/>
      <c r="K105" s="71"/>
      <c r="L105" s="71"/>
      <c r="M105" s="75">
        <f>M104*N105</f>
        <v>259543.61452500001</v>
      </c>
      <c r="N105" s="76">
        <v>0.1</v>
      </c>
      <c r="O105" s="77" t="s">
        <v>298</v>
      </c>
    </row>
    <row r="106" spans="2:15" x14ac:dyDescent="0.25">
      <c r="B106" s="19"/>
      <c r="E106" s="23"/>
      <c r="F106" s="23"/>
      <c r="G106" s="71"/>
      <c r="H106" s="71"/>
      <c r="I106" s="71"/>
      <c r="J106" s="71"/>
      <c r="K106" s="71"/>
      <c r="L106" s="71"/>
      <c r="M106" s="75">
        <f>N106*(M104+M105)</f>
        <v>285497.97597750003</v>
      </c>
      <c r="N106" s="76">
        <v>0.1</v>
      </c>
      <c r="O106" s="77" t="s">
        <v>299</v>
      </c>
    </row>
    <row r="107" spans="2:15" x14ac:dyDescent="0.25">
      <c r="B107" s="19"/>
      <c r="C107" s="19"/>
      <c r="D107" s="19"/>
      <c r="E107" s="23"/>
      <c r="F107" s="23"/>
      <c r="G107" s="71"/>
      <c r="H107" s="71"/>
      <c r="I107" s="71"/>
      <c r="J107" s="71"/>
      <c r="K107" s="71"/>
      <c r="L107" s="71"/>
      <c r="M107" s="78">
        <f>SUM(M104:M106)*N107</f>
        <v>0</v>
      </c>
      <c r="N107" s="76"/>
      <c r="O107" s="77" t="s">
        <v>300</v>
      </c>
    </row>
    <row r="108" spans="2:15" ht="15.75" thickBot="1" x14ac:dyDescent="0.3">
      <c r="B108" s="19"/>
      <c r="C108" s="19"/>
      <c r="D108" s="19"/>
      <c r="E108" s="79"/>
      <c r="F108" s="79"/>
      <c r="G108" s="80"/>
      <c r="H108" s="80"/>
      <c r="I108" s="80"/>
      <c r="J108" s="80"/>
      <c r="K108" s="80"/>
      <c r="L108" s="80"/>
      <c r="M108" s="81">
        <f>SUM(M104:M107)</f>
        <v>3140477.7357525001</v>
      </c>
      <c r="N108" s="572" t="s">
        <v>46</v>
      </c>
      <c r="O108" s="573"/>
    </row>
    <row r="109" spans="2:15" ht="15.75" thickTop="1" x14ac:dyDescent="0.25">
      <c r="C109" s="82"/>
      <c r="D109" s="83"/>
    </row>
    <row r="110" spans="2:15" x14ac:dyDescent="0.25">
      <c r="C110" s="82"/>
      <c r="D110" s="83"/>
    </row>
    <row r="111" spans="2:15" x14ac:dyDescent="0.25">
      <c r="C111" s="82"/>
      <c r="D111" s="83"/>
    </row>
    <row r="112" spans="2:15" x14ac:dyDescent="0.25">
      <c r="C112" s="83"/>
      <c r="D112" s="83"/>
    </row>
    <row r="113" spans="3:4" x14ac:dyDescent="0.25">
      <c r="C113" s="82"/>
      <c r="D113" s="83"/>
    </row>
    <row r="114" spans="3:4" ht="16.350000000000001" customHeight="1" x14ac:dyDescent="0.25"/>
    <row r="115" spans="3:4" ht="16.350000000000001" customHeight="1" x14ac:dyDescent="0.25"/>
    <row r="116" spans="3:4" ht="16.350000000000001" customHeight="1" x14ac:dyDescent="0.25"/>
  </sheetData>
  <mergeCells count="8">
    <mergeCell ref="N7:O8"/>
    <mergeCell ref="N108:O108"/>
    <mergeCell ref="B7:D8"/>
    <mergeCell ref="E7:E8"/>
    <mergeCell ref="F7:F8"/>
    <mergeCell ref="G7:I7"/>
    <mergeCell ref="J7:L7"/>
    <mergeCell ref="M7:M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5377360C758642836FA27549CC56EF" ma:contentTypeVersion="8" ma:contentTypeDescription="Create a new document." ma:contentTypeScope="" ma:versionID="45aca95a6bf54b6a68b2eb6497ecb18c">
  <xsd:schema xmlns:xsd="http://www.w3.org/2001/XMLSchema" xmlns:xs="http://www.w3.org/2001/XMLSchema" xmlns:p="http://schemas.microsoft.com/office/2006/metadata/properties" xmlns:ns2="5c3b414a-42b5-4f3e-bc15-e98eadd98e7f" xmlns:ns3="3622e63a-d837-4b38-93c6-6dd27fcd9d50" targetNamespace="http://schemas.microsoft.com/office/2006/metadata/properties" ma:root="true" ma:fieldsID="0cf8969e401bc199394dbc2ae4c3c2ac" ns2:_="" ns3:_="">
    <xsd:import namespace="5c3b414a-42b5-4f3e-bc15-e98eadd98e7f"/>
    <xsd:import namespace="3622e63a-d837-4b38-93c6-6dd27fcd9d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b414a-42b5-4f3e-bc15-e98eadd98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22e63a-d837-4b38-93c6-6dd27fcd9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B3DC5F-2B97-4396-8746-77251E04F95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5c3b414a-42b5-4f3e-bc15-e98eadd98e7f"/>
    <ds:schemaRef ds:uri="http://purl.org/dc/elements/1.1/"/>
    <ds:schemaRef ds:uri="http://schemas.microsoft.com/office/infopath/2007/PartnerControls"/>
    <ds:schemaRef ds:uri="3622e63a-d837-4b38-93c6-6dd27fcd9d50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C61F03B-D236-40E5-8CDE-5F5C073080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3b414a-42b5-4f3e-bc15-e98eadd98e7f"/>
    <ds:schemaRef ds:uri="3622e63a-d837-4b38-93c6-6dd27fcd9d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95DF6E-52F6-4F27-8615-FABB29F187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Benefits Only LCA</vt:lpstr>
      <vt:lpstr>Baseline LCA</vt:lpstr>
      <vt:lpstr>DES LCA </vt:lpstr>
      <vt:lpstr>Fuel Indices</vt:lpstr>
      <vt:lpstr>Cost of Carbon</vt:lpstr>
      <vt:lpstr>Sizing</vt:lpstr>
      <vt:lpstr>Terminal Equipment Cost</vt:lpstr>
      <vt:lpstr>LCA</vt:lpstr>
      <vt:lpstr>Install Cost DES</vt:lpstr>
      <vt:lpstr>Install Cost Blr_Ch_Twr</vt:lpstr>
      <vt:lpstr>'Baseline LCA'!Print_Area</vt:lpstr>
      <vt:lpstr>'Benefits Only LCA'!Print_Area</vt:lpstr>
      <vt:lpstr>'Cost of Carbon'!Print_Area</vt:lpstr>
      <vt:lpstr>'DES LCA '!Print_Area</vt:lpstr>
      <vt:lpstr>'Fuel Indices'!Print_Area</vt:lpstr>
      <vt:lpstr>Sizing!Print_Area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Narsipur, Saarthak</dc:creator>
  <cp:keywords/>
  <dc:description/>
  <cp:lastModifiedBy>Walck, Charles</cp:lastModifiedBy>
  <cp:revision/>
  <dcterms:created xsi:type="dcterms:W3CDTF">2021-10-01T13:21:09Z</dcterms:created>
  <dcterms:modified xsi:type="dcterms:W3CDTF">2025-02-07T19:52:39Z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0x010100275377360C758642836FA27549CC56EF</vt:lpwstr>
  </property>
</Properties>
</file>