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aconsulting-my.sharepoint.com/personal/cwalck_chacompanies_com/Documents/Desktop/Syracuse DES Appendices/"/>
    </mc:Choice>
  </mc:AlternateContent>
  <xr:revisionPtr revIDLastSave="79" documentId="8_{4824D8C8-84C7-4EBA-B3C3-D0662BAFDE46}" xr6:coauthVersionLast="47" xr6:coauthVersionMax="47" xr10:uidLastSave="{30CA1A0D-B32D-4A36-970D-0E8A0A861EAA}"/>
  <bookViews>
    <workbookView xWindow="-120" yWindow="-120" windowWidth="29040" windowHeight="15840" xr2:uid="{3D51A14C-AC52-4E7E-8013-5E41827CEAA8}"/>
  </bookViews>
  <sheets>
    <sheet name="Summary" sheetId="11" r:id="rId1"/>
    <sheet name="Comparison to Load Profile" sheetId="17" r:id="rId2"/>
    <sheet name="Summary with Estimates" sheetId="16" state="hidden" r:id="rId3"/>
    <sheet name="Salina Elec" sheetId="2" r:id="rId4"/>
    <sheet name="Salina Gas" sheetId="1" r:id="rId5"/>
    <sheet name="224 Harrison Elec" sheetId="3" r:id="rId6"/>
    <sheet name="224 Harrison Gas " sheetId="4" r:id="rId7"/>
    <sheet name="White Memorial Elec" sheetId="6" r:id="rId8"/>
    <sheet name="White Memorial Gas" sheetId="5" r:id="rId9"/>
    <sheet name="1 Clinton Sq Elec" sheetId="7" r:id="rId10"/>
    <sheet name="Atrium Elec" sheetId="9" r:id="rId11"/>
    <sheet name="1 Clinton Sq Gas" sheetId="8" r:id="rId12"/>
    <sheet name="Atrium Gas" sheetId="10" r:id="rId13"/>
    <sheet name="One Lincoln Center Electric" sheetId="12" r:id="rId14"/>
    <sheet name="One Lincoln Center Gas" sheetId="13" r:id="rId15"/>
    <sheet name="One Park Place Electric" sheetId="14" r:id="rId16"/>
    <sheet name="One Park Place Gas" sheetId="15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</externalReferences>
  <definedNames>
    <definedName name="\A" localSheetId="9">#REF!</definedName>
    <definedName name="\A" localSheetId="5">#REF!</definedName>
    <definedName name="\A" localSheetId="10">#REF!</definedName>
    <definedName name="\A" localSheetId="3">#REF!</definedName>
    <definedName name="\A" localSheetId="7">#REF!</definedName>
    <definedName name="\A">#REF!</definedName>
    <definedName name="\B" localSheetId="9">#REF!</definedName>
    <definedName name="\B" localSheetId="5">#REF!</definedName>
    <definedName name="\B" localSheetId="10">#REF!</definedName>
    <definedName name="\B" localSheetId="3">#REF!</definedName>
    <definedName name="\B" localSheetId="7">#REF!</definedName>
    <definedName name="\B">#REF!</definedName>
    <definedName name="\C" localSheetId="9">#REF!</definedName>
    <definedName name="\C" localSheetId="5">#REF!</definedName>
    <definedName name="\C" localSheetId="10">#REF!</definedName>
    <definedName name="\C" localSheetId="3">#REF!</definedName>
    <definedName name="\C" localSheetId="7">#REF!</definedName>
    <definedName name="\C">#REF!</definedName>
    <definedName name="\D" localSheetId="9">#REF!</definedName>
    <definedName name="\D" localSheetId="5">#REF!</definedName>
    <definedName name="\D" localSheetId="10">#REF!</definedName>
    <definedName name="\D" localSheetId="3">#REF!</definedName>
    <definedName name="\D" localSheetId="7">#REF!</definedName>
    <definedName name="\D">#REF!</definedName>
    <definedName name="\E" localSheetId="9">#REF!</definedName>
    <definedName name="\E" localSheetId="5">#REF!</definedName>
    <definedName name="\E" localSheetId="10">#REF!</definedName>
    <definedName name="\E" localSheetId="3">#REF!</definedName>
    <definedName name="\E" localSheetId="7">#REF!</definedName>
    <definedName name="\E">#REF!</definedName>
    <definedName name="\F" localSheetId="9">#REF!</definedName>
    <definedName name="\F" localSheetId="5">#REF!</definedName>
    <definedName name="\F" localSheetId="10">#REF!</definedName>
    <definedName name="\F" localSheetId="3">#REF!</definedName>
    <definedName name="\F" localSheetId="7">#REF!</definedName>
    <definedName name="\F">#REF!</definedName>
    <definedName name="\G" localSheetId="9">#REF!</definedName>
    <definedName name="\G" localSheetId="5">#REF!</definedName>
    <definedName name="\G" localSheetId="10">#REF!</definedName>
    <definedName name="\G" localSheetId="3">#REF!</definedName>
    <definedName name="\G" localSheetId="7">#REF!</definedName>
    <definedName name="\G">#REF!</definedName>
    <definedName name="\H" localSheetId="9">#REF!</definedName>
    <definedName name="\H" localSheetId="5">#REF!</definedName>
    <definedName name="\H" localSheetId="10">#REF!</definedName>
    <definedName name="\H" localSheetId="3">#REF!</definedName>
    <definedName name="\H" localSheetId="7">#REF!</definedName>
    <definedName name="\H">#REF!</definedName>
    <definedName name="\p" localSheetId="9">'[1]Elementary School'!#REF!</definedName>
    <definedName name="\p" localSheetId="5">'[1]Elementary School'!#REF!</definedName>
    <definedName name="\p" localSheetId="10">'[1]Elementary School'!#REF!</definedName>
    <definedName name="\p" localSheetId="3">'[1]Elementary School'!#REF!</definedName>
    <definedName name="\p" localSheetId="7">'[1]Elementary School'!#REF!</definedName>
    <definedName name="\p">'[1]Elementary School'!#REF!</definedName>
    <definedName name="\Q" localSheetId="9">#REF!</definedName>
    <definedName name="\Q" localSheetId="5">#REF!</definedName>
    <definedName name="\Q" localSheetId="10">#REF!</definedName>
    <definedName name="\Q" localSheetId="3">#REF!</definedName>
    <definedName name="\Q" localSheetId="7">#REF!</definedName>
    <definedName name="\Q">#REF!</definedName>
    <definedName name="\S" localSheetId="9">#REF!</definedName>
    <definedName name="\S" localSheetId="5">#REF!</definedName>
    <definedName name="\S" localSheetId="10">#REF!</definedName>
    <definedName name="\S" localSheetId="3">#REF!</definedName>
    <definedName name="\S" localSheetId="7">#REF!</definedName>
    <definedName name="\S">#REF!</definedName>
    <definedName name="\T" localSheetId="9">#REF!</definedName>
    <definedName name="\T" localSheetId="5">#REF!</definedName>
    <definedName name="\T" localSheetId="10">#REF!</definedName>
    <definedName name="\T" localSheetId="3">#REF!</definedName>
    <definedName name="\T" localSheetId="7">#REF!</definedName>
    <definedName name="\T">#REF!</definedName>
    <definedName name="\U" localSheetId="9">#REF!</definedName>
    <definedName name="\U" localSheetId="5">#REF!</definedName>
    <definedName name="\U" localSheetId="10">#REF!</definedName>
    <definedName name="\U" localSheetId="3">#REF!</definedName>
    <definedName name="\U" localSheetId="7">#REF!</definedName>
    <definedName name="\U">#REF!</definedName>
    <definedName name="\Z" localSheetId="9">#REF!</definedName>
    <definedName name="\Z" localSheetId="5">#REF!</definedName>
    <definedName name="\Z" localSheetId="10">#REF!</definedName>
    <definedName name="\Z" localSheetId="3">#REF!</definedName>
    <definedName name="\Z" localSheetId="7">#REF!</definedName>
    <definedName name="\Z">#REF!</definedName>
    <definedName name="___________________________wrn2" hidden="1">{"hostelec",#N/A,FALSE,"Billing";"nhelec",#N/A,FALSE,"Billing";"sitelec",#N/A,FALSE,"Billing";"Service",#N/A,FALSE,"Misc."}</definedName>
    <definedName name="_______________________FAN100">'[2]Load Chart'!$D$13</definedName>
    <definedName name="_______________________FAN50">'[2]Load Chart'!$I$13</definedName>
    <definedName name="_______________________FAN60">'[2]Load Chart'!$H$13</definedName>
    <definedName name="_______________________FAN70">'[2]Load Chart'!$G$13</definedName>
    <definedName name="_______________________FAN80">'[2]Load Chart'!$F$13</definedName>
    <definedName name="_______________________FAN90">'[2]Load Chart'!$E$13</definedName>
    <definedName name="_______________________wrn2" hidden="1">{"hostelec",#N/A,FALSE,"Billing";"nhelec",#N/A,FALSE,"Billing";"sitelec",#N/A,FALSE,"Billing";"Service",#N/A,FALSE,"Misc."}</definedName>
    <definedName name="______________________kw2">'[3]Var. Vol. Pump'!$G$150</definedName>
    <definedName name="______________________kW3">'[3]Var. Vol. Pump'!$G$198</definedName>
    <definedName name="_____________________kw2">'[3]Var. Vol. Pump'!$G$150</definedName>
    <definedName name="_____________________kW3">'[3]Var. Vol. Pump'!$G$198</definedName>
    <definedName name="_____________________wrn2" hidden="1">{"hostelec",#N/A,FALSE,"Billing";"nhelec",#N/A,FALSE,"Billing";"sitelec",#N/A,FALSE,"Billing";"Service",#N/A,FALSE,"Misc."}</definedName>
    <definedName name="____________________FAN100">'[2]Load Chart'!$D$13</definedName>
    <definedName name="____________________FAN50">'[2]Load Chart'!$I$13</definedName>
    <definedName name="____________________FAN60">'[2]Load Chart'!$H$13</definedName>
    <definedName name="____________________FAN70">'[2]Load Chart'!$G$13</definedName>
    <definedName name="____________________FAN80">'[2]Load Chart'!$F$13</definedName>
    <definedName name="____________________FAN90">'[2]Load Chart'!$E$13</definedName>
    <definedName name="____________________kw2">'[3]Var. Vol. Pump'!$G$150</definedName>
    <definedName name="____________________kW3">'[3]Var. Vol. Pump'!$G$198</definedName>
    <definedName name="____________________wrn2" localSheetId="9" hidden="1">{"hostelec",#N/A,FALSE,"Billing";"nhelec",#N/A,FALSE,"Billing";"sitelec",#N/A,FALSE,"Billing";"Service",#N/A,FALSE,"Misc."}</definedName>
    <definedName name="____________________wrn2" localSheetId="5" hidden="1">{"hostelec",#N/A,FALSE,"Billing";"nhelec",#N/A,FALSE,"Billing";"sitelec",#N/A,FALSE,"Billing";"Service",#N/A,FALSE,"Misc."}</definedName>
    <definedName name="____________________wrn2" localSheetId="10" hidden="1">{"hostelec",#N/A,FALSE,"Billing";"nhelec",#N/A,FALSE,"Billing";"sitelec",#N/A,FALSE,"Billing";"Service",#N/A,FALSE,"Misc."}</definedName>
    <definedName name="____________________wrn2" localSheetId="3" hidden="1">{"hostelec",#N/A,FALSE,"Billing";"nhelec",#N/A,FALSE,"Billing";"sitelec",#N/A,FALSE,"Billing";"Service",#N/A,FALSE,"Misc."}</definedName>
    <definedName name="____________________wrn2" localSheetId="7" hidden="1">{"hostelec",#N/A,FALSE,"Billing";"nhelec",#N/A,FALSE,"Billing";"sitelec",#N/A,FALSE,"Billing";"Service",#N/A,FALSE,"Misc."}</definedName>
    <definedName name="____________________wrn2" hidden="1">{"hostelec",#N/A,FALSE,"Billing";"nhelec",#N/A,FALSE,"Billing";"sitelec",#N/A,FALSE,"Billing";"Service",#N/A,FALSE,"Misc."}</definedName>
    <definedName name="___________________FAN100">'[2]Load Chart'!$D$13</definedName>
    <definedName name="___________________FAN50">'[2]Load Chart'!$I$13</definedName>
    <definedName name="___________________FAN60">'[2]Load Chart'!$H$13</definedName>
    <definedName name="___________________FAN70">'[2]Load Chart'!$G$13</definedName>
    <definedName name="___________________FAN80">'[2]Load Chart'!$F$13</definedName>
    <definedName name="___________________FAN90">'[2]Load Chart'!$E$13</definedName>
    <definedName name="___________________kw2">'[3]Var. Vol. Pump'!$G$150</definedName>
    <definedName name="___________________kW3">'[3]Var. Vol. Pump'!$G$198</definedName>
    <definedName name="___________________wrn2" localSheetId="9" hidden="1">{"hostelec",#N/A,FALSE,"Billing";"nhelec",#N/A,FALSE,"Billing";"sitelec",#N/A,FALSE,"Billing";"Service",#N/A,FALSE,"Misc."}</definedName>
    <definedName name="___________________wrn2" localSheetId="5" hidden="1">{"hostelec",#N/A,FALSE,"Billing";"nhelec",#N/A,FALSE,"Billing";"sitelec",#N/A,FALSE,"Billing";"Service",#N/A,FALSE,"Misc."}</definedName>
    <definedName name="___________________wrn2" localSheetId="10" hidden="1">{"hostelec",#N/A,FALSE,"Billing";"nhelec",#N/A,FALSE,"Billing";"sitelec",#N/A,FALSE,"Billing";"Service",#N/A,FALSE,"Misc."}</definedName>
    <definedName name="___________________wrn2" localSheetId="3" hidden="1">{"hostelec",#N/A,FALSE,"Billing";"nhelec",#N/A,FALSE,"Billing";"sitelec",#N/A,FALSE,"Billing";"Service",#N/A,FALSE,"Misc."}</definedName>
    <definedName name="___________________wrn2" localSheetId="7" hidden="1">{"hostelec",#N/A,FALSE,"Billing";"nhelec",#N/A,FALSE,"Billing";"sitelec",#N/A,FALSE,"Billing";"Service",#N/A,FALSE,"Misc."}</definedName>
    <definedName name="___________________wrn2" hidden="1">{"hostelec",#N/A,FALSE,"Billing";"nhelec",#N/A,FALSE,"Billing";"sitelec",#N/A,FALSE,"Billing";"Service",#N/A,FALSE,"Misc."}</definedName>
    <definedName name="__________________FAN100">'[2]Load Chart'!$D$13</definedName>
    <definedName name="__________________FAN50">'[2]Load Chart'!$I$13</definedName>
    <definedName name="__________________FAN60">'[2]Load Chart'!$H$13</definedName>
    <definedName name="__________________FAN70">'[2]Load Chart'!$G$13</definedName>
    <definedName name="__________________FAN80">'[2]Load Chart'!$F$13</definedName>
    <definedName name="__________________FAN90">'[2]Load Chart'!$E$13</definedName>
    <definedName name="__________________kw2">'[3]Var. Vol. Pump'!$G$150</definedName>
    <definedName name="__________________kW3">'[3]Var. Vol. Pump'!$G$198</definedName>
    <definedName name="__________________wrn2" localSheetId="9" hidden="1">{"hostelec",#N/A,FALSE,"Billing";"nhelec",#N/A,FALSE,"Billing";"sitelec",#N/A,FALSE,"Billing";"Service",#N/A,FALSE,"Misc."}</definedName>
    <definedName name="__________________wrn2" localSheetId="5" hidden="1">{"hostelec",#N/A,FALSE,"Billing";"nhelec",#N/A,FALSE,"Billing";"sitelec",#N/A,FALSE,"Billing";"Service",#N/A,FALSE,"Misc."}</definedName>
    <definedName name="__________________wrn2" localSheetId="10" hidden="1">{"hostelec",#N/A,FALSE,"Billing";"nhelec",#N/A,FALSE,"Billing";"sitelec",#N/A,FALSE,"Billing";"Service",#N/A,FALSE,"Misc."}</definedName>
    <definedName name="__________________wrn2" localSheetId="3" hidden="1">{"hostelec",#N/A,FALSE,"Billing";"nhelec",#N/A,FALSE,"Billing";"sitelec",#N/A,FALSE,"Billing";"Service",#N/A,FALSE,"Misc."}</definedName>
    <definedName name="__________________wrn2" localSheetId="7" hidden="1">{"hostelec",#N/A,FALSE,"Billing";"nhelec",#N/A,FALSE,"Billing";"sitelec",#N/A,FALSE,"Billing";"Service",#N/A,FALSE,"Misc."}</definedName>
    <definedName name="__________________wrn2" hidden="1">{"hostelec",#N/A,FALSE,"Billing";"nhelec",#N/A,FALSE,"Billing";"sitelec",#N/A,FALSE,"Billing";"Service",#N/A,FALSE,"Misc."}</definedName>
    <definedName name="_________________FAN100">'[2]Load Chart'!$D$13</definedName>
    <definedName name="_________________FAN50">'[2]Load Chart'!$I$13</definedName>
    <definedName name="_________________FAN60">'[2]Load Chart'!$H$13</definedName>
    <definedName name="_________________FAN70">'[2]Load Chart'!$G$13</definedName>
    <definedName name="_________________FAN80">'[2]Load Chart'!$F$13</definedName>
    <definedName name="_________________FAN90">'[2]Load Chart'!$E$13</definedName>
    <definedName name="_________________kw2">'[3]Var. Vol. Pump'!$G$150</definedName>
    <definedName name="_________________kW3">'[3]Var. Vol. Pump'!$G$198</definedName>
    <definedName name="_________________wrn2" localSheetId="9" hidden="1">{"hostelec",#N/A,FALSE,"Billing";"nhelec",#N/A,FALSE,"Billing";"sitelec",#N/A,FALSE,"Billing";"Service",#N/A,FALSE,"Misc."}</definedName>
    <definedName name="_________________wrn2" localSheetId="5" hidden="1">{"hostelec",#N/A,FALSE,"Billing";"nhelec",#N/A,FALSE,"Billing";"sitelec",#N/A,FALSE,"Billing";"Service",#N/A,FALSE,"Misc."}</definedName>
    <definedName name="_________________wrn2" localSheetId="10" hidden="1">{"hostelec",#N/A,FALSE,"Billing";"nhelec",#N/A,FALSE,"Billing";"sitelec",#N/A,FALSE,"Billing";"Service",#N/A,FALSE,"Misc."}</definedName>
    <definedName name="_________________wrn2" localSheetId="3" hidden="1">{"hostelec",#N/A,FALSE,"Billing";"nhelec",#N/A,FALSE,"Billing";"sitelec",#N/A,FALSE,"Billing";"Service",#N/A,FALSE,"Misc."}</definedName>
    <definedName name="_________________wrn2" localSheetId="7" hidden="1">{"hostelec",#N/A,FALSE,"Billing";"nhelec",#N/A,FALSE,"Billing";"sitelec",#N/A,FALSE,"Billing";"Service",#N/A,FALSE,"Misc."}</definedName>
    <definedName name="_________________wrn2" hidden="1">{"hostelec",#N/A,FALSE,"Billing";"nhelec",#N/A,FALSE,"Billing";"sitelec",#N/A,FALSE,"Billing";"Service",#N/A,FALSE,"Misc."}</definedName>
    <definedName name="________________FAN100">'[2]Load Chart'!$D$13</definedName>
    <definedName name="________________FAN50">'[2]Load Chart'!$I$13</definedName>
    <definedName name="________________FAN60">'[2]Load Chart'!$H$13</definedName>
    <definedName name="________________FAN70">'[2]Load Chart'!$G$13</definedName>
    <definedName name="________________FAN80">'[2]Load Chart'!$F$13</definedName>
    <definedName name="________________FAN90">'[2]Load Chart'!$E$13</definedName>
    <definedName name="________________kw2">'[3]Var. Vol. Pump'!$G$150</definedName>
    <definedName name="________________kW3">'[3]Var. Vol. Pump'!$G$198</definedName>
    <definedName name="________________wrn2" localSheetId="9" hidden="1">{"hostelec",#N/A,FALSE,"Billing";"nhelec",#N/A,FALSE,"Billing";"sitelec",#N/A,FALSE,"Billing";"Service",#N/A,FALSE,"Misc."}</definedName>
    <definedName name="________________wrn2" localSheetId="5" hidden="1">{"hostelec",#N/A,FALSE,"Billing";"nhelec",#N/A,FALSE,"Billing";"sitelec",#N/A,FALSE,"Billing";"Service",#N/A,FALSE,"Misc."}</definedName>
    <definedName name="________________wrn2" localSheetId="10" hidden="1">{"hostelec",#N/A,FALSE,"Billing";"nhelec",#N/A,FALSE,"Billing";"sitelec",#N/A,FALSE,"Billing";"Service",#N/A,FALSE,"Misc."}</definedName>
    <definedName name="________________wrn2" localSheetId="3" hidden="1">{"hostelec",#N/A,FALSE,"Billing";"nhelec",#N/A,FALSE,"Billing";"sitelec",#N/A,FALSE,"Billing";"Service",#N/A,FALSE,"Misc."}</definedName>
    <definedName name="________________wrn2" localSheetId="7" hidden="1">{"hostelec",#N/A,FALSE,"Billing";"nhelec",#N/A,FALSE,"Billing";"sitelec",#N/A,FALSE,"Billing";"Service",#N/A,FALSE,"Misc."}</definedName>
    <definedName name="________________wrn2" hidden="1">{"hostelec",#N/A,FALSE,"Billing";"nhelec",#N/A,FALSE,"Billing";"sitelec",#N/A,FALSE,"Billing";"Service",#N/A,FALSE,"Misc."}</definedName>
    <definedName name="_______________FAN100" localSheetId="9">'[4]Load Chart'!$D$13</definedName>
    <definedName name="_______________FAN100" localSheetId="5">'[4]Load Chart'!$D$13</definedName>
    <definedName name="_______________FAN100" localSheetId="10">'[4]Load Chart'!$D$13</definedName>
    <definedName name="_______________FAN100" localSheetId="3">'[4]Load Chart'!$D$13</definedName>
    <definedName name="_______________FAN100" localSheetId="7">'[4]Load Chart'!$D$13</definedName>
    <definedName name="_______________FAN100">'[4]Load Chart'!$D$13</definedName>
    <definedName name="_______________FAN50" localSheetId="9">'[4]Load Chart'!$I$13</definedName>
    <definedName name="_______________FAN50" localSheetId="5">'[4]Load Chart'!$I$13</definedName>
    <definedName name="_______________FAN50" localSheetId="10">'[4]Load Chart'!$I$13</definedName>
    <definedName name="_______________FAN50" localSheetId="3">'[4]Load Chart'!$I$13</definedName>
    <definedName name="_______________FAN50" localSheetId="7">'[4]Load Chart'!$I$13</definedName>
    <definedName name="_______________FAN50">'[4]Load Chart'!$I$13</definedName>
    <definedName name="_______________FAN60" localSheetId="9">'[4]Load Chart'!$H$13</definedName>
    <definedName name="_______________FAN60" localSheetId="5">'[4]Load Chart'!$H$13</definedName>
    <definedName name="_______________FAN60" localSheetId="10">'[4]Load Chart'!$H$13</definedName>
    <definedName name="_______________FAN60" localSheetId="3">'[4]Load Chart'!$H$13</definedName>
    <definedName name="_______________FAN60" localSheetId="7">'[4]Load Chart'!$H$13</definedName>
    <definedName name="_______________FAN60">'[4]Load Chart'!$H$13</definedName>
    <definedName name="_______________FAN70" localSheetId="9">'[4]Load Chart'!$G$13</definedName>
    <definedName name="_______________FAN70" localSheetId="5">'[4]Load Chart'!$G$13</definedName>
    <definedName name="_______________FAN70" localSheetId="10">'[4]Load Chart'!$G$13</definedName>
    <definedName name="_______________FAN70" localSheetId="3">'[4]Load Chart'!$G$13</definedName>
    <definedName name="_______________FAN70" localSheetId="7">'[4]Load Chart'!$G$13</definedName>
    <definedName name="_______________FAN70">'[4]Load Chart'!$G$13</definedName>
    <definedName name="_______________FAN80" localSheetId="9">'[4]Load Chart'!$F$13</definedName>
    <definedName name="_______________FAN80" localSheetId="5">'[4]Load Chart'!$F$13</definedName>
    <definedName name="_______________FAN80" localSheetId="10">'[4]Load Chart'!$F$13</definedName>
    <definedName name="_______________FAN80" localSheetId="3">'[4]Load Chart'!$F$13</definedName>
    <definedName name="_______________FAN80" localSheetId="7">'[4]Load Chart'!$F$13</definedName>
    <definedName name="_______________FAN80">'[4]Load Chart'!$F$13</definedName>
    <definedName name="_______________FAN90" localSheetId="9">'[4]Load Chart'!$E$13</definedName>
    <definedName name="_______________FAN90" localSheetId="5">'[4]Load Chart'!$E$13</definedName>
    <definedName name="_______________FAN90" localSheetId="10">'[4]Load Chart'!$E$13</definedName>
    <definedName name="_______________FAN90" localSheetId="3">'[4]Load Chart'!$E$13</definedName>
    <definedName name="_______________FAN90" localSheetId="7">'[4]Load Chart'!$E$13</definedName>
    <definedName name="_______________FAN90">'[4]Load Chart'!$E$13</definedName>
    <definedName name="_______________kw2">'[3]Var. Vol. Pump'!$G$150</definedName>
    <definedName name="_______________kW3">'[3]Var. Vol. Pump'!$G$198</definedName>
    <definedName name="_______________wrn2" localSheetId="9" hidden="1">{"hostelec",#N/A,FALSE,"Billing";"nhelec",#N/A,FALSE,"Billing";"sitelec",#N/A,FALSE,"Billing";"Service",#N/A,FALSE,"Misc."}</definedName>
    <definedName name="_______________wrn2" localSheetId="5" hidden="1">{"hostelec",#N/A,FALSE,"Billing";"nhelec",#N/A,FALSE,"Billing";"sitelec",#N/A,FALSE,"Billing";"Service",#N/A,FALSE,"Misc."}</definedName>
    <definedName name="_______________wrn2" localSheetId="10" hidden="1">{"hostelec",#N/A,FALSE,"Billing";"nhelec",#N/A,FALSE,"Billing";"sitelec",#N/A,FALSE,"Billing";"Service",#N/A,FALSE,"Misc."}</definedName>
    <definedName name="_______________wrn2" localSheetId="3" hidden="1">{"hostelec",#N/A,FALSE,"Billing";"nhelec",#N/A,FALSE,"Billing";"sitelec",#N/A,FALSE,"Billing";"Service",#N/A,FALSE,"Misc."}</definedName>
    <definedName name="_______________wrn2" localSheetId="7" hidden="1">{"hostelec",#N/A,FALSE,"Billing";"nhelec",#N/A,FALSE,"Billing";"sitelec",#N/A,FALSE,"Billing";"Service",#N/A,FALSE,"Misc."}</definedName>
    <definedName name="_______________wrn2" hidden="1">{"hostelec",#N/A,FALSE,"Billing";"nhelec",#N/A,FALSE,"Billing";"sitelec",#N/A,FALSE,"Billing";"Service",#N/A,FALSE,"Misc."}</definedName>
    <definedName name="______________FAN100">'[2]Load Chart'!$D$13</definedName>
    <definedName name="______________FAN50">'[2]Load Chart'!$I$13</definedName>
    <definedName name="______________FAN60">'[2]Load Chart'!$H$13</definedName>
    <definedName name="______________FAN70">'[2]Load Chart'!$G$13</definedName>
    <definedName name="______________FAN80">'[2]Load Chart'!$F$13</definedName>
    <definedName name="______________FAN90">'[2]Load Chart'!$E$13</definedName>
    <definedName name="______________kw2">'[3]Var. Vol. Pump'!$G$150</definedName>
    <definedName name="______________kW3">'[3]Var. Vol. Pump'!$G$198</definedName>
    <definedName name="______________wrn2" localSheetId="9" hidden="1">{"hostelec",#N/A,FALSE,"Billing";"nhelec",#N/A,FALSE,"Billing";"sitelec",#N/A,FALSE,"Billing";"Service",#N/A,FALSE,"Misc."}</definedName>
    <definedName name="______________wrn2" localSheetId="5" hidden="1">{"hostelec",#N/A,FALSE,"Billing";"nhelec",#N/A,FALSE,"Billing";"sitelec",#N/A,FALSE,"Billing";"Service",#N/A,FALSE,"Misc."}</definedName>
    <definedName name="______________wrn2" localSheetId="10" hidden="1">{"hostelec",#N/A,FALSE,"Billing";"nhelec",#N/A,FALSE,"Billing";"sitelec",#N/A,FALSE,"Billing";"Service",#N/A,FALSE,"Misc."}</definedName>
    <definedName name="______________wrn2" localSheetId="3" hidden="1">{"hostelec",#N/A,FALSE,"Billing";"nhelec",#N/A,FALSE,"Billing";"sitelec",#N/A,FALSE,"Billing";"Service",#N/A,FALSE,"Misc."}</definedName>
    <definedName name="______________wrn2" localSheetId="7" hidden="1">{"hostelec",#N/A,FALSE,"Billing";"nhelec",#N/A,FALSE,"Billing";"sitelec",#N/A,FALSE,"Billing";"Service",#N/A,FALSE,"Misc."}</definedName>
    <definedName name="______________wrn2" hidden="1">{"hostelec",#N/A,FALSE,"Billing";"nhelec",#N/A,FALSE,"Billing";"sitelec",#N/A,FALSE,"Billing";"Service",#N/A,FALSE,"Misc."}</definedName>
    <definedName name="_____________FAN100">'[2]Load Chart'!$D$13</definedName>
    <definedName name="_____________FAN50">'[2]Load Chart'!$I$13</definedName>
    <definedName name="_____________FAN60">'[2]Load Chart'!$H$13</definedName>
    <definedName name="_____________FAN70">'[2]Load Chart'!$G$13</definedName>
    <definedName name="_____________FAN80">'[2]Load Chart'!$F$13</definedName>
    <definedName name="_____________FAN90">'[2]Load Chart'!$E$13</definedName>
    <definedName name="_____________kw2">'[3]Var. Vol. Pump'!$G$150</definedName>
    <definedName name="_____________kW3">'[3]Var. Vol. Pump'!$G$198</definedName>
    <definedName name="_____________wrn2" localSheetId="9" hidden="1">{"hostelec",#N/A,FALSE,"Billing";"nhelec",#N/A,FALSE,"Billing";"sitelec",#N/A,FALSE,"Billing";"Service",#N/A,FALSE,"Misc."}</definedName>
    <definedName name="_____________wrn2" localSheetId="5" hidden="1">{"hostelec",#N/A,FALSE,"Billing";"nhelec",#N/A,FALSE,"Billing";"sitelec",#N/A,FALSE,"Billing";"Service",#N/A,FALSE,"Misc."}</definedName>
    <definedName name="_____________wrn2" localSheetId="10" hidden="1">{"hostelec",#N/A,FALSE,"Billing";"nhelec",#N/A,FALSE,"Billing";"sitelec",#N/A,FALSE,"Billing";"Service",#N/A,FALSE,"Misc."}</definedName>
    <definedName name="_____________wrn2" localSheetId="3" hidden="1">{"hostelec",#N/A,FALSE,"Billing";"nhelec",#N/A,FALSE,"Billing";"sitelec",#N/A,FALSE,"Billing";"Service",#N/A,FALSE,"Misc."}</definedName>
    <definedName name="_____________wrn2" localSheetId="7" hidden="1">{"hostelec",#N/A,FALSE,"Billing";"nhelec",#N/A,FALSE,"Billing";"sitelec",#N/A,FALSE,"Billing";"Service",#N/A,FALSE,"Misc."}</definedName>
    <definedName name="_____________wrn2" hidden="1">{"hostelec",#N/A,FALSE,"Billing";"nhelec",#N/A,FALSE,"Billing";"sitelec",#N/A,FALSE,"Billing";"Service",#N/A,FALSE,"Misc."}</definedName>
    <definedName name="____________FAN100">'[2]Load Chart'!$D$13</definedName>
    <definedName name="____________FAN50">'[2]Load Chart'!$I$13</definedName>
    <definedName name="____________FAN60">'[2]Load Chart'!$H$13</definedName>
    <definedName name="____________FAN70">'[2]Load Chart'!$G$13</definedName>
    <definedName name="____________FAN80">'[2]Load Chart'!$F$13</definedName>
    <definedName name="____________FAN90">'[2]Load Chart'!$E$13</definedName>
    <definedName name="____________kw2">'[3]Var. Vol. Pump'!$G$150</definedName>
    <definedName name="____________kW3">'[3]Var. Vol. Pump'!$G$198</definedName>
    <definedName name="____________wrn2" localSheetId="9" hidden="1">{"hostelec",#N/A,FALSE,"Billing";"nhelec",#N/A,FALSE,"Billing";"sitelec",#N/A,FALSE,"Billing";"Service",#N/A,FALSE,"Misc."}</definedName>
    <definedName name="____________wrn2" localSheetId="5" hidden="1">{"hostelec",#N/A,FALSE,"Billing";"nhelec",#N/A,FALSE,"Billing";"sitelec",#N/A,FALSE,"Billing";"Service",#N/A,FALSE,"Misc."}</definedName>
    <definedName name="____________wrn2" localSheetId="10" hidden="1">{"hostelec",#N/A,FALSE,"Billing";"nhelec",#N/A,FALSE,"Billing";"sitelec",#N/A,FALSE,"Billing";"Service",#N/A,FALSE,"Misc."}</definedName>
    <definedName name="____________wrn2" localSheetId="3" hidden="1">{"hostelec",#N/A,FALSE,"Billing";"nhelec",#N/A,FALSE,"Billing";"sitelec",#N/A,FALSE,"Billing";"Service",#N/A,FALSE,"Misc."}</definedName>
    <definedName name="____________wrn2" localSheetId="7" hidden="1">{"hostelec",#N/A,FALSE,"Billing";"nhelec",#N/A,FALSE,"Billing";"sitelec",#N/A,FALSE,"Billing";"Service",#N/A,FALSE,"Misc."}</definedName>
    <definedName name="____________wrn2" hidden="1">{"hostelec",#N/A,FALSE,"Billing";"nhelec",#N/A,FALSE,"Billing";"sitelec",#N/A,FALSE,"Billing";"Service",#N/A,FALSE,"Misc."}</definedName>
    <definedName name="___________FAN100">'[2]Load Chart'!$D$13</definedName>
    <definedName name="___________FAN50">'[2]Load Chart'!$I$13</definedName>
    <definedName name="___________FAN60">'[2]Load Chart'!$H$13</definedName>
    <definedName name="___________FAN70">'[2]Load Chart'!$G$13</definedName>
    <definedName name="___________FAN80">'[2]Load Chart'!$F$13</definedName>
    <definedName name="___________FAN90">'[2]Load Chart'!$E$13</definedName>
    <definedName name="___________kw2">'[3]Var. Vol. Pump'!$G$150</definedName>
    <definedName name="___________kW3">'[3]Var. Vol. Pump'!$G$198</definedName>
    <definedName name="___________wrn2" localSheetId="9" hidden="1">{"hostelec",#N/A,FALSE,"Billing";"nhelec",#N/A,FALSE,"Billing";"sitelec",#N/A,FALSE,"Billing";"Service",#N/A,FALSE,"Misc."}</definedName>
    <definedName name="___________wrn2" localSheetId="5" hidden="1">{"hostelec",#N/A,FALSE,"Billing";"nhelec",#N/A,FALSE,"Billing";"sitelec",#N/A,FALSE,"Billing";"Service",#N/A,FALSE,"Misc."}</definedName>
    <definedName name="___________wrn2" localSheetId="10" hidden="1">{"hostelec",#N/A,FALSE,"Billing";"nhelec",#N/A,FALSE,"Billing";"sitelec",#N/A,FALSE,"Billing";"Service",#N/A,FALSE,"Misc."}</definedName>
    <definedName name="___________wrn2" localSheetId="3" hidden="1">{"hostelec",#N/A,FALSE,"Billing";"nhelec",#N/A,FALSE,"Billing";"sitelec",#N/A,FALSE,"Billing";"Service",#N/A,FALSE,"Misc."}</definedName>
    <definedName name="___________wrn2" localSheetId="7" hidden="1">{"hostelec",#N/A,FALSE,"Billing";"nhelec",#N/A,FALSE,"Billing";"sitelec",#N/A,FALSE,"Billing";"Service",#N/A,FALSE,"Misc."}</definedName>
    <definedName name="___________wrn2" hidden="1">{"hostelec",#N/A,FALSE,"Billing";"nhelec",#N/A,FALSE,"Billing";"sitelec",#N/A,FALSE,"Billing";"Service",#N/A,FALSE,"Misc."}</definedName>
    <definedName name="__________FAN100">'[2]Load Chart'!$D$13</definedName>
    <definedName name="__________FAN50">'[2]Load Chart'!$I$13</definedName>
    <definedName name="__________FAN60">'[2]Load Chart'!$H$13</definedName>
    <definedName name="__________FAN70">'[2]Load Chart'!$G$13</definedName>
    <definedName name="__________FAN80">'[2]Load Chart'!$F$13</definedName>
    <definedName name="__________FAN90">'[2]Load Chart'!$E$13</definedName>
    <definedName name="__________kw2">'[3]Var. Vol. Pump'!$G$150</definedName>
    <definedName name="__________kW3">'[3]Var. Vol. Pump'!$G$198</definedName>
    <definedName name="__________wrn2" localSheetId="9" hidden="1">{"hostelec",#N/A,FALSE,"Billing";"nhelec",#N/A,FALSE,"Billing";"sitelec",#N/A,FALSE,"Billing";"Service",#N/A,FALSE,"Misc."}</definedName>
    <definedName name="__________wrn2" localSheetId="5" hidden="1">{"hostelec",#N/A,FALSE,"Billing";"nhelec",#N/A,FALSE,"Billing";"sitelec",#N/A,FALSE,"Billing";"Service",#N/A,FALSE,"Misc."}</definedName>
    <definedName name="__________wrn2" localSheetId="10" hidden="1">{"hostelec",#N/A,FALSE,"Billing";"nhelec",#N/A,FALSE,"Billing";"sitelec",#N/A,FALSE,"Billing";"Service",#N/A,FALSE,"Misc."}</definedName>
    <definedName name="__________wrn2" localSheetId="3" hidden="1">{"hostelec",#N/A,FALSE,"Billing";"nhelec",#N/A,FALSE,"Billing";"sitelec",#N/A,FALSE,"Billing";"Service",#N/A,FALSE,"Misc."}</definedName>
    <definedName name="__________wrn2" localSheetId="7" hidden="1">{"hostelec",#N/A,FALSE,"Billing";"nhelec",#N/A,FALSE,"Billing";"sitelec",#N/A,FALSE,"Billing";"Service",#N/A,FALSE,"Misc."}</definedName>
    <definedName name="__________wrn2" hidden="1">{"hostelec",#N/A,FALSE,"Billing";"nhelec",#N/A,FALSE,"Billing";"sitelec",#N/A,FALSE,"Billing";"Service",#N/A,FALSE,"Misc."}</definedName>
    <definedName name="_________FAN100">'[2]Load Chart'!$D$13</definedName>
    <definedName name="_________FAN50">'[2]Load Chart'!$I$13</definedName>
    <definedName name="_________FAN60">'[2]Load Chart'!$H$13</definedName>
    <definedName name="_________FAN70">'[2]Load Chart'!$G$13</definedName>
    <definedName name="_________FAN80">'[2]Load Chart'!$F$13</definedName>
    <definedName name="_________FAN90">'[2]Load Chart'!$E$13</definedName>
    <definedName name="_________kw2">'[3]Var. Vol. Pump'!$G$150</definedName>
    <definedName name="_________kW3">'[3]Var. Vol. Pump'!$G$198</definedName>
    <definedName name="_________wrn2" localSheetId="9" hidden="1">{"hostelec",#N/A,FALSE,"Billing";"nhelec",#N/A,FALSE,"Billing";"sitelec",#N/A,FALSE,"Billing";"Service",#N/A,FALSE,"Misc."}</definedName>
    <definedName name="_________wrn2" localSheetId="5" hidden="1">{"hostelec",#N/A,FALSE,"Billing";"nhelec",#N/A,FALSE,"Billing";"sitelec",#N/A,FALSE,"Billing";"Service",#N/A,FALSE,"Misc."}</definedName>
    <definedName name="_________wrn2" localSheetId="10" hidden="1">{"hostelec",#N/A,FALSE,"Billing";"nhelec",#N/A,FALSE,"Billing";"sitelec",#N/A,FALSE,"Billing";"Service",#N/A,FALSE,"Misc."}</definedName>
    <definedName name="_________wrn2" localSheetId="3" hidden="1">{"hostelec",#N/A,FALSE,"Billing";"nhelec",#N/A,FALSE,"Billing";"sitelec",#N/A,FALSE,"Billing";"Service",#N/A,FALSE,"Misc."}</definedName>
    <definedName name="_________wrn2" localSheetId="7" hidden="1">{"hostelec",#N/A,FALSE,"Billing";"nhelec",#N/A,FALSE,"Billing";"sitelec",#N/A,FALSE,"Billing";"Service",#N/A,FALSE,"Misc."}</definedName>
    <definedName name="_________wrn2" hidden="1">{"hostelec",#N/A,FALSE,"Billing";"nhelec",#N/A,FALSE,"Billing";"sitelec",#N/A,FALSE,"Billing";"Service",#N/A,FALSE,"Misc."}</definedName>
    <definedName name="________FAN100">'[2]Load Chart'!$D$13</definedName>
    <definedName name="________FAN50">'[2]Load Chart'!$I$13</definedName>
    <definedName name="________FAN60">'[2]Load Chart'!$H$13</definedName>
    <definedName name="________FAN70">'[2]Load Chart'!$G$13</definedName>
    <definedName name="________FAN80">'[2]Load Chart'!$F$13</definedName>
    <definedName name="________FAN90">'[2]Load Chart'!$E$13</definedName>
    <definedName name="________kw2">'[3]Var. Vol. Pump'!$G$150</definedName>
    <definedName name="________kW3">'[3]Var. Vol. Pump'!$G$198</definedName>
    <definedName name="________wrn2" localSheetId="9" hidden="1">{"hostelec",#N/A,FALSE,"Billing";"nhelec",#N/A,FALSE,"Billing";"sitelec",#N/A,FALSE,"Billing";"Service",#N/A,FALSE,"Misc."}</definedName>
    <definedName name="________wrn2" localSheetId="5" hidden="1">{"hostelec",#N/A,FALSE,"Billing";"nhelec",#N/A,FALSE,"Billing";"sitelec",#N/A,FALSE,"Billing";"Service",#N/A,FALSE,"Misc."}</definedName>
    <definedName name="________wrn2" localSheetId="10" hidden="1">{"hostelec",#N/A,FALSE,"Billing";"nhelec",#N/A,FALSE,"Billing";"sitelec",#N/A,FALSE,"Billing";"Service",#N/A,FALSE,"Misc."}</definedName>
    <definedName name="________wrn2" localSheetId="3" hidden="1">{"hostelec",#N/A,FALSE,"Billing";"nhelec",#N/A,FALSE,"Billing";"sitelec",#N/A,FALSE,"Billing";"Service",#N/A,FALSE,"Misc."}</definedName>
    <definedName name="________wrn2" localSheetId="7" hidden="1">{"hostelec",#N/A,FALSE,"Billing";"nhelec",#N/A,FALSE,"Billing";"sitelec",#N/A,FALSE,"Billing";"Service",#N/A,FALSE,"Misc."}</definedName>
    <definedName name="________wrn2" hidden="1">{"hostelec",#N/A,FALSE,"Billing";"nhelec",#N/A,FALSE,"Billing";"sitelec",#N/A,FALSE,"Billing";"Service",#N/A,FALSE,"Misc."}</definedName>
    <definedName name="_______FAN100">'[2]Load Chart'!$D$13</definedName>
    <definedName name="_______FAN50">'[2]Load Chart'!$I$13</definedName>
    <definedName name="_______FAN60">'[2]Load Chart'!$H$13</definedName>
    <definedName name="_______FAN70">'[2]Load Chart'!$G$13</definedName>
    <definedName name="_______FAN80">'[2]Load Chart'!$F$13</definedName>
    <definedName name="_______FAN90">'[2]Load Chart'!$E$13</definedName>
    <definedName name="_______kw2">'[3]Var. Vol. Pump'!$G$150</definedName>
    <definedName name="_______kW3">'[3]Var. Vol. Pump'!$G$198</definedName>
    <definedName name="_______wrn2" localSheetId="9" hidden="1">{"hostelec",#N/A,FALSE,"Billing";"nhelec",#N/A,FALSE,"Billing";"sitelec",#N/A,FALSE,"Billing";"Service",#N/A,FALSE,"Misc."}</definedName>
    <definedName name="_______wrn2" localSheetId="5" hidden="1">{"hostelec",#N/A,FALSE,"Billing";"nhelec",#N/A,FALSE,"Billing";"sitelec",#N/A,FALSE,"Billing";"Service",#N/A,FALSE,"Misc."}</definedName>
    <definedName name="_______wrn2" localSheetId="10" hidden="1">{"hostelec",#N/A,FALSE,"Billing";"nhelec",#N/A,FALSE,"Billing";"sitelec",#N/A,FALSE,"Billing";"Service",#N/A,FALSE,"Misc."}</definedName>
    <definedName name="_______wrn2" localSheetId="3" hidden="1">{"hostelec",#N/A,FALSE,"Billing";"nhelec",#N/A,FALSE,"Billing";"sitelec",#N/A,FALSE,"Billing";"Service",#N/A,FALSE,"Misc."}</definedName>
    <definedName name="_______wrn2" localSheetId="7" hidden="1">{"hostelec",#N/A,FALSE,"Billing";"nhelec",#N/A,FALSE,"Billing";"sitelec",#N/A,FALSE,"Billing";"Service",#N/A,FALSE,"Misc."}</definedName>
    <definedName name="_______wrn2" hidden="1">{"hostelec",#N/A,FALSE,"Billing";"nhelec",#N/A,FALSE,"Billing";"sitelec",#N/A,FALSE,"Billing";"Service",#N/A,FALSE,"Misc."}</definedName>
    <definedName name="______FAN100">'[2]Load Chart'!$D$13</definedName>
    <definedName name="______FAN50">'[2]Load Chart'!$I$13</definedName>
    <definedName name="______FAN60">'[2]Load Chart'!$H$13</definedName>
    <definedName name="______FAN70">'[2]Load Chart'!$G$13</definedName>
    <definedName name="______FAN80">'[2]Load Chart'!$F$13</definedName>
    <definedName name="______FAN90">'[2]Load Chart'!$E$13</definedName>
    <definedName name="______kw2">'[3]Var. Vol. Pump'!$G$150</definedName>
    <definedName name="______kW3">'[3]Var. Vol. Pump'!$G$198</definedName>
    <definedName name="______wrn2" localSheetId="9" hidden="1">{"hostelec",#N/A,FALSE,"Billing";"nhelec",#N/A,FALSE,"Billing";"sitelec",#N/A,FALSE,"Billing";"Service",#N/A,FALSE,"Misc."}</definedName>
    <definedName name="______wrn2" localSheetId="5" hidden="1">{"hostelec",#N/A,FALSE,"Billing";"nhelec",#N/A,FALSE,"Billing";"sitelec",#N/A,FALSE,"Billing";"Service",#N/A,FALSE,"Misc."}</definedName>
    <definedName name="______wrn2" localSheetId="10" hidden="1">{"hostelec",#N/A,FALSE,"Billing";"nhelec",#N/A,FALSE,"Billing";"sitelec",#N/A,FALSE,"Billing";"Service",#N/A,FALSE,"Misc."}</definedName>
    <definedName name="______wrn2" localSheetId="3" hidden="1">{"hostelec",#N/A,FALSE,"Billing";"nhelec",#N/A,FALSE,"Billing";"sitelec",#N/A,FALSE,"Billing";"Service",#N/A,FALSE,"Misc."}</definedName>
    <definedName name="______wrn2" localSheetId="7" hidden="1">{"hostelec",#N/A,FALSE,"Billing";"nhelec",#N/A,FALSE,"Billing";"sitelec",#N/A,FALSE,"Billing";"Service",#N/A,FALSE,"Misc."}</definedName>
    <definedName name="______wrn2" hidden="1">{"hostelec",#N/A,FALSE,"Billing";"nhelec",#N/A,FALSE,"Billing";"sitelec",#N/A,FALSE,"Billing";"Service",#N/A,FALSE,"Misc."}</definedName>
    <definedName name="_____FAN100">'[2]Load Chart'!$D$13</definedName>
    <definedName name="_____FAN50">'[2]Load Chart'!$I$13</definedName>
    <definedName name="_____FAN60">'[2]Load Chart'!$H$13</definedName>
    <definedName name="_____FAN70">'[2]Load Chart'!$G$13</definedName>
    <definedName name="_____FAN80">'[2]Load Chart'!$F$13</definedName>
    <definedName name="_____FAN90">'[2]Load Chart'!$E$13</definedName>
    <definedName name="_____kw2">'[3]Var. Vol. Pump'!$G$150</definedName>
    <definedName name="_____kW3">'[3]Var. Vol. Pump'!$G$198</definedName>
    <definedName name="_____wrn2" localSheetId="9" hidden="1">{"hostelec",#N/A,FALSE,"Billing";"nhelec",#N/A,FALSE,"Billing";"sitelec",#N/A,FALSE,"Billing";"Service",#N/A,FALSE,"Misc."}</definedName>
    <definedName name="_____wrn2" localSheetId="5" hidden="1">{"hostelec",#N/A,FALSE,"Billing";"nhelec",#N/A,FALSE,"Billing";"sitelec",#N/A,FALSE,"Billing";"Service",#N/A,FALSE,"Misc."}</definedName>
    <definedName name="_____wrn2" localSheetId="10" hidden="1">{"hostelec",#N/A,FALSE,"Billing";"nhelec",#N/A,FALSE,"Billing";"sitelec",#N/A,FALSE,"Billing";"Service",#N/A,FALSE,"Misc."}</definedName>
    <definedName name="_____wrn2" localSheetId="3" hidden="1">{"hostelec",#N/A,FALSE,"Billing";"nhelec",#N/A,FALSE,"Billing";"sitelec",#N/A,FALSE,"Billing";"Service",#N/A,FALSE,"Misc."}</definedName>
    <definedName name="_____wrn2" localSheetId="7" hidden="1">{"hostelec",#N/A,FALSE,"Billing";"nhelec",#N/A,FALSE,"Billing";"sitelec",#N/A,FALSE,"Billing";"Service",#N/A,FALSE,"Misc."}</definedName>
    <definedName name="_____wrn2" hidden="1">{"hostelec",#N/A,FALSE,"Billing";"nhelec",#N/A,FALSE,"Billing";"sitelec",#N/A,FALSE,"Billing";"Service",#N/A,FALSE,"Misc."}</definedName>
    <definedName name="____FAN100">'[2]Load Chart'!$D$13</definedName>
    <definedName name="____FAN50">'[2]Load Chart'!$I$13</definedName>
    <definedName name="____FAN60">'[2]Load Chart'!$H$13</definedName>
    <definedName name="____FAN70">'[2]Load Chart'!$G$13</definedName>
    <definedName name="____FAN80">'[2]Load Chart'!$F$13</definedName>
    <definedName name="____FAN90">'[2]Load Chart'!$E$13</definedName>
    <definedName name="____kw2">'[3]Var. Vol. Pump'!$G$150</definedName>
    <definedName name="____kW3">'[3]Var. Vol. Pump'!$G$198</definedName>
    <definedName name="____wrn2" localSheetId="9" hidden="1">{"hostelec",#N/A,FALSE,"Billing";"nhelec",#N/A,FALSE,"Billing";"sitelec",#N/A,FALSE,"Billing";"Service",#N/A,FALSE,"Misc."}</definedName>
    <definedName name="____wrn2" localSheetId="5" hidden="1">{"hostelec",#N/A,FALSE,"Billing";"nhelec",#N/A,FALSE,"Billing";"sitelec",#N/A,FALSE,"Billing";"Service",#N/A,FALSE,"Misc."}</definedName>
    <definedName name="____wrn2" localSheetId="10" hidden="1">{"hostelec",#N/A,FALSE,"Billing";"nhelec",#N/A,FALSE,"Billing";"sitelec",#N/A,FALSE,"Billing";"Service",#N/A,FALSE,"Misc."}</definedName>
    <definedName name="____wrn2" localSheetId="3" hidden="1">{"hostelec",#N/A,FALSE,"Billing";"nhelec",#N/A,FALSE,"Billing";"sitelec",#N/A,FALSE,"Billing";"Service",#N/A,FALSE,"Misc."}</definedName>
    <definedName name="____wrn2" localSheetId="7" hidden="1">{"hostelec",#N/A,FALSE,"Billing";"nhelec",#N/A,FALSE,"Billing";"sitelec",#N/A,FALSE,"Billing";"Service",#N/A,FALSE,"Misc."}</definedName>
    <definedName name="____wrn2" hidden="1">{"hostelec",#N/A,FALSE,"Billing";"nhelec",#N/A,FALSE,"Billing";"sitelec",#N/A,FALSE,"Billing";"Service",#N/A,FALSE,"Misc."}</definedName>
    <definedName name="___FAN100">'[2]Load Chart'!$D$13</definedName>
    <definedName name="___FAN50">'[2]Load Chart'!$I$13</definedName>
    <definedName name="___FAN60">'[2]Load Chart'!$H$13</definedName>
    <definedName name="___FAN70">'[2]Load Chart'!$G$13</definedName>
    <definedName name="___FAN80">'[2]Load Chart'!$F$13</definedName>
    <definedName name="___FAN90">'[2]Load Chart'!$E$13</definedName>
    <definedName name="___kw2">'[3]Var. Vol. Pump'!$G$150</definedName>
    <definedName name="___kW3">'[3]Var. Vol. Pump'!$G$198</definedName>
    <definedName name="___wrn2" localSheetId="9" hidden="1">{"hostelec",#N/A,FALSE,"Billing";"nhelec",#N/A,FALSE,"Billing";"sitelec",#N/A,FALSE,"Billing";"Service",#N/A,FALSE,"Misc."}</definedName>
    <definedName name="___wrn2" localSheetId="5" hidden="1">{"hostelec",#N/A,FALSE,"Billing";"nhelec",#N/A,FALSE,"Billing";"sitelec",#N/A,FALSE,"Billing";"Service",#N/A,FALSE,"Misc."}</definedName>
    <definedName name="___wrn2" localSheetId="10" hidden="1">{"hostelec",#N/A,FALSE,"Billing";"nhelec",#N/A,FALSE,"Billing";"sitelec",#N/A,FALSE,"Billing";"Service",#N/A,FALSE,"Misc."}</definedName>
    <definedName name="___wrn2" localSheetId="3" hidden="1">{"hostelec",#N/A,FALSE,"Billing";"nhelec",#N/A,FALSE,"Billing";"sitelec",#N/A,FALSE,"Billing";"Service",#N/A,FALSE,"Misc."}</definedName>
    <definedName name="___wrn2" localSheetId="7" hidden="1">{"hostelec",#N/A,FALSE,"Billing";"nhelec",#N/A,FALSE,"Billing";"sitelec",#N/A,FALSE,"Billing";"Service",#N/A,FALSE,"Misc."}</definedName>
    <definedName name="___wrn2" hidden="1">{"hostelec",#N/A,FALSE,"Billing";"nhelec",#N/A,FALSE,"Billing";"sitelec",#N/A,FALSE,"Billing";"Service",#N/A,FALSE,"Misc."}</definedName>
    <definedName name="__123Graph_B" localSheetId="9" hidden="1">[5]LANSING!#REF!</definedName>
    <definedName name="__123Graph_B" localSheetId="5" hidden="1">[5]LANSING!#REF!</definedName>
    <definedName name="__123Graph_B" localSheetId="10" hidden="1">[5]LANSING!#REF!</definedName>
    <definedName name="__123Graph_B" localSheetId="3" hidden="1">[5]LANSING!#REF!</definedName>
    <definedName name="__123Graph_B" localSheetId="7" hidden="1">[5]LANSING!#REF!</definedName>
    <definedName name="__123Graph_B" hidden="1">[5]LANSING!#REF!</definedName>
    <definedName name="__18_123Grap" localSheetId="9" hidden="1">[6]LANSING!#REF!</definedName>
    <definedName name="__18_123Grap" localSheetId="5" hidden="1">[6]LANSING!#REF!</definedName>
    <definedName name="__18_123Grap" localSheetId="10" hidden="1">[6]LANSING!#REF!</definedName>
    <definedName name="__18_123Grap" localSheetId="3" hidden="1">[6]LANSING!#REF!</definedName>
    <definedName name="__18_123Grap" localSheetId="7" hidden="1">[6]LANSING!#REF!</definedName>
    <definedName name="__18_123Grap" hidden="1">[6]LANSING!#REF!</definedName>
    <definedName name="__19__123Graph_ACHART_1" hidden="1">[7]Basics!$B$10:$B$110</definedName>
    <definedName name="__21__123Graph_ACHART_2" hidden="1">[7]Basics!$B$10:$B$110</definedName>
    <definedName name="__27__123Graph_BCHART_2" hidden="1">[7]Basics!$C$10:$C$110</definedName>
    <definedName name="__4kwh" localSheetId="9">'[1]Elementary School'!#REF!</definedName>
    <definedName name="__4kwh" localSheetId="5">'[1]Elementary School'!#REF!</definedName>
    <definedName name="__4kwh" localSheetId="10">'[1]Elementary School'!#REF!</definedName>
    <definedName name="__4kwh" localSheetId="3">'[1]Elementary School'!#REF!</definedName>
    <definedName name="__4kwh" localSheetId="7">'[1]Elementary School'!#REF!</definedName>
    <definedName name="__4kwh">'[1]Elementary School'!#REF!</definedName>
    <definedName name="__FAN100">'[2]Load Chart'!$D$13</definedName>
    <definedName name="__FAN50">'[2]Load Chart'!$I$13</definedName>
    <definedName name="__FAN60">'[2]Load Chart'!$H$13</definedName>
    <definedName name="__FAN70">'[2]Load Chart'!$G$13</definedName>
    <definedName name="__FAN80">'[2]Load Chart'!$F$13</definedName>
    <definedName name="__FAN90">'[2]Load Chart'!$E$13</definedName>
    <definedName name="__kw2">'[3]Var. Vol. Pump'!$G$150</definedName>
    <definedName name="__kW3">'[3]Var. Vol. Pump'!$G$198</definedName>
    <definedName name="__wrn2" localSheetId="9" hidden="1">{"hostelec",#N/A,FALSE,"Billing";"nhelec",#N/A,FALSE,"Billing";"sitelec",#N/A,FALSE,"Billing";"Service",#N/A,FALSE,"Misc."}</definedName>
    <definedName name="__wrn2" localSheetId="5" hidden="1">{"hostelec",#N/A,FALSE,"Billing";"nhelec",#N/A,FALSE,"Billing";"sitelec",#N/A,FALSE,"Billing";"Service",#N/A,FALSE,"Misc."}</definedName>
    <definedName name="__wrn2" localSheetId="10" hidden="1">{"hostelec",#N/A,FALSE,"Billing";"nhelec",#N/A,FALSE,"Billing";"sitelec",#N/A,FALSE,"Billing";"Service",#N/A,FALSE,"Misc."}</definedName>
    <definedName name="__wrn2" localSheetId="3" hidden="1">{"hostelec",#N/A,FALSE,"Billing";"nhelec",#N/A,FALSE,"Billing";"sitelec",#N/A,FALSE,"Billing";"Service",#N/A,FALSE,"Misc."}</definedName>
    <definedName name="__wrn2" localSheetId="7" hidden="1">{"hostelec",#N/A,FALSE,"Billing";"nhelec",#N/A,FALSE,"Billing";"sitelec",#N/A,FALSE,"Billing";"Service",#N/A,FALSE,"Misc."}</definedName>
    <definedName name="__wrn2" hidden="1">{"hostelec",#N/A,FALSE,"Billing";"nhelec",#N/A,FALSE,"Billing";"sitelec",#N/A,FALSE,"Billing";"Service",#N/A,FALSE,"Misc."}</definedName>
    <definedName name="_10__123Graph_ACHART_1" hidden="1">[7]Basics!$B$10:$B$110</definedName>
    <definedName name="_10__123Graph_ACHART_2" hidden="1">[7]Basics!$B$10:$B$110</definedName>
    <definedName name="_10__123Graph_BCHART_1" hidden="1">[7]Basics!$C$10:$C$110</definedName>
    <definedName name="_10__123Graph_BCHART_2" hidden="1">[7]Basics!$C$10:$C$110</definedName>
    <definedName name="_10__123Graph_DCHART_1" hidden="1">[7]Basics!$E$10:$E$110</definedName>
    <definedName name="_10__123Graph_DCHART_2" hidden="1">[7]Basics!$E$10:$E$110</definedName>
    <definedName name="_10_123Grap" localSheetId="9" hidden="1">[6]LANSING!#REF!</definedName>
    <definedName name="_10_123Grap" localSheetId="5" hidden="1">[6]LANSING!#REF!</definedName>
    <definedName name="_10_123Grap" localSheetId="10" hidden="1">[6]LANSING!#REF!</definedName>
    <definedName name="_10_123Grap" localSheetId="3" hidden="1">[6]LANSING!#REF!</definedName>
    <definedName name="_10_123Grap" localSheetId="7" hidden="1">[6]LANSING!#REF!</definedName>
    <definedName name="_10_123Grap" hidden="1">[6]LANSING!#REF!</definedName>
    <definedName name="_104_0__123Grap" hidden="1">[6]LANSING!#REF!</definedName>
    <definedName name="_11__123Graph_ACHART_1" hidden="1">[7]Basics!$B$10:$B$110</definedName>
    <definedName name="_11__123Graph_ACHART_2" hidden="1">[7]Basics!$B$10:$B$110</definedName>
    <definedName name="_11__123Graph_BCHART_1" hidden="1">[7]Basics!$C$10:$C$110</definedName>
    <definedName name="_11__123Graph_BCHART_2" hidden="1">[7]Basics!$C$10:$C$110</definedName>
    <definedName name="_11__123Graph_CCHART_1" hidden="1">[7]Basics!$D$10:$D$50</definedName>
    <definedName name="_11__123Graph_DCHART_2" hidden="1">[7]Basics!$E$10:$E$110</definedName>
    <definedName name="_11__123Graph_ECHART_1" hidden="1">[7]Basics!$F$10:$F$50</definedName>
    <definedName name="_12__123Graph_ACHART_2" hidden="1">[7]Basics!$B$10:$B$110</definedName>
    <definedName name="_12__123Graph_BCHART_1" hidden="1">[7]Basics!$C$10:$C$110</definedName>
    <definedName name="_12__123Graph_BCHART_2" hidden="1">[7]Basics!$C$10:$C$110</definedName>
    <definedName name="_12__123Graph_CCHART_1" hidden="1">[7]Basics!$D$10:$D$50</definedName>
    <definedName name="_12__123Graph_CCHART_2" hidden="1">[7]Basics!$D$10:$D$50</definedName>
    <definedName name="_12__123Graph_ECHART_1" hidden="1">[7]Basics!$F$10:$F$50</definedName>
    <definedName name="_12__123Graph_ECHART_2" hidden="1">[7]Basics!$F$10:$F$50</definedName>
    <definedName name="_12_123Grap" localSheetId="9" hidden="1">[6]LANSING!#REF!</definedName>
    <definedName name="_12_123Grap" localSheetId="5" hidden="1">[6]LANSING!#REF!</definedName>
    <definedName name="_12_123Grap" localSheetId="10" hidden="1">[6]LANSING!#REF!</definedName>
    <definedName name="_12_123Grap" localSheetId="3" hidden="1">[6]LANSING!#REF!</definedName>
    <definedName name="_12_123Grap" localSheetId="7" hidden="1">[6]LANSING!#REF!</definedName>
    <definedName name="_12_123Grap" hidden="1">[6]LANSING!#REF!</definedName>
    <definedName name="_12kwh" localSheetId="9">'[1]Elementary School'!#REF!</definedName>
    <definedName name="_12kwh" localSheetId="5">'[1]Elementary School'!#REF!</definedName>
    <definedName name="_12kwh" localSheetId="10">'[1]Elementary School'!#REF!</definedName>
    <definedName name="_12kwh" localSheetId="3">'[1]Elementary School'!#REF!</definedName>
    <definedName name="_12kwh" localSheetId="7">'[1]Elementary School'!#REF!</definedName>
    <definedName name="_12kwh">'[1]Elementary School'!#REF!</definedName>
    <definedName name="_13__123Graph_ACHART_1" hidden="1">[7]Basics!$B$10:$B$110</definedName>
    <definedName name="_13__123Graph_BCHART_1" hidden="1">[7]Basics!$C$10:$C$110</definedName>
    <definedName name="_13__123Graph_BCHART_2" hidden="1">[7]Basics!$C$10:$C$110</definedName>
    <definedName name="_13__123Graph_CCHART_1" hidden="1">[7]Basics!$D$10:$D$50</definedName>
    <definedName name="_13__123Graph_CCHART_2" hidden="1">[7]Basics!$D$10:$D$50</definedName>
    <definedName name="_13__123Graph_DCHART_1" hidden="1">[7]Basics!$E$10:$E$110</definedName>
    <definedName name="_13__123Graph_ECHART_2" hidden="1">[7]Basics!$F$10:$F$50</definedName>
    <definedName name="_13__123Graph_FCHART_1" hidden="1">[7]Basics!$G$10:$G$110</definedName>
    <definedName name="_13_123Grap" localSheetId="9" hidden="1">[6]LANSING!#REF!</definedName>
    <definedName name="_13_123Grap" localSheetId="5" hidden="1">[6]LANSING!#REF!</definedName>
    <definedName name="_13_123Grap" localSheetId="10" hidden="1">[6]LANSING!#REF!</definedName>
    <definedName name="_13_123Grap" localSheetId="3" hidden="1">[6]LANSING!#REF!</definedName>
    <definedName name="_13_123Grap" localSheetId="7" hidden="1">[6]LANSING!#REF!</definedName>
    <definedName name="_13_123Grap" hidden="1">[6]LANSING!#REF!</definedName>
    <definedName name="_14__123Graph_ACHART_1" hidden="1">[7]Basics!$B$10:$B$110</definedName>
    <definedName name="_14__123Graph_ACHART_2" hidden="1">[7]Basics!$B$10:$B$110</definedName>
    <definedName name="_14__123Graph_BCHART_2" hidden="1">[7]Basics!$C$10:$C$110</definedName>
    <definedName name="_14__123Graph_CCHART_1" hidden="1">[7]Basics!$D$10:$D$50</definedName>
    <definedName name="_14__123Graph_CCHART_2" hidden="1">[7]Basics!$D$10:$D$50</definedName>
    <definedName name="_14__123Graph_DCHART_1" hidden="1">[7]Basics!$E$10:$E$110</definedName>
    <definedName name="_14__123Graph_DCHART_2" hidden="1">[7]Basics!$E$10:$E$110</definedName>
    <definedName name="_14__123Graph_FCHART_1" hidden="1">[7]Basics!$G$10:$G$110</definedName>
    <definedName name="_14__123Graph_FCHART_2" hidden="1">[7]Basics!$G$10:$G$110</definedName>
    <definedName name="_15__123Graph_ACHART_2" hidden="1">[7]Basics!$B$10:$B$110</definedName>
    <definedName name="_15__123Graph_BCHART_1" hidden="1">[7]Basics!$C$10:$C$110</definedName>
    <definedName name="_15__123Graph_CCHART_1" hidden="1">[7]Basics!$D$10:$D$50</definedName>
    <definedName name="_15__123Graph_CCHART_2" hidden="1">[7]Basics!$D$10:$D$50</definedName>
    <definedName name="_15__123Graph_DCHART_1" hidden="1">[7]Basics!$E$10:$E$110</definedName>
    <definedName name="_15__123Graph_DCHART_2" hidden="1">[7]Basics!$E$10:$E$110</definedName>
    <definedName name="_15__123Graph_ECHART_1" hidden="1">[7]Basics!$F$10:$F$50</definedName>
    <definedName name="_15__123Graph_FCHART_2" hidden="1">[7]Basics!$G$10:$G$110</definedName>
    <definedName name="_15__123Graph_XCHART_1" hidden="1">[7]Basics!$A$10:$A$110</definedName>
    <definedName name="_16__123Graph_BCHART_1" hidden="1">[7]Basics!$C$10:$C$110</definedName>
    <definedName name="_16__123Graph_BCHART_2" hidden="1">[7]Basics!$C$10:$C$110</definedName>
    <definedName name="_16__123Graph_CCHART_2" hidden="1">[7]Basics!$D$10:$D$50</definedName>
    <definedName name="_16__123Graph_DCHART_1" hidden="1">[7]Basics!$E$10:$E$110</definedName>
    <definedName name="_16__123Graph_DCHART_2" hidden="1">[7]Basics!$E$10:$E$110</definedName>
    <definedName name="_16__123Graph_ECHART_1" hidden="1">[7]Basics!$F$10:$F$50</definedName>
    <definedName name="_16__123Graph_ECHART_2" hidden="1">[7]Basics!$F$10:$F$50</definedName>
    <definedName name="_16__123Graph_XCHART_1" hidden="1">[7]Basics!$A$10:$A$110</definedName>
    <definedName name="_16__123Graph_XCHART_2" hidden="1">[7]Basics!$A$10:$A$110</definedName>
    <definedName name="_17__123Graph_BCHART_2" hidden="1">[7]Basics!$C$10:$C$110</definedName>
    <definedName name="_17__123Graph_CCHART_1" hidden="1">[7]Basics!$D$10:$D$50</definedName>
    <definedName name="_17__123Graph_DCHART_1" hidden="1">[7]Basics!$E$10:$E$110</definedName>
    <definedName name="_17__123Graph_DCHART_2" hidden="1">[7]Basics!$E$10:$E$110</definedName>
    <definedName name="_17__123Graph_ECHART_1" hidden="1">[7]Basics!$F$10:$F$50</definedName>
    <definedName name="_17__123Graph_ECHART_2" hidden="1">[7]Basics!$F$10:$F$50</definedName>
    <definedName name="_17__123Graph_FCHART_1" hidden="1">[7]Basics!$G$10:$G$110</definedName>
    <definedName name="_17__123Graph_XCHART_2" hidden="1">[7]Basics!$A$10:$A$110</definedName>
    <definedName name="_17_0__123Grap" localSheetId="9" hidden="1">[6]LANSING!#REF!</definedName>
    <definedName name="_17_0__123Grap" localSheetId="5" hidden="1">[6]LANSING!#REF!</definedName>
    <definedName name="_17_0__123Grap" localSheetId="10" hidden="1">[6]LANSING!#REF!</definedName>
    <definedName name="_17_0__123Grap" localSheetId="3" hidden="1">[6]LANSING!#REF!</definedName>
    <definedName name="_17_0__123Grap" localSheetId="7" hidden="1">[6]LANSING!#REF!</definedName>
    <definedName name="_17_0__123Grap" hidden="1">[6]LANSING!#REF!</definedName>
    <definedName name="_17_123Grap" localSheetId="9" hidden="1">[6]LANSING!#REF!</definedName>
    <definedName name="_17_123Grap" localSheetId="5" hidden="1">[6]LANSING!#REF!</definedName>
    <definedName name="_17_123Grap" localSheetId="10" hidden="1">[6]LANSING!#REF!</definedName>
    <definedName name="_17_123Grap" localSheetId="3" hidden="1">[6]LANSING!#REF!</definedName>
    <definedName name="_17_123Grap" localSheetId="7" hidden="1">[6]LANSING!#REF!</definedName>
    <definedName name="_17_123Grap" hidden="1">[6]LANSING!#REF!</definedName>
    <definedName name="_18__123Graph_ACHART_1" hidden="1">[7]Basics!$B$10:$B$110</definedName>
    <definedName name="_18__123Graph_CCHART_1" hidden="1">[7]Basics!$D$10:$D$50</definedName>
    <definedName name="_18__123Graph_CCHART_2" hidden="1">[7]Basics!$D$10:$D$50</definedName>
    <definedName name="_18__123Graph_DCHART_2" hidden="1">[7]Basics!$E$10:$E$110</definedName>
    <definedName name="_18__123Graph_ECHART_1" hidden="1">[7]Basics!$F$10:$F$50</definedName>
    <definedName name="_18__123Graph_ECHART_2" hidden="1">[7]Basics!$F$10:$F$50</definedName>
    <definedName name="_18__123Graph_FCHART_1" hidden="1">[7]Basics!$G$10:$G$110</definedName>
    <definedName name="_18__123Graph_FCHART_2" hidden="1">[7]Basics!$G$10:$G$110</definedName>
    <definedName name="_18_0__123Grap" localSheetId="9" hidden="1">[6]LANSING!#REF!</definedName>
    <definedName name="_18_0__123Grap" localSheetId="5" hidden="1">[6]LANSING!#REF!</definedName>
    <definedName name="_18_0__123Grap" localSheetId="10" hidden="1">[6]LANSING!#REF!</definedName>
    <definedName name="_18_0__123Grap" localSheetId="3" hidden="1">[6]LANSING!#REF!</definedName>
    <definedName name="_18_0__123Grap" localSheetId="7" hidden="1">[6]LANSING!#REF!</definedName>
    <definedName name="_18_0__123Grap" hidden="1">[6]LANSING!#REF!</definedName>
    <definedName name="_18_123Grap" localSheetId="9" hidden="1">[6]LANSING!#REF!</definedName>
    <definedName name="_18_123Grap" localSheetId="5" hidden="1">[6]LANSING!#REF!</definedName>
    <definedName name="_18_123Grap" localSheetId="10" hidden="1">[6]LANSING!#REF!</definedName>
    <definedName name="_18_123Grap" localSheetId="3" hidden="1">[6]LANSING!#REF!</definedName>
    <definedName name="_18_123Grap" localSheetId="7" hidden="1">[6]LANSING!#REF!</definedName>
    <definedName name="_18_123Grap" hidden="1">[6]LANSING!#REF!</definedName>
    <definedName name="_19__123Graph_ACHART_1" hidden="1">[7]Basics!$B$10:$B$110</definedName>
    <definedName name="_19__123Graph_ACHART_2" hidden="1">[7]Basics!$B$10:$B$110</definedName>
    <definedName name="_19__123Graph_CCHART_2" hidden="1">[7]Basics!$D$10:$D$50</definedName>
    <definedName name="_19__123Graph_DCHART_1" hidden="1">[7]Basics!$E$10:$E$110</definedName>
    <definedName name="_19__123Graph_ECHART_1" hidden="1">[7]Basics!$F$10:$F$50</definedName>
    <definedName name="_19__123Graph_ECHART_2" hidden="1">[7]Basics!$F$10:$F$50</definedName>
    <definedName name="_19__123Graph_FCHART_1" hidden="1">[7]Basics!$G$10:$G$110</definedName>
    <definedName name="_19__123Graph_FCHART_2" hidden="1">[7]Basics!$G$10:$G$110</definedName>
    <definedName name="_19__123Graph_XCHART_1" hidden="1">[7]Basics!$A$10:$A$110</definedName>
    <definedName name="_19_123Grap" hidden="1">[6]LANSING!#REF!</definedName>
    <definedName name="_1kwh" localSheetId="9">'[1]Elementary School'!#REF!</definedName>
    <definedName name="_1kwh" localSheetId="5">'[1]Elementary School'!#REF!</definedName>
    <definedName name="_1kwh" localSheetId="10">'[1]Elementary School'!#REF!</definedName>
    <definedName name="_1kwh" localSheetId="3">'[1]Elementary School'!#REF!</definedName>
    <definedName name="_1kwh" localSheetId="7">'[1]Elementary School'!#REF!</definedName>
    <definedName name="_1kwh">'[1]Elementary School'!#REF!</definedName>
    <definedName name="_1STQTR" localSheetId="9">#REF!</definedName>
    <definedName name="_1STQTR" localSheetId="5">#REF!</definedName>
    <definedName name="_1STQTR" localSheetId="10">#REF!</definedName>
    <definedName name="_1STQTR" localSheetId="3">#REF!</definedName>
    <definedName name="_1STQTR" localSheetId="7">#REF!</definedName>
    <definedName name="_1STQTR">#REF!</definedName>
    <definedName name="_2_123Grap" localSheetId="9" hidden="1">[6]LANSING!#REF!</definedName>
    <definedName name="_2_123Grap" localSheetId="5" hidden="1">[6]LANSING!#REF!</definedName>
    <definedName name="_2_123Grap" localSheetId="10" hidden="1">[6]LANSING!#REF!</definedName>
    <definedName name="_2_123Grap" localSheetId="3" hidden="1">[6]LANSING!#REF!</definedName>
    <definedName name="_2_123Grap" localSheetId="7" hidden="1">[6]LANSING!#REF!</definedName>
    <definedName name="_2_123Grap" hidden="1">[6]LANSING!#REF!</definedName>
    <definedName name="_2_Fuel_Oil" localSheetId="9">#REF!</definedName>
    <definedName name="_2_Fuel_Oil" localSheetId="5">#REF!</definedName>
    <definedName name="_2_Fuel_Oil" localSheetId="10">#REF!</definedName>
    <definedName name="_2_Fuel_Oil" localSheetId="3">#REF!</definedName>
    <definedName name="_2_Fuel_Oil" localSheetId="7">#REF!</definedName>
    <definedName name="_2_Fuel_Oil">#REF!</definedName>
    <definedName name="_20__123Graph_ACHART_1" hidden="1">[7]Basics!$B$10:$B$110</definedName>
    <definedName name="_20__123Graph_AChart_1A" localSheetId="9" hidden="1">[8]A!$C$6:$C$61</definedName>
    <definedName name="_20__123Graph_AChart_1A" localSheetId="5" hidden="1">[8]A!$C$6:$C$61</definedName>
    <definedName name="_20__123Graph_AChart_1A" localSheetId="10" hidden="1">[8]A!$C$6:$C$61</definedName>
    <definedName name="_20__123Graph_AChart_1A" localSheetId="3" hidden="1">[8]A!$C$6:$C$61</definedName>
    <definedName name="_20__123Graph_AChart_1A" localSheetId="7" hidden="1">[8]A!$C$6:$C$61</definedName>
    <definedName name="_20__123Graph_AChart_1A" hidden="1">[8]A!$C$6:$C$61</definedName>
    <definedName name="_20__123Graph_ACHART_2" hidden="1">[7]Basics!$B$10:$B$110</definedName>
    <definedName name="_20__123Graph_BCHART_1" hidden="1">[7]Basics!$C$10:$C$110</definedName>
    <definedName name="_20__123Graph_DCHART_1" hidden="1">[7]Basics!$E$10:$E$110</definedName>
    <definedName name="_20__123Graph_DCHART_2" hidden="1">[7]Basics!$E$10:$E$110</definedName>
    <definedName name="_20__123Graph_ECHART_2" hidden="1">[7]Basics!$F$10:$F$50</definedName>
    <definedName name="_20__123Graph_FCHART_1" hidden="1">[7]Basics!$G$10:$G$110</definedName>
    <definedName name="_20__123Graph_FCHART_2" hidden="1">[7]Basics!$G$10:$G$110</definedName>
    <definedName name="_20__123Graph_XCHART_1" hidden="1">[7]Basics!$A$10:$A$110</definedName>
    <definedName name="_20__123Graph_XCHART_2" hidden="1">[7]Basics!$A$10:$A$110</definedName>
    <definedName name="_20_0__123Grap" localSheetId="9" hidden="1">[6]LANSING!#REF!</definedName>
    <definedName name="_20_0__123Grap" localSheetId="5" hidden="1">[6]LANSING!#REF!</definedName>
    <definedName name="_20_0__123Grap" localSheetId="10" hidden="1">[6]LANSING!#REF!</definedName>
    <definedName name="_20_0__123Grap" localSheetId="3" hidden="1">[6]LANSING!#REF!</definedName>
    <definedName name="_20_0__123Grap" localSheetId="7" hidden="1">[6]LANSING!#REF!</definedName>
    <definedName name="_20_0__123Grap" hidden="1">[6]LANSING!#REF!</definedName>
    <definedName name="_20_123Grap" localSheetId="9" hidden="1">[6]LANSING!#REF!</definedName>
    <definedName name="_20_123Grap" localSheetId="5" hidden="1">[6]LANSING!#REF!</definedName>
    <definedName name="_20_123Grap" localSheetId="10" hidden="1">[6]LANSING!#REF!</definedName>
    <definedName name="_20_123Grap" localSheetId="3" hidden="1">[6]LANSING!#REF!</definedName>
    <definedName name="_20_123Grap" localSheetId="7" hidden="1">[6]LANSING!#REF!</definedName>
    <definedName name="_20_123Grap" hidden="1">[6]LANSING!#REF!</definedName>
    <definedName name="_21__123Graph_ACHART_1" hidden="1">[7]Basics!$B$10:$B$110</definedName>
    <definedName name="_21__123Graph_ACHART_2" hidden="1">[7]Basics!$B$10:$B$110</definedName>
    <definedName name="_21__123Graph_BCHART_1" hidden="1">[7]Basics!$C$10:$C$110</definedName>
    <definedName name="_21__123Graph_BCHART_2" hidden="1">[7]Basics!$C$10:$C$110</definedName>
    <definedName name="_21__123Graph_DCHART_2" hidden="1">[7]Basics!$E$10:$E$110</definedName>
    <definedName name="_21__123Graph_ECHART_1" hidden="1">[7]Basics!$F$10:$F$50</definedName>
    <definedName name="_21__123Graph_FCHART_1" hidden="1">[7]Basics!$G$10:$G$110</definedName>
    <definedName name="_21__123Graph_FCHART_2" hidden="1">[7]Basics!$G$10:$G$110</definedName>
    <definedName name="_21__123Graph_XCHART_1" hidden="1">[7]Basics!$A$10:$A$110</definedName>
    <definedName name="_21__123Graph_XCHART_2" hidden="1">[7]Basics!$A$10:$A$110</definedName>
    <definedName name="_21_123Grap" localSheetId="9" hidden="1">[9]LANSING!#REF!</definedName>
    <definedName name="_21_123Grap" localSheetId="5" hidden="1">[9]LANSING!#REF!</definedName>
    <definedName name="_21_123Grap" localSheetId="10" hidden="1">[9]LANSING!#REF!</definedName>
    <definedName name="_21_123Grap" localSheetId="3" hidden="1">[9]LANSING!#REF!</definedName>
    <definedName name="_21_123Grap" localSheetId="7" hidden="1">[9]LANSING!#REF!</definedName>
    <definedName name="_21_123Grap" hidden="1">[6]LANSING!#REF!</definedName>
    <definedName name="_22__123Graph_ACHART_1" hidden="1">[7]Basics!$B$10:$B$110</definedName>
    <definedName name="_22__123Graph_ACHART_2" hidden="1">[7]Basics!$B$10:$B$110</definedName>
    <definedName name="_22__123Graph_AChart_2B" localSheetId="9" hidden="1">'[8]STACKING 6.07'!$D$10:$D$68</definedName>
    <definedName name="_22__123Graph_AChart_2B" localSheetId="5" hidden="1">'[8]STACKING 6.07'!$D$10:$D$68</definedName>
    <definedName name="_22__123Graph_AChart_2B" localSheetId="10" hidden="1">'[8]STACKING 6.07'!$D$10:$D$68</definedName>
    <definedName name="_22__123Graph_AChart_2B" localSheetId="3" hidden="1">'[8]STACKING 6.07'!$D$10:$D$68</definedName>
    <definedName name="_22__123Graph_AChart_2B" localSheetId="7" hidden="1">'[8]STACKING 6.07'!$D$10:$D$68</definedName>
    <definedName name="_22__123Graph_AChart_2B" hidden="1">'[8]STACKING 6.07'!$D$10:$D$68</definedName>
    <definedName name="_22__123Graph_BCHART_1" hidden="1">[7]Basics!$C$10:$C$110</definedName>
    <definedName name="_22__123Graph_BCHART_2" hidden="1">[7]Basics!$C$10:$C$110</definedName>
    <definedName name="_22__123Graph_CCHART_1" hidden="1">[7]Basics!$D$10:$D$50</definedName>
    <definedName name="_22__123Graph_ECHART_1" hidden="1">[7]Basics!$F$10:$F$50</definedName>
    <definedName name="_22__123Graph_ECHART_2" hidden="1">[7]Basics!$F$10:$F$50</definedName>
    <definedName name="_22__123Graph_FCHART_2" hidden="1">[7]Basics!$G$10:$G$110</definedName>
    <definedName name="_22__123Graph_XCHART_1" hidden="1">[7]Basics!$A$10:$A$110</definedName>
    <definedName name="_22__123Graph_XCHART_2" hidden="1">[7]Basics!$A$10:$A$110</definedName>
    <definedName name="_23__123Graph_ACHART_2" hidden="1">[7]Basics!$B$10:$B$110</definedName>
    <definedName name="_23__123Graph_AChart_4C" localSheetId="9" hidden="1">'[8]Abatement '!$D$10:$D$66</definedName>
    <definedName name="_23__123Graph_AChart_4C" localSheetId="5" hidden="1">'[8]Abatement '!$D$10:$D$66</definedName>
    <definedName name="_23__123Graph_AChart_4C" localSheetId="10" hidden="1">'[8]Abatement '!$D$10:$D$66</definedName>
    <definedName name="_23__123Graph_AChart_4C" localSheetId="3" hidden="1">'[8]Abatement '!$D$10:$D$66</definedName>
    <definedName name="_23__123Graph_AChart_4C" localSheetId="7" hidden="1">'[8]Abatement '!$D$10:$D$66</definedName>
    <definedName name="_23__123Graph_AChart_4C" hidden="1">'[8]Abatement '!$D$10:$D$66</definedName>
    <definedName name="_23__123Graph_BCHART_1" hidden="1">[7]Basics!$C$10:$C$110</definedName>
    <definedName name="_23__123Graph_BCHART_2" hidden="1">[7]Basics!$C$10:$C$110</definedName>
    <definedName name="_23__123Graph_CCHART_1" hidden="1">[7]Basics!$D$10:$D$50</definedName>
    <definedName name="_23__123Graph_CCHART_2" hidden="1">[7]Basics!$D$10:$D$50</definedName>
    <definedName name="_23__123Graph_ECHART_2" hidden="1">[7]Basics!$F$10:$F$50</definedName>
    <definedName name="_23__123Graph_FCHART_1" hidden="1">[7]Basics!$G$10:$G$110</definedName>
    <definedName name="_23__123Graph_XCHART_1" hidden="1">[7]Basics!$A$10:$A$110</definedName>
    <definedName name="_23__123Graph_XCHART_2" hidden="1">[7]Basics!$A$10:$A$110</definedName>
    <definedName name="_23_123Grap" localSheetId="9" hidden="1">[9]LANSING!#REF!</definedName>
    <definedName name="_23_123Grap" localSheetId="5" hidden="1">[9]LANSING!#REF!</definedName>
    <definedName name="_23_123Grap" localSheetId="10" hidden="1">[9]LANSING!#REF!</definedName>
    <definedName name="_23_123Grap" localSheetId="3" hidden="1">[9]LANSING!#REF!</definedName>
    <definedName name="_23_123Grap" localSheetId="7" hidden="1">[9]LANSING!#REF!</definedName>
    <definedName name="_23_123Grap" hidden="1">[6]LANSING!#REF!</definedName>
    <definedName name="_24__123Graph_ACHART_1" hidden="1">[7]Basics!$B$10:$B$110</definedName>
    <definedName name="_24__123Graph_AChart_5D" localSheetId="9" hidden="1">'[8]Fire Alarm '!$D$10:$D$66</definedName>
    <definedName name="_24__123Graph_AChart_5D" localSheetId="5" hidden="1">'[8]Fire Alarm '!$D$10:$D$66</definedName>
    <definedName name="_24__123Graph_AChart_5D" localSheetId="10" hidden="1">'[8]Fire Alarm '!$D$10:$D$66</definedName>
    <definedName name="_24__123Graph_AChart_5D" localSheetId="3" hidden="1">'[8]Fire Alarm '!$D$10:$D$66</definedName>
    <definedName name="_24__123Graph_AChart_5D" localSheetId="7" hidden="1">'[8]Fire Alarm '!$D$10:$D$66</definedName>
    <definedName name="_24__123Graph_AChart_5D" hidden="1">'[8]Fire Alarm '!$D$10:$D$66</definedName>
    <definedName name="_24__123Graph_BCHART_1" hidden="1">[7]Basics!$C$10:$C$110</definedName>
    <definedName name="_24__123Graph_BCHART_2" hidden="1">[7]Basics!$C$10:$C$110</definedName>
    <definedName name="_24__123Graph_CCHART_1" hidden="1">[7]Basics!$D$10:$D$50</definedName>
    <definedName name="_24__123Graph_CCHART_2" hidden="1">[7]Basics!$D$10:$D$50</definedName>
    <definedName name="_24__123Graph_DCHART_1" hidden="1">[7]Basics!$E$10:$E$110</definedName>
    <definedName name="_24__123Graph_FCHART_1" hidden="1">[7]Basics!$G$10:$G$110</definedName>
    <definedName name="_24__123Graph_FCHART_2" hidden="1">[7]Basics!$G$10:$G$110</definedName>
    <definedName name="_24__123Graph_XCHART_2" hidden="1">[7]Basics!$A$10:$A$110</definedName>
    <definedName name="_24_0__123Grap" localSheetId="9" hidden="1">[6]LANSING!#REF!</definedName>
    <definedName name="_24_0__123Grap" localSheetId="5" hidden="1">[6]LANSING!#REF!</definedName>
    <definedName name="_24_0__123Grap" localSheetId="10" hidden="1">[6]LANSING!#REF!</definedName>
    <definedName name="_24_0__123Grap" localSheetId="3" hidden="1">[6]LANSING!#REF!</definedName>
    <definedName name="_24_0__123Grap" localSheetId="7" hidden="1">[6]LANSING!#REF!</definedName>
    <definedName name="_24_0__123Grap" hidden="1">[6]LANSING!#REF!</definedName>
    <definedName name="_24_123Grap" localSheetId="9" hidden="1">[6]LANSING!#REF!</definedName>
    <definedName name="_24_123Grap" localSheetId="5" hidden="1">[6]LANSING!#REF!</definedName>
    <definedName name="_24_123Grap" localSheetId="10" hidden="1">[6]LANSING!#REF!</definedName>
    <definedName name="_24_123Grap" localSheetId="3" hidden="1">[6]LANSING!#REF!</definedName>
    <definedName name="_24_123Grap" localSheetId="7" hidden="1">[6]LANSING!#REF!</definedName>
    <definedName name="_24_123Grap" hidden="1">[6]LANSING!#REF!</definedName>
    <definedName name="_25__123Graph_ACHART_1" hidden="1">[7]Basics!$B$10:$B$110</definedName>
    <definedName name="_25__123Graph_ACHART_2" hidden="1">[7]Basics!$B$10:$B$110</definedName>
    <definedName name="_25__123Graph_BCHART_1" hidden="1">[7]Basics!$C$10:$C$110</definedName>
    <definedName name="_25__123Graph_BCHART_2" hidden="1">[7]Basics!$C$10:$C$110</definedName>
    <definedName name="_25__123Graph_CCHART_1" hidden="1">[7]Basics!$D$10:$D$50</definedName>
    <definedName name="_25__123Graph_CCHART_2" hidden="1">[7]Basics!$D$10:$D$50</definedName>
    <definedName name="_25__123Graph_DCHART_1" hidden="1">[7]Basics!$E$10:$E$110</definedName>
    <definedName name="_25__123Graph_DCHART_2" hidden="1">[7]Basics!$E$10:$E$110</definedName>
    <definedName name="_25__123Graph_FCHART_2" hidden="1">[7]Basics!$G$10:$G$110</definedName>
    <definedName name="_25__123Graph_XCHART_1" hidden="1">[7]Basics!$A$10:$A$110</definedName>
    <definedName name="_25_0__123Grap" localSheetId="9" hidden="1">[6]LANSING!#REF!</definedName>
    <definedName name="_25_0__123Grap" localSheetId="5" hidden="1">[6]LANSING!#REF!</definedName>
    <definedName name="_25_0__123Grap" localSheetId="10" hidden="1">[6]LANSING!#REF!</definedName>
    <definedName name="_25_0__123Grap" localSheetId="3" hidden="1">[6]LANSING!#REF!</definedName>
    <definedName name="_25_0__123Grap" localSheetId="7" hidden="1">[6]LANSING!#REF!</definedName>
    <definedName name="_25_0__123Grap" hidden="1">[6]LANSING!#REF!</definedName>
    <definedName name="_26__123Graph_ACHART_2" hidden="1">[7]Basics!$B$10:$B$110</definedName>
    <definedName name="_26__123Graph_BCHART_1" hidden="1">[7]Basics!$C$10:$C$110</definedName>
    <definedName name="_26__123Graph_BChart_1A" localSheetId="9" hidden="1">[8]A!$D$6:$D$61</definedName>
    <definedName name="_26__123Graph_BChart_1A" localSheetId="5" hidden="1">[8]A!$D$6:$D$61</definedName>
    <definedName name="_26__123Graph_BChart_1A" localSheetId="10" hidden="1">[8]A!$D$6:$D$61</definedName>
    <definedName name="_26__123Graph_BChart_1A" localSheetId="3" hidden="1">[8]A!$D$6:$D$61</definedName>
    <definedName name="_26__123Graph_BChart_1A" localSheetId="7" hidden="1">[8]A!$D$6:$D$61</definedName>
    <definedName name="_26__123Graph_BChart_1A" hidden="1">[8]A!$D$6:$D$61</definedName>
    <definedName name="_26__123Graph_CCHART_1" hidden="1">[7]Basics!$D$10:$D$50</definedName>
    <definedName name="_26__123Graph_CCHART_2" hidden="1">[7]Basics!$D$10:$D$50</definedName>
    <definedName name="_26__123Graph_DCHART_1" hidden="1">[7]Basics!$E$10:$E$110</definedName>
    <definedName name="_26__123Graph_DCHART_2" hidden="1">[7]Basics!$E$10:$E$110</definedName>
    <definedName name="_26__123Graph_ECHART_1" hidden="1">[7]Basics!$F$10:$F$50</definedName>
    <definedName name="_26__123Graph_XCHART_1" hidden="1">[7]Basics!$A$10:$A$110</definedName>
    <definedName name="_26__123Graph_XCHART_2" hidden="1">[7]Basics!$A$10:$A$110</definedName>
    <definedName name="_26_0__123Grap" localSheetId="9" hidden="1">[6]LANSING!#REF!</definedName>
    <definedName name="_26_0__123Grap" localSheetId="5" hidden="1">[6]LANSING!#REF!</definedName>
    <definedName name="_26_0__123Grap" localSheetId="10" hidden="1">[6]LANSING!#REF!</definedName>
    <definedName name="_26_0__123Grap" localSheetId="3" hidden="1">[6]LANSING!#REF!</definedName>
    <definedName name="_26_0__123Grap" localSheetId="7" hidden="1">[6]LANSING!#REF!</definedName>
    <definedName name="_26_0__123Grap" hidden="1">[6]LANSING!#REF!</definedName>
    <definedName name="_27__123Graph_BCHART_1" hidden="1">[7]Basics!$C$10:$C$110</definedName>
    <definedName name="_27__123Graph_BCHART_2" hidden="1">[7]Basics!$C$10:$C$110</definedName>
    <definedName name="_27__123Graph_CCHART_2" hidden="1">[7]Basics!$D$10:$D$50</definedName>
    <definedName name="_27__123Graph_DCHART_1" hidden="1">[7]Basics!$E$10:$E$110</definedName>
    <definedName name="_27__123Graph_DCHART_2" hidden="1">[7]Basics!$E$10:$E$110</definedName>
    <definedName name="_27__123Graph_ECHART_1" hidden="1">[7]Basics!$F$10:$F$50</definedName>
    <definedName name="_27__123Graph_ECHART_2" hidden="1">[7]Basics!$F$10:$F$50</definedName>
    <definedName name="_27__123Graph_XCHART_2" hidden="1">[7]Basics!$A$10:$A$110</definedName>
    <definedName name="_28__123Graph_BCHART_2" hidden="1">[7]Basics!$C$10:$C$110</definedName>
    <definedName name="_28__123Graph_BChart_2B" localSheetId="9" hidden="1">'[8]STACKING 6.07'!$G$10:$G$68</definedName>
    <definedName name="_28__123Graph_BChart_2B" localSheetId="5" hidden="1">'[8]STACKING 6.07'!$G$10:$G$68</definedName>
    <definedName name="_28__123Graph_BChart_2B" localSheetId="10" hidden="1">'[8]STACKING 6.07'!$G$10:$G$68</definedName>
    <definedName name="_28__123Graph_BChart_2B" localSheetId="3" hidden="1">'[8]STACKING 6.07'!$G$10:$G$68</definedName>
    <definedName name="_28__123Graph_BChart_2B" localSheetId="7" hidden="1">'[8]STACKING 6.07'!$G$10:$G$68</definedName>
    <definedName name="_28__123Graph_BChart_2B" hidden="1">'[8]STACKING 6.07'!$G$10:$G$68</definedName>
    <definedName name="_28__123Graph_CCHART_1" hidden="1">[7]Basics!$D$10:$D$50</definedName>
    <definedName name="_28__123Graph_DCHART_1" hidden="1">[7]Basics!$E$10:$E$110</definedName>
    <definedName name="_28__123Graph_DCHART_2" hidden="1">[7]Basics!$E$10:$E$110</definedName>
    <definedName name="_28__123Graph_ECHART_1" hidden="1">[7]Basics!$F$10:$F$50</definedName>
    <definedName name="_28__123Graph_ECHART_2" hidden="1">[7]Basics!$F$10:$F$50</definedName>
    <definedName name="_28__123Graph_FCHART_1" hidden="1">[7]Basics!$G$10:$G$110</definedName>
    <definedName name="_28_0__123Grap" localSheetId="9" hidden="1">[6]LANSING!#REF!</definedName>
    <definedName name="_28_0__123Grap" localSheetId="5" hidden="1">[6]LANSING!#REF!</definedName>
    <definedName name="_28_0__123Grap" localSheetId="10" hidden="1">[6]LANSING!#REF!</definedName>
    <definedName name="_28_0__123Grap" localSheetId="3" hidden="1">[6]LANSING!#REF!</definedName>
    <definedName name="_28_0__123Grap" localSheetId="7" hidden="1">[6]LANSING!#REF!</definedName>
    <definedName name="_28_0__123Grap" hidden="1">[6]LANSING!#REF!</definedName>
    <definedName name="_29__123Graph_BChart_4C" localSheetId="9" hidden="1">'[8]Abatement '!$E$10:$E$66</definedName>
    <definedName name="_29__123Graph_BChart_4C" localSheetId="5" hidden="1">'[8]Abatement '!$E$10:$E$66</definedName>
    <definedName name="_29__123Graph_BChart_4C" localSheetId="10" hidden="1">'[8]Abatement '!$E$10:$E$66</definedName>
    <definedName name="_29__123Graph_BChart_4C" localSheetId="3" hidden="1">'[8]Abatement '!$E$10:$E$66</definedName>
    <definedName name="_29__123Graph_BChart_4C" localSheetId="7" hidden="1">'[8]Abatement '!$E$10:$E$66</definedName>
    <definedName name="_29__123Graph_BChart_4C" hidden="1">'[8]Abatement '!$E$10:$E$66</definedName>
    <definedName name="_29__123Graph_CCHART_1" hidden="1">[7]Basics!$D$10:$D$50</definedName>
    <definedName name="_29__123Graph_CCHART_2" hidden="1">[7]Basics!$D$10:$D$50</definedName>
    <definedName name="_29__123Graph_DCHART_2" hidden="1">[7]Basics!$E$10:$E$110</definedName>
    <definedName name="_29__123Graph_ECHART_1" hidden="1">[7]Basics!$F$10:$F$50</definedName>
    <definedName name="_29__123Graph_ECHART_2" hidden="1">[7]Basics!$F$10:$F$50</definedName>
    <definedName name="_29__123Graph_FCHART_1" hidden="1">[7]Basics!$G$10:$G$110</definedName>
    <definedName name="_29__123Graph_FCHART_2" hidden="1">[7]Basics!$G$10:$G$110</definedName>
    <definedName name="_29kwh">'[1]Elementary School'!#REF!</definedName>
    <definedName name="_2kwh" localSheetId="9">'[1]Elementary School'!#REF!</definedName>
    <definedName name="_2kwh" localSheetId="5">'[1]Elementary School'!#REF!</definedName>
    <definedName name="_2kwh" localSheetId="10">'[1]Elementary School'!#REF!</definedName>
    <definedName name="_2kwh" localSheetId="3">'[1]Elementary School'!#REF!</definedName>
    <definedName name="_2kwh" localSheetId="7">'[1]Elementary School'!#REF!</definedName>
    <definedName name="_2kwh">'[1]Elementary School'!#REF!</definedName>
    <definedName name="_2NDQTR" localSheetId="9">#REF!</definedName>
    <definedName name="_2NDQTR" localSheetId="5">#REF!</definedName>
    <definedName name="_2NDQTR" localSheetId="10">#REF!</definedName>
    <definedName name="_2NDQTR" localSheetId="3">#REF!</definedName>
    <definedName name="_2NDQTR" localSheetId="7">#REF!</definedName>
    <definedName name="_2NDQTR">#REF!</definedName>
    <definedName name="_3__123Graph_ACHART_1" hidden="1">[7]Basics!$B$10:$B$110</definedName>
    <definedName name="_3_123Grap" localSheetId="9" hidden="1">[6]LANSING!#REF!</definedName>
    <definedName name="_3_123Grap" localSheetId="5" hidden="1">[6]LANSING!#REF!</definedName>
    <definedName name="_3_123Grap" localSheetId="10" hidden="1">[6]LANSING!#REF!</definedName>
    <definedName name="_3_123Grap" localSheetId="3" hidden="1">[6]LANSING!#REF!</definedName>
    <definedName name="_3_123Grap" localSheetId="7" hidden="1">[6]LANSING!#REF!</definedName>
    <definedName name="_3_123Grap" hidden="1">[6]LANSING!#REF!</definedName>
    <definedName name="_30__123Graph_BChart_5D" localSheetId="9" hidden="1">'[8]Fire Alarm '!$E$10:$E$66</definedName>
    <definedName name="_30__123Graph_BChart_5D" localSheetId="5" hidden="1">'[8]Fire Alarm '!$E$10:$E$66</definedName>
    <definedName name="_30__123Graph_BChart_5D" localSheetId="10" hidden="1">'[8]Fire Alarm '!$E$10:$E$66</definedName>
    <definedName name="_30__123Graph_BChart_5D" localSheetId="3" hidden="1">'[8]Fire Alarm '!$E$10:$E$66</definedName>
    <definedName name="_30__123Graph_BChart_5D" localSheetId="7" hidden="1">'[8]Fire Alarm '!$E$10:$E$66</definedName>
    <definedName name="_30__123Graph_BChart_5D" hidden="1">'[8]Fire Alarm '!$E$10:$E$66</definedName>
    <definedName name="_30__123Graph_CCHART_2" hidden="1">[7]Basics!$D$10:$D$50</definedName>
    <definedName name="_30__123Graph_DCHART_1" hidden="1">[7]Basics!$E$10:$E$110</definedName>
    <definedName name="_30__123Graph_ECHART_1" hidden="1">[7]Basics!$F$10:$F$50</definedName>
    <definedName name="_30__123Graph_ECHART_2" hidden="1">[7]Basics!$F$10:$F$50</definedName>
    <definedName name="_30__123Graph_FCHART_1" hidden="1">[7]Basics!$G$10:$G$110</definedName>
    <definedName name="_30__123Graph_FCHART_2" hidden="1">[7]Basics!$G$10:$G$110</definedName>
    <definedName name="_30__123Graph_XCHART_1" hidden="1">[7]Basics!$A$10:$A$110</definedName>
    <definedName name="_30_0__123Grap" localSheetId="9" hidden="1">[6]LANSING!#REF!</definedName>
    <definedName name="_30_0__123Grap" localSheetId="5" hidden="1">[6]LANSING!#REF!</definedName>
    <definedName name="_30_0__123Grap" localSheetId="10" hidden="1">[6]LANSING!#REF!</definedName>
    <definedName name="_30_0__123Grap" localSheetId="3" hidden="1">[6]LANSING!#REF!</definedName>
    <definedName name="_30_0__123Grap" localSheetId="7" hidden="1">[6]LANSING!#REF!</definedName>
    <definedName name="_30_0__123Grap" hidden="1">[6]LANSING!#REF!</definedName>
    <definedName name="_31__123Graph_CCHART_1" hidden="1">[7]Basics!$D$10:$D$50</definedName>
    <definedName name="_31__123Graph_DCHART_1" hidden="1">[7]Basics!$E$10:$E$110</definedName>
    <definedName name="_31__123Graph_DCHART_2" hidden="1">[7]Basics!$E$10:$E$110</definedName>
    <definedName name="_31__123Graph_ECHART_2" hidden="1">[7]Basics!$F$10:$F$50</definedName>
    <definedName name="_31__123Graph_FCHART_1" hidden="1">[7]Basics!$G$10:$G$110</definedName>
    <definedName name="_31__123Graph_FCHART_2" hidden="1">[7]Basics!$G$10:$G$110</definedName>
    <definedName name="_31__123Graph_XCHART_1" hidden="1">[7]Basics!$A$10:$A$110</definedName>
    <definedName name="_31__123Graph_XCHART_2" hidden="1">[7]Basics!$A$10:$A$110</definedName>
    <definedName name="_31_0__123Grap" localSheetId="9" hidden="1">[6]LANSING!#REF!</definedName>
    <definedName name="_31_0__123Grap" localSheetId="5" hidden="1">[6]LANSING!#REF!</definedName>
    <definedName name="_31_0__123Grap" localSheetId="10" hidden="1">[6]LANSING!#REF!</definedName>
    <definedName name="_31_0__123Grap" localSheetId="3" hidden="1">[6]LANSING!#REF!</definedName>
    <definedName name="_31_0__123Grap" localSheetId="7" hidden="1">[6]LANSING!#REF!</definedName>
    <definedName name="_31_0__123Grap" hidden="1">[6]LANSING!#REF!</definedName>
    <definedName name="_32__123Graph_CChart_1A" localSheetId="9" hidden="1">[8]A!$F$6:$F$61</definedName>
    <definedName name="_32__123Graph_CChart_1A" localSheetId="5" hidden="1">[8]A!$F$6:$F$61</definedName>
    <definedName name="_32__123Graph_CChart_1A" localSheetId="10" hidden="1">[8]A!$F$6:$F$61</definedName>
    <definedName name="_32__123Graph_CChart_1A" localSheetId="3" hidden="1">[8]A!$F$6:$F$61</definedName>
    <definedName name="_32__123Graph_CChart_1A" localSheetId="7" hidden="1">[8]A!$F$6:$F$61</definedName>
    <definedName name="_32__123Graph_CChart_1A" hidden="1">[8]A!$F$6:$F$61</definedName>
    <definedName name="_32__123Graph_DCHART_2" hidden="1">[7]Basics!$E$10:$E$110</definedName>
    <definedName name="_32__123Graph_ECHART_1" hidden="1">[7]Basics!$F$10:$F$50</definedName>
    <definedName name="_32__123Graph_FCHART_1" hidden="1">[7]Basics!$G$10:$G$110</definedName>
    <definedName name="_32__123Graph_FCHART_2" hidden="1">[7]Basics!$G$10:$G$110</definedName>
    <definedName name="_32__123Graph_XCHART_1" hidden="1">[7]Basics!$A$10:$A$110</definedName>
    <definedName name="_32__123Graph_XCHART_2" hidden="1">[7]Basics!$A$10:$A$110</definedName>
    <definedName name="_33__123Graph_CCHART_2" hidden="1">[7]Basics!$D$10:$D$50</definedName>
    <definedName name="_33__123Graph_ECHART_1" hidden="1">[7]Basics!$F$10:$F$50</definedName>
    <definedName name="_33__123Graph_ECHART_2" hidden="1">[7]Basics!$F$10:$F$50</definedName>
    <definedName name="_33__123Graph_FCHART_2" hidden="1">[7]Basics!$G$10:$G$110</definedName>
    <definedName name="_33__123Graph_XCHART_1" hidden="1">[7]Basics!$A$10:$A$110</definedName>
    <definedName name="_33__123Graph_XCHART_2" hidden="1">[7]Basics!$A$10:$A$110</definedName>
    <definedName name="_34__123Graph_CChart_2B" localSheetId="9" hidden="1">'[8]STACKING 6.07'!$K$10:$K$69</definedName>
    <definedName name="_34__123Graph_CChart_2B" localSheetId="5" hidden="1">'[8]STACKING 6.07'!$K$10:$K$69</definedName>
    <definedName name="_34__123Graph_CChart_2B" localSheetId="10" hidden="1">'[8]STACKING 6.07'!$K$10:$K$69</definedName>
    <definedName name="_34__123Graph_CChart_2B" localSheetId="3" hidden="1">'[8]STACKING 6.07'!$K$10:$K$69</definedName>
    <definedName name="_34__123Graph_CChart_2B" localSheetId="7" hidden="1">'[8]STACKING 6.07'!$K$10:$K$69</definedName>
    <definedName name="_34__123Graph_CChart_2B" hidden="1">'[8]STACKING 6.07'!$K$10:$K$69</definedName>
    <definedName name="_34__123Graph_ECHART_2" hidden="1">[7]Basics!$F$10:$F$50</definedName>
    <definedName name="_34__123Graph_FCHART_1" hidden="1">[7]Basics!$G$10:$G$110</definedName>
    <definedName name="_34__123Graph_XCHART_1" hidden="1">[7]Basics!$A$10:$A$110</definedName>
    <definedName name="_34__123Graph_XCHART_2" hidden="1">[7]Basics!$A$10:$A$110</definedName>
    <definedName name="_35__123Graph_CChart_4C" localSheetId="9" hidden="1">'[8]Abatement '!$F$10:$F$66</definedName>
    <definedName name="_35__123Graph_CChart_4C" localSheetId="5" hidden="1">'[8]Abatement '!$F$10:$F$66</definedName>
    <definedName name="_35__123Graph_CChart_4C" localSheetId="10" hidden="1">'[8]Abatement '!$F$10:$F$66</definedName>
    <definedName name="_35__123Graph_CChart_4C" localSheetId="3" hidden="1">'[8]Abatement '!$F$10:$F$66</definedName>
    <definedName name="_35__123Graph_CChart_4C" localSheetId="7" hidden="1">'[8]Abatement '!$F$10:$F$66</definedName>
    <definedName name="_35__123Graph_CChart_4C" hidden="1">'[8]Abatement '!$F$10:$F$66</definedName>
    <definedName name="_35__123Graph_FCHART_1" hidden="1">[7]Basics!$G$10:$G$110</definedName>
    <definedName name="_35__123Graph_FCHART_2" hidden="1">[7]Basics!$G$10:$G$110</definedName>
    <definedName name="_35__123Graph_XCHART_2" hidden="1">[7]Basics!$A$10:$A$110</definedName>
    <definedName name="_36__123Graph_DCHART_1" hidden="1">[7]Basics!$E$10:$E$110</definedName>
    <definedName name="_36__123Graph_FCHART_2" hidden="1">[7]Basics!$G$10:$G$110</definedName>
    <definedName name="_36__123Graph_XCHART_1" hidden="1">[7]Basics!$A$10:$A$110</definedName>
    <definedName name="_37__123Graph_DChart_1A" localSheetId="9" hidden="1">[8]A!$I$39:$I$39</definedName>
    <definedName name="_37__123Graph_DChart_1A" localSheetId="5" hidden="1">[8]A!$I$39:$I$39</definedName>
    <definedName name="_37__123Graph_DChart_1A" localSheetId="10" hidden="1">[8]A!$I$39:$I$39</definedName>
    <definedName name="_37__123Graph_DChart_1A" localSheetId="3" hidden="1">[8]A!$I$39:$I$39</definedName>
    <definedName name="_37__123Graph_DChart_1A" localSheetId="7" hidden="1">[8]A!$I$39:$I$39</definedName>
    <definedName name="_37__123Graph_DChart_1A" hidden="1">[8]A!$I$39:$I$39</definedName>
    <definedName name="_37__123Graph_XCHART_1" hidden="1">[7]Basics!$A$10:$A$110</definedName>
    <definedName name="_37__123Graph_XCHART_2" hidden="1">[7]Basics!$A$10:$A$110</definedName>
    <definedName name="_38__123Graph_DCHART_2" hidden="1">[7]Basics!$E$10:$E$110</definedName>
    <definedName name="_38__123Graph_XCHART_2" hidden="1">[7]Basics!$A$10:$A$110</definedName>
    <definedName name="_38_0__123Grap" localSheetId="9" hidden="1">[6]LANSING!#REF!</definedName>
    <definedName name="_38_0__123Grap" localSheetId="5" hidden="1">[6]LANSING!#REF!</definedName>
    <definedName name="_38_0__123Grap" localSheetId="10" hidden="1">[6]LANSING!#REF!</definedName>
    <definedName name="_38_0__123Grap" localSheetId="3" hidden="1">[6]LANSING!#REF!</definedName>
    <definedName name="_38_0__123Grap" localSheetId="7" hidden="1">[6]LANSING!#REF!</definedName>
    <definedName name="_38_0__123Grap" hidden="1">[6]LANSING!#REF!</definedName>
    <definedName name="_39__123Graph_DChart_4C" localSheetId="9" hidden="1">'[8]Abatement '!$G$10:$G$66</definedName>
    <definedName name="_39__123Graph_DChart_4C" localSheetId="5" hidden="1">'[8]Abatement '!$G$10:$G$66</definedName>
    <definedName name="_39__123Graph_DChart_4C" localSheetId="10" hidden="1">'[8]Abatement '!$G$10:$G$66</definedName>
    <definedName name="_39__123Graph_DChart_4C" localSheetId="3" hidden="1">'[8]Abatement '!$G$10:$G$66</definedName>
    <definedName name="_39__123Graph_DChart_4C" localSheetId="7" hidden="1">'[8]Abatement '!$G$10:$G$66</definedName>
    <definedName name="_39__123Graph_DChart_4C" hidden="1">'[8]Abatement '!$G$10:$G$66</definedName>
    <definedName name="_3kwh" localSheetId="9">'[1]Elementary School'!#REF!</definedName>
    <definedName name="_3kwh" localSheetId="5">'[1]Elementary School'!#REF!</definedName>
    <definedName name="_3kwh" localSheetId="10">'[1]Elementary School'!#REF!</definedName>
    <definedName name="_3kwh" localSheetId="3">'[1]Elementary School'!#REF!</definedName>
    <definedName name="_3kwh" localSheetId="7">'[1]Elementary School'!#REF!</definedName>
    <definedName name="_3kwh">'[1]Elementary School'!#REF!</definedName>
    <definedName name="_3RDQTR" localSheetId="9">#REF!</definedName>
    <definedName name="_3RDQTR" localSheetId="5">#REF!</definedName>
    <definedName name="_3RDQTR" localSheetId="10">#REF!</definedName>
    <definedName name="_3RDQTR" localSheetId="3">#REF!</definedName>
    <definedName name="_3RDQTR" localSheetId="7">#REF!</definedName>
    <definedName name="_3RDQTR">#REF!</definedName>
    <definedName name="_4__123Graph_ACHART_1" hidden="1">[7]Basics!$B$10:$B$110</definedName>
    <definedName name="_4__123Graph_ACHART_2" hidden="1">[7]Basics!$B$10:$B$110</definedName>
    <definedName name="_40__123Graph_ECHART_1" hidden="1">[7]Basics!$F$10:$F$50</definedName>
    <definedName name="_40_0__123Grap" localSheetId="9" hidden="1">[6]LANSING!#REF!</definedName>
    <definedName name="_40_0__123Grap" localSheetId="5" hidden="1">[6]LANSING!#REF!</definedName>
    <definedName name="_40_0__123Grap" localSheetId="10" hidden="1">[6]LANSING!#REF!</definedName>
    <definedName name="_40_0__123Grap" localSheetId="3" hidden="1">[6]LANSING!#REF!</definedName>
    <definedName name="_40_0__123Grap" localSheetId="7" hidden="1">[6]LANSING!#REF!</definedName>
    <definedName name="_40_0__123Grap" hidden="1">[6]LANSING!#REF!</definedName>
    <definedName name="_41__123Graph_EChart_1A" localSheetId="9" hidden="1">[8]A!$G$6:$G$61</definedName>
    <definedName name="_41__123Graph_EChart_1A" localSheetId="5" hidden="1">[8]A!$G$6:$G$61</definedName>
    <definedName name="_41__123Graph_EChart_1A" localSheetId="10" hidden="1">[8]A!$G$6:$G$61</definedName>
    <definedName name="_41__123Graph_EChart_1A" localSheetId="3" hidden="1">[8]A!$G$6:$G$61</definedName>
    <definedName name="_41__123Graph_EChart_1A" localSheetId="7" hidden="1">[8]A!$G$6:$G$61</definedName>
    <definedName name="_41__123Graph_EChart_1A" hidden="1">[8]A!$G$6:$G$61</definedName>
    <definedName name="_41_0__123Grap" hidden="1">[6]LANSING!#REF!</definedName>
    <definedName name="_42__123Graph_ECHART_2" hidden="1">[7]Basics!$F$10:$F$50</definedName>
    <definedName name="_42_0__123Grap" localSheetId="9" hidden="1">[6]LANSING!#REF!</definedName>
    <definedName name="_42_0__123Grap" localSheetId="5" hidden="1">[6]LANSING!#REF!</definedName>
    <definedName name="_42_0__123Grap" localSheetId="10" hidden="1">[6]LANSING!#REF!</definedName>
    <definedName name="_42_0__123Grap" localSheetId="3" hidden="1">[6]LANSING!#REF!</definedName>
    <definedName name="_42_0__123Grap" localSheetId="7" hidden="1">[6]LANSING!#REF!</definedName>
    <definedName name="_42_0__123Grap" hidden="1">[6]LANSING!#REF!</definedName>
    <definedName name="_43__123Graph_FCHART_1" hidden="1">[7]Basics!$G$10:$G$110</definedName>
    <definedName name="_43_0__123Grap" localSheetId="9" hidden="1">[6]LANSING!#REF!</definedName>
    <definedName name="_43_0__123Grap" localSheetId="5" hidden="1">[6]LANSING!#REF!</definedName>
    <definedName name="_43_0__123Grap" localSheetId="10" hidden="1">[6]LANSING!#REF!</definedName>
    <definedName name="_43_0__123Grap" localSheetId="3" hidden="1">[6]LANSING!#REF!</definedName>
    <definedName name="_43_0__123Grap" localSheetId="7" hidden="1">[6]LANSING!#REF!</definedName>
    <definedName name="_43_0__123Grap" hidden="1">[6]LANSING!#REF!</definedName>
    <definedName name="_44__123Graph_FChart_1A" localSheetId="9" hidden="1">[8]A!$W$7:$W$63</definedName>
    <definedName name="_44__123Graph_FChart_1A" localSheetId="5" hidden="1">[8]A!$W$7:$W$63</definedName>
    <definedName name="_44__123Graph_FChart_1A" localSheetId="10" hidden="1">[8]A!$W$7:$W$63</definedName>
    <definedName name="_44__123Graph_FChart_1A" localSheetId="3" hidden="1">[8]A!$W$7:$W$63</definedName>
    <definedName name="_44__123Graph_FChart_1A" localSheetId="7" hidden="1">[8]A!$W$7:$W$63</definedName>
    <definedName name="_44__123Graph_FChart_1A" hidden="1">[8]A!$W$7:$W$63</definedName>
    <definedName name="_45__123Graph_FCHART_2" hidden="1">[7]Basics!$G$10:$G$110</definedName>
    <definedName name="_45_0__123Grap" hidden="1">[6]LANSING!#REF!</definedName>
    <definedName name="_46__123Graph_XCHART_1" hidden="1">[7]Basics!$A$10:$A$110</definedName>
    <definedName name="_46_0__123Grap" localSheetId="9" hidden="1">[6]LANSING!#REF!</definedName>
    <definedName name="_46_0__123Grap" localSheetId="5" hidden="1">[6]LANSING!#REF!</definedName>
    <definedName name="_46_0__123Grap" localSheetId="10" hidden="1">[6]LANSING!#REF!</definedName>
    <definedName name="_46_0__123Grap" localSheetId="3" hidden="1">[6]LANSING!#REF!</definedName>
    <definedName name="_46_0__123Grap" localSheetId="7" hidden="1">[6]LANSING!#REF!</definedName>
    <definedName name="_46_0__123Grap" hidden="1">[6]LANSING!#REF!</definedName>
    <definedName name="_47__123Graph_XCHART_2" hidden="1">[7]Basics!$A$10:$A$110</definedName>
    <definedName name="_47_0__123Grap" localSheetId="9" hidden="1">[6]LANSING!#REF!</definedName>
    <definedName name="_47_0__123Grap" localSheetId="5" hidden="1">[6]LANSING!#REF!</definedName>
    <definedName name="_47_0__123Grap" localSheetId="10" hidden="1">[6]LANSING!#REF!</definedName>
    <definedName name="_47_0__123Grap" localSheetId="3" hidden="1">[6]LANSING!#REF!</definedName>
    <definedName name="_47_0__123Grap" localSheetId="7" hidden="1">[6]LANSING!#REF!</definedName>
    <definedName name="_47_0__123Grap" hidden="1">[6]LANSING!#REF!</definedName>
    <definedName name="_48_0__123Grap" localSheetId="9" hidden="1">[9]LANSING!#REF!</definedName>
    <definedName name="_48_0__123Grap" localSheetId="5" hidden="1">[9]LANSING!#REF!</definedName>
    <definedName name="_48_0__123Grap" localSheetId="10" hidden="1">[9]LANSING!#REF!</definedName>
    <definedName name="_48_0__123Grap" localSheetId="3" hidden="1">[9]LANSING!#REF!</definedName>
    <definedName name="_48_0__123Grap" localSheetId="7" hidden="1">[9]LANSING!#REF!</definedName>
    <definedName name="_48_0__123Grap" hidden="1">[6]LANSING!#REF!</definedName>
    <definedName name="_4kwh" localSheetId="9">'[1]Elementary School'!#REF!</definedName>
    <definedName name="_4kwh" localSheetId="5">'[1]Elementary School'!#REF!</definedName>
    <definedName name="_4kwh" localSheetId="10">'[1]Elementary School'!#REF!</definedName>
    <definedName name="_4kwh" localSheetId="3">'[1]Elementary School'!#REF!</definedName>
    <definedName name="_4kwh" localSheetId="7">'[1]Elementary School'!#REF!</definedName>
    <definedName name="_4kwh">'[1]Elementary School'!#REF!</definedName>
    <definedName name="_4THQTR" localSheetId="9">#REF!</definedName>
    <definedName name="_4THQTR" localSheetId="5">#REF!</definedName>
    <definedName name="_4THQTR" localSheetId="10">#REF!</definedName>
    <definedName name="_4THQTR" localSheetId="3">#REF!</definedName>
    <definedName name="_4THQTR" localSheetId="7">#REF!</definedName>
    <definedName name="_4THQTR">#REF!</definedName>
    <definedName name="_5__123Graph_ACHART_2" hidden="1">[7]Basics!$B$10:$B$110</definedName>
    <definedName name="_5__123Graph_BCHART_1" hidden="1">[7]Basics!$C$10:$C$110</definedName>
    <definedName name="_51_0__123Grap" localSheetId="9" hidden="1">[6]LANSING!#REF!</definedName>
    <definedName name="_51_0__123Grap" localSheetId="5" hidden="1">[6]LANSING!#REF!</definedName>
    <definedName name="_51_0__123Grap" localSheetId="10" hidden="1">[6]LANSING!#REF!</definedName>
    <definedName name="_51_0__123Grap" localSheetId="3" hidden="1">[6]LANSING!#REF!</definedName>
    <definedName name="_51_0__123Grap" localSheetId="7" hidden="1">[6]LANSING!#REF!</definedName>
    <definedName name="_51_0__123Grap" hidden="1">[6]LANSING!#REF!</definedName>
    <definedName name="_5kwh" localSheetId="9">'[1]Elementary School'!#REF!</definedName>
    <definedName name="_5kwh" localSheetId="5">'[1]Elementary School'!#REF!</definedName>
    <definedName name="_5kwh" localSheetId="10">'[1]Elementary School'!#REF!</definedName>
    <definedName name="_5kwh" localSheetId="3">'[1]Elementary School'!#REF!</definedName>
    <definedName name="_5kwh" localSheetId="7">'[1]Elementary School'!#REF!</definedName>
    <definedName name="_5kwh">'[1]Elementary School'!#REF!</definedName>
    <definedName name="_6__123Graph_BCHART_1" hidden="1">[7]Basics!$C$10:$C$110</definedName>
    <definedName name="_6__123Graph_BCHART_2" hidden="1">[7]Basics!$C$10:$C$110</definedName>
    <definedName name="_6_123Grap" localSheetId="9" hidden="1">[6]LANSING!#REF!</definedName>
    <definedName name="_6_123Grap" localSheetId="5" hidden="1">[6]LANSING!#REF!</definedName>
    <definedName name="_6_123Grap" localSheetId="10" hidden="1">[6]LANSING!#REF!</definedName>
    <definedName name="_6_123Grap" localSheetId="3" hidden="1">[6]LANSING!#REF!</definedName>
    <definedName name="_6_123Grap" localSheetId="7" hidden="1">[6]LANSING!#REF!</definedName>
    <definedName name="_6_123Grap" hidden="1">[6]LANSING!#REF!</definedName>
    <definedName name="_60_123Grap" hidden="1">[6]LANSING!#REF!</definedName>
    <definedName name="_61__123Graph_ACHART_1" hidden="1">[7]Basics!$B$10:$B$110</definedName>
    <definedName name="_62__123Graph_ACHART_2" hidden="1">[7]Basics!$B$10:$B$110</definedName>
    <definedName name="_63__123Graph_BCHART_1" hidden="1">[7]Basics!$C$10:$C$110</definedName>
    <definedName name="_64__123Graph_BCHART_2" hidden="1">[7]Basics!$C$10:$C$110</definedName>
    <definedName name="_65__123Graph_CCHART_1" hidden="1">[7]Basics!$D$10:$D$50</definedName>
    <definedName name="_66__123Graph_CCHART_2" hidden="1">[7]Basics!$D$10:$D$50</definedName>
    <definedName name="_67__123Graph_DCHART_1" hidden="1">[7]Basics!$E$10:$E$110</definedName>
    <definedName name="_68__123Graph_DCHART_2" hidden="1">[7]Basics!$E$10:$E$110</definedName>
    <definedName name="_69__123Graph_ECHART_1" hidden="1">[7]Basics!$F$10:$F$50</definedName>
    <definedName name="_6kwh" localSheetId="9">'[1]Elementary School'!#REF!</definedName>
    <definedName name="_6kwh" localSheetId="5">'[1]Elementary School'!#REF!</definedName>
    <definedName name="_6kwh" localSheetId="10">'[1]Elementary School'!#REF!</definedName>
    <definedName name="_6kwh" localSheetId="3">'[1]Elementary School'!#REF!</definedName>
    <definedName name="_6kwh" localSheetId="7">'[1]Elementary School'!#REF!</definedName>
    <definedName name="_6kwh">'[1]Elementary School'!#REF!</definedName>
    <definedName name="_7__123Graph_ACHART_1" hidden="1">[7]Basics!$B$10:$B$110</definedName>
    <definedName name="_7__123Graph_BCHART_2" hidden="1">[7]Basics!$C$10:$C$110</definedName>
    <definedName name="_7__123Graph_CCHART_1" hidden="1">[7]Basics!$D$10:$D$50</definedName>
    <definedName name="_7_123Grap" localSheetId="9" hidden="1">[6]LANSING!#REF!</definedName>
    <definedName name="_7_123Grap" localSheetId="5" hidden="1">[6]LANSING!#REF!</definedName>
    <definedName name="_7_123Grap" localSheetId="10" hidden="1">[6]LANSING!#REF!</definedName>
    <definedName name="_7_123Grap" localSheetId="3" hidden="1">[6]LANSING!#REF!</definedName>
    <definedName name="_7_123Grap" localSheetId="7" hidden="1">[6]LANSING!#REF!</definedName>
    <definedName name="_7_123Grap" hidden="1">[6]LANSING!#REF!</definedName>
    <definedName name="_70__123Graph_ECHART_2" hidden="1">[7]Basics!$F$10:$F$50</definedName>
    <definedName name="_71__123Graph_FCHART_1" hidden="1">[7]Basics!$G$10:$G$110</definedName>
    <definedName name="_72__123Graph_FCHART_2" hidden="1">[7]Basics!$G$10:$G$110</definedName>
    <definedName name="_73__123Graph_XCHART_1" hidden="1">[7]Basics!$A$10:$A$110</definedName>
    <definedName name="_74__123Graph_XCHART_2" hidden="1">[7]Basics!$A$10:$A$110</definedName>
    <definedName name="_74_0__123Grap" localSheetId="9" hidden="1">[6]LANSING!#REF!</definedName>
    <definedName name="_74_0__123Grap" localSheetId="5" hidden="1">[6]LANSING!#REF!</definedName>
    <definedName name="_74_0__123Grap" localSheetId="10" hidden="1">[6]LANSING!#REF!</definedName>
    <definedName name="_74_0__123Grap" localSheetId="3" hidden="1">[6]LANSING!#REF!</definedName>
    <definedName name="_74_0__123Grap" localSheetId="7" hidden="1">[6]LANSING!#REF!</definedName>
    <definedName name="_74_0__123Grap" hidden="1">[6]LANSING!#REF!</definedName>
    <definedName name="_7kwh" localSheetId="9">'[1]Elementary School'!#REF!</definedName>
    <definedName name="_7kwh" localSheetId="5">'[1]Elementary School'!#REF!</definedName>
    <definedName name="_7kwh" localSheetId="10">'[1]Elementary School'!#REF!</definedName>
    <definedName name="_7kwh" localSheetId="3">'[1]Elementary School'!#REF!</definedName>
    <definedName name="_7kwh" localSheetId="7">'[1]Elementary School'!#REF!</definedName>
    <definedName name="_7kwh">'[1]Elementary School'!#REF!</definedName>
    <definedName name="_8__123Graph_ACHART_1" hidden="1">[7]Basics!$B$10:$B$110</definedName>
    <definedName name="_8__123Graph_ACHART_2" hidden="1">[7]Basics!$B$10:$B$110</definedName>
    <definedName name="_8__123Graph_CCHART_1" hidden="1">[7]Basics!$D$10:$D$50</definedName>
    <definedName name="_8__123Graph_CCHART_2" hidden="1">[7]Basics!$D$10:$D$50</definedName>
    <definedName name="_8_123Grap" localSheetId="9" hidden="1">[6]LANSING!#REF!</definedName>
    <definedName name="_8_123Grap" localSheetId="5" hidden="1">[6]LANSING!#REF!</definedName>
    <definedName name="_8_123Grap" localSheetId="10" hidden="1">[6]LANSING!#REF!</definedName>
    <definedName name="_8_123Grap" localSheetId="3" hidden="1">[6]LANSING!#REF!</definedName>
    <definedName name="_8_123Grap" localSheetId="7" hidden="1">[6]LANSING!#REF!</definedName>
    <definedName name="_8_123Grap" hidden="1">[6]LANSING!#REF!</definedName>
    <definedName name="_8kwh" localSheetId="9">'[1]Elementary School'!#REF!</definedName>
    <definedName name="_8kwh" localSheetId="5">'[1]Elementary School'!#REF!</definedName>
    <definedName name="_8kwh" localSheetId="10">'[1]Elementary School'!#REF!</definedName>
    <definedName name="_8kwh" localSheetId="3">'[1]Elementary School'!#REF!</definedName>
    <definedName name="_8kwh" localSheetId="7">'[1]Elementary School'!#REF!</definedName>
    <definedName name="_8kwh">'[1]Elementary School'!#REF!</definedName>
    <definedName name="_9__123Graph_ACHART_1" hidden="1">[7]Basics!$B$10:$B$110</definedName>
    <definedName name="_9__123Graph_ACHART_2" hidden="1">[7]Basics!$B$10:$B$110</definedName>
    <definedName name="_9__123Graph_BCHART_1" hidden="1">[7]Basics!$C$10:$C$110</definedName>
    <definedName name="_9__123Graph_CCHART_2" hidden="1">[7]Basics!$D$10:$D$50</definedName>
    <definedName name="_9__123Graph_DCHART_1" hidden="1">[7]Basics!$E$10:$E$110</definedName>
    <definedName name="_9_123Grap" localSheetId="9" hidden="1">[6]LANSING!#REF!</definedName>
    <definedName name="_9_123Grap" localSheetId="5" hidden="1">[6]LANSING!#REF!</definedName>
    <definedName name="_9_123Grap" localSheetId="10" hidden="1">[6]LANSING!#REF!</definedName>
    <definedName name="_9_123Grap" localSheetId="3" hidden="1">[6]LANSING!#REF!</definedName>
    <definedName name="_9_123Grap" localSheetId="7" hidden="1">[6]LANSING!#REF!</definedName>
    <definedName name="_9_123Grap" hidden="1">[6]LANSING!#REF!</definedName>
    <definedName name="_9kwh" localSheetId="9">'[1]Elementary School'!#REF!</definedName>
    <definedName name="_9kwh" localSheetId="5">'[1]Elementary School'!#REF!</definedName>
    <definedName name="_9kwh" localSheetId="10">'[1]Elementary School'!#REF!</definedName>
    <definedName name="_9kwh" localSheetId="3">'[1]Elementary School'!#REF!</definedName>
    <definedName name="_9kwh" localSheetId="7">'[1]Elementary School'!#REF!</definedName>
    <definedName name="_9kwh">'[1]Elementary School'!#REF!</definedName>
    <definedName name="_FAN100">'[2]Load Chart'!$D$13</definedName>
    <definedName name="_FAN50">'[2]Load Chart'!$I$13</definedName>
    <definedName name="_FAN60">'[2]Load Chart'!$H$13</definedName>
    <definedName name="_FAN70">'[2]Load Chart'!$G$13</definedName>
    <definedName name="_FAN80">'[2]Load Chart'!$F$13</definedName>
    <definedName name="_FAN90">'[2]Load Chart'!$E$13</definedName>
    <definedName name="_Fill" localSheetId="9" hidden="1">#REF!</definedName>
    <definedName name="_Fill" localSheetId="5" hidden="1">#REF!</definedName>
    <definedName name="_Fill" localSheetId="10" hidden="1">#REF!</definedName>
    <definedName name="_Fill" localSheetId="3" hidden="1">#REF!</definedName>
    <definedName name="_Fill" localSheetId="7" hidden="1">#REF!</definedName>
    <definedName name="_Fill" hidden="1">#REF!</definedName>
    <definedName name="_Key1" localSheetId="9" hidden="1">#REF!</definedName>
    <definedName name="_Key1" localSheetId="5" hidden="1">#REF!</definedName>
    <definedName name="_Key1" localSheetId="10" hidden="1">#REF!</definedName>
    <definedName name="_Key1" localSheetId="3" hidden="1">#REF!</definedName>
    <definedName name="_Key1" localSheetId="7" hidden="1">#REF!</definedName>
    <definedName name="_Key1" hidden="1">#REF!</definedName>
    <definedName name="_kw2">'[3]Var. Vol. Pump'!$G$150</definedName>
    <definedName name="_kW3">'[3]Var. Vol. Pump'!$G$198</definedName>
    <definedName name="_NPV1" localSheetId="9">#REF!</definedName>
    <definedName name="_NPV1" localSheetId="5">#REF!</definedName>
    <definedName name="_NPV1" localSheetId="10">#REF!</definedName>
    <definedName name="_NPV1" localSheetId="3">#REF!</definedName>
    <definedName name="_NPV1" localSheetId="7">#REF!</definedName>
    <definedName name="_NPV1">#REF!</definedName>
    <definedName name="_NPV2" localSheetId="9">#REF!</definedName>
    <definedName name="_NPV2" localSheetId="5">#REF!</definedName>
    <definedName name="_NPV2" localSheetId="10">#REF!</definedName>
    <definedName name="_NPV2" localSheetId="3">#REF!</definedName>
    <definedName name="_NPV2" localSheetId="7">#REF!</definedName>
    <definedName name="_NPV2">#REF!</definedName>
    <definedName name="_NPV3" localSheetId="9">#REF!</definedName>
    <definedName name="_NPV3" localSheetId="5">#REF!</definedName>
    <definedName name="_NPV3" localSheetId="10">#REF!</definedName>
    <definedName name="_NPV3" localSheetId="3">#REF!</definedName>
    <definedName name="_NPV3" localSheetId="7">#REF!</definedName>
    <definedName name="_NPV3">#REF!</definedName>
    <definedName name="_Order1" hidden="1">255</definedName>
    <definedName name="_Order2" hidden="1">255</definedName>
    <definedName name="_Regression_Out" localSheetId="9" hidden="1">#REF!</definedName>
    <definedName name="_Regression_Out" localSheetId="5" hidden="1">#REF!</definedName>
    <definedName name="_Regression_Out" localSheetId="10" hidden="1">#REF!</definedName>
    <definedName name="_Regression_Out" localSheetId="3" hidden="1">#REF!</definedName>
    <definedName name="_Regression_Out" localSheetId="7" hidden="1">#REF!</definedName>
    <definedName name="_Regression_Out" hidden="1">#REF!</definedName>
    <definedName name="_Regression_X" hidden="1">[7]Basics!$H$7:$H$8</definedName>
    <definedName name="_Regression_Y" hidden="1">[7]Basics!$I$7:$I$8</definedName>
    <definedName name="_Sort" localSheetId="9" hidden="1">#REF!</definedName>
    <definedName name="_Sort" localSheetId="5" hidden="1">#REF!</definedName>
    <definedName name="_Sort" localSheetId="10" hidden="1">#REF!</definedName>
    <definedName name="_Sort" localSheetId="3" hidden="1">#REF!</definedName>
    <definedName name="_Sort" localSheetId="7" hidden="1">#REF!</definedName>
    <definedName name="_Sort" hidden="1">#REF!</definedName>
    <definedName name="_Tdb1" localSheetId="9">#REF!</definedName>
    <definedName name="_Tdb1" localSheetId="5">#REF!</definedName>
    <definedName name="_Tdb1" localSheetId="10">#REF!</definedName>
    <definedName name="_Tdb1" localSheetId="3">#REF!</definedName>
    <definedName name="_Tdb1" localSheetId="7">#REF!</definedName>
    <definedName name="_Tdb1">#REF!</definedName>
    <definedName name="_Tdb2" localSheetId="9">#REF!</definedName>
    <definedName name="_Tdb2" localSheetId="5">#REF!</definedName>
    <definedName name="_Tdb2" localSheetId="10">#REF!</definedName>
    <definedName name="_Tdb2" localSheetId="3">#REF!</definedName>
    <definedName name="_Tdb2" localSheetId="7">#REF!</definedName>
    <definedName name="_Tdb2">#REF!</definedName>
    <definedName name="_Tdb3" localSheetId="9">[10]Mixing!$D$15</definedName>
    <definedName name="_Tdb3" localSheetId="5">[10]Mixing!$D$15</definedName>
    <definedName name="_Tdb3" localSheetId="10">[10]Mixing!$D$15</definedName>
    <definedName name="_Tdb3" localSheetId="3">[10]Mixing!$D$15</definedName>
    <definedName name="_Tdb3" localSheetId="7">[10]Mixing!$D$15</definedName>
    <definedName name="_Tdb3">[10]Mixing!$D$15</definedName>
    <definedName name="_Twb1" localSheetId="9">#REF!</definedName>
    <definedName name="_Twb1" localSheetId="5">#REF!</definedName>
    <definedName name="_Twb1" localSheetId="10">#REF!</definedName>
    <definedName name="_Twb1" localSheetId="3">#REF!</definedName>
    <definedName name="_Twb1" localSheetId="7">#REF!</definedName>
    <definedName name="_Twb1">#REF!</definedName>
    <definedName name="_Twb2" localSheetId="9">#REF!</definedName>
    <definedName name="_Twb2" localSheetId="5">#REF!</definedName>
    <definedName name="_Twb2" localSheetId="10">#REF!</definedName>
    <definedName name="_Twb2" localSheetId="3">#REF!</definedName>
    <definedName name="_Twb2" localSheetId="7">#REF!</definedName>
    <definedName name="_Twb2">#REF!</definedName>
    <definedName name="_Twb3" localSheetId="9">[10]Mixing!$D$18</definedName>
    <definedName name="_Twb3" localSheetId="5">[10]Mixing!$D$18</definedName>
    <definedName name="_Twb3" localSheetId="10">[10]Mixing!$D$18</definedName>
    <definedName name="_Twb3" localSheetId="3">[10]Mixing!$D$18</definedName>
    <definedName name="_Twb3" localSheetId="7">[10]Mixing!$D$18</definedName>
    <definedName name="_Twb3">[10]Mixing!$D$18</definedName>
    <definedName name="_wrn2" localSheetId="9" hidden="1">{"hostelec",#N/A,FALSE,"Billing";"nhelec",#N/A,FALSE,"Billing";"sitelec",#N/A,FALSE,"Billing";"Service",#N/A,FALSE,"Misc."}</definedName>
    <definedName name="_wrn2" localSheetId="5" hidden="1">{"hostelec",#N/A,FALSE,"Billing";"nhelec",#N/A,FALSE,"Billing";"sitelec",#N/A,FALSE,"Billing";"Service",#N/A,FALSE,"Misc."}</definedName>
    <definedName name="_wrn2" localSheetId="10" hidden="1">{"hostelec",#N/A,FALSE,"Billing";"nhelec",#N/A,FALSE,"Billing";"sitelec",#N/A,FALSE,"Billing";"Service",#N/A,FALSE,"Misc."}</definedName>
    <definedName name="_wrn2" localSheetId="3" hidden="1">{"hostelec",#N/A,FALSE,"Billing";"nhelec",#N/A,FALSE,"Billing";"sitelec",#N/A,FALSE,"Billing";"Service",#N/A,FALSE,"Misc."}</definedName>
    <definedName name="_wrn2" localSheetId="7" hidden="1">{"hostelec",#N/A,FALSE,"Billing";"nhelec",#N/A,FALSE,"Billing";"sitelec",#N/A,FALSE,"Billing";"Service",#N/A,FALSE,"Misc."}</definedName>
    <definedName name="_wrn2" hidden="1">{"hostelec",#N/A,FALSE,"Billing";"nhelec",#N/A,FALSE,"Billing";"sitelec",#N/A,FALSE,"Billing";"Service",#N/A,FALSE,"Misc."}</definedName>
    <definedName name="aa" localSheetId="9">#REF!</definedName>
    <definedName name="aa" localSheetId="5">#REF!</definedName>
    <definedName name="aa" localSheetId="10">#REF!</definedName>
    <definedName name="aa" localSheetId="3">#REF!</definedName>
    <definedName name="aa" localSheetId="7">#REF!</definedName>
    <definedName name="aa">#REF!</definedName>
    <definedName name="ACDC" localSheetId="9">'[11]Solar Resource &amp; System Load'!$C$88:$C$89</definedName>
    <definedName name="ACDC" localSheetId="5">'[11]Solar Resource &amp; System Load'!$C$88:$C$89</definedName>
    <definedName name="ACDC" localSheetId="10">'[11]Solar Resource &amp; System Load'!$C$88:$C$89</definedName>
    <definedName name="ACDC" localSheetId="3">'[11]Solar Resource &amp; System Load'!$C$88:$C$89</definedName>
    <definedName name="ACDC" localSheetId="7">'[11]Solar Resource &amp; System Load'!$C$88:$C$89</definedName>
    <definedName name="ACDC">'[12]Solar Resource &amp; System Load'!$C$88:$C$89</definedName>
    <definedName name="ACEnerDlvd" localSheetId="9">'[11]Solar Resource &amp; System Load'!$CS$24</definedName>
    <definedName name="ACEnerDlvd" localSheetId="5">'[11]Solar Resource &amp; System Load'!$CS$24</definedName>
    <definedName name="ACEnerDlvd" localSheetId="10">'[11]Solar Resource &amp; System Load'!$CS$24</definedName>
    <definedName name="ACEnerDlvd" localSheetId="3">'[11]Solar Resource &amp; System Load'!$CS$24</definedName>
    <definedName name="ACEnerDlvd" localSheetId="7">'[11]Solar Resource &amp; System Load'!$CS$24</definedName>
    <definedName name="ACEnerDlvd">'[12]Solar Resource &amp; System Load'!$CS$24</definedName>
    <definedName name="ACEnerDmd" localSheetId="9">'[11]Solar Resource &amp; System Load'!$H$52</definedName>
    <definedName name="ACEnerDmd" localSheetId="5">'[11]Solar Resource &amp; System Load'!$H$52</definedName>
    <definedName name="ACEnerDmd" localSheetId="10">'[11]Solar Resource &amp; System Load'!$H$52</definedName>
    <definedName name="ACEnerDmd" localSheetId="3">'[11]Solar Resource &amp; System Load'!$H$52</definedName>
    <definedName name="ACEnerDmd" localSheetId="7">'[11]Solar Resource &amp; System Load'!$H$52</definedName>
    <definedName name="ACEnerDmd">'[12]Solar Resource &amp; System Load'!$H$52</definedName>
    <definedName name="ACPeakLoad" localSheetId="9">'[11]Solar Resource &amp; System Load'!$I$53</definedName>
    <definedName name="ACPeakLoad" localSheetId="5">'[11]Solar Resource &amp; System Load'!$I$53</definedName>
    <definedName name="ACPeakLoad" localSheetId="10">'[11]Solar Resource &amp; System Load'!$I$53</definedName>
    <definedName name="ACPeakLoad" localSheetId="3">'[11]Solar Resource &amp; System Load'!$I$53</definedName>
    <definedName name="ACPeakLoad" localSheetId="7">'[11]Solar Resource &amp; System Load'!$I$53</definedName>
    <definedName name="ACPeakLoad">'[12]Solar Resource &amp; System Load'!$I$53</definedName>
    <definedName name="add" localSheetId="9">#REF!</definedName>
    <definedName name="add" localSheetId="5">#REF!</definedName>
    <definedName name="add" localSheetId="10">#REF!</definedName>
    <definedName name="add" localSheetId="3">#REF!</definedName>
    <definedName name="add" localSheetId="7">#REF!</definedName>
    <definedName name="add">#REF!</definedName>
    <definedName name="adj" localSheetId="9" hidden="1">#REF!</definedName>
    <definedName name="adj" localSheetId="5" hidden="1">#REF!</definedName>
    <definedName name="adj" localSheetId="10" hidden="1">#REF!</definedName>
    <definedName name="adj" localSheetId="3" hidden="1">#REF!</definedName>
    <definedName name="adj" localSheetId="7" hidden="1">#REF!</definedName>
    <definedName name="adj" hidden="1">#REF!</definedName>
    <definedName name="AFC" localSheetId="9">#REF!</definedName>
    <definedName name="AFC" localSheetId="5">#REF!</definedName>
    <definedName name="AFC" localSheetId="10">#REF!</definedName>
    <definedName name="AFC" localSheetId="3">#REF!</definedName>
    <definedName name="AFC" localSheetId="7">#REF!</definedName>
    <definedName name="AFC">#REF!</definedName>
    <definedName name="AFix" localSheetId="9">#REF!</definedName>
    <definedName name="AFix" localSheetId="5">#REF!</definedName>
    <definedName name="AFix" localSheetId="10">#REF!</definedName>
    <definedName name="AFix" localSheetId="3">#REF!</definedName>
    <definedName name="AFix" localSheetId="7">#REF!</definedName>
    <definedName name="AFix">#REF!</definedName>
    <definedName name="AnnAvgTemp" localSheetId="9">'[11]Solar Resource &amp; System Load'!$H$28</definedName>
    <definedName name="AnnAvgTemp" localSheetId="5">'[11]Solar Resource &amp; System Load'!$H$28</definedName>
    <definedName name="AnnAvgTemp" localSheetId="10">'[11]Solar Resource &amp; System Load'!$H$28</definedName>
    <definedName name="AnnAvgTemp" localSheetId="3">'[11]Solar Resource &amp; System Load'!$H$28</definedName>
    <definedName name="AnnAvgTemp" localSheetId="7">'[11]Solar Resource &amp; System Load'!$H$28</definedName>
    <definedName name="AnnAvgTemp">'[12]Solar Resource &amp; System Load'!$H$28</definedName>
    <definedName name="AnnSolRadTilt" localSheetId="9">'[11]Solar Resource &amp; System Load'!$H$27</definedName>
    <definedName name="AnnSolRadTilt" localSheetId="5">'[11]Solar Resource &amp; System Load'!$H$27</definedName>
    <definedName name="AnnSolRadTilt" localSheetId="10">'[11]Solar Resource &amp; System Load'!$H$27</definedName>
    <definedName name="AnnSolRadTilt" localSheetId="3">'[11]Solar Resource &amp; System Load'!$H$27</definedName>
    <definedName name="AnnSolRadTilt" localSheetId="7">'[11]Solar Resource &amp; System Load'!$H$27</definedName>
    <definedName name="AnnSolRadTilt">'[12]Solar Resource &amp; System Load'!$H$27</definedName>
    <definedName name="AnnualMaintSav" localSheetId="9">#REF!</definedName>
    <definedName name="AnnualMaintSav" localSheetId="5">#REF!</definedName>
    <definedName name="AnnualMaintSav" localSheetId="10">#REF!</definedName>
    <definedName name="AnnualMaintSav" localSheetId="3">#REF!</definedName>
    <definedName name="AnnualMaintSav" localSheetId="7">#REF!</definedName>
    <definedName name="AnnualMaintSav">#REF!</definedName>
    <definedName name="aot" localSheetId="9">'[1]Elementary School'!#REF!</definedName>
    <definedName name="aot" localSheetId="5">'[1]Elementary School'!#REF!</definedName>
    <definedName name="aot" localSheetId="10">'[1]Elementary School'!#REF!</definedName>
    <definedName name="aot" localSheetId="3">'[1]Elementary School'!#REF!</definedName>
    <definedName name="aot" localSheetId="7">'[1]Elementary School'!#REF!</definedName>
    <definedName name="aot">'[1]Elementary School'!#REF!</definedName>
    <definedName name="APHg" localSheetId="9">'[10]Htg Coil'!$B$12</definedName>
    <definedName name="APHg" localSheetId="5">'[10]Htg Coil'!$B$12</definedName>
    <definedName name="APHg" localSheetId="10">'[10]Htg Coil'!$B$12</definedName>
    <definedName name="APHg" localSheetId="3">'[10]Htg Coil'!$B$12</definedName>
    <definedName name="APHg" localSheetId="7">'[10]Htg Coil'!$B$12</definedName>
    <definedName name="APHg">'[10]Htg Coil'!$B$12</definedName>
    <definedName name="APinHg" localSheetId="9">#REF!</definedName>
    <definedName name="APinHg" localSheetId="5">#REF!</definedName>
    <definedName name="APinHg" localSheetId="10">#REF!</definedName>
    <definedName name="APinHg" localSheetId="3">#REF!</definedName>
    <definedName name="APinHg" localSheetId="7">#REF!</definedName>
    <definedName name="APinHg">#REF!</definedName>
    <definedName name="APinHgIn" localSheetId="9">'[10]Clg-Coil'!$B$12</definedName>
    <definedName name="APinHgIn" localSheetId="5">'[10]Clg-Coil'!$B$12</definedName>
    <definedName name="APinHgIn" localSheetId="10">'[10]Clg-Coil'!$B$12</definedName>
    <definedName name="APinHgIn" localSheetId="3">'[10]Clg-Coil'!$B$12</definedName>
    <definedName name="APinHgIn" localSheetId="7">'[10]Clg-Coil'!$B$12</definedName>
    <definedName name="APinHgIn">'[10]Clg-Coil'!$B$12</definedName>
    <definedName name="ApplType" localSheetId="9">'[11]Solar Resource &amp; System Load'!$C$92:$C$94</definedName>
    <definedName name="ApplType" localSheetId="5">'[11]Solar Resource &amp; System Load'!$C$92:$C$94</definedName>
    <definedName name="ApplType" localSheetId="10">'[11]Solar Resource &amp; System Load'!$C$92:$C$94</definedName>
    <definedName name="ApplType" localSheetId="3">'[11]Solar Resource &amp; System Load'!$C$92:$C$94</definedName>
    <definedName name="ApplType" localSheetId="7">'[11]Solar Resource &amp; System Load'!$C$92:$C$94</definedName>
    <definedName name="ApplType">'[12]Solar Resource &amp; System Load'!$C$92:$C$94</definedName>
    <definedName name="ApplTypeIndex" localSheetId="9">'[11]Solar Resource &amp; System Load'!$N$31</definedName>
    <definedName name="ApplTypeIndex" localSheetId="5">'[11]Solar Resource &amp; System Load'!$N$31</definedName>
    <definedName name="ApplTypeIndex" localSheetId="10">'[11]Solar Resource &amp; System Load'!$N$31</definedName>
    <definedName name="ApplTypeIndex" localSheetId="3">'[11]Solar Resource &amp; System Load'!$N$31</definedName>
    <definedName name="ApplTypeIndex" localSheetId="7">'[11]Solar Resource &amp; System Load'!$N$31</definedName>
    <definedName name="ApplTypeIndex">'[12]Solar Resource &amp; System Load'!$N$31</definedName>
    <definedName name="APpsia" localSheetId="9">'[10]Htg Coil'!$B$11</definedName>
    <definedName name="APpsia" localSheetId="5">'[10]Htg Coil'!$B$11</definedName>
    <definedName name="APpsia" localSheetId="10">'[10]Htg Coil'!$B$11</definedName>
    <definedName name="APpsia" localSheetId="3">'[10]Htg Coil'!$B$11</definedName>
    <definedName name="APpsia" localSheetId="7">'[10]Htg Coil'!$B$11</definedName>
    <definedName name="APpsia">'[10]Htg Coil'!$B$11</definedName>
    <definedName name="APR">#REF!</definedName>
    <definedName name="ARMORY" localSheetId="9">#REF!</definedName>
    <definedName name="ARMORY" localSheetId="5">#REF!</definedName>
    <definedName name="ARMORY" localSheetId="10">#REF!</definedName>
    <definedName name="ARMORY" localSheetId="3">#REF!</definedName>
    <definedName name="ARMORY" localSheetId="7">#REF!</definedName>
    <definedName name="ARMORY">#REF!</definedName>
    <definedName name="asdfasf" hidden="1">{"hostelec",#N/A,FALSE,"Billing";"nhelec",#N/A,FALSE,"Billing";"sitelec",#N/A,FALSE,"Billing";"Service",#N/A,FALSE,"Misc."}</definedName>
    <definedName name="AtmPress" localSheetId="9">#REF!</definedName>
    <definedName name="AtmPress" localSheetId="5">#REF!</definedName>
    <definedName name="AtmPress" localSheetId="10">#REF!</definedName>
    <definedName name="AtmPress" localSheetId="3">#REF!</definedName>
    <definedName name="AtmPress" localSheetId="7">#REF!</definedName>
    <definedName name="AtmPress">#REF!</definedName>
    <definedName name="AtmPressIn" localSheetId="9">'[10]Clg-Coil'!$B$11</definedName>
    <definedName name="AtmPressIn" localSheetId="5">'[10]Clg-Coil'!$B$11</definedName>
    <definedName name="AtmPressIn" localSheetId="10">'[10]Clg-Coil'!$B$11</definedName>
    <definedName name="AtmPressIn" localSheetId="3">'[10]Clg-Coil'!$B$11</definedName>
    <definedName name="AtmPressIn" localSheetId="7">'[10]Clg-Coil'!$B$11</definedName>
    <definedName name="AtmPressIn">'[10]Clg-Coil'!$B$11</definedName>
    <definedName name="AUG">#REF!</definedName>
    <definedName name="AVEDBT">[13]JC_CALC.XLS!$P$10</definedName>
    <definedName name="AVFD" localSheetId="9">#REF!</definedName>
    <definedName name="AVFD" localSheetId="5">#REF!</definedName>
    <definedName name="AVFD" localSheetId="10">#REF!</definedName>
    <definedName name="AVFD" localSheetId="3">#REF!</definedName>
    <definedName name="AVFD" localSheetId="7">#REF!</definedName>
    <definedName name="AVFD">#REF!</definedName>
    <definedName name="AvgBatTempDerating" localSheetId="9">'[11]Solar Resource &amp; System Load'!$BR$24</definedName>
    <definedName name="AvgBatTempDerating" localSheetId="5">'[11]Solar Resource &amp; System Load'!$BR$24</definedName>
    <definedName name="AvgBatTempDerating" localSheetId="10">'[11]Solar Resource &amp; System Load'!$BR$24</definedName>
    <definedName name="AvgBatTempDerating" localSheetId="3">'[11]Solar Resource &amp; System Load'!$BR$24</definedName>
    <definedName name="AvgBatTempDerating" localSheetId="7">'[11]Solar Resource &amp; System Load'!$BR$24</definedName>
    <definedName name="AvgBatTempDerating">'[12]Solar Resource &amp; System Load'!$BR$24</definedName>
    <definedName name="BalCntAfter" localSheetId="9">#REF!</definedName>
    <definedName name="BalCntAfter" localSheetId="5">#REF!</definedName>
    <definedName name="BalCntAfter" localSheetId="10">#REF!</definedName>
    <definedName name="BalCntAfter" localSheetId="3">#REF!</definedName>
    <definedName name="BalCntAfter" localSheetId="7">#REF!</definedName>
    <definedName name="BalCntAfter">#REF!</definedName>
    <definedName name="BalCntBefore" localSheetId="9">#REF!</definedName>
    <definedName name="BalCntBefore" localSheetId="5">#REF!</definedName>
    <definedName name="BalCntBefore" localSheetId="10">#REF!</definedName>
    <definedName name="BalCntBefore" localSheetId="3">#REF!</definedName>
    <definedName name="BalCntBefore" localSheetId="7">#REF!</definedName>
    <definedName name="BalCntBefore">#REF!</definedName>
    <definedName name="BalCostAfter" localSheetId="9">#REF!</definedName>
    <definedName name="BalCostAfter" localSheetId="5">#REF!</definedName>
    <definedName name="BalCostAfter" localSheetId="10">#REF!</definedName>
    <definedName name="BalCostAfter" localSheetId="3">#REF!</definedName>
    <definedName name="BalCostAfter" localSheetId="7">#REF!</definedName>
    <definedName name="BalCostAfter">#REF!</definedName>
    <definedName name="BalCostBefore" localSheetId="9">#REF!</definedName>
    <definedName name="BalCostBefore" localSheetId="5">#REF!</definedName>
    <definedName name="BalCostBefore" localSheetId="10">#REF!</definedName>
    <definedName name="BalCostBefore" localSheetId="3">#REF!</definedName>
    <definedName name="BalCostBefore" localSheetId="7">#REF!</definedName>
    <definedName name="BalCostBefore">#REF!</definedName>
    <definedName name="BalExistingCost" localSheetId="9">#REF!</definedName>
    <definedName name="BalExistingCost" localSheetId="5">#REF!</definedName>
    <definedName name="BalExistingCost" localSheetId="10">#REF!</definedName>
    <definedName name="BalExistingCost" localSheetId="3">#REF!</definedName>
    <definedName name="BalExistingCost" localSheetId="7">#REF!</definedName>
    <definedName name="BalExistingCost">#REF!</definedName>
    <definedName name="BallastCntBefore" localSheetId="9">#REF!</definedName>
    <definedName name="BallastCntBefore" localSheetId="5">#REF!</definedName>
    <definedName name="BallastCntBefore" localSheetId="10">#REF!</definedName>
    <definedName name="BallastCntBefore" localSheetId="3">#REF!</definedName>
    <definedName name="BallastCntBefore" localSheetId="7">#REF!</definedName>
    <definedName name="BallastCntBefore">#REF!</definedName>
    <definedName name="BallastCostAfterRetrofit" localSheetId="9">#REF!</definedName>
    <definedName name="BallastCostAfterRetrofit" localSheetId="5">#REF!</definedName>
    <definedName name="BallastCostAfterRetrofit" localSheetId="10">#REF!</definedName>
    <definedName name="BallastCostAfterRetrofit" localSheetId="3">#REF!</definedName>
    <definedName name="BallastCostAfterRetrofit" localSheetId="7">#REF!</definedName>
    <definedName name="BallastCostAfterRetrofit">#REF!</definedName>
    <definedName name="BASE" localSheetId="9">'[14]17-Pool Heater'!#REF!</definedName>
    <definedName name="BASE" localSheetId="5">'[14]17-Pool Heater'!#REF!</definedName>
    <definedName name="BASE" localSheetId="10">'[14]17-Pool Heater'!#REF!</definedName>
    <definedName name="BASE" localSheetId="3">'[14]17-Pool Heater'!#REF!</definedName>
    <definedName name="BASE" localSheetId="7">'[14]17-Pool Heater'!#REF!</definedName>
    <definedName name="BASE">'[15]17-Pool Heater'!#REF!</definedName>
    <definedName name="BHP" localSheetId="9">'[10]Clg-Coil'!$I$6</definedName>
    <definedName name="BHP" localSheetId="5">'[10]Clg-Coil'!$I$6</definedName>
    <definedName name="BHP" localSheetId="10">'[10]Clg-Coil'!$I$6</definedName>
    <definedName name="BHP" localSheetId="3">'[10]Clg-Coil'!$I$6</definedName>
    <definedName name="BHP" localSheetId="7">'[10]Clg-Coil'!$I$6</definedName>
    <definedName name="BHP">'[10]Clg-Coil'!$I$6</definedName>
    <definedName name="BICENTENNIAL" localSheetId="9">'[16]Chill Ops Costs FY05'!#REF!</definedName>
    <definedName name="BICENTENNIAL" localSheetId="5">'[16]Chill Ops Costs FY05'!#REF!</definedName>
    <definedName name="BICENTENNIAL" localSheetId="10">'[16]Chill Ops Costs FY05'!#REF!</definedName>
    <definedName name="BICENTENNIAL" localSheetId="3">'[16]Chill Ops Costs FY05'!#REF!</definedName>
    <definedName name="BICENTENNIAL" localSheetId="7">'[16]Chill Ops Costs FY05'!#REF!</definedName>
    <definedName name="BICENTENNIAL">'[16]Chill Ops Costs FY05'!#REF!</definedName>
    <definedName name="BLDGSQFT" localSheetId="9">'[17]HW Reset'!#REF!</definedName>
    <definedName name="BLDGSQFT" localSheetId="5">'[17]HW Reset'!#REF!</definedName>
    <definedName name="BLDGSQFT" localSheetId="10">'[17]HW Reset'!#REF!</definedName>
    <definedName name="BLDGSQFT" localSheetId="3">'[17]HW Reset'!#REF!</definedName>
    <definedName name="BLDGSQFT" localSheetId="7">'[17]HW Reset'!#REF!</definedName>
    <definedName name="BLDGSQFT">'[17]HW Reset'!#REF!</definedName>
    <definedName name="BlrNite" localSheetId="9">[18]JC_CALC.XLS!#REF!</definedName>
    <definedName name="BlrNite" localSheetId="5">[18]JC_CALC.XLS!#REF!</definedName>
    <definedName name="BlrNite" localSheetId="10">[18]JC_CALC.XLS!#REF!</definedName>
    <definedName name="BlrNite" localSheetId="3">[18]JC_CALC.XLS!#REF!</definedName>
    <definedName name="BlrNite" localSheetId="7">[18]JC_CALC.XLS!#REF!</definedName>
    <definedName name="BlrNite">[18]JC_CALC.XLS!#REF!</definedName>
    <definedName name="BODY" localSheetId="9">#REF!</definedName>
    <definedName name="BODY" localSheetId="5">#REF!</definedName>
    <definedName name="BODY" localSheetId="10">#REF!</definedName>
    <definedName name="BODY" localSheetId="3">#REF!</definedName>
    <definedName name="BODY" localSheetId="7">#REF!</definedName>
    <definedName name="BODY">#REF!</definedName>
    <definedName name="BODY_WINDOW" localSheetId="9">#REF!</definedName>
    <definedName name="BODY_WINDOW" localSheetId="5">#REF!</definedName>
    <definedName name="BODY_WINDOW" localSheetId="10">#REF!</definedName>
    <definedName name="BODY_WINDOW" localSheetId="3">#REF!</definedName>
    <definedName name="BODY_WINDOW" localSheetId="7">#REF!</definedName>
    <definedName name="BODY_WINDOW">#REF!</definedName>
    <definedName name="BODY1" localSheetId="9">#REF!</definedName>
    <definedName name="BODY1" localSheetId="5">#REF!</definedName>
    <definedName name="BODY1" localSheetId="10">#REF!</definedName>
    <definedName name="BODY1" localSheetId="3">#REF!</definedName>
    <definedName name="BODY1" localSheetId="7">#REF!</definedName>
    <definedName name="BODY1">#REF!</definedName>
    <definedName name="BOE" localSheetId="9">'[16]Chill Ops Costs FY05'!#REF!</definedName>
    <definedName name="BOE" localSheetId="5">'[16]Chill Ops Costs FY05'!#REF!</definedName>
    <definedName name="BOE" localSheetId="10">'[16]Chill Ops Costs FY05'!#REF!</definedName>
    <definedName name="BOE" localSheetId="3">'[16]Chill Ops Costs FY05'!#REF!</definedName>
    <definedName name="BOE" localSheetId="7">'[16]Chill Ops Costs FY05'!#REF!</definedName>
    <definedName name="BOE">'[16]Chill Ops Costs FY05'!#REF!</definedName>
    <definedName name="Boiler_GMF" localSheetId="9">#REF!</definedName>
    <definedName name="Boiler_GMF" localSheetId="5">#REF!</definedName>
    <definedName name="Boiler_GMF" localSheetId="10">#REF!</definedName>
    <definedName name="Boiler_GMF" localSheetId="3">#REF!</definedName>
    <definedName name="Boiler_GMF" localSheetId="7">#REF!</definedName>
    <definedName name="Boiler_GMF">#REF!</definedName>
    <definedName name="Boiler_Replacement" localSheetId="9">#REF!</definedName>
    <definedName name="Boiler_Replacement" localSheetId="5">#REF!</definedName>
    <definedName name="Boiler_Replacement" localSheetId="10">#REF!</definedName>
    <definedName name="Boiler_Replacement" localSheetId="3">#REF!</definedName>
    <definedName name="Boiler_Replacement" localSheetId="7">#REF!</definedName>
    <definedName name="Boiler_Replacement">#REF!</definedName>
    <definedName name="Boiler_VMF" localSheetId="9">#REF!</definedName>
    <definedName name="Boiler_VMF" localSheetId="5">#REF!</definedName>
    <definedName name="Boiler_VMF" localSheetId="10">#REF!</definedName>
    <definedName name="Boiler_VMF" localSheetId="3">#REF!</definedName>
    <definedName name="Boiler_VMF" localSheetId="7">#REF!</definedName>
    <definedName name="Boiler_VMF">#REF!</definedName>
    <definedName name="BPFactor" localSheetId="9">'[10]Clg Coil-BP'!$B$6</definedName>
    <definedName name="BPFactor" localSheetId="5">'[10]Clg Coil-BP'!$B$6</definedName>
    <definedName name="BPFactor" localSheetId="10">'[10]Clg Coil-BP'!$B$6</definedName>
    <definedName name="BPFactor" localSheetId="3">'[10]Clg Coil-BP'!$B$6</definedName>
    <definedName name="BPFactor" localSheetId="7">'[10]Clg Coil-BP'!$B$6</definedName>
    <definedName name="BPFactor">'[10]Clg Coil-BP'!$B$6</definedName>
    <definedName name="BuildingName" localSheetId="9">[19]Summary!$B$9</definedName>
    <definedName name="BuildingName" localSheetId="5">[19]Summary!$B$9</definedName>
    <definedName name="BuildingName" localSheetId="10">[19]Summary!$B$9</definedName>
    <definedName name="BuildingName" localSheetId="3">[19]Summary!$B$9</definedName>
    <definedName name="BuildingName" localSheetId="7">[19]Summary!$B$9</definedName>
    <definedName name="BuildingName">[19]Summary!$B$9</definedName>
    <definedName name="CANNON" localSheetId="9">'[16]Chill Ops Costs FY05'!#REF!</definedName>
    <definedName name="CANNON" localSheetId="5">'[16]Chill Ops Costs FY05'!#REF!</definedName>
    <definedName name="CANNON" localSheetId="10">'[16]Chill Ops Costs FY05'!#REF!</definedName>
    <definedName name="CANNON" localSheetId="3">'[16]Chill Ops Costs FY05'!#REF!</definedName>
    <definedName name="CANNON" localSheetId="7">'[16]Chill Ops Costs FY05'!#REF!</definedName>
    <definedName name="CANNON">'[16]Chill Ops Costs FY05'!#REF!</definedName>
    <definedName name="CBTU" localSheetId="9">#REF!</definedName>
    <definedName name="CBTU" localSheetId="5">#REF!</definedName>
    <definedName name="CBTU" localSheetId="10">#REF!</definedName>
    <definedName name="CBTU" localSheetId="3">#REF!</definedName>
    <definedName name="CBTU" localSheetId="7">#REF!</definedName>
    <definedName name="CBTU">#REF!</definedName>
    <definedName name="CDS" localSheetId="9">#REF!</definedName>
    <definedName name="CDS" localSheetId="5">#REF!</definedName>
    <definedName name="CDS" localSheetId="10">#REF!</definedName>
    <definedName name="CDS" localSheetId="3">#REF!</definedName>
    <definedName name="CDS" localSheetId="7">#REF!</definedName>
    <definedName name="CDS">#REF!</definedName>
    <definedName name="CEC" localSheetId="9">#REF!</definedName>
    <definedName name="CEC" localSheetId="5">#REF!</definedName>
    <definedName name="CEC" localSheetId="10">#REF!</definedName>
    <definedName name="CEC" localSheetId="3">#REF!</definedName>
    <definedName name="CEC" localSheetId="7">#REF!</definedName>
    <definedName name="CEC">#REF!</definedName>
    <definedName name="CFM" localSheetId="9">'[17]HW Reset'!#REF!</definedName>
    <definedName name="CFM" localSheetId="5">'[17]HW Reset'!#REF!</definedName>
    <definedName name="CFM" localSheetId="10">'[17]HW Reset'!#REF!</definedName>
    <definedName name="CFM" localSheetId="3">'[17]HW Reset'!#REF!</definedName>
    <definedName name="CFM" localSheetId="7">'[17]HW Reset'!#REF!</definedName>
    <definedName name="CFM">'[17]HW Reset'!#REF!</definedName>
    <definedName name="CG" localSheetId="9">[18]JC_CALC.XLS!#REF!</definedName>
    <definedName name="CG" localSheetId="5">[18]JC_CALC.XLS!#REF!</definedName>
    <definedName name="CG" localSheetId="10">[18]JC_CALC.XLS!#REF!</definedName>
    <definedName name="CG" localSheetId="3">[18]JC_CALC.XLS!#REF!</definedName>
    <definedName name="CG" localSheetId="7">[18]JC_CALC.XLS!#REF!</definedName>
    <definedName name="CG">[18]JC_CALC.XLS!#REF!</definedName>
    <definedName name="ChillerReset" localSheetId="9">'[20]###DHW###'!#REF!</definedName>
    <definedName name="ChillerReset" localSheetId="5">'[20]###DHW###'!#REF!</definedName>
    <definedName name="ChillerReset" localSheetId="10">'[20]###DHW###'!#REF!</definedName>
    <definedName name="ChillerReset" localSheetId="3">'[20]###DHW###'!#REF!</definedName>
    <definedName name="ChillerReset" localSheetId="7">'[20]###DHW###'!#REF!</definedName>
    <definedName name="ChillerReset">'[20]###DHW###'!#REF!</definedName>
    <definedName name="CHPY">[13]JC_CALC.XLS!$P$9</definedName>
    <definedName name="CHRS" localSheetId="9">#REF!</definedName>
    <definedName name="CHRS" localSheetId="5">#REF!</definedName>
    <definedName name="CHRS" localSheetId="10">#REF!</definedName>
    <definedName name="CHRS" localSheetId="3">#REF!</definedName>
    <definedName name="CHRS" localSheetId="7">#REF!</definedName>
    <definedName name="CHRS">#REF!</definedName>
    <definedName name="CHWPEFF">[21]JC_CALC.XLS!$A$72</definedName>
    <definedName name="CityName" localSheetId="9">#REF!</definedName>
    <definedName name="CityName" localSheetId="5">#REF!</definedName>
    <definedName name="CityName" localSheetId="10">#REF!</definedName>
    <definedName name="CityName" localSheetId="3">#REF!</definedName>
    <definedName name="CityName" localSheetId="7">#REF!</definedName>
    <definedName name="CityName">#REF!</definedName>
    <definedName name="CLGDEMRT" localSheetId="9">#REF!</definedName>
    <definedName name="CLGDEMRT" localSheetId="5">#REF!</definedName>
    <definedName name="CLGDEMRT" localSheetId="10">#REF!</definedName>
    <definedName name="CLGDEMRT" localSheetId="3">#REF!</definedName>
    <definedName name="CLGDEMRT" localSheetId="7">#REF!</definedName>
    <definedName name="CLGDEMRT">#REF!</definedName>
    <definedName name="CLGMONTHS">[13]JC_CALC.XLS!$A$87</definedName>
    <definedName name="CLSP">[13]JC_CALC.XLS!$A$94</definedName>
    <definedName name="Cock" localSheetId="9" hidden="1">'[22]FIM 12'!#REF!</definedName>
    <definedName name="Cock" localSheetId="5" hidden="1">'[22]FIM 12'!#REF!</definedName>
    <definedName name="Cock" localSheetId="10" hidden="1">'[22]FIM 12'!#REF!</definedName>
    <definedName name="Cock" localSheetId="3" hidden="1">'[22]FIM 12'!#REF!</definedName>
    <definedName name="Cock" localSheetId="7" hidden="1">'[22]FIM 12'!#REF!</definedName>
    <definedName name="Cock" hidden="1">'[22]FIM 12'!#REF!</definedName>
    <definedName name="CODE">[23]CostTable!$A$12:$D$163</definedName>
    <definedName name="CODE_WATTAGE">[23]CostTable!$C$12:$D$198</definedName>
    <definedName name="ColorChange" localSheetId="9">#REF!</definedName>
    <definedName name="ColorChange" localSheetId="5">#REF!</definedName>
    <definedName name="ColorChange" localSheetId="10">#REF!</definedName>
    <definedName name="ColorChange" localSheetId="3">#REF!</definedName>
    <definedName name="ColorChange" localSheetId="7">#REF!</definedName>
    <definedName name="ColorChange">#REF!</definedName>
    <definedName name="COMP_CTR" localSheetId="9">'[16]Chill Ops Costs FY05'!#REF!</definedName>
    <definedName name="COMP_CTR" localSheetId="5">'[16]Chill Ops Costs FY05'!#REF!</definedName>
    <definedName name="COMP_CTR" localSheetId="10">'[16]Chill Ops Costs FY05'!#REF!</definedName>
    <definedName name="COMP_CTR" localSheetId="3">'[16]Chill Ops Costs FY05'!#REF!</definedName>
    <definedName name="COMP_CTR" localSheetId="7">'[16]Chill Ops Costs FY05'!#REF!</definedName>
    <definedName name="COMP_CTR">'[16]Chill Ops Costs FY05'!#REF!</definedName>
    <definedName name="cond" localSheetId="9">#REF!</definedName>
    <definedName name="cond" localSheetId="5">#REF!</definedName>
    <definedName name="cond" localSheetId="10">#REF!</definedName>
    <definedName name="cond" localSheetId="3">#REF!</definedName>
    <definedName name="cond" localSheetId="7">#REF!</definedName>
    <definedName name="cond">#REF!</definedName>
    <definedName name="COOLCOST">[13]JC_CALC.XLS!$A$90</definedName>
    <definedName name="CoolEff" localSheetId="9">[19]Summary!$N$49</definedName>
    <definedName name="CoolEff" localSheetId="5">[19]Summary!$N$49</definedName>
    <definedName name="CoolEff" localSheetId="10">[19]Summary!$N$49</definedName>
    <definedName name="CoolEff" localSheetId="3">[19]Summary!$N$49</definedName>
    <definedName name="CoolEff" localSheetId="7">[19]Summary!$N$49</definedName>
    <definedName name="CoolEff">[19]Summary!$N$49</definedName>
    <definedName name="COP" localSheetId="9">#REF!</definedName>
    <definedName name="COP" localSheetId="5">#REF!</definedName>
    <definedName name="COP" localSheetId="10">#REF!</definedName>
    <definedName name="COP" localSheetId="3">#REF!</definedName>
    <definedName name="COP" localSheetId="7">#REF!</definedName>
    <definedName name="COP">#REF!</definedName>
    <definedName name="COST_TABLE" localSheetId="9">#REF!</definedName>
    <definedName name="COST_TABLE" localSheetId="5">#REF!</definedName>
    <definedName name="COST_TABLE" localSheetId="10">#REF!</definedName>
    <definedName name="COST_TABLE" localSheetId="3">#REF!</definedName>
    <definedName name="COST_TABLE" localSheetId="7">#REF!</definedName>
    <definedName name="COST_TABLE">#REF!</definedName>
    <definedName name="COST2">[23]CostTable!$F$12:$P$168</definedName>
    <definedName name="COST3">[23]CostTable!$F$12:$U$166</definedName>
    <definedName name="CostCells" localSheetId="9">'[11]Cost Analysis'!$F$7:$G$12,'[11]Cost Analysis'!$G$13,'[11]Cost Analysis'!$F$15:$G$19,'[11]Cost Analysis'!$G$20,'[11]Cost Analysis'!$F$22:$G$28,'[11]Cost Analysis'!$G$29,'[11]Cost Analysis'!$F$31:$G$34,'[11]Cost Analysis'!$G$35,'[11]Cost Analysis'!$F$37:$G$47,'[11]Cost Analysis'!$G$48,'[11]Cost Analysis'!$F$50:$G$51,'[11]Cost Analysis'!$G$52:$G$53,'[11]Cost Analysis'!$F$57:$G$61,'[11]Cost Analysis'!$G$62,'[11]Cost Analysis'!$F$64:$G$65,'[11]Cost Analysis'!$G$66:$G$67,'[11]Cost Analysis'!$F$70:$G$73</definedName>
    <definedName name="CostCells" localSheetId="5">'[11]Cost Analysis'!$F$7:$G$12,'[11]Cost Analysis'!$G$13,'[11]Cost Analysis'!$F$15:$G$19,'[11]Cost Analysis'!$G$20,'[11]Cost Analysis'!$F$22:$G$28,'[11]Cost Analysis'!$G$29,'[11]Cost Analysis'!$F$31:$G$34,'[11]Cost Analysis'!$G$35,'[11]Cost Analysis'!$F$37:$G$47,'[11]Cost Analysis'!$G$48,'[11]Cost Analysis'!$F$50:$G$51,'[11]Cost Analysis'!$G$52:$G$53,'[11]Cost Analysis'!$F$57:$G$61,'[11]Cost Analysis'!$G$62,'[11]Cost Analysis'!$F$64:$G$65,'[11]Cost Analysis'!$G$66:$G$67,'[11]Cost Analysis'!$F$70:$G$73</definedName>
    <definedName name="CostCells" localSheetId="10">'[11]Cost Analysis'!$F$7:$G$12,'[11]Cost Analysis'!$G$13,'[11]Cost Analysis'!$F$15:$G$19,'[11]Cost Analysis'!$G$20,'[11]Cost Analysis'!$F$22:$G$28,'[11]Cost Analysis'!$G$29,'[11]Cost Analysis'!$F$31:$G$34,'[11]Cost Analysis'!$G$35,'[11]Cost Analysis'!$F$37:$G$47,'[11]Cost Analysis'!$G$48,'[11]Cost Analysis'!$F$50:$G$51,'[11]Cost Analysis'!$G$52:$G$53,'[11]Cost Analysis'!$F$57:$G$61,'[11]Cost Analysis'!$G$62,'[11]Cost Analysis'!$F$64:$G$65,'[11]Cost Analysis'!$G$66:$G$67,'[11]Cost Analysis'!$F$70:$G$73</definedName>
    <definedName name="CostCells" localSheetId="3">'[11]Cost Analysis'!$F$7:$G$12,'[11]Cost Analysis'!$G$13,'[11]Cost Analysis'!$F$15:$G$19,'[11]Cost Analysis'!$G$20,'[11]Cost Analysis'!$F$22:$G$28,'[11]Cost Analysis'!$G$29,'[11]Cost Analysis'!$F$31:$G$34,'[11]Cost Analysis'!$G$35,'[11]Cost Analysis'!$F$37:$G$47,'[11]Cost Analysis'!$G$48,'[11]Cost Analysis'!$F$50:$G$51,'[11]Cost Analysis'!$G$52:$G$53,'[11]Cost Analysis'!$F$57:$G$61,'[11]Cost Analysis'!$G$62,'[11]Cost Analysis'!$F$64:$G$65,'[11]Cost Analysis'!$G$66:$G$67,'[11]Cost Analysis'!$F$70:$G$73</definedName>
    <definedName name="CostCells" localSheetId="7">'[11]Cost Analysis'!$F$7:$G$12,'[11]Cost Analysis'!$G$13,'[11]Cost Analysis'!$F$15:$G$19,'[11]Cost Analysis'!$G$20,'[11]Cost Analysis'!$F$22:$G$28,'[11]Cost Analysis'!$G$29,'[11]Cost Analysis'!$F$31:$G$34,'[11]Cost Analysis'!$G$35,'[11]Cost Analysis'!$F$37:$G$47,'[11]Cost Analysis'!$G$48,'[11]Cost Analysis'!$F$50:$G$51,'[11]Cost Analysis'!$G$52:$G$53,'[11]Cost Analysis'!$F$57:$G$61,'[11]Cost Analysis'!$G$62,'[11]Cost Analysis'!$F$64:$G$65,'[11]Cost Analysis'!$G$66:$G$67,'[11]Cost Analysis'!$F$70:$G$73</definedName>
    <definedName name="CostCells">'[12]Cost Analysis'!$F$7:$G$12,'[12]Cost Analysis'!$G$13,'[12]Cost Analysis'!$F$15:$G$19,'[12]Cost Analysis'!$G$20,'[12]Cost Analysis'!$F$22:$G$28,'[12]Cost Analysis'!$G$29,'[12]Cost Analysis'!$F$31:$G$34,'[12]Cost Analysis'!$G$35,'[12]Cost Analysis'!$F$37:$G$47,'[12]Cost Analysis'!$G$48,'[12]Cost Analysis'!$F$50:$G$51,'[12]Cost Analysis'!$G$52:$G$53,'[12]Cost Analysis'!$F$57:$G$61,'[12]Cost Analysis'!$G$62,'[12]Cost Analysis'!$F$64:$G$65,'[12]Cost Analysis'!$G$66:$G$67,'[12]Cost Analysis'!$F$70:$G$73</definedName>
    <definedName name="COVER" localSheetId="9">#REF!</definedName>
    <definedName name="COVER" localSheetId="5">#REF!</definedName>
    <definedName name="COVER" localSheetId="10">#REF!</definedName>
    <definedName name="COVER" localSheetId="3">#REF!</definedName>
    <definedName name="COVER" localSheetId="7">#REF!</definedName>
    <definedName name="COVER">#REF!</definedName>
    <definedName name="COVER_SHEET" localSheetId="9">#REF!</definedName>
    <definedName name="COVER_SHEET" localSheetId="5">#REF!</definedName>
    <definedName name="COVER_SHEET" localSheetId="10">#REF!</definedName>
    <definedName name="COVER_SHEET" localSheetId="3">#REF!</definedName>
    <definedName name="COVER_SHEET" localSheetId="7">#REF!</definedName>
    <definedName name="COVER_SHEET">#REF!</definedName>
    <definedName name="COVER_WINDOW" localSheetId="9">#REF!</definedName>
    <definedName name="COVER_WINDOW" localSheetId="5">#REF!</definedName>
    <definedName name="COVER_WINDOW" localSheetId="10">#REF!</definedName>
    <definedName name="COVER_WINDOW" localSheetId="3">#REF!</definedName>
    <definedName name="COVER_WINDOW" localSheetId="7">#REF!</definedName>
    <definedName name="COVER_WINDOW">#REF!</definedName>
    <definedName name="cp" localSheetId="9">#REF!</definedName>
    <definedName name="cp" localSheetId="5">#REF!</definedName>
    <definedName name="cp" localSheetId="10">#REF!</definedName>
    <definedName name="cp" localSheetId="3">#REF!</definedName>
    <definedName name="cp" localSheetId="7">#REF!</definedName>
    <definedName name="cp">#REF!</definedName>
    <definedName name="CRC" localSheetId="9">#REF!</definedName>
    <definedName name="CRC" localSheetId="5">#REF!</definedName>
    <definedName name="CRC" localSheetId="10">#REF!</definedName>
    <definedName name="CRC" localSheetId="3">#REF!</definedName>
    <definedName name="CRC" localSheetId="7">#REF!</definedName>
    <definedName name="CRC">#REF!</definedName>
    <definedName name="_xlnm.Criteria" localSheetId="9">'[24]Printer Saving Calculation.XLS'!#REF!</definedName>
    <definedName name="_xlnm.Criteria" localSheetId="5">'[24]Printer Saving Calculation.XLS'!#REF!</definedName>
    <definedName name="_xlnm.Criteria" localSheetId="10">'[24]Printer Saving Calculation.XLS'!#REF!</definedName>
    <definedName name="_xlnm.Criteria" localSheetId="3">'[24]Printer Saving Calculation.XLS'!#REF!</definedName>
    <definedName name="_xlnm.Criteria" localSheetId="7">'[24]Printer Saving Calculation.XLS'!#REF!</definedName>
    <definedName name="_xlnm.Criteria">'[24]Printer Saving Calculation.XLS'!#REF!</definedName>
    <definedName name="CSI_RECAP" localSheetId="9">#REF!</definedName>
    <definedName name="CSI_RECAP" localSheetId="5">#REF!</definedName>
    <definedName name="CSI_RECAP" localSheetId="10">#REF!</definedName>
    <definedName name="CSI_RECAP" localSheetId="3">#REF!</definedName>
    <definedName name="CSI_RECAP" localSheetId="7">#REF!</definedName>
    <definedName name="CSI_RECAP">#REF!</definedName>
    <definedName name="CurrencyHide" localSheetId="9">'[11]Cost Analysis'!$G$4,'[11]Cost Analysis'!$J$4</definedName>
    <definedName name="CurrencyHide" localSheetId="5">'[11]Cost Analysis'!$G$4,'[11]Cost Analysis'!$J$4</definedName>
    <definedName name="CurrencyHide" localSheetId="10">'[11]Cost Analysis'!$G$4,'[11]Cost Analysis'!$J$4</definedName>
    <definedName name="CurrencyHide" localSheetId="3">'[11]Cost Analysis'!$G$4,'[11]Cost Analysis'!$J$4</definedName>
    <definedName name="CurrencyHide" localSheetId="7">'[11]Cost Analysis'!$G$4,'[11]Cost Analysis'!$J$4</definedName>
    <definedName name="CurrencyHide">'[12]Cost Analysis'!$G$4,'[12]Cost Analysis'!$J$4</definedName>
    <definedName name="Current" localSheetId="9">'[25]Current Schedules &amp; Weather'!$A$9:$D$25</definedName>
    <definedName name="Current" localSheetId="5">'[25]Current Schedules &amp; Weather'!$A$9:$D$25</definedName>
    <definedName name="Current" localSheetId="10">'[25]Current Schedules &amp; Weather'!$A$9:$D$25</definedName>
    <definedName name="Current" localSheetId="3">'[25]Current Schedules &amp; Weather'!$A$9:$D$25</definedName>
    <definedName name="Current" localSheetId="7">'[25]Current Schedules &amp; Weather'!$A$9:$D$25</definedName>
    <definedName name="Current">'[26]Current Schedules &amp; Weather'!$A$9:$D$25</definedName>
    <definedName name="Customer" localSheetId="9">#REF!</definedName>
    <definedName name="Customer" localSheetId="5">#REF!</definedName>
    <definedName name="Customer" localSheetId="10">#REF!</definedName>
    <definedName name="Customer" localSheetId="3">#REF!</definedName>
    <definedName name="Customer" localSheetId="7">#REF!</definedName>
    <definedName name="Customer">#REF!</definedName>
    <definedName name="Customer_Investment" localSheetId="9">#REF!</definedName>
    <definedName name="Customer_Investment" localSheetId="5">#REF!</definedName>
    <definedName name="Customer_Investment" localSheetId="10">#REF!</definedName>
    <definedName name="Customer_Investment" localSheetId="3">#REF!</definedName>
    <definedName name="Customer_Investment" localSheetId="7">#REF!</definedName>
    <definedName name="Customer_Investment">#REF!</definedName>
    <definedName name="CustomerAddress" localSheetId="9">#REF!</definedName>
    <definedName name="CustomerAddress" localSheetId="5">#REF!</definedName>
    <definedName name="CustomerAddress" localSheetId="10">#REF!</definedName>
    <definedName name="CustomerAddress" localSheetId="3">#REF!</definedName>
    <definedName name="CustomerAddress" localSheetId="7">#REF!</definedName>
    <definedName name="CustomerAddress">#REF!</definedName>
    <definedName name="CWT" localSheetId="9">'[1]Elementary School'!#REF!</definedName>
    <definedName name="CWT" localSheetId="5">'[1]Elementary School'!#REF!</definedName>
    <definedName name="CWT" localSheetId="10">'[1]Elementary School'!#REF!</definedName>
    <definedName name="CWT" localSheetId="3">'[1]Elementary School'!#REF!</definedName>
    <definedName name="CWT" localSheetId="7">'[1]Elementary School'!#REF!</definedName>
    <definedName name="CWT">'[1]Elementary School'!#REF!</definedName>
    <definedName name="d" hidden="1">#REF!</definedName>
    <definedName name="data" localSheetId="9">'[27]ECM Link'!#REF!</definedName>
    <definedName name="data" localSheetId="5">'[27]ECM Link'!#REF!</definedName>
    <definedName name="data" localSheetId="10">'[27]ECM Link'!#REF!</definedName>
    <definedName name="data" localSheetId="3">'[27]ECM Link'!#REF!</definedName>
    <definedName name="data" localSheetId="7">'[27]ECM Link'!#REF!</definedName>
    <definedName name="data">'[27]ECM Link'!#REF!</definedName>
    <definedName name="DATA_WINDOW" localSheetId="9">#REF!</definedName>
    <definedName name="DATA_WINDOW" localSheetId="5">#REF!</definedName>
    <definedName name="DATA_WINDOW" localSheetId="10">#REF!</definedName>
    <definedName name="DATA_WINDOW" localSheetId="3">#REF!</definedName>
    <definedName name="DATA_WINDOW" localSheetId="7">#REF!</definedName>
    <definedName name="DATA_WINDOW">#REF!</definedName>
    <definedName name="_xlnm.Database" localSheetId="9">'[1]Elementary School'!#REF!</definedName>
    <definedName name="_xlnm.Database" localSheetId="5">'[1]Elementary School'!#REF!</definedName>
    <definedName name="_xlnm.Database" localSheetId="10">'[1]Elementary School'!#REF!</definedName>
    <definedName name="_xlnm.Database" localSheetId="3">'[1]Elementary School'!#REF!</definedName>
    <definedName name="_xlnm.Database" localSheetId="7">'[1]Elementary School'!#REF!</definedName>
    <definedName name="_xlnm.Database">'[1]Elementary School'!#REF!</definedName>
    <definedName name="Database_MI" localSheetId="9">'[1]Elementary School'!#REF!</definedName>
    <definedName name="Database_MI" localSheetId="5">'[1]Elementary School'!#REF!</definedName>
    <definedName name="Database_MI" localSheetId="10">'[1]Elementary School'!#REF!</definedName>
    <definedName name="Database_MI" localSheetId="3">'[1]Elementary School'!#REF!</definedName>
    <definedName name="Database_MI" localSheetId="7">'[1]Elementary School'!#REF!</definedName>
    <definedName name="Database_MI">'[1]Elementary School'!#REF!</definedName>
    <definedName name="DataImportDate" localSheetId="9">#REF!</definedName>
    <definedName name="DataImportDate" localSheetId="5">#REF!</definedName>
    <definedName name="DataImportDate" localSheetId="10">#REF!</definedName>
    <definedName name="DataImportDate" localSheetId="3">#REF!</definedName>
    <definedName name="DataImportDate" localSheetId="7">#REF!</definedName>
    <definedName name="DataImportDate">#REF!</definedName>
    <definedName name="DataRange1" localSheetId="9">#REF!</definedName>
    <definedName name="DataRange1" localSheetId="5">#REF!</definedName>
    <definedName name="DataRange1" localSheetId="10">#REF!</definedName>
    <definedName name="DataRange1" localSheetId="3">#REF!</definedName>
    <definedName name="DataRange1" localSheetId="7">#REF!</definedName>
    <definedName name="DataRange1">#REF!</definedName>
    <definedName name="Day_Cooling_Load" localSheetId="9">#REF!</definedName>
    <definedName name="Day_Cooling_Load" localSheetId="5">#REF!</definedName>
    <definedName name="Day_Cooling_Load" localSheetId="10">#REF!</definedName>
    <definedName name="Day_Cooling_Load" localSheetId="3">#REF!</definedName>
    <definedName name="Day_Cooling_Load" localSheetId="7">#REF!</definedName>
    <definedName name="Day_Cooling_Load">#REF!</definedName>
    <definedName name="DAYOCC">[13]JC_CALC.XLS!$A$53</definedName>
    <definedName name="DaysAnalysed" localSheetId="9">'[11]Solar Resource &amp; System Load'!$R$3</definedName>
    <definedName name="DaysAnalysed" localSheetId="5">'[11]Solar Resource &amp; System Load'!$R$3</definedName>
    <definedName name="DaysAnalysed" localSheetId="10">'[11]Solar Resource &amp; System Load'!$R$3</definedName>
    <definedName name="DaysAnalysed" localSheetId="3">'[11]Solar Resource &amp; System Load'!$R$3</definedName>
    <definedName name="DaysAnalysed" localSheetId="7">'[11]Solar Resource &amp; System Load'!$R$3</definedName>
    <definedName name="DaysAnalysed">'[12]Solar Resource &amp; System Load'!$R$3</definedName>
    <definedName name="DCEnerDmd" localSheetId="9">'[11]Solar Resource &amp; System Load'!$H$51</definedName>
    <definedName name="DCEnerDmd" localSheetId="5">'[11]Solar Resource &amp; System Load'!$H$51</definedName>
    <definedName name="DCEnerDmd" localSheetId="10">'[11]Solar Resource &amp; System Load'!$H$51</definedName>
    <definedName name="DCEnerDmd" localSheetId="3">'[11]Solar Resource &amp; System Load'!$H$51</definedName>
    <definedName name="DCEnerDmd" localSheetId="7">'[11]Solar Resource &amp; System Load'!$H$51</definedName>
    <definedName name="DCEnerDmd">'[12]Solar Resource &amp; System Load'!$H$51</definedName>
    <definedName name="DCTH" localSheetId="9">#REF!</definedName>
    <definedName name="DCTH" localSheetId="5">#REF!</definedName>
    <definedName name="DCTH" localSheetId="10">#REF!</definedName>
    <definedName name="DCTH" localSheetId="3">#REF!</definedName>
    <definedName name="DCTH" localSheetId="7">#REF!</definedName>
    <definedName name="DCTH">#REF!</definedName>
    <definedName name="dddd" localSheetId="9">#REF!</definedName>
    <definedName name="dddd" localSheetId="5">#REF!</definedName>
    <definedName name="dddd" localSheetId="10">#REF!</definedName>
    <definedName name="dddd" localSheetId="3">#REF!</definedName>
    <definedName name="dddd" localSheetId="7">#REF!</definedName>
    <definedName name="dddd">#REF!</definedName>
    <definedName name="DEC">#REF!</definedName>
    <definedName name="degFsetback" localSheetId="9">#REF!</definedName>
    <definedName name="degFsetback" localSheetId="5">#REF!</definedName>
    <definedName name="degFsetback" localSheetId="10">#REF!</definedName>
    <definedName name="degFsetback" localSheetId="3">#REF!</definedName>
    <definedName name="degFsetback" localSheetId="7">#REF!</definedName>
    <definedName name="degFsetback">#REF!</definedName>
    <definedName name="Delay">30/182.5*3.14159</definedName>
    <definedName name="DemandRate">[28]Summary!$I$5</definedName>
    <definedName name="Details" localSheetId="9">#REF!</definedName>
    <definedName name="Details" localSheetId="5">#REF!</definedName>
    <definedName name="Details" localSheetId="10">#REF!</definedName>
    <definedName name="Details" localSheetId="3">#REF!</definedName>
    <definedName name="Details" localSheetId="7">#REF!</definedName>
    <definedName name="Details">#REF!</definedName>
    <definedName name="DewPt1" localSheetId="9">#REF!</definedName>
    <definedName name="DewPt1" localSheetId="5">#REF!</definedName>
    <definedName name="DewPt1" localSheetId="10">#REF!</definedName>
    <definedName name="DewPt1" localSheetId="3">#REF!</definedName>
    <definedName name="DewPt1" localSheetId="7">#REF!</definedName>
    <definedName name="DewPt1">#REF!</definedName>
    <definedName name="DewPt2" localSheetId="9">#REF!</definedName>
    <definedName name="DewPt2" localSheetId="5">#REF!</definedName>
    <definedName name="DewPt2" localSheetId="10">#REF!</definedName>
    <definedName name="DewPt2" localSheetId="3">#REF!</definedName>
    <definedName name="DewPt2" localSheetId="7">#REF!</definedName>
    <definedName name="DewPt2">#REF!</definedName>
    <definedName name="dfhehhewsy" localSheetId="9" hidden="1">{"hostelec",#N/A,FALSE,"Billing";"nhelec",#N/A,FALSE,"Billing";"sitelec",#N/A,FALSE,"Billing";"Service",#N/A,FALSE,"Misc."}</definedName>
    <definedName name="dfhehhewsy" localSheetId="5" hidden="1">{"hostelec",#N/A,FALSE,"Billing";"nhelec",#N/A,FALSE,"Billing";"sitelec",#N/A,FALSE,"Billing";"Service",#N/A,FALSE,"Misc."}</definedName>
    <definedName name="dfhehhewsy" localSheetId="10" hidden="1">{"hostelec",#N/A,FALSE,"Billing";"nhelec",#N/A,FALSE,"Billing";"sitelec",#N/A,FALSE,"Billing";"Service",#N/A,FALSE,"Misc."}</definedName>
    <definedName name="dfhehhewsy" localSheetId="3" hidden="1">{"hostelec",#N/A,FALSE,"Billing";"nhelec",#N/A,FALSE,"Billing";"sitelec",#N/A,FALSE,"Billing";"Service",#N/A,FALSE,"Misc."}</definedName>
    <definedName name="dfhehhewsy" localSheetId="7" hidden="1">{"hostelec",#N/A,FALSE,"Billing";"nhelec",#N/A,FALSE,"Billing";"sitelec",#N/A,FALSE,"Billing";"Service",#N/A,FALSE,"Misc."}</definedName>
    <definedName name="dfhehhewsy" hidden="1">{"hostelec",#N/A,FALSE,"Billing";"nhelec",#N/A,FALSE,"Billing";"sitelec",#N/A,FALSE,"Billing";"Service",#N/A,FALSE,"Misc."}</definedName>
    <definedName name="DOA">'[29]Chill Ops Costs FY05'!$B$6:$M$27</definedName>
    <definedName name="DOCUMENT_MENU" localSheetId="9">#REF!</definedName>
    <definedName name="DOCUMENT_MENU" localSheetId="5">#REF!</definedName>
    <definedName name="DOCUMENT_MENU" localSheetId="10">#REF!</definedName>
    <definedName name="DOCUMENT_MENU" localSheetId="3">#REF!</definedName>
    <definedName name="DOCUMENT_MENU" localSheetId="7">#REF!</definedName>
    <definedName name="DOCUMENT_MENU">#REF!</definedName>
    <definedName name="Dollars" localSheetId="9">#REF!</definedName>
    <definedName name="Dollars" localSheetId="5">#REF!</definedName>
    <definedName name="Dollars" localSheetId="10">#REF!</definedName>
    <definedName name="Dollars" localSheetId="3">#REF!</definedName>
    <definedName name="Dollars" localSheetId="7">#REF!</definedName>
    <definedName name="Dollars">#REF!</definedName>
    <definedName name="DQ_Query1" localSheetId="9" hidden="1">#REF!</definedName>
    <definedName name="DQ_Query1" localSheetId="5" hidden="1">#REF!</definedName>
    <definedName name="DQ_Query1" localSheetId="10" hidden="1">#REF!</definedName>
    <definedName name="DQ_Query1" localSheetId="3" hidden="1">#REF!</definedName>
    <definedName name="DQ_Query1" localSheetId="7" hidden="1">#REF!</definedName>
    <definedName name="DQ_Query1" hidden="1">#REF!</definedName>
    <definedName name="DS" localSheetId="9">#REF!</definedName>
    <definedName name="DS" localSheetId="5">#REF!</definedName>
    <definedName name="DS" localSheetId="10">#REF!</definedName>
    <definedName name="DS" localSheetId="3">#REF!</definedName>
    <definedName name="DS" localSheetId="7">#REF!</definedName>
    <definedName name="DS">#REF!</definedName>
    <definedName name="DX_Conversion" localSheetId="9">#REF!</definedName>
    <definedName name="DX_Conversion" localSheetId="5">#REF!</definedName>
    <definedName name="DX_Conversion" localSheetId="10">#REF!</definedName>
    <definedName name="DX_Conversion" localSheetId="3">#REF!</definedName>
    <definedName name="DX_Conversion" localSheetId="7">#REF!</definedName>
    <definedName name="DX_Conversion">#REF!</definedName>
    <definedName name="E_ALL_Table" localSheetId="9">#REF!</definedName>
    <definedName name="E_ALL_Table" localSheetId="5">#REF!</definedName>
    <definedName name="E_ALL_Table" localSheetId="10">#REF!</definedName>
    <definedName name="E_ALL_Table" localSheetId="3">#REF!</definedName>
    <definedName name="E_ALL_Table" localSheetId="7">#REF!</definedName>
    <definedName name="E_ALL_Table">#REF!</definedName>
    <definedName name="EBE" localSheetId="9">#REF!</definedName>
    <definedName name="EBE" localSheetId="5">#REF!</definedName>
    <definedName name="EBE" localSheetId="10">#REF!</definedName>
    <definedName name="EBE" localSheetId="3">#REF!</definedName>
    <definedName name="EBE" localSheetId="7">#REF!</definedName>
    <definedName name="EBE">#REF!</definedName>
    <definedName name="EBTU">[13]JC_CALC.XLS!$S$124</definedName>
    <definedName name="ECONBTU" localSheetId="9">[30]Economizer!#REF!</definedName>
    <definedName name="ECONBTU" localSheetId="5">[30]Economizer!#REF!</definedName>
    <definedName name="ECONBTU" localSheetId="10">[30]Economizer!#REF!</definedName>
    <definedName name="ECONBTU" localSheetId="3">[30]Economizer!#REF!</definedName>
    <definedName name="ECONBTU" localSheetId="7">[30]Economizer!#REF!</definedName>
    <definedName name="ECONBTU">[30]Economizer!#REF!</definedName>
    <definedName name="ECP_6__Recommission_and_Enhance_the_Energy_Management_Control_System" localSheetId="9">#REF!</definedName>
    <definedName name="ECP_6__Recommission_and_Enhance_the_Energy_Management_Control_System" localSheetId="5">#REF!</definedName>
    <definedName name="ECP_6__Recommission_and_Enhance_the_Energy_Management_Control_System" localSheetId="10">#REF!</definedName>
    <definedName name="ECP_6__Recommission_and_Enhance_the_Energy_Management_Control_System" localSheetId="3">#REF!</definedName>
    <definedName name="ECP_6__Recommission_and_Enhance_the_Energy_Management_Control_System" localSheetId="7">#REF!</definedName>
    <definedName name="ECP_6__Recommission_and_Enhance_the_Energy_Management_Control_System">#REF!</definedName>
    <definedName name="EED" localSheetId="9">#REF!</definedName>
    <definedName name="EED" localSheetId="5">#REF!</definedName>
    <definedName name="EED" localSheetId="10">#REF!</definedName>
    <definedName name="EED" localSheetId="3">#REF!</definedName>
    <definedName name="EED" localSheetId="7">#REF!</definedName>
    <definedName name="EED">#REF!</definedName>
    <definedName name="EEDOF" localSheetId="9">#REF!</definedName>
    <definedName name="EEDOF" localSheetId="5">#REF!</definedName>
    <definedName name="EEDOF" localSheetId="10">#REF!</definedName>
    <definedName name="EEDOF" localSheetId="3">#REF!</definedName>
    <definedName name="EEDOF" localSheetId="7">#REF!</definedName>
    <definedName name="EEDOF">#REF!</definedName>
    <definedName name="EER" localSheetId="9">'[1]Elementary School'!#REF!</definedName>
    <definedName name="EER" localSheetId="5">'[1]Elementary School'!#REF!</definedName>
    <definedName name="EER" localSheetId="10">'[1]Elementary School'!#REF!</definedName>
    <definedName name="EER" localSheetId="3">'[1]Elementary School'!#REF!</definedName>
    <definedName name="EER" localSheetId="7">'[1]Elementary School'!#REF!</definedName>
    <definedName name="EER">'[1]Elementary School'!#REF!</definedName>
    <definedName name="eff">[31]Efficiency!$B$5:$C$12</definedName>
    <definedName name="Efficiency" localSheetId="9">#REF!</definedName>
    <definedName name="Efficiency" localSheetId="5">#REF!</definedName>
    <definedName name="Efficiency" localSheetId="10">#REF!</definedName>
    <definedName name="Efficiency" localSheetId="3">#REF!</definedName>
    <definedName name="Efficiency" localSheetId="7">#REF!</definedName>
    <definedName name="Efficiency">#REF!</definedName>
    <definedName name="EGSC" localSheetId="9">#REF!</definedName>
    <definedName name="EGSC" localSheetId="5">#REF!</definedName>
    <definedName name="EGSC" localSheetId="10">#REF!</definedName>
    <definedName name="EGSC" localSheetId="3">#REF!</definedName>
    <definedName name="EGSC" localSheetId="7">#REF!</definedName>
    <definedName name="EGSC">#REF!</definedName>
    <definedName name="Elec" localSheetId="9">[32]Summary!$J$4</definedName>
    <definedName name="Elec" localSheetId="5">[32]Summary!$J$4</definedName>
    <definedName name="Elec" localSheetId="10">[32]Summary!$J$4</definedName>
    <definedName name="Elec" localSheetId="3">[32]Summary!$J$4</definedName>
    <definedName name="Elec" localSheetId="7">[32]Summary!$J$4</definedName>
    <definedName name="Elec">[32]Summary!$J$4</definedName>
    <definedName name="ELECCOST">[13]JC_CALC.XLS!$A$84</definedName>
    <definedName name="ElecRate" localSheetId="9">[33]Summary!$J$4</definedName>
    <definedName name="ElecRate" localSheetId="5">[33]Summary!$J$4</definedName>
    <definedName name="ElecRate" localSheetId="10">[33]Summary!$J$4</definedName>
    <definedName name="ElecRate" localSheetId="3">[33]Summary!$J$4</definedName>
    <definedName name="ElecRate" localSheetId="7">[33]Summary!$J$4</definedName>
    <definedName name="ElecRate">[33]Summary!$J$4</definedName>
    <definedName name="Electric_Cooling" localSheetId="9">#REF!</definedName>
    <definedName name="Electric_Cooling" localSheetId="5">#REF!</definedName>
    <definedName name="Electric_Cooling" localSheetId="10">#REF!</definedName>
    <definedName name="Electric_Cooling" localSheetId="3">#REF!</definedName>
    <definedName name="Electric_Cooling" localSheetId="7">#REF!</definedName>
    <definedName name="Electric_Cooling">#REF!</definedName>
    <definedName name="Elev" localSheetId="9">'[10]Clg Coil-BP'!$B$11</definedName>
    <definedName name="Elev" localSheetId="5">'[10]Clg Coil-BP'!$B$11</definedName>
    <definedName name="Elev" localSheetId="10">'[10]Clg Coil-BP'!$B$11</definedName>
    <definedName name="Elev" localSheetId="3">'[10]Clg Coil-BP'!$B$11</definedName>
    <definedName name="Elev" localSheetId="7">'[10]Clg Coil-BP'!$B$11</definedName>
    <definedName name="Elev">'[10]Clg Coil-BP'!$B$11</definedName>
    <definedName name="Elevation" localSheetId="9">#REF!</definedName>
    <definedName name="Elevation" localSheetId="5">#REF!</definedName>
    <definedName name="Elevation" localSheetId="10">#REF!</definedName>
    <definedName name="Elevation" localSheetId="3">#REF!</definedName>
    <definedName name="Elevation" localSheetId="7">#REF!</definedName>
    <definedName name="Elevation">#REF!</definedName>
    <definedName name="ElevH" localSheetId="9">'[10]Htg Coil'!$B$10</definedName>
    <definedName name="ElevH" localSheetId="5">'[10]Htg Coil'!$B$10</definedName>
    <definedName name="ElevH" localSheetId="10">'[10]Htg Coil'!$B$10</definedName>
    <definedName name="ElevH" localSheetId="3">'[10]Htg Coil'!$B$10</definedName>
    <definedName name="ElevH" localSheetId="7">'[10]Htg Coil'!$B$10</definedName>
    <definedName name="ElevH">'[10]Htg Coil'!$B$10</definedName>
    <definedName name="ElevIn" localSheetId="9">'[10]Clg-Coil'!$B$10</definedName>
    <definedName name="ElevIn" localSheetId="5">'[10]Clg-Coil'!$B$10</definedName>
    <definedName name="ElevIn" localSheetId="10">'[10]Clg-Coil'!$B$10</definedName>
    <definedName name="ElevIn" localSheetId="3">'[10]Clg-Coil'!$B$10</definedName>
    <definedName name="ElevIn" localSheetId="7">'[10]Clg-Coil'!$B$10</definedName>
    <definedName name="ElevIn">'[10]Clg-Coil'!$B$10</definedName>
    <definedName name="EMS_Upgrade" localSheetId="9">#REF!</definedName>
    <definedName name="EMS_Upgrade" localSheetId="5">#REF!</definedName>
    <definedName name="EMS_Upgrade" localSheetId="10">#REF!</definedName>
    <definedName name="EMS_Upgrade" localSheetId="3">#REF!</definedName>
    <definedName name="EMS_Upgrade" localSheetId="7">#REF!</definedName>
    <definedName name="EMS_Upgrade">#REF!</definedName>
    <definedName name="Enal1" localSheetId="9">#REF!</definedName>
    <definedName name="Enal1" localSheetId="5">#REF!</definedName>
    <definedName name="Enal1" localSheetId="10">#REF!</definedName>
    <definedName name="Enal1" localSheetId="3">#REF!</definedName>
    <definedName name="Enal1" localSheetId="7">#REF!</definedName>
    <definedName name="Enal1">#REF!</definedName>
    <definedName name="Enal2" localSheetId="9">#REF!</definedName>
    <definedName name="Enal2" localSheetId="5">#REF!</definedName>
    <definedName name="Enal2" localSheetId="10">#REF!</definedName>
    <definedName name="Enal2" localSheetId="3">#REF!</definedName>
    <definedName name="Enal2" localSheetId="7">#REF!</definedName>
    <definedName name="Enal2">#REF!</definedName>
    <definedName name="EnalFluid" localSheetId="9">'[10]Htg Coil'!$J$16</definedName>
    <definedName name="EnalFluid" localSheetId="5">'[10]Htg Coil'!$J$16</definedName>
    <definedName name="EnalFluid" localSheetId="10">'[10]Htg Coil'!$J$16</definedName>
    <definedName name="EnalFluid" localSheetId="3">'[10]Htg Coil'!$J$16</definedName>
    <definedName name="EnalFluid" localSheetId="7">'[10]Htg Coil'!$J$16</definedName>
    <definedName name="EnalFluid">'[10]Htg Coil'!$J$16</definedName>
    <definedName name="EnalHru" localSheetId="9">'[10]Heat Rec''ry'!$H$22</definedName>
    <definedName name="EnalHru" localSheetId="5">'[10]Heat Rec''ry'!$H$22</definedName>
    <definedName name="EnalHru" localSheetId="10">'[10]Heat Rec''ry'!$H$22</definedName>
    <definedName name="EnalHru" localSheetId="3">'[10]Heat Rec''ry'!$H$22</definedName>
    <definedName name="EnalHru" localSheetId="7">'[10]Heat Rec''ry'!$H$22</definedName>
    <definedName name="EnalHru">'[10]Heat Rec''ry'!$H$22</definedName>
    <definedName name="EnalOut" localSheetId="9">'[10]Heat Rec''ry'!$E$22</definedName>
    <definedName name="EnalOut" localSheetId="5">'[10]Heat Rec''ry'!$E$22</definedName>
    <definedName name="EnalOut" localSheetId="10">'[10]Heat Rec''ry'!$E$22</definedName>
    <definedName name="EnalOut" localSheetId="3">'[10]Heat Rec''ry'!$E$22</definedName>
    <definedName name="EnalOut" localSheetId="7">'[10]Heat Rec''ry'!$E$22</definedName>
    <definedName name="EnalOut">'[10]Heat Rec''ry'!$E$22</definedName>
    <definedName name="EnalRet" localSheetId="9">'[10]Clg Coil-BP'!$B$20</definedName>
    <definedName name="EnalRet" localSheetId="5">'[10]Clg Coil-BP'!$B$20</definedName>
    <definedName name="EnalRet" localSheetId="10">'[10]Clg Coil-BP'!$B$20</definedName>
    <definedName name="EnalRet" localSheetId="3">'[10]Clg Coil-BP'!$B$20</definedName>
    <definedName name="EnalRet" localSheetId="7">'[10]Clg Coil-BP'!$B$20</definedName>
    <definedName name="EnalRet">'[10]Clg Coil-BP'!$B$20</definedName>
    <definedName name="EnalRm" localSheetId="9">'[10]Heat Rec''ry'!$B$22</definedName>
    <definedName name="EnalRm" localSheetId="5">'[10]Heat Rec''ry'!$B$22</definedName>
    <definedName name="EnalRm" localSheetId="10">'[10]Heat Rec''ry'!$B$22</definedName>
    <definedName name="EnalRm" localSheetId="3">'[10]Heat Rec''ry'!$B$22</definedName>
    <definedName name="EnalRm" localSheetId="7">'[10]Heat Rec''ry'!$B$22</definedName>
    <definedName name="EnalRm">'[10]Heat Rec''ry'!$B$22</definedName>
    <definedName name="EnalSup" localSheetId="9">'[10]Clg Coil-BP'!$F$20</definedName>
    <definedName name="EnalSup" localSheetId="5">'[10]Clg Coil-BP'!$F$20</definedName>
    <definedName name="EnalSup" localSheetId="10">'[10]Clg Coil-BP'!$F$20</definedName>
    <definedName name="EnalSup" localSheetId="3">'[10]Clg Coil-BP'!$F$20</definedName>
    <definedName name="EnalSup" localSheetId="7">'[10]Clg Coil-BP'!$F$20</definedName>
    <definedName name="EnalSup">'[10]Clg Coil-BP'!$F$20</definedName>
    <definedName name="END" localSheetId="9">'[14]17-Pool Heater'!#REF!</definedName>
    <definedName name="END" localSheetId="5">'[14]17-Pool Heater'!#REF!</definedName>
    <definedName name="END" localSheetId="10">'[14]17-Pool Heater'!#REF!</definedName>
    <definedName name="END" localSheetId="3">'[14]17-Pool Heater'!#REF!</definedName>
    <definedName name="END" localSheetId="7">'[14]17-Pool Heater'!#REF!</definedName>
    <definedName name="END">'[15]17-Pool Heater'!#REF!</definedName>
    <definedName name="EnerNotMet" localSheetId="9">'[11]Solar Resource &amp; System Load'!$CP$24</definedName>
    <definedName name="EnerNotMet" localSheetId="5">'[11]Solar Resource &amp; System Load'!$CP$24</definedName>
    <definedName name="EnerNotMet" localSheetId="10">'[11]Solar Resource &amp; System Load'!$CP$24</definedName>
    <definedName name="EnerNotMet" localSheetId="3">'[11]Solar Resource &amp; System Load'!$CP$24</definedName>
    <definedName name="EnerNotMet" localSheetId="7">'[11]Solar Resource &amp; System Load'!$CP$24</definedName>
    <definedName name="EnerNotMet">'[12]Solar Resource &amp; System Load'!$CP$24</definedName>
    <definedName name="EP" localSheetId="9">#REF!</definedName>
    <definedName name="EP" localSheetId="5">#REF!</definedName>
    <definedName name="EP" localSheetId="10">#REF!</definedName>
    <definedName name="EP" localSheetId="3">#REF!</definedName>
    <definedName name="EP" localSheetId="7">#REF!</definedName>
    <definedName name="EP">#REF!</definedName>
    <definedName name="EqMult">[34]CE!$H$5</definedName>
    <definedName name="EquDCEnerDmd" localSheetId="9">'[11]Solar Resource &amp; System Load'!$V$2</definedName>
    <definedName name="EquDCEnerDmd" localSheetId="5">'[11]Solar Resource &amp; System Load'!$V$2</definedName>
    <definedName name="EquDCEnerDmd" localSheetId="10">'[11]Solar Resource &amp; System Load'!$V$2</definedName>
    <definedName name="EquDCEnerDmd" localSheetId="3">'[11]Solar Resource &amp; System Load'!$V$2</definedName>
    <definedName name="EquDCEnerDmd" localSheetId="7">'[11]Solar Resource &amp; System Load'!$V$2</definedName>
    <definedName name="EquDCEnerDmd">'[12]Solar Resource &amp; System Load'!$V$2</definedName>
    <definedName name="EquipmentMultiplier" localSheetId="9">[35]Summary!$N$46</definedName>
    <definedName name="EquipmentMultiplier" localSheetId="5">[35]Summary!$N$46</definedName>
    <definedName name="EquipmentMultiplier" localSheetId="10">[35]Summary!$N$46</definedName>
    <definedName name="EquipmentMultiplier" localSheetId="3">[35]Summary!$N$46</definedName>
    <definedName name="EquipmentMultiplier" localSheetId="7">[35]Summary!$N$46</definedName>
    <definedName name="EquipmentMultiplier">[35]Summary!$N$46</definedName>
    <definedName name="EquPumpDmd" localSheetId="9">'[11]Solar Resource &amp; System Load'!$H$79</definedName>
    <definedName name="EquPumpDmd" localSheetId="5">'[11]Solar Resource &amp; System Load'!$H$79</definedName>
    <definedName name="EquPumpDmd" localSheetId="10">'[11]Solar Resource &amp; System Load'!$H$79</definedName>
    <definedName name="EquPumpDmd" localSheetId="3">'[11]Solar Resource &amp; System Load'!$H$79</definedName>
    <definedName name="EquPumpDmd" localSheetId="7">'[11]Solar Resource &amp; System Load'!$H$79</definedName>
    <definedName name="EquPumpDmd">'[12]Solar Resource &amp; System Load'!$H$79</definedName>
    <definedName name="ESCO_Project_Cost" localSheetId="9">#REF!</definedName>
    <definedName name="ESCO_Project_Cost" localSheetId="5">#REF!</definedName>
    <definedName name="ESCO_Project_Cost" localSheetId="10">#REF!</definedName>
    <definedName name="ESCO_Project_Cost" localSheetId="3">#REF!</definedName>
    <definedName name="ESCO_Project_Cost" localSheetId="7">#REF!</definedName>
    <definedName name="ESCO_Project_Cost">#REF!</definedName>
    <definedName name="ESTIMATE" localSheetId="9">#REF!</definedName>
    <definedName name="ESTIMATE" localSheetId="5">#REF!</definedName>
    <definedName name="ESTIMATE" localSheetId="10">#REF!</definedName>
    <definedName name="ESTIMATE" localSheetId="3">#REF!</definedName>
    <definedName name="ESTIMATE" localSheetId="7">#REF!</definedName>
    <definedName name="ESTIMATE">#REF!</definedName>
    <definedName name="Existing" localSheetId="9">#REF!</definedName>
    <definedName name="Existing" localSheetId="5">#REF!</definedName>
    <definedName name="Existing" localSheetId="10">#REF!</definedName>
    <definedName name="Existing" localSheetId="3">#REF!</definedName>
    <definedName name="Existing" localSheetId="7">#REF!</definedName>
    <definedName name="Existing">#REF!</definedName>
    <definedName name="EXISTING_FIXTURES">[36]SMSCOST3!$B$3:$D1048554</definedName>
    <definedName name="_xlnm.Extract" localSheetId="9">'[24]Printer Saving Calculation.XLS'!#REF!</definedName>
    <definedName name="_xlnm.Extract" localSheetId="5">'[24]Printer Saving Calculation.XLS'!#REF!</definedName>
    <definedName name="_xlnm.Extract" localSheetId="10">'[24]Printer Saving Calculation.XLS'!#REF!</definedName>
    <definedName name="_xlnm.Extract" localSheetId="3">'[24]Printer Saving Calculation.XLS'!#REF!</definedName>
    <definedName name="_xlnm.Extract" localSheetId="7">'[24]Printer Saving Calculation.XLS'!#REF!</definedName>
    <definedName name="_xlnm.Extract">'[24]Printer Saving Calculation.XLS'!#REF!</definedName>
    <definedName name="False_load_energy" localSheetId="9">#REF!</definedName>
    <definedName name="False_load_energy" localSheetId="5">#REF!</definedName>
    <definedName name="False_load_energy" localSheetId="10">#REF!</definedName>
    <definedName name="False_load_energy" localSheetId="3">#REF!</definedName>
    <definedName name="False_load_energy" localSheetId="7">#REF!</definedName>
    <definedName name="False_load_energy">#REF!</definedName>
    <definedName name="FANEFF" localSheetId="9">#REF!</definedName>
    <definedName name="FANEFF" localSheetId="5">#REF!</definedName>
    <definedName name="FANEFF" localSheetId="10">#REF!</definedName>
    <definedName name="FANEFF" localSheetId="3">#REF!</definedName>
    <definedName name="FANEFF" localSheetId="7">#REF!</definedName>
    <definedName name="FANEFF">#REF!</definedName>
    <definedName name="FANHP" localSheetId="9">#REF!</definedName>
    <definedName name="FANHP" localSheetId="5">#REF!</definedName>
    <definedName name="FANHP" localSheetId="10">#REF!</definedName>
    <definedName name="FANHP" localSheetId="3">#REF!</definedName>
    <definedName name="FANHP" localSheetId="7">#REF!</definedName>
    <definedName name="FANHP">#REF!</definedName>
    <definedName name="FANLOAD" localSheetId="9">#REF!</definedName>
    <definedName name="FANLOAD" localSheetId="5">#REF!</definedName>
    <definedName name="FANLOAD" localSheetId="10">#REF!</definedName>
    <definedName name="FANLOAD" localSheetId="3">#REF!</definedName>
    <definedName name="FANLOAD" localSheetId="7">#REF!</definedName>
    <definedName name="FANLOAD">#REF!</definedName>
    <definedName name="FC" localSheetId="9">#REF!</definedName>
    <definedName name="FC" localSheetId="5">#REF!</definedName>
    <definedName name="FC" localSheetId="10">#REF!</definedName>
    <definedName name="FC" localSheetId="3">#REF!</definedName>
    <definedName name="FC" localSheetId="7">#REF!</definedName>
    <definedName name="FC">#REF!</definedName>
    <definedName name="FCO" localSheetId="9">#REF!</definedName>
    <definedName name="FCO" localSheetId="5">#REF!</definedName>
    <definedName name="FCO" localSheetId="10">#REF!</definedName>
    <definedName name="FCO" localSheetId="3">#REF!</definedName>
    <definedName name="FCO" localSheetId="7">#REF!</definedName>
    <definedName name="FCO">#REF!</definedName>
    <definedName name="FEB">#REF!</definedName>
    <definedName name="fEScopyPM" localSheetId="9">#REF!</definedName>
    <definedName name="fEScopyPM" localSheetId="5">#REF!</definedName>
    <definedName name="fEScopyPM" localSheetId="10">#REF!</definedName>
    <definedName name="fEScopyPM" localSheetId="3">#REF!</definedName>
    <definedName name="fEScopyPM" localSheetId="7">#REF!</definedName>
    <definedName name="fEScopyPM">#REF!</definedName>
    <definedName name="fESfaxPM" localSheetId="9">#REF!</definedName>
    <definedName name="fESfaxPM" localSheetId="5">#REF!</definedName>
    <definedName name="fESfaxPM" localSheetId="10">#REF!</definedName>
    <definedName name="fESfaxPM" localSheetId="3">#REF!</definedName>
    <definedName name="fESfaxPM" localSheetId="7">#REF!</definedName>
    <definedName name="fESfaxPM">#REF!</definedName>
    <definedName name="fESmonsPM" localSheetId="9">#REF!</definedName>
    <definedName name="fESmonsPM" localSheetId="5">#REF!</definedName>
    <definedName name="fESmonsPM" localSheetId="10">#REF!</definedName>
    <definedName name="fESmonsPM" localSheetId="3">#REF!</definedName>
    <definedName name="fESmonsPM" localSheetId="7">#REF!</definedName>
    <definedName name="fESmonsPM">#REF!</definedName>
    <definedName name="fESpcsPM" localSheetId="9">#REF!</definedName>
    <definedName name="fESpcsPM" localSheetId="5">#REF!</definedName>
    <definedName name="fESpcsPM" localSheetId="10">#REF!</definedName>
    <definedName name="fESpcsPM" localSheetId="3">#REF!</definedName>
    <definedName name="fESpcsPM" localSheetId="7">#REF!</definedName>
    <definedName name="fESpcsPM">#REF!</definedName>
    <definedName name="fESprnPM" localSheetId="9">#REF!</definedName>
    <definedName name="fESprnPM" localSheetId="5">#REF!</definedName>
    <definedName name="fESprnPM" localSheetId="10">#REF!</definedName>
    <definedName name="fESprnPM" localSheetId="3">#REF!</definedName>
    <definedName name="fESprnPM" localSheetId="7">#REF!</definedName>
    <definedName name="fESprnPM">#REF!</definedName>
    <definedName name="ff" localSheetId="9">#REF!</definedName>
    <definedName name="ff" localSheetId="5">#REF!</definedName>
    <definedName name="ff" localSheetId="10">#REF!</definedName>
    <definedName name="ff" localSheetId="3">#REF!</definedName>
    <definedName name="ff" localSheetId="7">#REF!</definedName>
    <definedName name="ff">#REF!</definedName>
    <definedName name="FFCS" localSheetId="9">#REF!</definedName>
    <definedName name="FFCS" localSheetId="5">#REF!</definedName>
    <definedName name="FFCS" localSheetId="10">#REF!</definedName>
    <definedName name="FFCS" localSheetId="3">#REF!</definedName>
    <definedName name="FFCS" localSheetId="7">#REF!</definedName>
    <definedName name="FFCS">#REF!</definedName>
    <definedName name="FFS" localSheetId="9">#REF!</definedName>
    <definedName name="FFS" localSheetId="5">#REF!</definedName>
    <definedName name="FFS" localSheetId="10">#REF!</definedName>
    <definedName name="FFS" localSheetId="3">#REF!</definedName>
    <definedName name="FFS" localSheetId="7">#REF!</definedName>
    <definedName name="FFS">#REF!</definedName>
    <definedName name="FinancCells" localSheetId="9">'[11]Financial Summary'!$E$14:$E$15,'[11]Financial Summary'!$E$18,'[11]Financial Summary'!$E$21:$E$22,'[11]Financial Summary'!$N$5:$P$5,'[11]Financial Summary'!$E$31:$E$37,'[11]Financial Summary'!$E$39,'[11]Financial Summary'!$E$43:$E$46,'[11]Financial Summary'!$J$31:$J$34,'[11]Financial Summary'!$J$37:$J$41,'[11]Financial Summary'!$E$54:$E$55,'[11]Financial Summary'!$J$52:$J$55,'[11]Financial Summary'!$J$50</definedName>
    <definedName name="FinancCells" localSheetId="5">'[11]Financial Summary'!$E$14:$E$15,'[11]Financial Summary'!$E$18,'[11]Financial Summary'!$E$21:$E$22,'[11]Financial Summary'!$N$5:$P$5,'[11]Financial Summary'!$E$31:$E$37,'[11]Financial Summary'!$E$39,'[11]Financial Summary'!$E$43:$E$46,'[11]Financial Summary'!$J$31:$J$34,'[11]Financial Summary'!$J$37:$J$41,'[11]Financial Summary'!$E$54:$E$55,'[11]Financial Summary'!$J$52:$J$55,'[11]Financial Summary'!$J$50</definedName>
    <definedName name="FinancCells" localSheetId="10">'[11]Financial Summary'!$E$14:$E$15,'[11]Financial Summary'!$E$18,'[11]Financial Summary'!$E$21:$E$22,'[11]Financial Summary'!$N$5:$P$5,'[11]Financial Summary'!$E$31:$E$37,'[11]Financial Summary'!$E$39,'[11]Financial Summary'!$E$43:$E$46,'[11]Financial Summary'!$J$31:$J$34,'[11]Financial Summary'!$J$37:$J$41,'[11]Financial Summary'!$E$54:$E$55,'[11]Financial Summary'!$J$52:$J$55,'[11]Financial Summary'!$J$50</definedName>
    <definedName name="FinancCells" localSheetId="3">'[11]Financial Summary'!$E$14:$E$15,'[11]Financial Summary'!$E$18,'[11]Financial Summary'!$E$21:$E$22,'[11]Financial Summary'!$N$5:$P$5,'[11]Financial Summary'!$E$31:$E$37,'[11]Financial Summary'!$E$39,'[11]Financial Summary'!$E$43:$E$46,'[11]Financial Summary'!$J$31:$J$34,'[11]Financial Summary'!$J$37:$J$41,'[11]Financial Summary'!$E$54:$E$55,'[11]Financial Summary'!$J$52:$J$55,'[11]Financial Summary'!$J$50</definedName>
    <definedName name="FinancCells" localSheetId="7">'[11]Financial Summary'!$E$14:$E$15,'[11]Financial Summary'!$E$18,'[11]Financial Summary'!$E$21:$E$22,'[11]Financial Summary'!$N$5:$P$5,'[11]Financial Summary'!$E$31:$E$37,'[11]Financial Summary'!$E$39,'[11]Financial Summary'!$E$43:$E$46,'[11]Financial Summary'!$J$31:$J$34,'[11]Financial Summary'!$J$37:$J$41,'[11]Financial Summary'!$E$54:$E$55,'[11]Financial Summary'!$J$52:$J$55,'[11]Financial Summary'!$J$50</definedName>
    <definedName name="FinancCells">'[12]Financial Summary'!$E$14:$E$15,'[12]Financial Summary'!$E$18,'[12]Financial Summary'!$E$21:$E$22,'[12]Financial Summary'!$N$5:$P$5,'[12]Financial Summary'!$E$31:$E$37,'[12]Financial Summary'!$E$39,'[12]Financial Summary'!$E$43:$E$46,'[12]Financial Summary'!$J$31:$J$34,'[12]Financial Summary'!$J$37:$J$41,'[12]Financial Summary'!$E$54:$E$55,'[12]Financial Summary'!$J$52:$J$55,'[12]Financial Summary'!$J$50</definedName>
    <definedName name="Fixture_Code_Table">'[37]Fixture Code Table'!$A$4:$B$95</definedName>
    <definedName name="Fixture_Qty" localSheetId="9">#REF!</definedName>
    <definedName name="Fixture_Qty" localSheetId="5">#REF!</definedName>
    <definedName name="Fixture_Qty" localSheetId="10">#REF!</definedName>
    <definedName name="Fixture_Qty" localSheetId="3">#REF!</definedName>
    <definedName name="Fixture_Qty" localSheetId="7">#REF!</definedName>
    <definedName name="Fixture_Qty">#REF!</definedName>
    <definedName name="Fixture_Type_Table">'[38]Fixture Type Table'!$E$7:$Z$205</definedName>
    <definedName name="FLOORHT" localSheetId="9">'[17]HW Reset'!#REF!</definedName>
    <definedName name="FLOORHT" localSheetId="5">'[17]HW Reset'!#REF!</definedName>
    <definedName name="FLOORHT" localSheetId="10">'[17]HW Reset'!#REF!</definedName>
    <definedName name="FLOORHT" localSheetId="3">'[17]HW Reset'!#REF!</definedName>
    <definedName name="FLOORHT" localSheetId="7">'[17]HW Reset'!#REF!</definedName>
    <definedName name="FLOORHT">'[17]HW Reset'!#REF!</definedName>
    <definedName name="FLOORS" localSheetId="9">#REF!</definedName>
    <definedName name="FLOORS" localSheetId="5">#REF!</definedName>
    <definedName name="FLOORS" localSheetId="10">#REF!</definedName>
    <definedName name="FLOORS" localSheetId="3">#REF!</definedName>
    <definedName name="FLOORS" localSheetId="7">#REF!</definedName>
    <definedName name="FLOORS">#REF!</definedName>
    <definedName name="FluidTemp" localSheetId="9">'[10]Htg Coil'!$J$15</definedName>
    <definedName name="FluidTemp" localSheetId="5">'[10]Htg Coil'!$J$15</definedName>
    <definedName name="FluidTemp" localSheetId="10">'[10]Htg Coil'!$J$15</definedName>
    <definedName name="FluidTemp" localSheetId="3">'[10]Htg Coil'!$J$15</definedName>
    <definedName name="FluidTemp" localSheetId="7">'[10]Htg Coil'!$J$15</definedName>
    <definedName name="FluidTemp">'[10]Htg Coil'!$J$15</definedName>
    <definedName name="FluidType" localSheetId="9">'[10]Htg Coil'!$J$14</definedName>
    <definedName name="FluidType" localSheetId="5">'[10]Htg Coil'!$J$14</definedName>
    <definedName name="FluidType" localSheetId="10">'[10]Htg Coil'!$J$14</definedName>
    <definedName name="FluidType" localSheetId="3">'[10]Htg Coil'!$J$14</definedName>
    <definedName name="FluidType" localSheetId="7">'[10]Htg Coil'!$J$14</definedName>
    <definedName name="FluidType">'[10]Htg Coil'!$J$14</definedName>
    <definedName name="fNEScopyPM" localSheetId="9">#REF!</definedName>
    <definedName name="fNEScopyPM" localSheetId="5">#REF!</definedName>
    <definedName name="fNEScopyPM" localSheetId="10">#REF!</definedName>
    <definedName name="fNEScopyPM" localSheetId="3">#REF!</definedName>
    <definedName name="fNEScopyPM" localSheetId="7">#REF!</definedName>
    <definedName name="fNEScopyPM">#REF!</definedName>
    <definedName name="FOGARTY" localSheetId="9">'[16]Chill Ops Costs FY05'!#REF!</definedName>
    <definedName name="FOGARTY" localSheetId="5">'[16]Chill Ops Costs FY05'!#REF!</definedName>
    <definedName name="FOGARTY" localSheetId="10">'[16]Chill Ops Costs FY05'!#REF!</definedName>
    <definedName name="FOGARTY" localSheetId="3">'[16]Chill Ops Costs FY05'!#REF!</definedName>
    <definedName name="FOGARTY" localSheetId="7">'[16]Chill Ops Costs FY05'!#REF!</definedName>
    <definedName name="FOGARTY">'[16]Chill Ops Costs FY05'!#REF!</definedName>
    <definedName name="FooterName" localSheetId="9">#REF!</definedName>
    <definedName name="FooterName" localSheetId="5">#REF!</definedName>
    <definedName name="FooterName" localSheetId="10">#REF!</definedName>
    <definedName name="FooterName" localSheetId="3">#REF!</definedName>
    <definedName name="FooterName" localSheetId="7">#REF!</definedName>
    <definedName name="FooterName">#REF!</definedName>
    <definedName name="FOrate">'[39]Total Fuel Oil Breakdown'!$D$21</definedName>
    <definedName name="Fuel">[40]HHV!$A$5:$E$7</definedName>
    <definedName name="FuelCost" localSheetId="9">#REF!</definedName>
    <definedName name="FuelCost" localSheetId="5">#REF!</definedName>
    <definedName name="FuelCost" localSheetId="10">#REF!</definedName>
    <definedName name="FuelCost" localSheetId="3">#REF!</definedName>
    <definedName name="FuelCost" localSheetId="7">#REF!</definedName>
    <definedName name="FuelCost">#REF!</definedName>
    <definedName name="FuelTable" localSheetId="9">#REF!</definedName>
    <definedName name="FuelTable" localSheetId="5">#REF!</definedName>
    <definedName name="FuelTable" localSheetId="10">#REF!</definedName>
    <definedName name="FuelTable" localSheetId="3">#REF!</definedName>
    <definedName name="FuelTable" localSheetId="7">#REF!</definedName>
    <definedName name="FuelTable">#REF!</definedName>
    <definedName name="GA" localSheetId="9">#REF!</definedName>
    <definedName name="GA" localSheetId="5">#REF!</definedName>
    <definedName name="GA" localSheetId="10">#REF!</definedName>
    <definedName name="GA" localSheetId="3">#REF!</definedName>
    <definedName name="GA" localSheetId="7">#REF!</definedName>
    <definedName name="GA">#REF!</definedName>
    <definedName name="GARRAHY" localSheetId="9">'[16]Chill Ops Costs FY05'!#REF!</definedName>
    <definedName name="GARRAHY" localSheetId="5">'[16]Chill Ops Costs FY05'!#REF!</definedName>
    <definedName name="GARRAHY" localSheetId="10">'[16]Chill Ops Costs FY05'!#REF!</definedName>
    <definedName name="GARRAHY" localSheetId="3">'[16]Chill Ops Costs FY05'!#REF!</definedName>
    <definedName name="GARRAHY" localSheetId="7">'[16]Chill Ops Costs FY05'!#REF!</definedName>
    <definedName name="GARRAHY">'[16]Chill Ops Costs FY05'!#REF!</definedName>
    <definedName name="GasRate" localSheetId="9">[33]Summary!$J$7</definedName>
    <definedName name="GasRate" localSheetId="5">[33]Summary!$J$7</definedName>
    <definedName name="GasRate" localSheetId="10">[33]Summary!$J$7</definedName>
    <definedName name="GasRate" localSheetId="3">[33]Summary!$J$7</definedName>
    <definedName name="GasRate" localSheetId="7">[33]Summary!$J$7</definedName>
    <definedName name="GasRate">[33]Summary!$J$7</definedName>
    <definedName name="gBallastDisposal" localSheetId="9">#REF!</definedName>
    <definedName name="gBallastDisposal" localSheetId="5">#REF!</definedName>
    <definedName name="gBallastDisposal" localSheetId="10">#REF!</definedName>
    <definedName name="gBallastDisposal" localSheetId="3">#REF!</definedName>
    <definedName name="gBallastDisposal" localSheetId="7">#REF!</definedName>
    <definedName name="gBallastDisposal">#REF!</definedName>
    <definedName name="GC" localSheetId="9">#REF!</definedName>
    <definedName name="GC" localSheetId="5">#REF!</definedName>
    <definedName name="GC" localSheetId="10">#REF!</definedName>
    <definedName name="GC" localSheetId="3">#REF!</definedName>
    <definedName name="GC" localSheetId="7">#REF!</definedName>
    <definedName name="GC">#REF!</definedName>
    <definedName name="gClearCell" localSheetId="9">#REF!</definedName>
    <definedName name="gClearCell" localSheetId="5">#REF!</definedName>
    <definedName name="gClearCell" localSheetId="10">#REF!</definedName>
    <definedName name="gClearCell" localSheetId="3">#REF!</definedName>
    <definedName name="gClearCell" localSheetId="7">#REF!</definedName>
    <definedName name="gClearCell">#REF!</definedName>
    <definedName name="gDataPath" localSheetId="9">#REF!</definedName>
    <definedName name="gDataPath" localSheetId="5">#REF!</definedName>
    <definedName name="gDataPath" localSheetId="10">#REF!</definedName>
    <definedName name="gDataPath" localSheetId="3">#REF!</definedName>
    <definedName name="gDataPath" localSheetId="7">#REF!</definedName>
    <definedName name="gDataPath">#REF!</definedName>
    <definedName name="gDumpster" localSheetId="9">#REF!</definedName>
    <definedName name="gDumpster" localSheetId="5">#REF!</definedName>
    <definedName name="gDumpster" localSheetId="10">#REF!</definedName>
    <definedName name="gDumpster" localSheetId="3">#REF!</definedName>
    <definedName name="gDumpster" localSheetId="7">#REF!</definedName>
    <definedName name="gDumpster">#REF!</definedName>
    <definedName name="GE" localSheetId="9">#REF!</definedName>
    <definedName name="GE" localSheetId="5">#REF!</definedName>
    <definedName name="GE" localSheetId="10">#REF!</definedName>
    <definedName name="GE" localSheetId="3">#REF!</definedName>
    <definedName name="GE" localSheetId="7">#REF!</definedName>
    <definedName name="GE">#REF!</definedName>
    <definedName name="GenEnerDlvd" localSheetId="9">'[11]Solar Resource &amp; System Load'!$CI$24</definedName>
    <definedName name="GenEnerDlvd" localSheetId="5">'[11]Solar Resource &amp; System Load'!$CI$24</definedName>
    <definedName name="GenEnerDlvd" localSheetId="10">'[11]Solar Resource &amp; System Load'!$CI$24</definedName>
    <definedName name="GenEnerDlvd" localSheetId="3">'[11]Solar Resource &amp; System Load'!$CI$24</definedName>
    <definedName name="GenEnerDlvd" localSheetId="7">'[11]Solar Resource &amp; System Load'!$CI$24</definedName>
    <definedName name="GenEnerDlvd">'[12]Solar Resource &amp; System Load'!$CI$24</definedName>
    <definedName name="GEO" localSheetId="9">'[41]Pre Evap Rate'!#REF!</definedName>
    <definedName name="GEO" localSheetId="5">'[41]Pre Evap Rate'!#REF!</definedName>
    <definedName name="GEO" localSheetId="10">'[41]Pre Evap Rate'!#REF!</definedName>
    <definedName name="GEO" localSheetId="3">'[41]Pre Evap Rate'!#REF!</definedName>
    <definedName name="GEO" localSheetId="7">'[41]Pre Evap Rate'!#REF!</definedName>
    <definedName name="GEO">'[41]Pre Evap Rate'!#REF!</definedName>
    <definedName name="gFuelAjustmentCharge" localSheetId="9">#REF!</definedName>
    <definedName name="gFuelAjustmentCharge" localSheetId="5">#REF!</definedName>
    <definedName name="gFuelAjustmentCharge" localSheetId="10">#REF!</definedName>
    <definedName name="gFuelAjustmentCharge" localSheetId="3">#REF!</definedName>
    <definedName name="gFuelAjustmentCharge" localSheetId="7">#REF!</definedName>
    <definedName name="gFuelAjustmentCharge">#REF!</definedName>
    <definedName name="gg" localSheetId="9">#REF!</definedName>
    <definedName name="gg" localSheetId="5">#REF!</definedName>
    <definedName name="gg" localSheetId="10">#REF!</definedName>
    <definedName name="gg" localSheetId="3">#REF!</definedName>
    <definedName name="gg" localSheetId="7">#REF!</definedName>
    <definedName name="gg">#REF!</definedName>
    <definedName name="ggg" localSheetId="9">'[1]Elementary School'!#REF!</definedName>
    <definedName name="ggg" localSheetId="5">'[1]Elementary School'!#REF!</definedName>
    <definedName name="ggg" localSheetId="10">'[1]Elementary School'!#REF!</definedName>
    <definedName name="ggg" localSheetId="3">'[1]Elementary School'!#REF!</definedName>
    <definedName name="ggg" localSheetId="7">'[1]Elementary School'!#REF!</definedName>
    <definedName name="ggg">'[1]Elementary School'!#REF!</definedName>
    <definedName name="gKeepTweaks" localSheetId="9">#REF!</definedName>
    <definedName name="gKeepTweaks" localSheetId="5">#REF!</definedName>
    <definedName name="gKeepTweaks" localSheetId="10">#REF!</definedName>
    <definedName name="gKeepTweaks" localSheetId="3">#REF!</definedName>
    <definedName name="gKeepTweaks" localSheetId="7">#REF!</definedName>
    <definedName name="gKeepTweaks">#REF!</definedName>
    <definedName name="gLaborRate" localSheetId="9">#REF!</definedName>
    <definedName name="gLaborRate" localSheetId="5">#REF!</definedName>
    <definedName name="gLaborRate" localSheetId="10">#REF!</definedName>
    <definedName name="gLaborRate" localSheetId="3">#REF!</definedName>
    <definedName name="gLaborRate" localSheetId="7">#REF!</definedName>
    <definedName name="gLaborRate">#REF!</definedName>
    <definedName name="gLampDisposal" localSheetId="9">#REF!</definedName>
    <definedName name="gLampDisposal" localSheetId="5">#REF!</definedName>
    <definedName name="gLampDisposal" localSheetId="10">#REF!</definedName>
    <definedName name="gLampDisposal" localSheetId="3">#REF!</definedName>
    <definedName name="gLampDisposal" localSheetId="7">#REF!</definedName>
    <definedName name="gLampDisposal">#REF!</definedName>
    <definedName name="gLodging" localSheetId="9">#REF!</definedName>
    <definedName name="gLodging" localSheetId="5">#REF!</definedName>
    <definedName name="gLodging" localSheetId="10">#REF!</definedName>
    <definedName name="gLodging" localSheetId="3">#REF!</definedName>
    <definedName name="gLodging" localSheetId="7">#REF!</definedName>
    <definedName name="gLodging">#REF!</definedName>
    <definedName name="gMaintSavings" localSheetId="9">#REF!</definedName>
    <definedName name="gMaintSavings" localSheetId="5">#REF!</definedName>
    <definedName name="gMaintSavings" localSheetId="10">#REF!</definedName>
    <definedName name="gMaintSavings" localSheetId="3">#REF!</definedName>
    <definedName name="gMaintSavings" localSheetId="7">#REF!</definedName>
    <definedName name="gMaintSavings">#REF!</definedName>
    <definedName name="GMF_Boiler" localSheetId="9">#REF!</definedName>
    <definedName name="GMF_Boiler" localSheetId="5">#REF!</definedName>
    <definedName name="GMF_Boiler" localSheetId="10">#REF!</definedName>
    <definedName name="GMF_Boiler" localSheetId="3">#REF!</definedName>
    <definedName name="GMF_Boiler" localSheetId="7">#REF!</definedName>
    <definedName name="GMF_Boiler">#REF!</definedName>
    <definedName name="GMF_Doors" localSheetId="9">#REF!</definedName>
    <definedName name="GMF_Doors" localSheetId="5">#REF!</definedName>
    <definedName name="GMF_Doors" localSheetId="10">#REF!</definedName>
    <definedName name="GMF_Doors" localSheetId="3">#REF!</definedName>
    <definedName name="GMF_Doors" localSheetId="7">#REF!</definedName>
    <definedName name="GMF_Doors">#REF!</definedName>
    <definedName name="gMisc" localSheetId="9">#REF!</definedName>
    <definedName name="gMisc" localSheetId="5">#REF!</definedName>
    <definedName name="gMisc" localSheetId="10">#REF!</definedName>
    <definedName name="gMisc" localSheetId="3">#REF!</definedName>
    <definedName name="gMisc" localSheetId="7">#REF!</definedName>
    <definedName name="gMisc">#REF!</definedName>
    <definedName name="GNPV2" localSheetId="9">#REF!</definedName>
    <definedName name="GNPV2" localSheetId="5">#REF!</definedName>
    <definedName name="GNPV2" localSheetId="10">#REF!</definedName>
    <definedName name="GNPV2" localSheetId="3">#REF!</definedName>
    <definedName name="GNPV2" localSheetId="7">#REF!</definedName>
    <definedName name="GNPV2">#REF!</definedName>
    <definedName name="GNPV3" localSheetId="9">#REF!</definedName>
    <definedName name="GNPV3" localSheetId="5">#REF!</definedName>
    <definedName name="GNPV3" localSheetId="10">#REF!</definedName>
    <definedName name="GNPV3" localSheetId="3">#REF!</definedName>
    <definedName name="GNPV3" localSheetId="7">#REF!</definedName>
    <definedName name="GNPV3">#REF!</definedName>
    <definedName name="gOffPeakCharge" localSheetId="9">#REF!</definedName>
    <definedName name="gOffPeakCharge" localSheetId="5">#REF!</definedName>
    <definedName name="gOffPeakCharge" localSheetId="10">#REF!</definedName>
    <definedName name="gOffPeakCharge" localSheetId="3">#REF!</definedName>
    <definedName name="gOffPeakCharge" localSheetId="7">#REF!</definedName>
    <definedName name="gOffPeakCharge">#REF!</definedName>
    <definedName name="gOnPeakCharge" localSheetId="9">#REF!</definedName>
    <definedName name="gOnPeakCharge" localSheetId="5">#REF!</definedName>
    <definedName name="gOnPeakCharge" localSheetId="10">#REF!</definedName>
    <definedName name="gOnPeakCharge" localSheetId="3">#REF!</definedName>
    <definedName name="gOnPeakCharge" localSheetId="7">#REF!</definedName>
    <definedName name="gOnPeakCharge">#REF!</definedName>
    <definedName name="gPM" localSheetId="9">#REF!</definedName>
    <definedName name="gPM" localSheetId="5">#REF!</definedName>
    <definedName name="gPM" localSheetId="10">#REF!</definedName>
    <definedName name="gPM" localSheetId="3">#REF!</definedName>
    <definedName name="gPM" localSheetId="7">#REF!</definedName>
    <definedName name="gPM">#REF!</definedName>
    <definedName name="gRemove" localSheetId="9">#REF!</definedName>
    <definedName name="gRemove" localSheetId="5">#REF!</definedName>
    <definedName name="gRemove" localSheetId="10">#REF!</definedName>
    <definedName name="gRemove" localSheetId="3">#REF!</definedName>
    <definedName name="gRemove" localSheetId="7">#REF!</definedName>
    <definedName name="gRemove">#REF!</definedName>
    <definedName name="Gross_Margin_Target" localSheetId="9">#REF!</definedName>
    <definedName name="Gross_Margin_Target" localSheetId="5">#REF!</definedName>
    <definedName name="Gross_Margin_Target" localSheetId="10">#REF!</definedName>
    <definedName name="Gross_Margin_Target" localSheetId="3">#REF!</definedName>
    <definedName name="Gross_Margin_Target" localSheetId="7">#REF!</definedName>
    <definedName name="Gross_Margin_Target">#REF!</definedName>
    <definedName name="gTotalEnergySavings" localSheetId="9">#REF!</definedName>
    <definedName name="gTotalEnergySavings" localSheetId="5">#REF!</definedName>
    <definedName name="gTotalEnergySavings" localSheetId="10">#REF!</definedName>
    <definedName name="gTotalEnergySavings" localSheetId="3">#REF!</definedName>
    <definedName name="gTotalEnergySavings" localSheetId="7">#REF!</definedName>
    <definedName name="gTotalEnergySavings">#REF!</definedName>
    <definedName name="gTotalLabor" localSheetId="9">#REF!</definedName>
    <definedName name="gTotalLabor" localSheetId="5">#REF!</definedName>
    <definedName name="gTotalLabor" localSheetId="10">#REF!</definedName>
    <definedName name="gTotalLabor" localSheetId="3">#REF!</definedName>
    <definedName name="gTotalLabor" localSheetId="7">#REF!</definedName>
    <definedName name="gTotalLabor">#REF!</definedName>
    <definedName name="gTotalMaterial" localSheetId="9">#REF!</definedName>
    <definedName name="gTotalMaterial" localSheetId="5">#REF!</definedName>
    <definedName name="gTotalMaterial" localSheetId="10">#REF!</definedName>
    <definedName name="gTotalMaterial" localSheetId="3">#REF!</definedName>
    <definedName name="gTotalMaterial" localSheetId="7">#REF!</definedName>
    <definedName name="gTotalMaterial">#REF!</definedName>
    <definedName name="gTravel" localSheetId="9">#REF!</definedName>
    <definedName name="gTravel" localSheetId="5">#REF!</definedName>
    <definedName name="gTravel" localSheetId="10">#REF!</definedName>
    <definedName name="gTravel" localSheetId="3">#REF!</definedName>
    <definedName name="gTravel" localSheetId="7">#REF!</definedName>
    <definedName name="gTravel">#REF!</definedName>
    <definedName name="h" localSheetId="9">#REF!</definedName>
    <definedName name="h" localSheetId="5">#REF!</definedName>
    <definedName name="h" localSheetId="10">#REF!</definedName>
    <definedName name="h" localSheetId="3">#REF!</definedName>
    <definedName name="h" localSheetId="7">#REF!</definedName>
    <definedName name="h">#REF!</definedName>
    <definedName name="HAE" localSheetId="9">#REF!</definedName>
    <definedName name="HAE" localSheetId="5">#REF!</definedName>
    <definedName name="HAE" localSheetId="10">#REF!</definedName>
    <definedName name="HAE" localSheetId="3">#REF!</definedName>
    <definedName name="HAE" localSheetId="7">#REF!</definedName>
    <definedName name="HAE">#REF!</definedName>
    <definedName name="HAJ" localSheetId="9">#REF!</definedName>
    <definedName name="HAJ" localSheetId="5">#REF!</definedName>
    <definedName name="HAJ" localSheetId="10">#REF!</definedName>
    <definedName name="HAJ" localSheetId="3">#REF!</definedName>
    <definedName name="HAJ" localSheetId="7">#REF!</definedName>
    <definedName name="HAJ">#REF!</definedName>
    <definedName name="HEADER" localSheetId="9">#REF!</definedName>
    <definedName name="HEADER" localSheetId="5">#REF!</definedName>
    <definedName name="HEADER" localSheetId="10">#REF!</definedName>
    <definedName name="HEADER" localSheetId="3">#REF!</definedName>
    <definedName name="HEADER" localSheetId="7">#REF!</definedName>
    <definedName name="HEADER">#REF!</definedName>
    <definedName name="heat" localSheetId="9">[42]Summary!$N$48</definedName>
    <definedName name="heat" localSheetId="5">[42]Summary!$N$48</definedName>
    <definedName name="heat" localSheetId="10">[42]Summary!$N$48</definedName>
    <definedName name="heat" localSheetId="3">[42]Summary!$N$48</definedName>
    <definedName name="heat" localSheetId="7">[42]Summary!$N$48</definedName>
    <definedName name="heat">[42]Summary!$N$48</definedName>
    <definedName name="HEATCOST">[13]JC_CALC.XLS!$A$89</definedName>
    <definedName name="HeatingEff" localSheetId="9">[19]Summary!$N$48</definedName>
    <definedName name="HeatingEff" localSheetId="5">[19]Summary!$N$48</definedName>
    <definedName name="HeatingEff" localSheetId="10">[19]Summary!$N$48</definedName>
    <definedName name="HeatingEff" localSheetId="3">[19]Summary!$N$48</definedName>
    <definedName name="HeatingEff" localSheetId="7">[19]Summary!$N$48</definedName>
    <definedName name="HeatingEff">[19]Summary!$N$48</definedName>
    <definedName name="HeatingValue" localSheetId="9">#REF!</definedName>
    <definedName name="HeatingValue" localSheetId="5">#REF!</definedName>
    <definedName name="HeatingValue" localSheetId="10">#REF!</definedName>
    <definedName name="HeatingValue" localSheetId="3">#REF!</definedName>
    <definedName name="HeatingValue" localSheetId="7">#REF!</definedName>
    <definedName name="HeatingValue">#REF!</definedName>
    <definedName name="HEIGHT" localSheetId="9">'[14]17-Pool Heater'!#REF!</definedName>
    <definedName name="HEIGHT" localSheetId="5">'[14]17-Pool Heater'!#REF!</definedName>
    <definedName name="HEIGHT" localSheetId="10">'[14]17-Pool Heater'!#REF!</definedName>
    <definedName name="HEIGHT" localSheetId="3">'[14]17-Pool Heater'!#REF!</definedName>
    <definedName name="HEIGHT" localSheetId="7">'[14]17-Pool Heater'!#REF!</definedName>
    <definedName name="HEIGHT">'[15]17-Pool Heater'!#REF!</definedName>
    <definedName name="hh" localSheetId="9">#REF!</definedName>
    <definedName name="hh" localSheetId="5">#REF!</definedName>
    <definedName name="hh" localSheetId="10">#REF!</definedName>
    <definedName name="hh" localSheetId="3">#REF!</definedName>
    <definedName name="hh" localSheetId="7">#REF!</definedName>
    <definedName name="hh">#REF!</definedName>
    <definedName name="hhhh" localSheetId="9" hidden="1">#REF!</definedName>
    <definedName name="hhhh" localSheetId="5" hidden="1">#REF!</definedName>
    <definedName name="hhhh" localSheetId="10" hidden="1">#REF!</definedName>
    <definedName name="hhhh" localSheetId="3" hidden="1">#REF!</definedName>
    <definedName name="hhhh" localSheetId="7" hidden="1">#REF!</definedName>
    <definedName name="hhhh" hidden="1">#REF!</definedName>
    <definedName name="HHPY">[13]JC_CALC.XLS!$P$8</definedName>
    <definedName name="HideGHGoffgridCUS" localSheetId="9">'[11]GHG Analysis'!$A$8:$A$9,'[11]GHG Analysis'!$A$12:$A$17,'[11]GHG Analysis'!$A$51:$A$52,'[11]GHG Analysis'!$A$77:$A$82</definedName>
    <definedName name="HideGHGoffgridCUS" localSheetId="5">'[11]GHG Analysis'!$A$8:$A$9,'[11]GHG Analysis'!$A$12:$A$17,'[11]GHG Analysis'!$A$51:$A$52,'[11]GHG Analysis'!$A$77:$A$82</definedName>
    <definedName name="HideGHGoffgridCUS" localSheetId="10">'[11]GHG Analysis'!$A$8:$A$9,'[11]GHG Analysis'!$A$12:$A$17,'[11]GHG Analysis'!$A$51:$A$52,'[11]GHG Analysis'!$A$77:$A$82</definedName>
    <definedName name="HideGHGoffgridCUS" localSheetId="3">'[11]GHG Analysis'!$A$8:$A$9,'[11]GHG Analysis'!$A$12:$A$17,'[11]GHG Analysis'!$A$51:$A$52,'[11]GHG Analysis'!$A$77:$A$82</definedName>
    <definedName name="HideGHGoffgridCUS" localSheetId="7">'[11]GHG Analysis'!$A$8:$A$9,'[11]GHG Analysis'!$A$12:$A$17,'[11]GHG Analysis'!$A$51:$A$52,'[11]GHG Analysis'!$A$77:$A$82</definedName>
    <definedName name="HideGHGoffgridCUS">'[12]GHG Analysis'!$A$8:$A$9,'[12]GHG Analysis'!$A$12:$A$17,'[12]GHG Analysis'!$A$51:$A$52,'[12]GHG Analysis'!$A$77:$A$82</definedName>
    <definedName name="HideGHGoffgridSTD" localSheetId="9">'[11]GHG Analysis'!$A$10:$A$17,'[11]GHG Analysis'!$A$51:$A$52,'[11]GHG Analysis'!$A$77:$A$80</definedName>
    <definedName name="HideGHGoffgridSTD" localSheetId="5">'[11]GHG Analysis'!$A$10:$A$17,'[11]GHG Analysis'!$A$51:$A$52,'[11]GHG Analysis'!$A$77:$A$80</definedName>
    <definedName name="HideGHGoffgridSTD" localSheetId="10">'[11]GHG Analysis'!$A$10:$A$17,'[11]GHG Analysis'!$A$51:$A$52,'[11]GHG Analysis'!$A$77:$A$80</definedName>
    <definedName name="HideGHGoffgridSTD" localSheetId="3">'[11]GHG Analysis'!$A$10:$A$17,'[11]GHG Analysis'!$A$51:$A$52,'[11]GHG Analysis'!$A$77:$A$80</definedName>
    <definedName name="HideGHGoffgridSTD" localSheetId="7">'[11]GHG Analysis'!$A$10:$A$17,'[11]GHG Analysis'!$A$51:$A$52,'[11]GHG Analysis'!$A$77:$A$80</definedName>
    <definedName name="HideGHGoffgridSTD">'[12]GHG Analysis'!$A$10:$A$17,'[12]GHG Analysis'!$A$51:$A$52,'[12]GHG Analysis'!$A$77:$A$80</definedName>
    <definedName name="HideGHGongridCUS" localSheetId="9">'[11]GHG Analysis'!$A$12:$A$28,'[11]GHG Analysis'!$A$8:$A$9,'[11]GHG Analysis'!$A$51:$A$52,'[11]GHG Analysis'!$A$77:$A$82</definedName>
    <definedName name="HideGHGongridCUS" localSheetId="5">'[11]GHG Analysis'!$A$12:$A$28,'[11]GHG Analysis'!$A$8:$A$9,'[11]GHG Analysis'!$A$51:$A$52,'[11]GHG Analysis'!$A$77:$A$82</definedName>
    <definedName name="HideGHGongridCUS" localSheetId="10">'[11]GHG Analysis'!$A$12:$A$28,'[11]GHG Analysis'!$A$8:$A$9,'[11]GHG Analysis'!$A$51:$A$52,'[11]GHG Analysis'!$A$77:$A$82</definedName>
    <definedName name="HideGHGongridCUS" localSheetId="3">'[11]GHG Analysis'!$A$12:$A$28,'[11]GHG Analysis'!$A$8:$A$9,'[11]GHG Analysis'!$A$51:$A$52,'[11]GHG Analysis'!$A$77:$A$82</definedName>
    <definedName name="HideGHGongridCUS" localSheetId="7">'[11]GHG Analysis'!$A$12:$A$28,'[11]GHG Analysis'!$A$8:$A$9,'[11]GHG Analysis'!$A$51:$A$52,'[11]GHG Analysis'!$A$77:$A$82</definedName>
    <definedName name="HideGHGongridCUS">'[12]GHG Analysis'!$A$12:$A$28,'[12]GHG Analysis'!$A$8:$A$9,'[12]GHG Analysis'!$A$51:$A$52,'[12]GHG Analysis'!$A$77:$A$82</definedName>
    <definedName name="HideGHGongridSTD" localSheetId="9">'[11]GHG Analysis'!$A$10:$A$17,'[11]GHG Analysis'!$A$30:$A$40,'[11]GHG Analysis'!$A$51:$A$52,'[11]GHG Analysis'!$A$77:$A$80,'[11]GHG Analysis'!$A$86:$A$87</definedName>
    <definedName name="HideGHGongridSTD" localSheetId="5">'[11]GHG Analysis'!$A$10:$A$17,'[11]GHG Analysis'!$A$30:$A$40,'[11]GHG Analysis'!$A$51:$A$52,'[11]GHG Analysis'!$A$77:$A$80,'[11]GHG Analysis'!$A$86:$A$87</definedName>
    <definedName name="HideGHGongridSTD" localSheetId="10">'[11]GHG Analysis'!$A$10:$A$17,'[11]GHG Analysis'!$A$30:$A$40,'[11]GHG Analysis'!$A$51:$A$52,'[11]GHG Analysis'!$A$77:$A$80,'[11]GHG Analysis'!$A$86:$A$87</definedName>
    <definedName name="HideGHGongridSTD" localSheetId="3">'[11]GHG Analysis'!$A$10:$A$17,'[11]GHG Analysis'!$A$30:$A$40,'[11]GHG Analysis'!$A$51:$A$52,'[11]GHG Analysis'!$A$77:$A$80,'[11]GHG Analysis'!$A$86:$A$87</definedName>
    <definedName name="HideGHGongridSTD" localSheetId="7">'[11]GHG Analysis'!$A$10:$A$17,'[11]GHG Analysis'!$A$30:$A$40,'[11]GHG Analysis'!$A$51:$A$52,'[11]GHG Analysis'!$A$77:$A$80,'[11]GHG Analysis'!$A$86:$A$87</definedName>
    <definedName name="HideGHGongridSTD">'[12]GHG Analysis'!$A$10:$A$17,'[12]GHG Analysis'!$A$30:$A$40,'[12]GHG Analysis'!$A$51:$A$52,'[12]GHG Analysis'!$A$77:$A$80,'[12]GHG Analysis'!$A$86:$A$87</definedName>
    <definedName name="HideGHGopensht1" localSheetId="9">'[11]GHG Analysis'!$A$5:$A$7,'[11]GHG Analysis'!$A$91:$A$92,'[11]GHG Analysis'!$A$117:$A$122,'[11]GHG Analysis'!$A$125:$A$130</definedName>
    <definedName name="HideGHGopensht1" localSheetId="5">'[11]GHG Analysis'!$A$5:$A$7,'[11]GHG Analysis'!$A$91:$A$92,'[11]GHG Analysis'!$A$117:$A$122,'[11]GHG Analysis'!$A$125:$A$130</definedName>
    <definedName name="HideGHGopensht1" localSheetId="10">'[11]GHG Analysis'!$A$5:$A$7,'[11]GHG Analysis'!$A$91:$A$92,'[11]GHG Analysis'!$A$117:$A$122,'[11]GHG Analysis'!$A$125:$A$130</definedName>
    <definedName name="HideGHGopensht1" localSheetId="3">'[11]GHG Analysis'!$A$5:$A$7,'[11]GHG Analysis'!$A$91:$A$92,'[11]GHG Analysis'!$A$117:$A$122,'[11]GHG Analysis'!$A$125:$A$130</definedName>
    <definedName name="HideGHGopensht1" localSheetId="7">'[11]GHG Analysis'!$A$5:$A$7,'[11]GHG Analysis'!$A$91:$A$92,'[11]GHG Analysis'!$A$117:$A$122,'[11]GHG Analysis'!$A$125:$A$130</definedName>
    <definedName name="HideGHGopensht1">'[12]GHG Analysis'!$A$5:$A$7,'[12]GHG Analysis'!$A$91:$A$92,'[12]GHG Analysis'!$A$117:$A$122,'[12]GHG Analysis'!$A$125:$A$130</definedName>
    <definedName name="HideGHGopensht2" localSheetId="9">'[11]GHG Analysis'!$A$93:$A$116,'[11]GHG Analysis'!$A$123:$A$124</definedName>
    <definedName name="HideGHGopensht2" localSheetId="5">'[11]GHG Analysis'!$A$93:$A$116,'[11]GHG Analysis'!$A$123:$A$124</definedName>
    <definedName name="HideGHGopensht2" localSheetId="10">'[11]GHG Analysis'!$A$93:$A$116,'[11]GHG Analysis'!$A$123:$A$124</definedName>
    <definedName name="HideGHGopensht2" localSheetId="3">'[11]GHG Analysis'!$A$93:$A$116,'[11]GHG Analysis'!$A$123:$A$124</definedName>
    <definedName name="HideGHGopensht2" localSheetId="7">'[11]GHG Analysis'!$A$93:$A$116,'[11]GHG Analysis'!$A$123:$A$124</definedName>
    <definedName name="HideGHGopensht2">'[12]GHG Analysis'!$A$93:$A$116,'[12]GHG Analysis'!$A$123:$A$124</definedName>
    <definedName name="historical" localSheetId="9">#REF!</definedName>
    <definedName name="historical" localSheetId="5">#REF!</definedName>
    <definedName name="historical" localSheetId="10">#REF!</definedName>
    <definedName name="historical" localSheetId="3">#REF!</definedName>
    <definedName name="historical" localSheetId="7">#REF!</definedName>
    <definedName name="historical">#REF!</definedName>
    <definedName name="HLAB" localSheetId="9">'[16]Chill Ops Costs FY05'!#REF!</definedName>
    <definedName name="HLAB" localSheetId="5">'[16]Chill Ops Costs FY05'!#REF!</definedName>
    <definedName name="HLAB" localSheetId="10">'[16]Chill Ops Costs FY05'!#REF!</definedName>
    <definedName name="HLAB" localSheetId="3">'[16]Chill Ops Costs FY05'!#REF!</definedName>
    <definedName name="HLAB" localSheetId="7">'[16]Chill Ops Costs FY05'!#REF!</definedName>
    <definedName name="HLAB">'[16]Chill Ops Costs FY05'!#REF!</definedName>
    <definedName name="home" localSheetId="9">#REF!</definedName>
    <definedName name="home" localSheetId="5">#REF!</definedName>
    <definedName name="home" localSheetId="10">#REF!</definedName>
    <definedName name="home" localSheetId="3">#REF!</definedName>
    <definedName name="home" localSheetId="7">#REF!</definedName>
    <definedName name="home">#REF!</definedName>
    <definedName name="hours" localSheetId="9">#REF!</definedName>
    <definedName name="hours" localSheetId="5">#REF!</definedName>
    <definedName name="hours" localSheetId="10">#REF!</definedName>
    <definedName name="hours" localSheetId="3">#REF!</definedName>
    <definedName name="hours" localSheetId="7">#REF!</definedName>
    <definedName name="hours">#REF!</definedName>
    <definedName name="HP" localSheetId="9">#REF!</definedName>
    <definedName name="HP" localSheetId="5">#REF!</definedName>
    <definedName name="HP" localSheetId="10">#REF!</definedName>
    <definedName name="HP" localSheetId="3">#REF!</definedName>
    <definedName name="HP" localSheetId="7">#REF!</definedName>
    <definedName name="HP">#REF!</definedName>
    <definedName name="HPEFFN" localSheetId="9">#REF!</definedName>
    <definedName name="HPEFFN" localSheetId="5">#REF!</definedName>
    <definedName name="HPEFFN" localSheetId="10">#REF!</definedName>
    <definedName name="HPEFFN" localSheetId="3">#REF!</definedName>
    <definedName name="HPEFFN" localSheetId="7">#REF!</definedName>
    <definedName name="HPEFFN">#REF!</definedName>
    <definedName name="hpw">[43]Assumptions!$N$31</definedName>
    <definedName name="hpwCopierOn">[43]Assumptions!$N$21</definedName>
    <definedName name="hpwCopierPM">[43]Assumptions!$N$22</definedName>
    <definedName name="hpwFaxOn">[43]Assumptions!$N$24</definedName>
    <definedName name="hpwFaxPM">[43]Assumptions!$N$25</definedName>
    <definedName name="hpwPCon">[43]Assumptions!$N$14</definedName>
    <definedName name="hpwPCthinking">[43]Assumptions!$N$15</definedName>
    <definedName name="hpwPCused">[43]Assumptions!$N$13</definedName>
    <definedName name="hpwPrinterOn">[43]Assumptions!$N$18</definedName>
    <definedName name="hpwPrinterPM">[43]Assumptions!$N$19</definedName>
    <definedName name="HRatio1" localSheetId="9">#REF!</definedName>
    <definedName name="HRatio1" localSheetId="5">#REF!</definedName>
    <definedName name="HRatio1" localSheetId="10">#REF!</definedName>
    <definedName name="HRatio1" localSheetId="3">#REF!</definedName>
    <definedName name="HRatio1" localSheetId="7">#REF!</definedName>
    <definedName name="HRatio1">#REF!</definedName>
    <definedName name="HRatio2" localSheetId="9">#REF!</definedName>
    <definedName name="HRatio2" localSheetId="5">#REF!</definedName>
    <definedName name="HRatio2" localSheetId="10">#REF!</definedName>
    <definedName name="HRatio2" localSheetId="3">#REF!</definedName>
    <definedName name="HRatio2" localSheetId="7">#REF!</definedName>
    <definedName name="HRatio2">#REF!</definedName>
    <definedName name="HRatio3" localSheetId="9">[10]Mixing!$D$16</definedName>
    <definedName name="HRatio3" localSheetId="5">[10]Mixing!$D$16</definedName>
    <definedName name="HRatio3" localSheetId="10">[10]Mixing!$D$16</definedName>
    <definedName name="HRatio3" localSheetId="3">[10]Mixing!$D$16</definedName>
    <definedName name="HRatio3" localSheetId="7">[10]Mixing!$D$16</definedName>
    <definedName name="HRatio3">[10]Mixing!$D$16</definedName>
    <definedName name="HRatioadp" localSheetId="9">'[10]Clg Coil-BP'!$F$10</definedName>
    <definedName name="HRatioadp" localSheetId="5">'[10]Clg Coil-BP'!$F$10</definedName>
    <definedName name="HRatioadp" localSheetId="10">'[10]Clg Coil-BP'!$F$10</definedName>
    <definedName name="HRatioadp" localSheetId="3">'[10]Clg Coil-BP'!$F$10</definedName>
    <definedName name="HRatioadp" localSheetId="7">'[10]Clg Coil-BP'!$F$10</definedName>
    <definedName name="HRatioadp">'[10]Clg Coil-BP'!$F$10</definedName>
    <definedName name="HRatioHin" localSheetId="9">'[10]Htg Coil'!$B$15</definedName>
    <definedName name="HRatioHin" localSheetId="5">'[10]Htg Coil'!$B$15</definedName>
    <definedName name="HRatioHin" localSheetId="10">'[10]Htg Coil'!$B$15</definedName>
    <definedName name="HRatioHin" localSheetId="3">'[10]Htg Coil'!$B$15</definedName>
    <definedName name="HRatioHin" localSheetId="7">'[10]Htg Coil'!$B$15</definedName>
    <definedName name="HRatioHin">'[10]Htg Coil'!$B$15</definedName>
    <definedName name="HRatioHout" localSheetId="9">'[10]Htg Coil'!$F$10</definedName>
    <definedName name="HRatioHout" localSheetId="5">'[10]Htg Coil'!$F$10</definedName>
    <definedName name="HRatioHout" localSheetId="10">'[10]Htg Coil'!$F$10</definedName>
    <definedName name="HRatioHout" localSheetId="3">'[10]Htg Coil'!$F$10</definedName>
    <definedName name="HRatioHout" localSheetId="7">'[10]Htg Coil'!$F$10</definedName>
    <definedName name="HRatioHout">'[10]Htg Coil'!$F$10</definedName>
    <definedName name="HRatioHru" localSheetId="9">'[10]Heat Rec''ry'!$H$18</definedName>
    <definedName name="HRatioHru" localSheetId="5">'[10]Heat Rec''ry'!$H$18</definedName>
    <definedName name="HRatioHru" localSheetId="10">'[10]Heat Rec''ry'!$H$18</definedName>
    <definedName name="HRatioHru" localSheetId="3">'[10]Heat Rec''ry'!$H$18</definedName>
    <definedName name="HRatioHru" localSheetId="7">'[10]Heat Rec''ry'!$H$18</definedName>
    <definedName name="HRatioHru">'[10]Heat Rec''ry'!$H$18</definedName>
    <definedName name="HRatioIn" localSheetId="9">'[10]Clg-Coil'!$B$15</definedName>
    <definedName name="HRatioIn" localSheetId="5">'[10]Clg-Coil'!$B$15</definedName>
    <definedName name="HRatioIn" localSheetId="10">'[10]Clg-Coil'!$B$15</definedName>
    <definedName name="HRatioIn" localSheetId="3">'[10]Clg-Coil'!$B$15</definedName>
    <definedName name="HRatioIn" localSheetId="7">'[10]Clg-Coil'!$B$15</definedName>
    <definedName name="HRatioIn">'[10]Clg-Coil'!$B$15</definedName>
    <definedName name="HRatioNet" localSheetId="9">'[10]Clg-Coil'!$I$15</definedName>
    <definedName name="HRatioNet" localSheetId="5">'[10]Clg-Coil'!$I$15</definedName>
    <definedName name="HRatioNet" localSheetId="10">'[10]Clg-Coil'!$I$15</definedName>
    <definedName name="HRatioNet" localSheetId="3">'[10]Clg-Coil'!$I$15</definedName>
    <definedName name="HRatioNet" localSheetId="7">'[10]Clg-Coil'!$I$15</definedName>
    <definedName name="HRatioNet">'[10]Clg-Coil'!$I$15</definedName>
    <definedName name="HRatioOA" localSheetId="9">'[10]Htg Coil'!$J$6</definedName>
    <definedName name="HRatioOA" localSheetId="5">'[10]Htg Coil'!$J$6</definedName>
    <definedName name="HRatioOA" localSheetId="10">'[10]Htg Coil'!$J$6</definedName>
    <definedName name="HRatioOA" localSheetId="3">'[10]Htg Coil'!$J$6</definedName>
    <definedName name="HRatioOA" localSheetId="7">'[10]Htg Coil'!$J$6</definedName>
    <definedName name="HRatioOA">'[10]Htg Coil'!$J$6</definedName>
    <definedName name="HRatioOut" localSheetId="9">'[10]Heat Rec''ry'!$E$18</definedName>
    <definedName name="HRatioOut" localSheetId="5">'[10]Heat Rec''ry'!$E$18</definedName>
    <definedName name="HRatioOut" localSheetId="10">'[10]Heat Rec''ry'!$E$18</definedName>
    <definedName name="HRatioOut" localSheetId="3">'[10]Heat Rec''ry'!$E$18</definedName>
    <definedName name="HRatioOut" localSheetId="7">'[10]Heat Rec''ry'!$E$18</definedName>
    <definedName name="HRatioOut">'[10]Heat Rec''ry'!$E$18</definedName>
    <definedName name="HRatioRet" localSheetId="9">'[10]Clg Coil-BP'!$B$16</definedName>
    <definedName name="HRatioRet" localSheetId="5">'[10]Clg Coil-BP'!$B$16</definedName>
    <definedName name="HRatioRet" localSheetId="10">'[10]Clg Coil-BP'!$B$16</definedName>
    <definedName name="HRatioRet" localSheetId="3">'[10]Clg Coil-BP'!$B$16</definedName>
    <definedName name="HRatioRet" localSheetId="7">'[10]Clg Coil-BP'!$B$16</definedName>
    <definedName name="HRatioRet">'[10]Clg Coil-BP'!$B$16</definedName>
    <definedName name="HRatioRm" localSheetId="9">'[10]Heat Rec''ry'!$B$18</definedName>
    <definedName name="HRatioRm" localSheetId="5">'[10]Heat Rec''ry'!$B$18</definedName>
    <definedName name="HRatioRm" localSheetId="10">'[10]Heat Rec''ry'!$B$18</definedName>
    <definedName name="HRatioRm" localSheetId="3">'[10]Heat Rec''ry'!$B$18</definedName>
    <definedName name="HRatioRm" localSheetId="7">'[10]Heat Rec''ry'!$B$18</definedName>
    <definedName name="HRatioRm">'[10]Heat Rec''ry'!$B$18</definedName>
    <definedName name="HRatioSup" localSheetId="9">'[10]Clg Coil-BP'!$F$16</definedName>
    <definedName name="HRatioSup" localSheetId="5">'[10]Clg Coil-BP'!$F$16</definedName>
    <definedName name="HRatioSup" localSheetId="10">'[10]Clg Coil-BP'!$F$16</definedName>
    <definedName name="HRatioSup" localSheetId="3">'[10]Clg Coil-BP'!$F$16</definedName>
    <definedName name="HRatioSup" localSheetId="7">'[10]Clg Coil-BP'!$F$16</definedName>
    <definedName name="HRatioSup">'[10]Clg Coil-BP'!$F$16</definedName>
    <definedName name="HRBE" localSheetId="9">#REF!</definedName>
    <definedName name="HRBE" localSheetId="5">#REF!</definedName>
    <definedName name="HRBE" localSheetId="10">#REF!</definedName>
    <definedName name="HRBE" localSheetId="3">#REF!</definedName>
    <definedName name="HRBE" localSheetId="7">#REF!</definedName>
    <definedName name="HRBE">#REF!</definedName>
    <definedName name="HREB" localSheetId="9">#REF!</definedName>
    <definedName name="HREB" localSheetId="5">#REF!</definedName>
    <definedName name="HREB" localSheetId="10">#REF!</definedName>
    <definedName name="HREB" localSheetId="3">#REF!</definedName>
    <definedName name="HREB" localSheetId="7">#REF!</definedName>
    <definedName name="HREB">#REF!</definedName>
    <definedName name="HRSOCC">[13]JC_CALC.XLS!$A$52</definedName>
    <definedName name="hrswkSetback" localSheetId="9">#REF!</definedName>
    <definedName name="hrswkSetback" localSheetId="5">#REF!</definedName>
    <definedName name="hrswkSetback" localSheetId="10">#REF!</definedName>
    <definedName name="hrswkSetback" localSheetId="3">#REF!</definedName>
    <definedName name="hrswkSetback" localSheetId="7">#REF!</definedName>
    <definedName name="hrswkSetback">#REF!</definedName>
    <definedName name="HT" localSheetId="9">[18]JC_CALC.XLS!#REF!</definedName>
    <definedName name="HT" localSheetId="5">[18]JC_CALC.XLS!#REF!</definedName>
    <definedName name="HT" localSheetId="10">[18]JC_CALC.XLS!#REF!</definedName>
    <definedName name="HT" localSheetId="3">[18]JC_CALC.XLS!#REF!</definedName>
    <definedName name="HT" localSheetId="7">[18]JC_CALC.XLS!#REF!</definedName>
    <definedName name="HT">[18]JC_CALC.XLS!#REF!</definedName>
    <definedName name="HTCOSTYR" localSheetId="9">[18]JC_CALC.XLS!#REF!</definedName>
    <definedName name="HTCOSTYR" localSheetId="5">[18]JC_CALC.XLS!#REF!</definedName>
    <definedName name="HTCOSTYR" localSheetId="10">[18]JC_CALC.XLS!#REF!</definedName>
    <definedName name="HTCOSTYR" localSheetId="3">[18]JC_CALC.XLS!#REF!</definedName>
    <definedName name="HTCOSTYR" localSheetId="7">[18]JC_CALC.XLS!#REF!</definedName>
    <definedName name="HTCOSTYR">[18]JC_CALC.XLS!#REF!</definedName>
    <definedName name="HTDEMRT" localSheetId="9">'[44]High Eff. Motors'!#REF!</definedName>
    <definedName name="HTDEMRT" localSheetId="5">'[44]High Eff. Motors'!#REF!</definedName>
    <definedName name="HTDEMRT" localSheetId="10">'[44]High Eff. Motors'!#REF!</definedName>
    <definedName name="HTDEMRT" localSheetId="3">'[44]High Eff. Motors'!#REF!</definedName>
    <definedName name="HTDEMRT" localSheetId="7">'[44]High Eff. Motors'!#REF!</definedName>
    <definedName name="HTDEMRT">'[44]High Eff. Motors'!#REF!</definedName>
    <definedName name="HTSP">[13]JC_CALC.XLS!$A$92</definedName>
    <definedName name="HTSPUNOC">[13]JC_CALC.XLS!$A$93</definedName>
    <definedName name="HVACHRS">[13]JC_CALC.XLS!$A$49</definedName>
    <definedName name="HWHX" localSheetId="9">#REF!</definedName>
    <definedName name="HWHX" localSheetId="5">#REF!</definedName>
    <definedName name="HWHX" localSheetId="10">#REF!</definedName>
    <definedName name="HWHX" localSheetId="3">#REF!</definedName>
    <definedName name="HWHX" localSheetId="7">#REF!</definedName>
    <definedName name="HWHX">#REF!</definedName>
    <definedName name="HWPEFF" localSheetId="9">'[44]High Eff. Motors'!#REF!</definedName>
    <definedName name="HWPEFF" localSheetId="5">'[44]High Eff. Motors'!#REF!</definedName>
    <definedName name="HWPEFF" localSheetId="10">'[44]High Eff. Motors'!#REF!</definedName>
    <definedName name="HWPEFF" localSheetId="3">'[44]High Eff. Motors'!#REF!</definedName>
    <definedName name="HWPEFF" localSheetId="7">'[44]High Eff. Motors'!#REF!</definedName>
    <definedName name="HWPEFF">'[44]High Eff. Motors'!#REF!</definedName>
    <definedName name="HWPHP" localSheetId="9">#REF!</definedName>
    <definedName name="HWPHP" localSheetId="5">#REF!</definedName>
    <definedName name="HWPHP" localSheetId="10">#REF!</definedName>
    <definedName name="HWPHP" localSheetId="3">#REF!</definedName>
    <definedName name="HWPHP" localSheetId="7">#REF!</definedName>
    <definedName name="HWPHP">#REF!</definedName>
    <definedName name="HWPLOAD" localSheetId="9">#REF!</definedName>
    <definedName name="HWPLOAD" localSheetId="5">#REF!</definedName>
    <definedName name="HWPLOAD" localSheetId="10">#REF!</definedName>
    <definedName name="HWPLOAD" localSheetId="3">#REF!</definedName>
    <definedName name="HWPLOAD" localSheetId="7">#REF!</definedName>
    <definedName name="HWPLOAD">#REF!</definedName>
    <definedName name="Infiltration" localSheetId="9">#REF!</definedName>
    <definedName name="Infiltration" localSheetId="5">#REF!</definedName>
    <definedName name="Infiltration" localSheetId="10">#REF!</definedName>
    <definedName name="Infiltration" localSheetId="3">#REF!</definedName>
    <definedName name="Infiltration" localSheetId="7">#REF!</definedName>
    <definedName name="Infiltration">#REF!</definedName>
    <definedName name="InputRange" localSheetId="9">#REF!</definedName>
    <definedName name="InputRange" localSheetId="5">#REF!</definedName>
    <definedName name="InputRange" localSheetId="10">#REF!</definedName>
    <definedName name="InputRange" localSheetId="3">#REF!</definedName>
    <definedName name="InputRange" localSheetId="7">#REF!</definedName>
    <definedName name="InputRange">#REF!</definedName>
    <definedName name="INSTRUCT" localSheetId="9">#REF!</definedName>
    <definedName name="INSTRUCT" localSheetId="5">#REF!</definedName>
    <definedName name="INSTRUCT" localSheetId="10">#REF!</definedName>
    <definedName name="INSTRUCT" localSheetId="3">#REF!</definedName>
    <definedName name="INSTRUCT" localSheetId="7">#REF!</definedName>
    <definedName name="INSTRUCT">#REF!</definedName>
    <definedName name="INSTRUCT_WINDOW" localSheetId="9">#REF!</definedName>
    <definedName name="INSTRUCT_WINDOW" localSheetId="5">#REF!</definedName>
    <definedName name="INSTRUCT_WINDOW" localSheetId="10">#REF!</definedName>
    <definedName name="INSTRUCT_WINDOW" localSheetId="3">#REF!</definedName>
    <definedName name="INSTRUCT_WINDOW" localSheetId="7">#REF!</definedName>
    <definedName name="INSTRUCT_WINDOW">#REF!</definedName>
    <definedName name="JAN">#REF!</definedName>
    <definedName name="JE" localSheetId="9">#REF!</definedName>
    <definedName name="JE" localSheetId="5">#REF!</definedName>
    <definedName name="JE" localSheetId="10">#REF!</definedName>
    <definedName name="JE" localSheetId="3">#REF!</definedName>
    <definedName name="JE" localSheetId="7">#REF!</definedName>
    <definedName name="JE">#REF!</definedName>
    <definedName name="JUL">#REF!</definedName>
    <definedName name="JUN">#REF!</definedName>
    <definedName name="k" localSheetId="9">'[14]17-Pool Heater'!#REF!</definedName>
    <definedName name="k" localSheetId="5">'[14]17-Pool Heater'!#REF!</definedName>
    <definedName name="k" localSheetId="10">'[14]17-Pool Heater'!#REF!</definedName>
    <definedName name="k" localSheetId="3">'[14]17-Pool Heater'!#REF!</definedName>
    <definedName name="k" localSheetId="7">'[14]17-Pool Heater'!#REF!</definedName>
    <definedName name="k">'[15]17-Pool Heater'!#REF!</definedName>
    <definedName name="KENT_CTY" localSheetId="9">'[16]Chill Ops Costs FY05'!#REF!</definedName>
    <definedName name="KENT_CTY" localSheetId="5">'[16]Chill Ops Costs FY05'!#REF!</definedName>
    <definedName name="KENT_CTY" localSheetId="10">'[16]Chill Ops Costs FY05'!#REF!</definedName>
    <definedName name="KENT_CTY" localSheetId="3">'[16]Chill Ops Costs FY05'!#REF!</definedName>
    <definedName name="KENT_CTY" localSheetId="7">'[16]Chill Ops Costs FY05'!#REF!</definedName>
    <definedName name="KENT_CTY">'[16]Chill Ops Costs FY05'!#REF!</definedName>
    <definedName name="kgal" localSheetId="9">#REF!</definedName>
    <definedName name="kgal" localSheetId="5">#REF!</definedName>
    <definedName name="kgal" localSheetId="10">#REF!</definedName>
    <definedName name="kgal" localSheetId="3">#REF!</definedName>
    <definedName name="kgal" localSheetId="7">#REF!</definedName>
    <definedName name="kgal">#REF!</definedName>
    <definedName name="KVal" localSheetId="9">'[1]Elementary School'!#REF!</definedName>
    <definedName name="KVal" localSheetId="5">'[1]Elementary School'!#REF!</definedName>
    <definedName name="KVal" localSheetId="10">'[1]Elementary School'!#REF!</definedName>
    <definedName name="KVal" localSheetId="3">'[1]Elementary School'!#REF!</definedName>
    <definedName name="KVal" localSheetId="7">'[1]Elementary School'!#REF!</definedName>
    <definedName name="KVal">'[1]Elementary School'!#REF!</definedName>
    <definedName name="kW">'[3]Var. Vol. Pump'!$G$102</definedName>
    <definedName name="kw_2" localSheetId="9">'[45]Var. Vol. Pump'!#REF!</definedName>
    <definedName name="kw_2" localSheetId="5">'[45]Var. Vol. Pump'!#REF!</definedName>
    <definedName name="kw_2" localSheetId="10">'[45]Var. Vol. Pump'!#REF!</definedName>
    <definedName name="kw_2" localSheetId="3">'[45]Var. Vol. Pump'!#REF!</definedName>
    <definedName name="kw_2" localSheetId="7">'[45]Var. Vol. Pump'!#REF!</definedName>
    <definedName name="kw_2">'[45]Var. Vol. Pump'!#REF!</definedName>
    <definedName name="kWh" localSheetId="9">#REF!</definedName>
    <definedName name="kWh" localSheetId="5">#REF!</definedName>
    <definedName name="kWh" localSheetId="10">#REF!</definedName>
    <definedName name="kWh" localSheetId="3">#REF!</definedName>
    <definedName name="kWh" localSheetId="7">#REF!</definedName>
    <definedName name="kWh">#REF!</definedName>
    <definedName name="kWhrate">[28]Summary!$I$4</definedName>
    <definedName name="LabMult">[34]CE!$H$4</definedName>
    <definedName name="LaborMultiplier" localSheetId="9">[35]Summary!$N$45</definedName>
    <definedName name="LaborMultiplier" localSheetId="5">[35]Summary!$N$45</definedName>
    <definedName name="LaborMultiplier" localSheetId="10">[35]Summary!$N$45</definedName>
    <definedName name="LaborMultiplier" localSheetId="3">[35]Summary!$N$45</definedName>
    <definedName name="LaborMultiplier" localSheetId="7">[35]Summary!$N$45</definedName>
    <definedName name="LaborMultiplier">[35]Summary!$N$45</definedName>
    <definedName name="Lamp_and_Ballast_Cost_Table" localSheetId="9">'[38]Lighting Inventory'!#REF!</definedName>
    <definedName name="Lamp_and_Ballast_Cost_Table" localSheetId="5">'[38]Lighting Inventory'!#REF!</definedName>
    <definedName name="Lamp_and_Ballast_Cost_Table" localSheetId="10">'[38]Lighting Inventory'!#REF!</definedName>
    <definedName name="Lamp_and_Ballast_Cost_Table" localSheetId="3">'[38]Lighting Inventory'!#REF!</definedName>
    <definedName name="Lamp_and_Ballast_Cost_Table" localSheetId="7">'[38]Lighting Inventory'!#REF!</definedName>
    <definedName name="Lamp_and_Ballast_Cost_Table">'[38]Lighting Inventory'!#REF!</definedName>
    <definedName name="Lamp_Ballast_and_New_Fixture_Codes">'[37]Lamp, Ballast, and New Fixtures'!$A$4:$Q$510</definedName>
    <definedName name="LampCntAfter" localSheetId="9">#REF!</definedName>
    <definedName name="LampCntAfter" localSheetId="5">#REF!</definedName>
    <definedName name="LampCntAfter" localSheetId="10">#REF!</definedName>
    <definedName name="LampCntAfter" localSheetId="3">#REF!</definedName>
    <definedName name="LampCntAfter" localSheetId="7">#REF!</definedName>
    <definedName name="LampCntAfter">#REF!</definedName>
    <definedName name="LampCntBefore" localSheetId="9">#REF!</definedName>
    <definedName name="LampCntBefore" localSheetId="5">#REF!</definedName>
    <definedName name="LampCntBefore" localSheetId="10">#REF!</definedName>
    <definedName name="LampCntBefore" localSheetId="3">#REF!</definedName>
    <definedName name="LampCntBefore" localSheetId="7">#REF!</definedName>
    <definedName name="LampCntBefore">#REF!</definedName>
    <definedName name="LampCostAfter" localSheetId="9">#REF!</definedName>
    <definedName name="LampCostAfter" localSheetId="5">#REF!</definedName>
    <definedName name="LampCostAfter" localSheetId="10">#REF!</definedName>
    <definedName name="LampCostAfter" localSheetId="3">#REF!</definedName>
    <definedName name="LampCostAfter" localSheetId="7">#REF!</definedName>
    <definedName name="LampCostAfter">#REF!</definedName>
    <definedName name="LampCostBefore" localSheetId="9">#REF!</definedName>
    <definedName name="LampCostBefore" localSheetId="5">#REF!</definedName>
    <definedName name="LampCostBefore" localSheetId="10">#REF!</definedName>
    <definedName name="LampCostBefore" localSheetId="3">#REF!</definedName>
    <definedName name="LampCostBefore" localSheetId="7">#REF!</definedName>
    <definedName name="LampCostBefore">#REF!</definedName>
    <definedName name="Lat_deg" localSheetId="9">'[11]Solar Resource &amp; System Load'!$H$5</definedName>
    <definedName name="Lat_deg" localSheetId="5">'[11]Solar Resource &amp; System Load'!$H$5</definedName>
    <definedName name="Lat_deg" localSheetId="10">'[11]Solar Resource &amp; System Load'!$H$5</definedName>
    <definedName name="Lat_deg" localSheetId="3">'[11]Solar Resource &amp; System Load'!$H$5</definedName>
    <definedName name="Lat_deg" localSheetId="7">'[11]Solar Resource &amp; System Load'!$H$5</definedName>
    <definedName name="Lat_deg">'[12]Solar Resource &amp; System Load'!$H$5</definedName>
    <definedName name="LatEff" localSheetId="9">'[10]Heat Rec''ry'!$B$7</definedName>
    <definedName name="LatEff" localSheetId="5">'[10]Heat Rec''ry'!$B$7</definedName>
    <definedName name="LatEff" localSheetId="10">'[10]Heat Rec''ry'!$B$7</definedName>
    <definedName name="LatEff" localSheetId="3">'[10]Heat Rec''ry'!$B$7</definedName>
    <definedName name="LatEff" localSheetId="7">'[10]Heat Rec''ry'!$B$7</definedName>
    <definedName name="LatEff">'[10]Heat Rec''ry'!$B$7</definedName>
    <definedName name="lease" localSheetId="9">#REF!</definedName>
    <definedName name="lease" localSheetId="5">#REF!</definedName>
    <definedName name="lease" localSheetId="10">#REF!</definedName>
    <definedName name="lease" localSheetId="3">#REF!</definedName>
    <definedName name="lease" localSheetId="7">#REF!</definedName>
    <definedName name="lease">#REF!</definedName>
    <definedName name="LF" localSheetId="9">#REF!</definedName>
    <definedName name="LF" localSheetId="5">#REF!</definedName>
    <definedName name="LF" localSheetId="10">#REF!</definedName>
    <definedName name="LF" localSheetId="3">#REF!</definedName>
    <definedName name="LF" localSheetId="7">#REF!</definedName>
    <definedName name="LF">#REF!</definedName>
    <definedName name="LICHT" localSheetId="9">'[16]Chill Ops Costs FY05'!#REF!</definedName>
    <definedName name="LICHT" localSheetId="5">'[16]Chill Ops Costs FY05'!#REF!</definedName>
    <definedName name="LICHT" localSheetId="10">'[16]Chill Ops Costs FY05'!#REF!</definedName>
    <definedName name="LICHT" localSheetId="3">'[16]Chill Ops Costs FY05'!#REF!</definedName>
    <definedName name="LICHT" localSheetId="7">'[16]Chill Ops Costs FY05'!#REF!</definedName>
    <definedName name="LICHT">'[16]Chill Ops Costs FY05'!#REF!</definedName>
    <definedName name="LightTable" localSheetId="9">[46]Light_Table!$A$2:$G$753</definedName>
    <definedName name="LightTable" localSheetId="5">[46]Light_Table!$A$2:$G$753</definedName>
    <definedName name="LightTable" localSheetId="10">[46]Light_Table!$A$2:$G$753</definedName>
    <definedName name="LightTable" localSheetId="3">[46]Light_Table!$A$2:$G$753</definedName>
    <definedName name="LightTable" localSheetId="7">[46]Light_Table!$A$2:$G$753</definedName>
    <definedName name="LightTable">[47]Light_Table!$A$2:$G$753</definedName>
    <definedName name="LightTable1">[23]NYSERDA!$A$1:$G$848</definedName>
    <definedName name="LITEHR" localSheetId="9">#REF!</definedName>
    <definedName name="LITEHR" localSheetId="5">#REF!</definedName>
    <definedName name="LITEHR" localSheetId="10">#REF!</definedName>
    <definedName name="LITEHR" localSheetId="3">#REF!</definedName>
    <definedName name="LITEHR" localSheetId="7">#REF!</definedName>
    <definedName name="LITEHR">#REF!</definedName>
    <definedName name="LITEHRS" localSheetId="9">#REF!</definedName>
    <definedName name="LITEHRS" localSheetId="5">#REF!</definedName>
    <definedName name="LITEHRS" localSheetId="10">#REF!</definedName>
    <definedName name="LITEHRS" localSheetId="3">#REF!</definedName>
    <definedName name="LITEHRS" localSheetId="7">#REF!</definedName>
    <definedName name="LITEHRS">#REF!</definedName>
    <definedName name="LITEHRSPY" localSheetId="9">#REF!</definedName>
    <definedName name="LITEHRSPY" localSheetId="5">#REF!</definedName>
    <definedName name="LITEHRSPY" localSheetId="10">#REF!</definedName>
    <definedName name="LITEHRSPY" localSheetId="3">#REF!</definedName>
    <definedName name="LITEHRSPY" localSheetId="7">#REF!</definedName>
    <definedName name="LITEHRSPY">#REF!</definedName>
    <definedName name="LocWeather" localSheetId="9">'[11]Solar Resource &amp; System Load'!$H$4</definedName>
    <definedName name="LocWeather" localSheetId="5">'[11]Solar Resource &amp; System Load'!$H$4</definedName>
    <definedName name="LocWeather" localSheetId="10">'[11]Solar Resource &amp; System Load'!$H$4</definedName>
    <definedName name="LocWeather" localSheetId="3">'[11]Solar Resource &amp; System Load'!$H$4</definedName>
    <definedName name="LocWeather" localSheetId="7">'[11]Solar Resource &amp; System Load'!$H$4</definedName>
    <definedName name="LocWeather">'[12]Solar Resource &amp; System Load'!$H$4</definedName>
    <definedName name="lrg_door_Infiltration" localSheetId="9">#REF!</definedName>
    <definedName name="lrg_door_Infiltration" localSheetId="5">#REF!</definedName>
    <definedName name="lrg_door_Infiltration" localSheetId="10">#REF!</definedName>
    <definedName name="lrg_door_Infiltration" localSheetId="3">#REF!</definedName>
    <definedName name="lrg_door_Infiltration" localSheetId="7">#REF!</definedName>
    <definedName name="lrg_door_Infiltration">#REF!</definedName>
    <definedName name="LTREDHRS" localSheetId="9">#REF!</definedName>
    <definedName name="LTREDHRS" localSheetId="5">#REF!</definedName>
    <definedName name="LTREDHRS" localSheetId="10">#REF!</definedName>
    <definedName name="LTREDHRS" localSheetId="3">#REF!</definedName>
    <definedName name="LTREDHRS" localSheetId="7">#REF!</definedName>
    <definedName name="LTREDHRS">#REF!</definedName>
    <definedName name="MACROS" localSheetId="9">#REF!</definedName>
    <definedName name="MACROS" localSheetId="5">#REF!</definedName>
    <definedName name="MACROS" localSheetId="10">#REF!</definedName>
    <definedName name="MACROS" localSheetId="3">#REF!</definedName>
    <definedName name="MACROS" localSheetId="7">#REF!</definedName>
    <definedName name="MACROS">#REF!</definedName>
    <definedName name="Maintenance" localSheetId="9" hidden="1">{#N/A,#N/A,FALSE,"Maintenance"}</definedName>
    <definedName name="Maintenance" localSheetId="5" hidden="1">{#N/A,#N/A,FALSE,"Maintenance"}</definedName>
    <definedName name="Maintenance" localSheetId="10" hidden="1">{#N/A,#N/A,FALSE,"Maintenance"}</definedName>
    <definedName name="Maintenance" localSheetId="3" hidden="1">{#N/A,#N/A,FALSE,"Maintenance"}</definedName>
    <definedName name="Maintenance" localSheetId="7" hidden="1">{#N/A,#N/A,FALSE,"Maintenance"}</definedName>
    <definedName name="Maintenance" hidden="1">{#N/A,#N/A,FALSE,"Maintenance"}</definedName>
    <definedName name="MAR">#REF!</definedName>
    <definedName name="MaterialMultiplier" localSheetId="9">[35]Summary!$N$44</definedName>
    <definedName name="MaterialMultiplier" localSheetId="5">[35]Summary!$N$44</definedName>
    <definedName name="MaterialMultiplier" localSheetId="10">[35]Summary!$N$44</definedName>
    <definedName name="MaterialMultiplier" localSheetId="3">[35]Summary!$N$44</definedName>
    <definedName name="MaterialMultiplier" localSheetId="7">[35]Summary!$N$44</definedName>
    <definedName name="MaterialMultiplier">[35]Summary!$N$44</definedName>
    <definedName name="MatMul">[34]CE!$H$3</definedName>
    <definedName name="MAY">#REF!</definedName>
    <definedName name="MC" localSheetId="9">#REF!</definedName>
    <definedName name="MC" localSheetId="5">#REF!</definedName>
    <definedName name="MC" localSheetId="10">#REF!</definedName>
    <definedName name="MC" localSheetId="3">#REF!</definedName>
    <definedName name="MC" localSheetId="7">#REF!</definedName>
    <definedName name="MC">#REF!</definedName>
    <definedName name="MECHANICAL_FLOO" localSheetId="9">[8]A!$I$41</definedName>
    <definedName name="MECHANICAL_FLOO" localSheetId="5">[8]A!$I$41</definedName>
    <definedName name="MECHANICAL_FLOO" localSheetId="10">[8]A!$I$41</definedName>
    <definedName name="MECHANICAL_FLOO" localSheetId="3">[8]A!$I$41</definedName>
    <definedName name="MECHANICAL_FLOO" localSheetId="7">[8]A!$I$41</definedName>
    <definedName name="MECHANICAL_FLOO">[8]A!$I$41</definedName>
    <definedName name="mflow1" localSheetId="9">[10]Mixing!$B$10</definedName>
    <definedName name="mflow1" localSheetId="5">[10]Mixing!$B$10</definedName>
    <definedName name="mflow1" localSheetId="10">[10]Mixing!$B$10</definedName>
    <definedName name="mflow1" localSheetId="3">[10]Mixing!$B$10</definedName>
    <definedName name="mflow1" localSheetId="7">[10]Mixing!$B$10</definedName>
    <definedName name="mflow1">[10]Mixing!$B$10</definedName>
    <definedName name="mflow2" localSheetId="9">[10]Mixing!$F$10</definedName>
    <definedName name="mflow2" localSheetId="5">[10]Mixing!$F$10</definedName>
    <definedName name="mflow2" localSheetId="10">[10]Mixing!$F$10</definedName>
    <definedName name="mflow2" localSheetId="3">[10]Mixing!$F$10</definedName>
    <definedName name="mflow2" localSheetId="7">[10]Mixing!$F$10</definedName>
    <definedName name="mflow2">[10]Mixing!$F$10</definedName>
    <definedName name="mflow3" localSheetId="9">[10]Mixing!$D$13</definedName>
    <definedName name="mflow3" localSheetId="5">[10]Mixing!$D$13</definedName>
    <definedName name="mflow3" localSheetId="10">[10]Mixing!$D$13</definedName>
    <definedName name="mflow3" localSheetId="3">[10]Mixing!$D$13</definedName>
    <definedName name="mflow3" localSheetId="7">[10]Mixing!$D$13</definedName>
    <definedName name="mflow3">[10]Mixing!$D$13</definedName>
    <definedName name="mflowHin" localSheetId="9">'[10]Htg Coil'!$B$6</definedName>
    <definedName name="mflowHin" localSheetId="5">'[10]Htg Coil'!$B$6</definedName>
    <definedName name="mflowHin" localSheetId="10">'[10]Htg Coil'!$B$6</definedName>
    <definedName name="mflowHin" localSheetId="3">'[10]Htg Coil'!$B$6</definedName>
    <definedName name="mflowHin" localSheetId="7">'[10]Htg Coil'!$B$6</definedName>
    <definedName name="mflowHin">'[10]Htg Coil'!$B$6</definedName>
    <definedName name="mflowIn" localSheetId="9">'[10]Clg-Coil'!$F$8</definedName>
    <definedName name="mflowIn" localSheetId="5">'[10]Clg-Coil'!$F$8</definedName>
    <definedName name="mflowIn" localSheetId="10">'[10]Clg-Coil'!$F$8</definedName>
    <definedName name="mflowIn" localSheetId="3">'[10]Clg-Coil'!$F$8</definedName>
    <definedName name="mflowIn" localSheetId="7">'[10]Clg-Coil'!$F$8</definedName>
    <definedName name="mflowIn">'[10]Clg-Coil'!$F$8</definedName>
    <definedName name="mflowOut" localSheetId="9">'[10]Heat Rec''ry'!$B$11</definedName>
    <definedName name="mflowOut" localSheetId="5">'[10]Heat Rec''ry'!$B$11</definedName>
    <definedName name="mflowOut" localSheetId="10">'[10]Heat Rec''ry'!$B$11</definedName>
    <definedName name="mflowOut" localSheetId="3">'[10]Heat Rec''ry'!$B$11</definedName>
    <definedName name="mflowOut" localSheetId="7">'[10]Heat Rec''ry'!$B$11</definedName>
    <definedName name="mflowOut">'[10]Heat Rec''ry'!$B$11</definedName>
    <definedName name="mflowRet" localSheetId="9">'[10]Clg Coil-BP'!$F$4</definedName>
    <definedName name="mflowRet" localSheetId="5">'[10]Clg Coil-BP'!$F$4</definedName>
    <definedName name="mflowRet" localSheetId="10">'[10]Clg Coil-BP'!$F$4</definedName>
    <definedName name="mflowRet" localSheetId="3">'[10]Clg Coil-BP'!$F$4</definedName>
    <definedName name="mflowRet" localSheetId="7">'[10]Clg Coil-BP'!$F$4</definedName>
    <definedName name="mflowRet">'[10]Clg Coil-BP'!$F$4</definedName>
    <definedName name="mfluid" localSheetId="9">'[10]Htg Coil'!$J$17</definedName>
    <definedName name="mfluid" localSheetId="5">'[10]Htg Coil'!$J$17</definedName>
    <definedName name="mfluid" localSheetId="10">'[10]Htg Coil'!$J$17</definedName>
    <definedName name="mfluid" localSheetId="3">'[10]Htg Coil'!$J$17</definedName>
    <definedName name="mfluid" localSheetId="7">'[10]Htg Coil'!$J$17</definedName>
    <definedName name="mfluid">'[10]Htg Coil'!$J$17</definedName>
    <definedName name="Mlb" localSheetId="9">#REF!</definedName>
    <definedName name="Mlb" localSheetId="5">#REF!</definedName>
    <definedName name="Mlb" localSheetId="10">#REF!</definedName>
    <definedName name="Mlb" localSheetId="3">#REF!</definedName>
    <definedName name="Mlb" localSheetId="7">#REF!</definedName>
    <definedName name="Mlb">#REF!</definedName>
    <definedName name="MODEL" localSheetId="9">'[41]Pre Evap Rate'!#REF!</definedName>
    <definedName name="MODEL" localSheetId="5">'[41]Pre Evap Rate'!#REF!</definedName>
    <definedName name="MODEL" localSheetId="10">'[41]Pre Evap Rate'!#REF!</definedName>
    <definedName name="MODEL" localSheetId="3">'[41]Pre Evap Rate'!#REF!</definedName>
    <definedName name="MODEL" localSheetId="7">'[41]Pre Evap Rate'!#REF!</definedName>
    <definedName name="MODEL">'[41]Pre Evap Rate'!#REF!</definedName>
    <definedName name="MonFirstWaitTime">[43]Assumptions!$N$4</definedName>
    <definedName name="Monitor_Miser_Energy_Analysis" localSheetId="9">#REF!</definedName>
    <definedName name="Monitor_Miser_Energy_Analysis" localSheetId="5">#REF!</definedName>
    <definedName name="Monitor_Miser_Energy_Analysis" localSheetId="10">#REF!</definedName>
    <definedName name="Monitor_Miser_Energy_Analysis" localSheetId="3">#REF!</definedName>
    <definedName name="Monitor_Miser_Energy_Analysis" localSheetId="7">#REF!</definedName>
    <definedName name="Monitor_Miser_Energy_Analysis">#REF!</definedName>
    <definedName name="MonSecondWaitTime">[43]Assumptions!$N$5</definedName>
    <definedName name="MonthsAnalysed" localSheetId="9">'[11]Solar Resource &amp; System Load'!$R$2</definedName>
    <definedName name="MonthsAnalysed" localSheetId="5">'[11]Solar Resource &amp; System Load'!$R$2</definedName>
    <definedName name="MonthsAnalysed" localSheetId="10">'[11]Solar Resource &amp; System Load'!$R$2</definedName>
    <definedName name="MonthsAnalysed" localSheetId="3">'[11]Solar Resource &amp; System Load'!$R$2</definedName>
    <definedName name="MonthsAnalysed" localSheetId="7">'[11]Solar Resource &amp; System Load'!$R$2</definedName>
    <definedName name="MonthsAnalysed">'[12]Solar Resource &amp; System Load'!$R$2</definedName>
    <definedName name="Motor_table">[48]Mtr!$BE$12:$BP$42</definedName>
    <definedName name="MotorEff" localSheetId="9">'[10]Clg-Coil'!$I$5</definedName>
    <definedName name="MotorEff" localSheetId="5">'[10]Clg-Coil'!$I$5</definedName>
    <definedName name="MotorEff" localSheetId="10">'[10]Clg-Coil'!$I$5</definedName>
    <definedName name="MotorEff" localSheetId="3">'[10]Clg-Coil'!$I$5</definedName>
    <definedName name="MotorEff" localSheetId="7">'[10]Clg-Coil'!$I$5</definedName>
    <definedName name="MotorEff">'[10]Clg-Coil'!$I$5</definedName>
    <definedName name="Motors">[49]Motors!$A$3:$G$6715</definedName>
    <definedName name="NAME">'[50]HS EST'!$A$1:$N$7</definedName>
    <definedName name="NBTU">[13]JC_CALC.XLS!$S$126</definedName>
    <definedName name="NCCAP" localSheetId="9">#REF!</definedName>
    <definedName name="NCCAP" localSheetId="5">#REF!</definedName>
    <definedName name="NCCAP" localSheetId="10">#REF!</definedName>
    <definedName name="NCCAP" localSheetId="3">#REF!</definedName>
    <definedName name="NCCAP" localSheetId="7">#REF!</definedName>
    <definedName name="NCCAP">#REF!</definedName>
    <definedName name="NCEFF" localSheetId="9">#REF!</definedName>
    <definedName name="NCEFF" localSheetId="5">#REF!</definedName>
    <definedName name="NCEFF" localSheetId="10">#REF!</definedName>
    <definedName name="NCEFF" localSheetId="3">#REF!</definedName>
    <definedName name="NCEFF" localSheetId="7">#REF!</definedName>
    <definedName name="NCEFF">#REF!</definedName>
    <definedName name="NCEU" localSheetId="9">#REF!</definedName>
    <definedName name="NCEU" localSheetId="5">#REF!</definedName>
    <definedName name="NCEU" localSheetId="10">#REF!</definedName>
    <definedName name="NCEU" localSheetId="3">#REF!</definedName>
    <definedName name="NCEU" localSheetId="7">#REF!</definedName>
    <definedName name="NCEU">#REF!</definedName>
    <definedName name="new" hidden="1">[9]LANSING!#REF!</definedName>
    <definedName name="New_Night_Energy" localSheetId="9">#REF!</definedName>
    <definedName name="New_Night_Energy" localSheetId="5">#REF!</definedName>
    <definedName name="New_Night_Energy" localSheetId="10">#REF!</definedName>
    <definedName name="New_Night_Energy" localSheetId="3">#REF!</definedName>
    <definedName name="New_Night_Energy" localSheetId="7">#REF!</definedName>
    <definedName name="New_Night_Energy">#REF!</definedName>
    <definedName name="New_Night_load" localSheetId="9">#REF!</definedName>
    <definedName name="New_Night_load" localSheetId="5">#REF!</definedName>
    <definedName name="New_Night_load" localSheetId="10">#REF!</definedName>
    <definedName name="New_Night_load" localSheetId="3">#REF!</definedName>
    <definedName name="New_Night_load" localSheetId="7">#REF!</definedName>
    <definedName name="New_Night_load">#REF!</definedName>
    <definedName name="newer">#REF!</definedName>
    <definedName name="NOTES" localSheetId="9">#REF!</definedName>
    <definedName name="NOTES" localSheetId="5">#REF!</definedName>
    <definedName name="NOTES" localSheetId="10">#REF!</definedName>
    <definedName name="NOTES" localSheetId="3">#REF!</definedName>
    <definedName name="NOTES" localSheetId="7">#REF!</definedName>
    <definedName name="NOTES">#REF!</definedName>
    <definedName name="NOV">#REF!</definedName>
    <definedName name="NoYears_Avg" localSheetId="9">#REF!</definedName>
    <definedName name="NoYears_Avg" localSheetId="5">#REF!</definedName>
    <definedName name="NoYears_Avg" localSheetId="10">#REF!</definedName>
    <definedName name="NoYears_Avg" localSheetId="3">#REF!</definedName>
    <definedName name="NoYears_Avg" localSheetId="7">#REF!</definedName>
    <definedName name="NoYears_Avg">#REF!</definedName>
    <definedName name="NPV" localSheetId="9">#REF!</definedName>
    <definedName name="NPV" localSheetId="5">#REF!</definedName>
    <definedName name="NPV" localSheetId="10">#REF!</definedName>
    <definedName name="NPV" localSheetId="3">#REF!</definedName>
    <definedName name="NPV" localSheetId="7">#REF!</definedName>
    <definedName name="NPV">#REF!</definedName>
    <definedName name="Number_of_Buildings" localSheetId="9">'[51]5'!#REF!</definedName>
    <definedName name="Number_of_Buildings" localSheetId="5">'[51]5'!#REF!</definedName>
    <definedName name="Number_of_Buildings" localSheetId="10">'[51]5'!#REF!</definedName>
    <definedName name="Number_of_Buildings" localSheetId="3">'[51]5'!#REF!</definedName>
    <definedName name="Number_of_Buildings" localSheetId="7">'[51]5'!#REF!</definedName>
    <definedName name="Number_of_Buildings">'[51]5'!#REF!</definedName>
    <definedName name="NYSERDA" localSheetId="9">#REF!</definedName>
    <definedName name="NYSERDA" localSheetId="5">#REF!</definedName>
    <definedName name="NYSERDA" localSheetId="10">#REF!</definedName>
    <definedName name="NYSERDA" localSheetId="3">#REF!</definedName>
    <definedName name="NYSERDA" localSheetId="7">#REF!</definedName>
    <definedName name="NYSERDA">#REF!</definedName>
    <definedName name="OAVentInfil" localSheetId="9">'[10]Htg Coil'!$J$5</definedName>
    <definedName name="OAVentInfil" localSheetId="5">'[10]Htg Coil'!$J$5</definedName>
    <definedName name="OAVentInfil" localSheetId="10">'[10]Htg Coil'!$J$5</definedName>
    <definedName name="OAVentInfil" localSheetId="3">'[10]Htg Coil'!$J$5</definedName>
    <definedName name="OAVentInfil" localSheetId="7">'[10]Htg Coil'!$J$5</definedName>
    <definedName name="OAVentInfil">'[10]Htg Coil'!$J$5</definedName>
    <definedName name="OCT">#REF!</definedName>
    <definedName name="OKI" localSheetId="9">#REF!</definedName>
    <definedName name="OKI" localSheetId="5">#REF!</definedName>
    <definedName name="OKI" localSheetId="10">#REF!</definedName>
    <definedName name="OKI" localSheetId="3">#REF!</definedName>
    <definedName name="OKI" localSheetId="7">#REF!</definedName>
    <definedName name="OKI">#REF!</definedName>
    <definedName name="OnGridLosses" localSheetId="9">'[11]GHG Analysis'!$J$82,'[11]GHG Analysis'!$J$87</definedName>
    <definedName name="OnGridLosses" localSheetId="5">'[11]GHG Analysis'!$J$82,'[11]GHG Analysis'!$J$87</definedName>
    <definedName name="OnGridLosses" localSheetId="10">'[11]GHG Analysis'!$J$82,'[11]GHG Analysis'!$J$87</definedName>
    <definedName name="OnGridLosses" localSheetId="3">'[11]GHG Analysis'!$J$82,'[11]GHG Analysis'!$J$87</definedName>
    <definedName name="OnGridLosses" localSheetId="7">'[11]GHG Analysis'!$J$82,'[11]GHG Analysis'!$J$87</definedName>
    <definedName name="OnGridLosses">'[12]GHG Analysis'!$J$82,'[12]GHG Analysis'!$J$87</definedName>
    <definedName name="OPECTH" localSheetId="9">#REF!</definedName>
    <definedName name="OPECTH" localSheetId="5">#REF!</definedName>
    <definedName name="OPECTH" localSheetId="10">#REF!</definedName>
    <definedName name="OPECTH" localSheetId="3">#REF!</definedName>
    <definedName name="OPECTH" localSheetId="7">#REF!</definedName>
    <definedName name="OPECTH">#REF!</definedName>
    <definedName name="Orifice_Summary" localSheetId="9">#REF!</definedName>
    <definedName name="Orifice_Summary" localSheetId="5">#REF!</definedName>
    <definedName name="Orifice_Summary" localSheetId="10">#REF!</definedName>
    <definedName name="Orifice_Summary" localSheetId="3">#REF!</definedName>
    <definedName name="Orifice_Summary" localSheetId="7">#REF!</definedName>
    <definedName name="Orifice_Summary">#REF!</definedName>
    <definedName name="OtherExpenses" localSheetId="9">#REF!</definedName>
    <definedName name="OtherExpenses" localSheetId="5">#REF!</definedName>
    <definedName name="OtherExpenses" localSheetId="10">#REF!</definedName>
    <definedName name="OtherExpenses" localSheetId="3">#REF!</definedName>
    <definedName name="OtherExpenses" localSheetId="7">#REF!</definedName>
    <definedName name="OtherExpenses">#REF!</definedName>
    <definedName name="OUTPUT1">[52]NewBlr!$A$3:$K$54</definedName>
    <definedName name="PAGE1">'[50]HS EST'!$B$8:$M$75</definedName>
    <definedName name="PAGE2" localSheetId="9">'[1]Elementary School'!#REF!</definedName>
    <definedName name="PAGE2" localSheetId="5">'[1]Elementary School'!#REF!</definedName>
    <definedName name="PAGE2" localSheetId="10">'[1]Elementary School'!#REF!</definedName>
    <definedName name="PAGE2" localSheetId="3">'[1]Elementary School'!#REF!</definedName>
    <definedName name="PAGE2" localSheetId="7">'[1]Elementary School'!#REF!</definedName>
    <definedName name="PAGE2">'[1]Elementary School'!#REF!</definedName>
    <definedName name="PAID_BY" localSheetId="9">#REF!</definedName>
    <definedName name="PAID_BY" localSheetId="5">#REF!</definedName>
    <definedName name="PAID_BY" localSheetId="10">#REF!</definedName>
    <definedName name="PAID_BY" localSheetId="3">#REF!</definedName>
    <definedName name="PAID_BY" localSheetId="7">#REF!</definedName>
    <definedName name="PAID_BY">#REF!</definedName>
    <definedName name="pay" localSheetId="9">#REF!</definedName>
    <definedName name="pay" localSheetId="5">#REF!</definedName>
    <definedName name="pay" localSheetId="10">#REF!</definedName>
    <definedName name="pay" localSheetId="3">#REF!</definedName>
    <definedName name="pay" localSheetId="7">#REF!</definedName>
    <definedName name="pay">#REF!</definedName>
    <definedName name="PaybackThreshold" localSheetId="9">#REF!</definedName>
    <definedName name="PaybackThreshold" localSheetId="5">#REF!</definedName>
    <definedName name="PaybackThreshold" localSheetId="10">#REF!</definedName>
    <definedName name="PaybackThreshold" localSheetId="3">#REF!</definedName>
    <definedName name="PaybackThreshold" localSheetId="7">#REF!</definedName>
    <definedName name="PaybackThreshold">#REF!</definedName>
    <definedName name="pcFirstWaitTime">[43]Assumptions!$N$6</definedName>
    <definedName name="pcSecondWaitTime">[43]Assumptions!$N$7</definedName>
    <definedName name="PeakCoolCOP">4</definedName>
    <definedName name="PeakHeatCOP">3</definedName>
    <definedName name="PEC" localSheetId="9">#REF!</definedName>
    <definedName name="PEC" localSheetId="5">#REF!</definedName>
    <definedName name="PEC" localSheetId="10">#REF!</definedName>
    <definedName name="PEC" localSheetId="3">#REF!</definedName>
    <definedName name="PEC" localSheetId="7">#REF!</definedName>
    <definedName name="PEC">#REF!</definedName>
    <definedName name="Percent_Off_peak" localSheetId="9">#REF!</definedName>
    <definedName name="Percent_Off_peak" localSheetId="5">#REF!</definedName>
    <definedName name="Percent_Off_peak" localSheetId="10">#REF!</definedName>
    <definedName name="Percent_Off_peak" localSheetId="3">#REF!</definedName>
    <definedName name="Percent_Off_peak" localSheetId="7">#REF!</definedName>
    <definedName name="Percent_Off_peak">#REF!</definedName>
    <definedName name="Percent_On_peak" localSheetId="9">#REF!</definedName>
    <definedName name="Percent_On_peak" localSheetId="5">#REF!</definedName>
    <definedName name="Percent_On_peak" localSheetId="10">#REF!</definedName>
    <definedName name="Percent_On_peak" localSheetId="3">#REF!</definedName>
    <definedName name="Percent_On_peak" localSheetId="7">#REF!</definedName>
    <definedName name="Percent_On_peak">#REF!</definedName>
    <definedName name="pKWCharge" localSheetId="9">#REF!</definedName>
    <definedName name="pKWCharge" localSheetId="5">#REF!</definedName>
    <definedName name="pKWCharge" localSheetId="10">#REF!</definedName>
    <definedName name="pKWCharge" localSheetId="3">#REF!</definedName>
    <definedName name="pKWCharge" localSheetId="7">#REF!</definedName>
    <definedName name="pKWCharge">#REF!</definedName>
    <definedName name="Plug_Load_Analysis" localSheetId="9">#REF!</definedName>
    <definedName name="Plug_Load_Analysis" localSheetId="5">#REF!</definedName>
    <definedName name="Plug_Load_Analysis" localSheetId="10">#REF!</definedName>
    <definedName name="Plug_Load_Analysis" localSheetId="3">#REF!</definedName>
    <definedName name="Plug_Load_Analysis" localSheetId="7">#REF!</definedName>
    <definedName name="Plug_Load_Analysis">#REF!</definedName>
    <definedName name="pmt" localSheetId="9">#REF!</definedName>
    <definedName name="pmt" localSheetId="5">#REF!</definedName>
    <definedName name="pmt" localSheetId="10">#REF!</definedName>
    <definedName name="pmt" localSheetId="3">#REF!</definedName>
    <definedName name="pmt" localSheetId="7">#REF!</definedName>
    <definedName name="pmt">#REF!</definedName>
    <definedName name="_xlnm.Print_Area" localSheetId="9">'1 Clinton Sq Elec'!$A$1:$Z$23</definedName>
    <definedName name="_xlnm.Print_Area" localSheetId="5">'224 Harrison Elec'!$A$1:$Y$25</definedName>
    <definedName name="_xlnm.Print_Area" localSheetId="10">'Atrium Elec'!$A$1:$AA$23</definedName>
    <definedName name="_xlnm.Print_Area" localSheetId="1">'Comparison to Load Profile'!$A$1:$E$32</definedName>
    <definedName name="_xlnm.Print_Area" localSheetId="3">'Salina Elec'!$A$1:$L$24</definedName>
    <definedName name="_xlnm.Print_Area" localSheetId="7">'White Memorial Elec'!$A$1:$L$24</definedName>
    <definedName name="_xlnm.Print_Area">#REF!</definedName>
    <definedName name="Print_Area_MI">'[50]HS EST'!$A$8:$N$76</definedName>
    <definedName name="Print_Area_NoEcon" localSheetId="9">#REF!</definedName>
    <definedName name="Print_Area_NoEcon" localSheetId="5">#REF!</definedName>
    <definedName name="Print_Area_NoEcon" localSheetId="10">#REF!</definedName>
    <definedName name="Print_Area_NoEcon" localSheetId="3">#REF!</definedName>
    <definedName name="Print_Area_NoEcon" localSheetId="7">#REF!</definedName>
    <definedName name="Print_Area_NoEcon">#REF!</definedName>
    <definedName name="PRINT_MENU" localSheetId="9">#REF!</definedName>
    <definedName name="PRINT_MENU" localSheetId="5">#REF!</definedName>
    <definedName name="PRINT_MENU" localSheetId="10">#REF!</definedName>
    <definedName name="PRINT_MENU" localSheetId="3">#REF!</definedName>
    <definedName name="PRINT_MENU" localSheetId="7">#REF!</definedName>
    <definedName name="PRINT_MENU">#REF!</definedName>
    <definedName name="_xlnm.Print_Titles">'[15]17-Pool Heater'!#REF!</definedName>
    <definedName name="Print_Titles_MI">'[50]HS EST'!$A$1:$IV$7</definedName>
    <definedName name="Print_with_terms" localSheetId="9">#REF!</definedName>
    <definedName name="Print_with_terms" localSheetId="5">#REF!</definedName>
    <definedName name="Print_with_terms" localSheetId="10">#REF!</definedName>
    <definedName name="Print_with_terms" localSheetId="3">#REF!</definedName>
    <definedName name="Print_with_terms" localSheetId="7">#REF!</definedName>
    <definedName name="Print_with_terms">#REF!</definedName>
    <definedName name="PrintAB" localSheetId="9">[53]!PrintAB</definedName>
    <definedName name="PrintAB" localSheetId="11">[53]!PrintAB</definedName>
    <definedName name="PrintAB" localSheetId="5">[53]!PrintAB</definedName>
    <definedName name="PrintAB" localSheetId="6">[53]!PrintAB</definedName>
    <definedName name="PrintAB" localSheetId="10">[53]!PrintAB</definedName>
    <definedName name="PrintAB" localSheetId="12">[53]!PrintAB</definedName>
    <definedName name="PrintAB" localSheetId="1">[53]!PrintAB</definedName>
    <definedName name="PrintAB" localSheetId="3">[53]!PrintAB</definedName>
    <definedName name="PrintAB" localSheetId="2">[53]!PrintAB</definedName>
    <definedName name="PrintAB" localSheetId="7">[53]!PrintAB</definedName>
    <definedName name="PrintAB" localSheetId="8">[53]!PrintAB</definedName>
    <definedName name="PrintAB">[53]!PrintAB</definedName>
    <definedName name="PrintAll" localSheetId="9">[54]!PrintAll</definedName>
    <definedName name="PrintAll" localSheetId="11">[54]!PrintAll</definedName>
    <definedName name="PrintAll" localSheetId="5">[54]!PrintAll</definedName>
    <definedName name="PrintAll" localSheetId="6">[54]!PrintAll</definedName>
    <definedName name="PrintAll" localSheetId="10">[54]!PrintAll</definedName>
    <definedName name="PrintAll" localSheetId="12">[54]!PrintAll</definedName>
    <definedName name="PrintAll" localSheetId="1">[54]!PrintAll</definedName>
    <definedName name="PrintAll" localSheetId="3">[54]!PrintAll</definedName>
    <definedName name="PrintAll" localSheetId="2">[54]!PrintAll</definedName>
    <definedName name="PrintAll" localSheetId="7">[54]!PrintAll</definedName>
    <definedName name="PrintAll" localSheetId="8">[54]!PrintAll</definedName>
    <definedName name="PrintAll">[54]!PrintAll</definedName>
    <definedName name="PrintFlag" localSheetId="9">Printflag_ECM1</definedName>
    <definedName name="PrintFlag" localSheetId="11">Printflag_ECM1</definedName>
    <definedName name="PrintFlag" localSheetId="5">Printflag_ECM1</definedName>
    <definedName name="PrintFlag" localSheetId="6">Printflag_ECM1</definedName>
    <definedName name="PrintFlag" localSheetId="10">Printflag_ECM1</definedName>
    <definedName name="PrintFlag" localSheetId="12">Printflag_ECM1</definedName>
    <definedName name="PrintFlag" localSheetId="1">Printflag_ECM1</definedName>
    <definedName name="PrintFlag" localSheetId="3">Printflag_ECM1</definedName>
    <definedName name="PrintFlag" localSheetId="2">Printflag_ECM1</definedName>
    <definedName name="PrintFlag" localSheetId="7">Printflag_ECM1</definedName>
    <definedName name="PrintFlag" localSheetId="8">Printflag_ECM1</definedName>
    <definedName name="PrintFlag">Printflag_ECM1</definedName>
    <definedName name="PrintTable" localSheetId="9">[55]!PrintTable</definedName>
    <definedName name="PrintTable" localSheetId="11">[55]!PrintTable</definedName>
    <definedName name="PrintTable" localSheetId="5">[55]!PrintTable</definedName>
    <definedName name="PrintTable" localSheetId="6">[55]!PrintTable</definedName>
    <definedName name="PrintTable" localSheetId="10">[55]!PrintTable</definedName>
    <definedName name="PrintTable" localSheetId="12">[55]!PrintTable</definedName>
    <definedName name="PrintTable" localSheetId="1">[55]!PrintTable</definedName>
    <definedName name="PrintTable" localSheetId="3">[55]!PrintTable</definedName>
    <definedName name="PrintTable" localSheetId="2">[55]!PrintTable</definedName>
    <definedName name="PrintTable" localSheetId="7">[55]!PrintTable</definedName>
    <definedName name="PrintTable" localSheetId="8">[55]!PrintTable</definedName>
    <definedName name="PrintTable">[55]!PrintTable</definedName>
    <definedName name="PrntLtg" localSheetId="9">[56]!PrntLtg</definedName>
    <definedName name="PrntLtg" localSheetId="11">[56]!PrntLtg</definedName>
    <definedName name="PrntLtg" localSheetId="5">[56]!PrntLtg</definedName>
    <definedName name="PrntLtg" localSheetId="6">[56]!PrntLtg</definedName>
    <definedName name="PrntLtg" localSheetId="10">[56]!PrntLtg</definedName>
    <definedName name="PrntLtg" localSheetId="12">[56]!PrntLtg</definedName>
    <definedName name="PrntLtg" localSheetId="1">[56]!PrntLtg</definedName>
    <definedName name="PrntLtg" localSheetId="3">[56]!PrntLtg</definedName>
    <definedName name="PrntLtg" localSheetId="2">[56]!PrntLtg</definedName>
    <definedName name="PrntLtg" localSheetId="7">[56]!PrntLtg</definedName>
    <definedName name="PrntLtg" localSheetId="8">[56]!PrntLtg</definedName>
    <definedName name="PrntLtg">[56]!PrntLtg</definedName>
    <definedName name="Project">[57]Savings!$C$2</definedName>
    <definedName name="ProjectFixtureQty" localSheetId="9">#REF!</definedName>
    <definedName name="ProjectFixtureQty" localSheetId="5">#REF!</definedName>
    <definedName name="ProjectFixtureQty" localSheetId="10">#REF!</definedName>
    <definedName name="ProjectFixtureQty" localSheetId="3">#REF!</definedName>
    <definedName name="ProjectFixtureQty" localSheetId="7">#REF!</definedName>
    <definedName name="ProjectFixtureQty">#REF!</definedName>
    <definedName name="ProjectNumber" localSheetId="9">'[19]ECM Summary'!$A$2</definedName>
    <definedName name="ProjectNumber" localSheetId="5">'[19]ECM Summary'!$A$2</definedName>
    <definedName name="ProjectNumber" localSheetId="10">'[19]ECM Summary'!$A$2</definedName>
    <definedName name="ProjectNumber" localSheetId="3">'[19]ECM Summary'!$A$2</definedName>
    <definedName name="ProjectNumber" localSheetId="7">'[19]ECM Summary'!$A$2</definedName>
    <definedName name="ProjectNumber">'[19]ECM Summary'!$A$2</definedName>
    <definedName name="Proposed" localSheetId="9">#REF!</definedName>
    <definedName name="Proposed" localSheetId="5">#REF!</definedName>
    <definedName name="Proposed" localSheetId="10">#REF!</definedName>
    <definedName name="Proposed" localSheetId="3">#REF!</definedName>
    <definedName name="Proposed" localSheetId="7">#REF!</definedName>
    <definedName name="Proposed">#REF!</definedName>
    <definedName name="PumpEnerDlvd" localSheetId="9">'[11]Solar Resource &amp; System Load'!$CW$24</definedName>
    <definedName name="PumpEnerDlvd" localSheetId="5">'[11]Solar Resource &amp; System Load'!$CW$24</definedName>
    <definedName name="PumpEnerDlvd" localSheetId="10">'[11]Solar Resource &amp; System Load'!$CW$24</definedName>
    <definedName name="PumpEnerDlvd" localSheetId="3">'[11]Solar Resource &amp; System Load'!$CW$24</definedName>
    <definedName name="PumpEnerDlvd" localSheetId="7">'[11]Solar Resource &amp; System Load'!$CW$24</definedName>
    <definedName name="PumpEnerDlvd">'[12]Solar Resource &amp; System Load'!$CW$24</definedName>
    <definedName name="PUMPHRS" localSheetId="9">#REF!</definedName>
    <definedName name="PUMPHRS" localSheetId="5">#REF!</definedName>
    <definedName name="PUMPHRS" localSheetId="10">#REF!</definedName>
    <definedName name="PUMPHRS" localSheetId="3">#REF!</definedName>
    <definedName name="PUMPHRS" localSheetId="7">#REF!</definedName>
    <definedName name="PUMPHRS">#REF!</definedName>
    <definedName name="Qair1" localSheetId="9">[10]Mixing!$B$6</definedName>
    <definedName name="Qair1" localSheetId="5">[10]Mixing!$B$6</definedName>
    <definedName name="Qair1" localSheetId="10">[10]Mixing!$B$6</definedName>
    <definedName name="Qair1" localSheetId="3">[10]Mixing!$B$6</definedName>
    <definedName name="Qair1" localSheetId="7">[10]Mixing!$B$6</definedName>
    <definedName name="Qair1">[10]Mixing!$B$6</definedName>
    <definedName name="Qair2" localSheetId="9">[10]Mixing!$F$6</definedName>
    <definedName name="Qair2" localSheetId="5">[10]Mixing!$F$6</definedName>
    <definedName name="Qair2" localSheetId="10">[10]Mixing!$F$6</definedName>
    <definedName name="Qair2" localSheetId="3">[10]Mixing!$F$6</definedName>
    <definedName name="Qair2" localSheetId="7">[10]Mixing!$F$6</definedName>
    <definedName name="Qair2">[10]Mixing!$F$6</definedName>
    <definedName name="QairEx" localSheetId="9">'[10]Heat Rec''ry'!$B$15</definedName>
    <definedName name="QairEx" localSheetId="5">'[10]Heat Rec''ry'!$B$15</definedName>
    <definedName name="QairEx" localSheetId="10">'[10]Heat Rec''ry'!$B$15</definedName>
    <definedName name="QairEx" localSheetId="3">'[10]Heat Rec''ry'!$B$15</definedName>
    <definedName name="QairEx" localSheetId="7">'[10]Heat Rec''ry'!$B$15</definedName>
    <definedName name="QairEx">'[10]Heat Rec''ry'!$B$15</definedName>
    <definedName name="QairHin" localSheetId="9">'[10]Htg Coil'!$B$3</definedName>
    <definedName name="QairHin" localSheetId="5">'[10]Htg Coil'!$B$3</definedName>
    <definedName name="QairHin" localSheetId="10">'[10]Htg Coil'!$B$3</definedName>
    <definedName name="QairHin" localSheetId="3">'[10]Htg Coil'!$B$3</definedName>
    <definedName name="QairHin" localSheetId="7">'[10]Htg Coil'!$B$3</definedName>
    <definedName name="QairHin">'[10]Htg Coil'!$B$3</definedName>
    <definedName name="QairIn" localSheetId="9">'[10]Clg-Coil'!$B$3</definedName>
    <definedName name="QairIn" localSheetId="5">'[10]Clg-Coil'!$B$3</definedName>
    <definedName name="QairIn" localSheetId="10">'[10]Clg-Coil'!$B$3</definedName>
    <definedName name="QairIn" localSheetId="3">'[10]Clg-Coil'!$B$3</definedName>
    <definedName name="QairIn" localSheetId="7">'[10]Clg-Coil'!$B$3</definedName>
    <definedName name="QairIn">'[10]Clg-Coil'!$B$3</definedName>
    <definedName name="QairOut" localSheetId="9">'[10]Heat Rec''ry'!$B$9</definedName>
    <definedName name="QairOut" localSheetId="5">'[10]Heat Rec''ry'!$B$9</definedName>
    <definedName name="QairOut" localSheetId="10">'[10]Heat Rec''ry'!$B$9</definedName>
    <definedName name="QairOut" localSheetId="3">'[10]Heat Rec''ry'!$B$9</definedName>
    <definedName name="QairOut" localSheetId="7">'[10]Heat Rec''ry'!$B$9</definedName>
    <definedName name="QairOut">'[10]Heat Rec''ry'!$B$9</definedName>
    <definedName name="QairRet" localSheetId="9">'[10]Clg Coil-BP'!$B$4</definedName>
    <definedName name="QairRet" localSheetId="5">'[10]Clg Coil-BP'!$B$4</definedName>
    <definedName name="QairRet" localSheetId="10">'[10]Clg Coil-BP'!$B$4</definedName>
    <definedName name="QairRet" localSheetId="3">'[10]Clg Coil-BP'!$B$4</definedName>
    <definedName name="QairRet" localSheetId="7">'[10]Clg Coil-BP'!$B$4</definedName>
    <definedName name="QairRet">'[10]Clg Coil-BP'!$B$4</definedName>
    <definedName name="qFan" localSheetId="9">'[10]Clg-Coil'!$I$7</definedName>
    <definedName name="qFan" localSheetId="5">'[10]Clg-Coil'!$I$7</definedName>
    <definedName name="qFan" localSheetId="10">'[10]Clg-Coil'!$I$7</definedName>
    <definedName name="qFan" localSheetId="3">'[10]Clg-Coil'!$I$7</definedName>
    <definedName name="qFan" localSheetId="7">'[10]Clg-Coil'!$I$7</definedName>
    <definedName name="qFan">'[10]Clg-Coil'!$I$7</definedName>
    <definedName name="qFurn" localSheetId="9">'[10]Htg Coil'!$B$4</definedName>
    <definedName name="qFurn" localSheetId="5">'[10]Htg Coil'!$B$4</definedName>
    <definedName name="qFurn" localSheetId="10">'[10]Htg Coil'!$B$4</definedName>
    <definedName name="qFurn" localSheetId="3">'[10]Htg Coil'!$B$4</definedName>
    <definedName name="qFurn" localSheetId="7">'[10]Htg Coil'!$B$4</definedName>
    <definedName name="qFurn">'[10]Htg Coil'!$B$4</definedName>
    <definedName name="qHumid" localSheetId="9">'[10]Htg Coil'!$J$18</definedName>
    <definedName name="qHumid" localSheetId="5">'[10]Htg Coil'!$J$18</definedName>
    <definedName name="qHumid" localSheetId="10">'[10]Htg Coil'!$J$18</definedName>
    <definedName name="qHumid" localSheetId="3">'[10]Htg Coil'!$J$18</definedName>
    <definedName name="qHumid" localSheetId="7">'[10]Htg Coil'!$J$18</definedName>
    <definedName name="qHumid">'[10]Htg Coil'!$J$18</definedName>
    <definedName name="QSairIn" localSheetId="9">'[10]Clg-Coil'!$B$6</definedName>
    <definedName name="QSairIn" localSheetId="5">'[10]Clg-Coil'!$B$6</definedName>
    <definedName name="QSairIn" localSheetId="10">'[10]Clg-Coil'!$B$6</definedName>
    <definedName name="QSairIn" localSheetId="3">'[10]Clg-Coil'!$B$6</definedName>
    <definedName name="QSairIn" localSheetId="7">'[10]Clg-Coil'!$B$6</definedName>
    <definedName name="QSairIn">'[10]Clg-Coil'!$B$6</definedName>
    <definedName name="qSenHru" localSheetId="9">'[10]Heat Rec''ry'!$E$15</definedName>
    <definedName name="qSenHru" localSheetId="5">'[10]Heat Rec''ry'!$E$15</definedName>
    <definedName name="qSenHru" localSheetId="10">'[10]Heat Rec''ry'!$E$15</definedName>
    <definedName name="qSenHru" localSheetId="3">'[10]Heat Rec''ry'!$E$15</definedName>
    <definedName name="qSenHru" localSheetId="7">'[10]Heat Rec''ry'!$E$15</definedName>
    <definedName name="qSenHru">'[10]Heat Rec''ry'!$E$15</definedName>
    <definedName name="qSenNet" localSheetId="9">'[10]Clg-Coil'!$I$9</definedName>
    <definedName name="qSenNet" localSheetId="5">'[10]Clg-Coil'!$I$9</definedName>
    <definedName name="qSenNet" localSheetId="10">'[10]Clg-Coil'!$I$9</definedName>
    <definedName name="qSenNet" localSheetId="3">'[10]Clg-Coil'!$I$9</definedName>
    <definedName name="qSenNet" localSheetId="7">'[10]Clg-Coil'!$I$9</definedName>
    <definedName name="qSenNet">'[10]Clg-Coil'!$I$9</definedName>
    <definedName name="qSensible" localSheetId="9">'[10]Clg Coil-BP'!$F$13</definedName>
    <definedName name="qSensible" localSheetId="5">'[10]Clg Coil-BP'!$F$13</definedName>
    <definedName name="qSensible" localSheetId="10">'[10]Clg Coil-BP'!$F$13</definedName>
    <definedName name="qSensible" localSheetId="3">'[10]Clg Coil-BP'!$F$13</definedName>
    <definedName name="qSensible" localSheetId="7">'[10]Clg Coil-BP'!$F$13</definedName>
    <definedName name="qSensible">'[10]Clg Coil-BP'!$F$13</definedName>
    <definedName name="qTotal" localSheetId="9">'[10]Clg Coil-BP'!$F$12</definedName>
    <definedName name="qTotal" localSheetId="5">'[10]Clg Coil-BP'!$F$12</definedName>
    <definedName name="qTotal" localSheetId="10">'[10]Clg Coil-BP'!$F$12</definedName>
    <definedName name="qTotal" localSheetId="3">'[10]Clg Coil-BP'!$F$12</definedName>
    <definedName name="qTotal" localSheetId="7">'[10]Clg Coil-BP'!$F$12</definedName>
    <definedName name="qTotal">'[10]Clg Coil-BP'!$F$12</definedName>
    <definedName name="qTotalHru" localSheetId="9">'[10]Heat Rec''ry'!$E$14</definedName>
    <definedName name="qTotalHru" localSheetId="5">'[10]Heat Rec''ry'!$E$14</definedName>
    <definedName name="qTotalHru" localSheetId="10">'[10]Heat Rec''ry'!$E$14</definedName>
    <definedName name="qTotalHru" localSheetId="3">'[10]Heat Rec''ry'!$E$14</definedName>
    <definedName name="qTotalHru" localSheetId="7">'[10]Heat Rec''ry'!$E$14</definedName>
    <definedName name="qTotalHru">'[10]Heat Rec''ry'!$E$14</definedName>
    <definedName name="qTotNet" localSheetId="9">'[10]Clg-Coil'!$I$8</definedName>
    <definedName name="qTotNet" localSheetId="5">'[10]Clg-Coil'!$I$8</definedName>
    <definedName name="qTotNet" localSheetId="10">'[10]Clg-Coil'!$I$8</definedName>
    <definedName name="qTotNet" localSheetId="3">'[10]Clg-Coil'!$I$8</definedName>
    <definedName name="qTotNet" localSheetId="7">'[10]Clg-Coil'!$I$8</definedName>
    <definedName name="qTotNet">'[10]Clg-Coil'!$I$8</definedName>
    <definedName name="Qty" localSheetId="9">#REF!</definedName>
    <definedName name="Qty" localSheetId="5">#REF!</definedName>
    <definedName name="Qty" localSheetId="10">#REF!</definedName>
    <definedName name="Qty" localSheetId="3">#REF!</definedName>
    <definedName name="Qty" localSheetId="7">#REF!</definedName>
    <definedName name="Qty">#REF!</definedName>
    <definedName name="RANGE_TABLE" localSheetId="9">#REF!</definedName>
    <definedName name="RANGE_TABLE" localSheetId="5">#REF!</definedName>
    <definedName name="RANGE_TABLE" localSheetId="10">#REF!</definedName>
    <definedName name="RANGE_TABLE" localSheetId="3">#REF!</definedName>
    <definedName name="RANGE_TABLE" localSheetId="7">#REF!</definedName>
    <definedName name="RANGE_TABLE">#REF!</definedName>
    <definedName name="RangeData" localSheetId="9">'[11]Cost Analysis'!$I$7:$J$12,'[11]Cost Analysis'!$I$15:$J$19,'[11]Cost Analysis'!$I$22:$J$28,'[11]Cost Analysis'!$I$31:$J$34,'[11]Cost Analysis'!$I$37:$J$47,'[11]Cost Analysis'!$I$50:$J$51,'[11]Cost Analysis'!$I$57:$J$61,'[11]Cost Analysis'!$I$64:$J$65,'[11]Cost Analysis'!$I$70:$J$72</definedName>
    <definedName name="RangeData" localSheetId="5">'[11]Cost Analysis'!$I$7:$J$12,'[11]Cost Analysis'!$I$15:$J$19,'[11]Cost Analysis'!$I$22:$J$28,'[11]Cost Analysis'!$I$31:$J$34,'[11]Cost Analysis'!$I$37:$J$47,'[11]Cost Analysis'!$I$50:$J$51,'[11]Cost Analysis'!$I$57:$J$61,'[11]Cost Analysis'!$I$64:$J$65,'[11]Cost Analysis'!$I$70:$J$72</definedName>
    <definedName name="RangeData" localSheetId="10">'[11]Cost Analysis'!$I$7:$J$12,'[11]Cost Analysis'!$I$15:$J$19,'[11]Cost Analysis'!$I$22:$J$28,'[11]Cost Analysis'!$I$31:$J$34,'[11]Cost Analysis'!$I$37:$J$47,'[11]Cost Analysis'!$I$50:$J$51,'[11]Cost Analysis'!$I$57:$J$61,'[11]Cost Analysis'!$I$64:$J$65,'[11]Cost Analysis'!$I$70:$J$72</definedName>
    <definedName name="RangeData" localSheetId="3">'[11]Cost Analysis'!$I$7:$J$12,'[11]Cost Analysis'!$I$15:$J$19,'[11]Cost Analysis'!$I$22:$J$28,'[11]Cost Analysis'!$I$31:$J$34,'[11]Cost Analysis'!$I$37:$J$47,'[11]Cost Analysis'!$I$50:$J$51,'[11]Cost Analysis'!$I$57:$J$61,'[11]Cost Analysis'!$I$64:$J$65,'[11]Cost Analysis'!$I$70:$J$72</definedName>
    <definedName name="RangeData" localSheetId="7">'[11]Cost Analysis'!$I$7:$J$12,'[11]Cost Analysis'!$I$15:$J$19,'[11]Cost Analysis'!$I$22:$J$28,'[11]Cost Analysis'!$I$31:$J$34,'[11]Cost Analysis'!$I$37:$J$47,'[11]Cost Analysis'!$I$50:$J$51,'[11]Cost Analysis'!$I$57:$J$61,'[11]Cost Analysis'!$I$64:$J$65,'[11]Cost Analysis'!$I$70:$J$72</definedName>
    <definedName name="RangeData">'[12]Cost Analysis'!$I$7:$J$12,'[12]Cost Analysis'!$I$15:$J$19,'[12]Cost Analysis'!$I$22:$J$28,'[12]Cost Analysis'!$I$31:$J$34,'[12]Cost Analysis'!$I$37:$J$47,'[12]Cost Analysis'!$I$50:$J$51,'[12]Cost Analysis'!$I$57:$J$61,'[12]Cost Analysis'!$I$64:$J$65,'[12]Cost Analysis'!$I$70:$J$72</definedName>
    <definedName name="rebate" localSheetId="9">#REF!</definedName>
    <definedName name="rebate" localSheetId="5">#REF!</definedName>
    <definedName name="rebate" localSheetId="10">#REF!</definedName>
    <definedName name="rebate" localSheetId="3">#REF!</definedName>
    <definedName name="rebate" localSheetId="7">#REF!</definedName>
    <definedName name="rebate">#REF!</definedName>
    <definedName name="Rebate_Total" localSheetId="9">#REF!</definedName>
    <definedName name="Rebate_Total" localSheetId="5">#REF!</definedName>
    <definedName name="Rebate_Total" localSheetId="10">#REF!</definedName>
    <definedName name="Rebate_Total" localSheetId="3">#REF!</definedName>
    <definedName name="Rebate_Total" localSheetId="7">#REF!</definedName>
    <definedName name="Rebate_Total">#REF!</definedName>
    <definedName name="RECAP_WINDOW" localSheetId="9">#REF!</definedName>
    <definedName name="RECAP_WINDOW" localSheetId="5">#REF!</definedName>
    <definedName name="RECAP_WINDOW" localSheetId="10">#REF!</definedName>
    <definedName name="RECAP_WINDOW" localSheetId="3">#REF!</definedName>
    <definedName name="RECAP_WINDOW" localSheetId="7">#REF!</definedName>
    <definedName name="RECAP_WINDOW">#REF!</definedName>
    <definedName name="RECAP1" localSheetId="9">#REF!</definedName>
    <definedName name="RECAP1" localSheetId="5">#REF!</definedName>
    <definedName name="RECAP1" localSheetId="10">#REF!</definedName>
    <definedName name="RECAP1" localSheetId="3">#REF!</definedName>
    <definedName name="RECAP1" localSheetId="7">#REF!</definedName>
    <definedName name="RECAP1">#REF!</definedName>
    <definedName name="RECAP2" localSheetId="9">#REF!</definedName>
    <definedName name="RECAP2" localSheetId="5">#REF!</definedName>
    <definedName name="RECAP2" localSheetId="10">#REF!</definedName>
    <definedName name="RECAP2" localSheetId="3">#REF!</definedName>
    <definedName name="RECAP2" localSheetId="7">#REF!</definedName>
    <definedName name="RECAP2">#REF!</definedName>
    <definedName name="RECAPTOP1" localSheetId="9">#REF!</definedName>
    <definedName name="RECAPTOP1" localSheetId="5">#REF!</definedName>
    <definedName name="RECAPTOP1" localSheetId="10">#REF!</definedName>
    <definedName name="RECAPTOP1" localSheetId="3">#REF!</definedName>
    <definedName name="RECAPTOP1" localSheetId="7">#REF!</definedName>
    <definedName name="RECAPTOP1">#REF!</definedName>
    <definedName name="RECAPTOP2" localSheetId="9">#REF!</definedName>
    <definedName name="RECAPTOP2" localSheetId="5">#REF!</definedName>
    <definedName name="RECAPTOP2" localSheetId="10">#REF!</definedName>
    <definedName name="RECAPTOP2" localSheetId="3">#REF!</definedName>
    <definedName name="RECAPTOP2" localSheetId="7">#REF!</definedName>
    <definedName name="RECAPTOP2">#REF!</definedName>
    <definedName name="RelHum1" localSheetId="9">#REF!</definedName>
    <definedName name="RelHum1" localSheetId="5">#REF!</definedName>
    <definedName name="RelHum1" localSheetId="10">#REF!</definedName>
    <definedName name="RelHum1" localSheetId="3">#REF!</definedName>
    <definedName name="RelHum1" localSheetId="7">#REF!</definedName>
    <definedName name="RelHum1">#REF!</definedName>
    <definedName name="RelHum2" localSheetId="9">#REF!</definedName>
    <definedName name="RelHum2" localSheetId="5">#REF!</definedName>
    <definedName name="RelHum2" localSheetId="10">#REF!</definedName>
    <definedName name="RelHum2" localSheetId="3">#REF!</definedName>
    <definedName name="RelHum2" localSheetId="7">#REF!</definedName>
    <definedName name="RelHum2">#REF!</definedName>
    <definedName name="RenEnerColl" localSheetId="9">'[11]Solar Resource &amp; System Load'!$AQ$24</definedName>
    <definedName name="RenEnerColl" localSheetId="5">'[11]Solar Resource &amp; System Load'!$AQ$24</definedName>
    <definedName name="RenEnerColl" localSheetId="10">'[11]Solar Resource &amp; System Load'!$AQ$24</definedName>
    <definedName name="RenEnerColl" localSheetId="3">'[11]Solar Resource &amp; System Load'!$AQ$24</definedName>
    <definedName name="RenEnerColl" localSheetId="7">'[11]Solar Resource &amp; System Load'!$AQ$24</definedName>
    <definedName name="RenEnerColl">'[12]Solar Resource &amp; System Load'!$AQ$24</definedName>
    <definedName name="RenEnerDlvd" localSheetId="9">'[11]Solar Resource &amp; System Load'!$CD$24</definedName>
    <definedName name="RenEnerDlvd" localSheetId="5">'[11]Solar Resource &amp; System Load'!$CD$24</definedName>
    <definedName name="RenEnerDlvd" localSheetId="10">'[11]Solar Resource &amp; System Load'!$CD$24</definedName>
    <definedName name="RenEnerDlvd" localSheetId="3">'[11]Solar Resource &amp; System Load'!$CD$24</definedName>
    <definedName name="RenEnerDlvd" localSheetId="7">'[11]Solar Resource &amp; System Load'!$CD$24</definedName>
    <definedName name="RenEnerDlvd">'[12]Solar Resource &amp; System Load'!$CD$24</definedName>
    <definedName name="Retro_Sink" localSheetId="9">[58]FIXTURES!$M$74:$P$99</definedName>
    <definedName name="Retro_Sink" localSheetId="5">[58]FIXTURES!$M$74:$P$99</definedName>
    <definedName name="Retro_Sink" localSheetId="10">[58]FIXTURES!$M$74:$P$99</definedName>
    <definedName name="Retro_Sink" localSheetId="3">[58]FIXTURES!$M$74:$P$99</definedName>
    <definedName name="Retro_Sink" localSheetId="7">[58]FIXTURES!$M$74:$P$99</definedName>
    <definedName name="Retro_Sink">[59]FIXTURES!$M$74:$P$99</definedName>
    <definedName name="Retro_Toilet" localSheetId="9">[58]FIXTURES!$M$6:$P$31</definedName>
    <definedName name="Retro_Toilet" localSheetId="5">[58]FIXTURES!$M$6:$P$31</definedName>
    <definedName name="Retro_Toilet" localSheetId="10">[58]FIXTURES!$M$6:$P$31</definedName>
    <definedName name="Retro_Toilet" localSheetId="3">[58]FIXTURES!$M$6:$P$31</definedName>
    <definedName name="Retro_Toilet" localSheetId="7">[58]FIXTURES!$M$6:$P$31</definedName>
    <definedName name="Retro_Toilet">[59]FIXTURES!$M$6:$P$31</definedName>
    <definedName name="Retro_Urinal" localSheetId="9">[58]FIXTURES!$M$40:$P$65</definedName>
    <definedName name="Retro_Urinal" localSheetId="5">[58]FIXTURES!$M$40:$P$65</definedName>
    <definedName name="Retro_Urinal" localSheetId="10">[58]FIXTURES!$M$40:$P$65</definedName>
    <definedName name="Retro_Urinal" localSheetId="3">[58]FIXTURES!$M$40:$P$65</definedName>
    <definedName name="Retro_Urinal" localSheetId="7">[58]FIXTURES!$M$40:$P$65</definedName>
    <definedName name="Retro_Urinal">[59]FIXTURES!$M$40:$P$65</definedName>
    <definedName name="RETROFIT_FIXTURES">[60]SHSCOST!$G$4:$S$147</definedName>
    <definedName name="RFVF" localSheetId="9">#REF!</definedName>
    <definedName name="RFVF" localSheetId="5">#REF!</definedName>
    <definedName name="RFVF" localSheetId="10">#REF!</definedName>
    <definedName name="RFVF" localSheetId="3">#REF!</definedName>
    <definedName name="RFVF" localSheetId="7">#REF!</definedName>
    <definedName name="RFVF">#REF!</definedName>
    <definedName name="RH" localSheetId="9">#REF!</definedName>
    <definedName name="RH" localSheetId="5">#REF!</definedName>
    <definedName name="RH" localSheetId="10">#REF!</definedName>
    <definedName name="RH" localSheetId="3">#REF!</definedName>
    <definedName name="RH" localSheetId="7">#REF!</definedName>
    <definedName name="RH">#REF!</definedName>
    <definedName name="RiskIRRErr" localSheetId="9">[11]Sensitivity!$A$114:$A$119,[11]Sensitivity!$A$138:$A$141</definedName>
    <definedName name="RiskIRRErr" localSheetId="5">[11]Sensitivity!$A$114:$A$119,[11]Sensitivity!$A$138:$A$141</definedName>
    <definedName name="RiskIRRErr" localSheetId="10">[11]Sensitivity!$A$114:$A$119,[11]Sensitivity!$A$138:$A$141</definedName>
    <definedName name="RiskIRRErr" localSheetId="3">[11]Sensitivity!$A$114:$A$119,[11]Sensitivity!$A$138:$A$141</definedName>
    <definedName name="RiskIRRErr" localSheetId="7">[11]Sensitivity!$A$114:$A$119,[11]Sensitivity!$A$138:$A$141</definedName>
    <definedName name="RiskIRRErr">[12]Sensitivity!$A$114:$A$119,[12]Sensitivity!$A$138:$A$141</definedName>
    <definedName name="RiskYearErr" localSheetId="9">[11]Sensitivity!$A$143:$A$148,[11]Sensitivity!$A$167:$A$170</definedName>
    <definedName name="RiskYearErr" localSheetId="5">[11]Sensitivity!$A$143:$A$148,[11]Sensitivity!$A$167:$A$170</definedName>
    <definedName name="RiskYearErr" localSheetId="10">[11]Sensitivity!$A$143:$A$148,[11]Sensitivity!$A$167:$A$170</definedName>
    <definedName name="RiskYearErr" localSheetId="3">[11]Sensitivity!$A$143:$A$148,[11]Sensitivity!$A$167:$A$170</definedName>
    <definedName name="RiskYearErr" localSheetId="7">[11]Sensitivity!$A$143:$A$148,[11]Sensitivity!$A$167:$A$170</definedName>
    <definedName name="RiskYearErr">[12]Sensitivity!$A$143:$A$148,[12]Sensitivity!$A$167:$A$170</definedName>
    <definedName name="RLocator" localSheetId="9">[61]TMY2!$DA$22</definedName>
    <definedName name="RLocator" localSheetId="5">[61]TMY2!$DA$22</definedName>
    <definedName name="RLocator" localSheetId="10">[61]TMY2!$DA$22</definedName>
    <definedName name="RLocator" localSheetId="3">[61]TMY2!$DA$22</definedName>
    <definedName name="RLocator" localSheetId="7">[61]TMY2!$DA$22</definedName>
    <definedName name="RLocator">[61]TMY2!$DA$22</definedName>
    <definedName name="RmTemp" localSheetId="9">'[1]Elementary School'!#REF!</definedName>
    <definedName name="RmTemp" localSheetId="5">'[1]Elementary School'!#REF!</definedName>
    <definedName name="RmTemp" localSheetId="10">'[1]Elementary School'!#REF!</definedName>
    <definedName name="RmTemp" localSheetId="3">'[1]Elementary School'!#REF!</definedName>
    <definedName name="RmTemp" localSheetId="7">'[1]Elementary School'!#REF!</definedName>
    <definedName name="RmTemp">'[1]Elementary School'!#REF!</definedName>
    <definedName name="RREDel" localSheetId="9">[11]Sensitivity!$A$65:$A$73,[11]Sensitivity!$A$11:$A$19,[11]Sensitivity!$A$82</definedName>
    <definedName name="RREDel" localSheetId="5">[11]Sensitivity!$A$65:$A$73,[11]Sensitivity!$A$11:$A$19,[11]Sensitivity!$A$82</definedName>
    <definedName name="RREDel" localSheetId="10">[11]Sensitivity!$A$65:$A$73,[11]Sensitivity!$A$11:$A$19,[11]Sensitivity!$A$82</definedName>
    <definedName name="RREDel" localSheetId="3">[11]Sensitivity!$A$65:$A$73,[11]Sensitivity!$A$11:$A$19,[11]Sensitivity!$A$82</definedName>
    <definedName name="RREDel" localSheetId="7">[11]Sensitivity!$A$65:$A$73,[11]Sensitivity!$A$11:$A$19,[11]Sensitivity!$A$82</definedName>
    <definedName name="RREDel">[12]Sensitivity!$A$65:$A$73,[12]Sensitivity!$A$11:$A$19,[12]Sensitivity!$A$82</definedName>
    <definedName name="rtu" localSheetId="9">#REF!</definedName>
    <definedName name="rtu" localSheetId="5">#REF!</definedName>
    <definedName name="rtu" localSheetId="10">#REF!</definedName>
    <definedName name="rtu" localSheetId="3">#REF!</definedName>
    <definedName name="rtu" localSheetId="7">#REF!</definedName>
    <definedName name="rtu">#REF!</definedName>
    <definedName name="Sales_Tax">[57]Savings!$J$52</definedName>
    <definedName name="SAVE" localSheetId="9">#REF!</definedName>
    <definedName name="SAVE" localSheetId="5">#REF!</definedName>
    <definedName name="SAVE" localSheetId="10">#REF!</definedName>
    <definedName name="SAVE" localSheetId="3">#REF!</definedName>
    <definedName name="SAVE" localSheetId="7">#REF!</definedName>
    <definedName name="SAVE">#REF!</definedName>
    <definedName name="SaveDataElec" localSheetId="9">#REF!</definedName>
    <definedName name="SaveDataElec" localSheetId="5">#REF!</definedName>
    <definedName name="SaveDataElec" localSheetId="10">#REF!</definedName>
    <definedName name="SaveDataElec" localSheetId="3">#REF!</definedName>
    <definedName name="SaveDataElec" localSheetId="7">#REF!</definedName>
    <definedName name="SaveDataElec">#REF!</definedName>
    <definedName name="SavingsTabRange" localSheetId="9">'[62]Lighting Retrofit'!#REF!</definedName>
    <definedName name="SavingsTabRange" localSheetId="5">'[62]Lighting Retrofit'!#REF!</definedName>
    <definedName name="SavingsTabRange" localSheetId="10">'[62]Lighting Retrofit'!#REF!</definedName>
    <definedName name="SavingsTabRange" localSheetId="3">'[62]Lighting Retrofit'!#REF!</definedName>
    <definedName name="SavingsTabRange" localSheetId="7">'[62]Lighting Retrofit'!#REF!</definedName>
    <definedName name="SavingsTabRange">'[62]Lighting Retrofit'!#REF!</definedName>
    <definedName name="SBTU">[13]JC_CALC.XLS!$S$127</definedName>
    <definedName name="SC" localSheetId="9">'[10]Clg-Coil'!$B$5</definedName>
    <definedName name="SC" localSheetId="5">'[10]Clg-Coil'!$B$5</definedName>
    <definedName name="SC" localSheetId="10">'[10]Clg-Coil'!$B$5</definedName>
    <definedName name="SC" localSheetId="3">'[10]Clg-Coil'!$B$5</definedName>
    <definedName name="SC" localSheetId="7">'[10]Clg-Coil'!$B$5</definedName>
    <definedName name="SC">'[10]Clg-Coil'!$B$5</definedName>
    <definedName name="SCCOP" localSheetId="9">#REF!</definedName>
    <definedName name="SCCOP" localSheetId="5">#REF!</definedName>
    <definedName name="SCCOP" localSheetId="10">#REF!</definedName>
    <definedName name="SCCOP" localSheetId="3">#REF!</definedName>
    <definedName name="SCCOP" localSheetId="7">#REF!</definedName>
    <definedName name="SCCOP">#REF!</definedName>
    <definedName name="SecCurrencyRange1" localSheetId="9">'[11]Cost Analysis'!$I$7:$I$12,'[11]Cost Analysis'!$I$15:$I$19,'[11]Cost Analysis'!$I$22:$I$28,'[11]Cost Analysis'!$I$31:$I$34,'[11]Cost Analysis'!$I$37:$I$47,'[11]Cost Analysis'!$I$50:$I$51,'[11]Cost Analysis'!$I$57:$I$61,'[11]Cost Analysis'!$I$64:$I$65,'[11]Cost Analysis'!$I$70:$I$72</definedName>
    <definedName name="SecCurrencyRange1" localSheetId="5">'[11]Cost Analysis'!$I$7:$I$12,'[11]Cost Analysis'!$I$15:$I$19,'[11]Cost Analysis'!$I$22:$I$28,'[11]Cost Analysis'!$I$31:$I$34,'[11]Cost Analysis'!$I$37:$I$47,'[11]Cost Analysis'!$I$50:$I$51,'[11]Cost Analysis'!$I$57:$I$61,'[11]Cost Analysis'!$I$64:$I$65,'[11]Cost Analysis'!$I$70:$I$72</definedName>
    <definedName name="SecCurrencyRange1" localSheetId="10">'[11]Cost Analysis'!$I$7:$I$12,'[11]Cost Analysis'!$I$15:$I$19,'[11]Cost Analysis'!$I$22:$I$28,'[11]Cost Analysis'!$I$31:$I$34,'[11]Cost Analysis'!$I$37:$I$47,'[11]Cost Analysis'!$I$50:$I$51,'[11]Cost Analysis'!$I$57:$I$61,'[11]Cost Analysis'!$I$64:$I$65,'[11]Cost Analysis'!$I$70:$I$72</definedName>
    <definedName name="SecCurrencyRange1" localSheetId="3">'[11]Cost Analysis'!$I$7:$I$12,'[11]Cost Analysis'!$I$15:$I$19,'[11]Cost Analysis'!$I$22:$I$28,'[11]Cost Analysis'!$I$31:$I$34,'[11]Cost Analysis'!$I$37:$I$47,'[11]Cost Analysis'!$I$50:$I$51,'[11]Cost Analysis'!$I$57:$I$61,'[11]Cost Analysis'!$I$64:$I$65,'[11]Cost Analysis'!$I$70:$I$72</definedName>
    <definedName name="SecCurrencyRange1" localSheetId="7">'[11]Cost Analysis'!$I$7:$I$12,'[11]Cost Analysis'!$I$15:$I$19,'[11]Cost Analysis'!$I$22:$I$28,'[11]Cost Analysis'!$I$31:$I$34,'[11]Cost Analysis'!$I$37:$I$47,'[11]Cost Analysis'!$I$50:$I$51,'[11]Cost Analysis'!$I$57:$I$61,'[11]Cost Analysis'!$I$64:$I$65,'[11]Cost Analysis'!$I$70:$I$72</definedName>
    <definedName name="SecCurrencyRange1">'[12]Cost Analysis'!$I$7:$I$12,'[12]Cost Analysis'!$I$15:$I$19,'[12]Cost Analysis'!$I$22:$I$28,'[12]Cost Analysis'!$I$31:$I$34,'[12]Cost Analysis'!$I$37:$I$47,'[12]Cost Analysis'!$I$50:$I$51,'[12]Cost Analysis'!$I$57:$I$61,'[12]Cost Analysis'!$I$64:$I$65,'[12]Cost Analysis'!$I$70:$I$72</definedName>
    <definedName name="SecCurrencyRange2" localSheetId="9">'[11]Cost Analysis'!$J$7:$J$13,'[11]Cost Analysis'!$J$15:$J$20,'[11]Cost Analysis'!$J$22:$J$29,'[11]Cost Analysis'!$J$31:$J$35,'[11]Cost Analysis'!$J$37:$J$48,'[11]Cost Analysis'!$J$50:$J$53,'[11]Cost Analysis'!$J$57:$J$62,'[11]Cost Analysis'!$J$64:$J$67,'[11]Cost Analysis'!$J$70:$J$72</definedName>
    <definedName name="SecCurrencyRange2" localSheetId="5">'[11]Cost Analysis'!$J$7:$J$13,'[11]Cost Analysis'!$J$15:$J$20,'[11]Cost Analysis'!$J$22:$J$29,'[11]Cost Analysis'!$J$31:$J$35,'[11]Cost Analysis'!$J$37:$J$48,'[11]Cost Analysis'!$J$50:$J$53,'[11]Cost Analysis'!$J$57:$J$62,'[11]Cost Analysis'!$J$64:$J$67,'[11]Cost Analysis'!$J$70:$J$72</definedName>
    <definedName name="SecCurrencyRange2" localSheetId="10">'[11]Cost Analysis'!$J$7:$J$13,'[11]Cost Analysis'!$J$15:$J$20,'[11]Cost Analysis'!$J$22:$J$29,'[11]Cost Analysis'!$J$31:$J$35,'[11]Cost Analysis'!$J$37:$J$48,'[11]Cost Analysis'!$J$50:$J$53,'[11]Cost Analysis'!$J$57:$J$62,'[11]Cost Analysis'!$J$64:$J$67,'[11]Cost Analysis'!$J$70:$J$72</definedName>
    <definedName name="SecCurrencyRange2" localSheetId="3">'[11]Cost Analysis'!$J$7:$J$13,'[11]Cost Analysis'!$J$15:$J$20,'[11]Cost Analysis'!$J$22:$J$29,'[11]Cost Analysis'!$J$31:$J$35,'[11]Cost Analysis'!$J$37:$J$48,'[11]Cost Analysis'!$J$50:$J$53,'[11]Cost Analysis'!$J$57:$J$62,'[11]Cost Analysis'!$J$64:$J$67,'[11]Cost Analysis'!$J$70:$J$72</definedName>
    <definedName name="SecCurrencyRange2" localSheetId="7">'[11]Cost Analysis'!$J$7:$J$13,'[11]Cost Analysis'!$J$15:$J$20,'[11]Cost Analysis'!$J$22:$J$29,'[11]Cost Analysis'!$J$31:$J$35,'[11]Cost Analysis'!$J$37:$J$48,'[11]Cost Analysis'!$J$50:$J$53,'[11]Cost Analysis'!$J$57:$J$62,'[11]Cost Analysis'!$J$64:$J$67,'[11]Cost Analysis'!$J$70:$J$72</definedName>
    <definedName name="SecCurrencyRange2">'[12]Cost Analysis'!$J$7:$J$13,'[12]Cost Analysis'!$J$15:$J$20,'[12]Cost Analysis'!$J$22:$J$29,'[12]Cost Analysis'!$J$31:$J$35,'[12]Cost Analysis'!$J$37:$J$48,'[12]Cost Analysis'!$J$50:$J$53,'[12]Cost Analysis'!$J$57:$J$62,'[12]Cost Analysis'!$J$64:$J$67,'[12]Cost Analysis'!$J$70:$J$72</definedName>
    <definedName name="SEED" localSheetId="9">#REF!</definedName>
    <definedName name="SEED" localSheetId="5">#REF!</definedName>
    <definedName name="SEED" localSheetId="10">#REF!</definedName>
    <definedName name="SEED" localSheetId="3">#REF!</definedName>
    <definedName name="SEED" localSheetId="7">#REF!</definedName>
    <definedName name="SEED">#REF!</definedName>
    <definedName name="SEEDOF" localSheetId="9">#REF!</definedName>
    <definedName name="SEEDOF" localSheetId="5">#REF!</definedName>
    <definedName name="SEEDOF" localSheetId="10">#REF!</definedName>
    <definedName name="SEEDOF" localSheetId="3">#REF!</definedName>
    <definedName name="SEEDOF" localSheetId="7">#REF!</definedName>
    <definedName name="SEEDOF">#REF!</definedName>
    <definedName name="SELECT" localSheetId="9">#REF!</definedName>
    <definedName name="SELECT" localSheetId="5">#REF!</definedName>
    <definedName name="SELECT" localSheetId="10">#REF!</definedName>
    <definedName name="SELECT" localSheetId="3">#REF!</definedName>
    <definedName name="SELECT" localSheetId="7">#REF!</definedName>
    <definedName name="SELECT">#REF!</definedName>
    <definedName name="SenEff" localSheetId="9">'[10]Heat Rec''ry'!$B$6</definedName>
    <definedName name="SenEff" localSheetId="5">'[10]Heat Rec''ry'!$B$6</definedName>
    <definedName name="SenEff" localSheetId="10">'[10]Heat Rec''ry'!$B$6</definedName>
    <definedName name="SenEff" localSheetId="3">'[10]Heat Rec''ry'!$B$6</definedName>
    <definedName name="SenEff" localSheetId="7">'[10]Heat Rec''ry'!$B$6</definedName>
    <definedName name="SenEff">'[10]Heat Rec''ry'!$B$6</definedName>
    <definedName name="SEP">#REF!</definedName>
    <definedName name="SF" localSheetId="9">#REF!</definedName>
    <definedName name="SF" localSheetId="5">#REF!</definedName>
    <definedName name="SF" localSheetId="10">#REF!</definedName>
    <definedName name="SF" localSheetId="3">#REF!</definedName>
    <definedName name="SF" localSheetId="7">#REF!</definedName>
    <definedName name="SF">#REF!</definedName>
    <definedName name="Sitename" localSheetId="9">'[19]ECM Summary'!$A$1</definedName>
    <definedName name="Sitename" localSheetId="5">'[19]ECM Summary'!$A$1</definedName>
    <definedName name="Sitename" localSheetId="10">'[19]ECM Summary'!$A$1</definedName>
    <definedName name="Sitename" localSheetId="3">'[19]ECM Summary'!$A$1</definedName>
    <definedName name="Sitename" localSheetId="7">'[19]ECM Summary'!$A$1</definedName>
    <definedName name="Sitename">'[19]ECM Summary'!$A$1</definedName>
    <definedName name="sm_door_infiltration" localSheetId="9">#REF!</definedName>
    <definedName name="sm_door_infiltration" localSheetId="5">#REF!</definedName>
    <definedName name="sm_door_infiltration" localSheetId="10">#REF!</definedName>
    <definedName name="sm_door_infiltration" localSheetId="3">#REF!</definedName>
    <definedName name="sm_door_infiltration" localSheetId="7">#REF!</definedName>
    <definedName name="sm_door_infiltration">#REF!</definedName>
    <definedName name="SolRadTilt" localSheetId="9">'[11]Solar Resource &amp; System Load'!$I$27</definedName>
    <definedName name="SolRadTilt" localSheetId="5">'[11]Solar Resource &amp; System Load'!$I$27</definedName>
    <definedName name="SolRadTilt" localSheetId="10">'[11]Solar Resource &amp; System Load'!$I$27</definedName>
    <definedName name="SolRadTilt" localSheetId="3">'[11]Solar Resource &amp; System Load'!$I$27</definedName>
    <definedName name="SolRadTilt" localSheetId="7">'[11]Solar Resource &amp; System Load'!$I$27</definedName>
    <definedName name="SolRadTilt">'[12]Solar Resource &amp; System Load'!$I$27</definedName>
    <definedName name="solver_adj" localSheetId="9" hidden="1">#REF!</definedName>
    <definedName name="solver_adj" localSheetId="5" hidden="1">#REF!</definedName>
    <definedName name="solver_adj" localSheetId="10" hidden="1">#REF!</definedName>
    <definedName name="solver_adj" localSheetId="3" hidden="1">#REF!</definedName>
    <definedName name="solver_adj" localSheetId="7" hidden="1">#REF!</definedName>
    <definedName name="solver_adj" hidden="1">#REF!</definedName>
    <definedName name="solver_lin" hidden="1">0</definedName>
    <definedName name="solver_num" hidden="1">0</definedName>
    <definedName name="solver_opt" localSheetId="9" hidden="1">'[63]SUM-COST'!#REF!</definedName>
    <definedName name="solver_opt" localSheetId="5" hidden="1">'[63]SUM-COST'!#REF!</definedName>
    <definedName name="solver_opt" localSheetId="10" hidden="1">'[63]SUM-COST'!#REF!</definedName>
    <definedName name="solver_opt" localSheetId="3" hidden="1">'[63]SUM-COST'!#REF!</definedName>
    <definedName name="solver_opt" localSheetId="7" hidden="1">'[63]SUM-COST'!#REF!</definedName>
    <definedName name="solver_opt" hidden="1">'[63]SUM-COST'!#REF!</definedName>
    <definedName name="solver_typ" hidden="1">2</definedName>
    <definedName name="solver_val" hidden="1">0</definedName>
    <definedName name="sort" localSheetId="9" hidden="1">#REF!</definedName>
    <definedName name="sort" localSheetId="5" hidden="1">#REF!</definedName>
    <definedName name="sort" localSheetId="10" hidden="1">#REF!</definedName>
    <definedName name="sort" localSheetId="3" hidden="1">#REF!</definedName>
    <definedName name="sort" localSheetId="7" hidden="1">#REF!</definedName>
    <definedName name="sort" hidden="1">#REF!</definedName>
    <definedName name="SP" localSheetId="9">#REF!</definedName>
    <definedName name="SP" localSheetId="5">#REF!</definedName>
    <definedName name="SP" localSheetId="10">#REF!</definedName>
    <definedName name="SP" localSheetId="3">#REF!</definedName>
    <definedName name="SP" localSheetId="7">#REF!</definedName>
    <definedName name="SP">#REF!</definedName>
    <definedName name="SPET" localSheetId="9">#REF!</definedName>
    <definedName name="SPET" localSheetId="5">#REF!</definedName>
    <definedName name="SPET" localSheetId="10">#REF!</definedName>
    <definedName name="SPET" localSheetId="3">#REF!</definedName>
    <definedName name="SPET" localSheetId="7">#REF!</definedName>
    <definedName name="SPET">#REF!</definedName>
    <definedName name="SpHt1" localSheetId="9">#REF!</definedName>
    <definedName name="SpHt1" localSheetId="5">#REF!</definedName>
    <definedName name="SpHt1" localSheetId="10">#REF!</definedName>
    <definedName name="SpHt1" localSheetId="3">#REF!</definedName>
    <definedName name="SpHt1" localSheetId="7">#REF!</definedName>
    <definedName name="SpHt1">#REF!</definedName>
    <definedName name="SpHt2" localSheetId="9">#REF!</definedName>
    <definedName name="SpHt2" localSheetId="5">#REF!</definedName>
    <definedName name="SpHt2" localSheetId="10">#REF!</definedName>
    <definedName name="SpHt2" localSheetId="3">#REF!</definedName>
    <definedName name="SpHt2" localSheetId="7">#REF!</definedName>
    <definedName name="SpHt2">#REF!</definedName>
    <definedName name="SpHtHin" localSheetId="9">'[10]Htg Coil'!$B$18</definedName>
    <definedName name="SpHtHin" localSheetId="5">'[10]Htg Coil'!$B$18</definedName>
    <definedName name="SpHtHin" localSheetId="10">'[10]Htg Coil'!$B$18</definedName>
    <definedName name="SpHtHin" localSheetId="3">'[10]Htg Coil'!$B$18</definedName>
    <definedName name="SpHtHin" localSheetId="7">'[10]Htg Coil'!$B$18</definedName>
    <definedName name="SpHtHin">'[10]Htg Coil'!$B$18</definedName>
    <definedName name="SpHtIn" localSheetId="9">'[10]Clg-Coil'!$B$18</definedName>
    <definedName name="SpHtIn" localSheetId="5">'[10]Clg-Coil'!$B$18</definedName>
    <definedName name="SpHtIn" localSheetId="10">'[10]Clg-Coil'!$B$18</definedName>
    <definedName name="SpHtIn" localSheetId="3">'[10]Clg-Coil'!$B$18</definedName>
    <definedName name="SpHtIn" localSheetId="7">'[10]Clg-Coil'!$B$18</definedName>
    <definedName name="SpHtIn">'[10]Clg-Coil'!$B$18</definedName>
    <definedName name="SpHtOut" localSheetId="9">'[10]Heat Rec''ry'!$E$21</definedName>
    <definedName name="SpHtOut" localSheetId="5">'[10]Heat Rec''ry'!$E$21</definedName>
    <definedName name="SpHtOut" localSheetId="10">'[10]Heat Rec''ry'!$E$21</definedName>
    <definedName name="SpHtOut" localSheetId="3">'[10]Heat Rec''ry'!$E$21</definedName>
    <definedName name="SpHtOut" localSheetId="7">'[10]Heat Rec''ry'!$E$21</definedName>
    <definedName name="SpHtOut">'[10]Heat Rec''ry'!$E$21</definedName>
    <definedName name="SpHtRet" localSheetId="9">'[10]Clg Coil-BP'!$B$19</definedName>
    <definedName name="SpHtRet" localSheetId="5">'[10]Clg Coil-BP'!$B$19</definedName>
    <definedName name="SpHtRet" localSheetId="10">'[10]Clg Coil-BP'!$B$19</definedName>
    <definedName name="SpHtRet" localSheetId="3">'[10]Clg Coil-BP'!$B$19</definedName>
    <definedName name="SpHtRet" localSheetId="7">'[10]Clg Coil-BP'!$B$19</definedName>
    <definedName name="SpHtRet">'[10]Clg Coil-BP'!$B$19</definedName>
    <definedName name="SPJT" localSheetId="9">#REF!</definedName>
    <definedName name="SPJT" localSheetId="5">#REF!</definedName>
    <definedName name="SPJT" localSheetId="10">#REF!</definedName>
    <definedName name="SPJT" localSheetId="3">#REF!</definedName>
    <definedName name="SPJT" localSheetId="7">#REF!</definedName>
    <definedName name="SPJT">#REF!</definedName>
    <definedName name="SpVol1" localSheetId="9">#REF!</definedName>
    <definedName name="SpVol1" localSheetId="5">#REF!</definedName>
    <definedName name="SpVol1" localSheetId="10">#REF!</definedName>
    <definedName name="SpVol1" localSheetId="3">#REF!</definedName>
    <definedName name="SpVol1" localSheetId="7">#REF!</definedName>
    <definedName name="SpVol1">#REF!</definedName>
    <definedName name="SpVol2" localSheetId="9">#REF!</definedName>
    <definedName name="SpVol2" localSheetId="5">#REF!</definedName>
    <definedName name="SpVol2" localSheetId="10">#REF!</definedName>
    <definedName name="SpVol2" localSheetId="3">#REF!</definedName>
    <definedName name="SpVol2" localSheetId="7">#REF!</definedName>
    <definedName name="SpVol2">#REF!</definedName>
    <definedName name="SpVol3" localSheetId="9">[10]Mixing!$D$22</definedName>
    <definedName name="SpVol3" localSheetId="5">[10]Mixing!$D$22</definedName>
    <definedName name="SpVol3" localSheetId="10">[10]Mixing!$D$22</definedName>
    <definedName name="SpVol3" localSheetId="3">[10]Mixing!$D$22</definedName>
    <definedName name="SpVol3" localSheetId="7">[10]Mixing!$D$22</definedName>
    <definedName name="SpVol3">[10]Mixing!$D$22</definedName>
    <definedName name="SpVolHin" localSheetId="9">'[10]Htg Coil'!$B$20</definedName>
    <definedName name="SpVolHin" localSheetId="5">'[10]Htg Coil'!$B$20</definedName>
    <definedName name="SpVolHin" localSheetId="10">'[10]Htg Coil'!$B$20</definedName>
    <definedName name="SpVolHin" localSheetId="3">'[10]Htg Coil'!$B$20</definedName>
    <definedName name="SpVolHin" localSheetId="7">'[10]Htg Coil'!$B$20</definedName>
    <definedName name="SpVolHin">'[10]Htg Coil'!$B$20</definedName>
    <definedName name="SpVolIn" localSheetId="9">'[10]Clg-Coil'!$B$20</definedName>
    <definedName name="SpVolIn" localSheetId="5">'[10]Clg-Coil'!$B$20</definedName>
    <definedName name="SpVolIn" localSheetId="10">'[10]Clg-Coil'!$B$20</definedName>
    <definedName name="SpVolIn" localSheetId="3">'[10]Clg-Coil'!$B$20</definedName>
    <definedName name="SpVolIn" localSheetId="7">'[10]Clg-Coil'!$B$20</definedName>
    <definedName name="SpVolIn">'[10]Clg-Coil'!$B$20</definedName>
    <definedName name="SpVolOut" localSheetId="9">'[10]Heat Rec''ry'!$E$23</definedName>
    <definedName name="SpVolOut" localSheetId="5">'[10]Heat Rec''ry'!$E$23</definedName>
    <definedName name="SpVolOut" localSheetId="10">'[10]Heat Rec''ry'!$E$23</definedName>
    <definedName name="SpVolOut" localSheetId="3">'[10]Heat Rec''ry'!$E$23</definedName>
    <definedName name="SpVolOut" localSheetId="7">'[10]Heat Rec''ry'!$E$23</definedName>
    <definedName name="SpVolOut">'[10]Heat Rec''ry'!$E$23</definedName>
    <definedName name="SpVolRet" localSheetId="9">'[10]Clg Coil-BP'!$B$21</definedName>
    <definedName name="SpVolRet" localSheetId="5">'[10]Clg Coil-BP'!$B$21</definedName>
    <definedName name="SpVolRet" localSheetId="10">'[10]Clg Coil-BP'!$B$21</definedName>
    <definedName name="SpVolRet" localSheetId="3">'[10]Clg Coil-BP'!$B$21</definedName>
    <definedName name="SpVolRet" localSheetId="7">'[10]Clg Coil-BP'!$B$21</definedName>
    <definedName name="SpVolRet">'[10]Clg Coil-BP'!$B$21</definedName>
    <definedName name="SpVolSup" localSheetId="9">'[10]Clg Coil-BP'!$F$21</definedName>
    <definedName name="SpVolSup" localSheetId="5">'[10]Clg Coil-BP'!$F$21</definedName>
    <definedName name="SpVolSup" localSheetId="10">'[10]Clg Coil-BP'!$F$21</definedName>
    <definedName name="SpVolSup" localSheetId="3">'[10]Clg Coil-BP'!$F$21</definedName>
    <definedName name="SpVolSup" localSheetId="7">'[10]Clg Coil-BP'!$F$21</definedName>
    <definedName name="SpVolSup">'[10]Clg Coil-BP'!$F$21</definedName>
    <definedName name="ss" localSheetId="9">#REF!</definedName>
    <definedName name="ss" localSheetId="5">#REF!</definedName>
    <definedName name="ss" localSheetId="10">#REF!</definedName>
    <definedName name="ss" localSheetId="3">#REF!</definedName>
    <definedName name="ss" localSheetId="7">#REF!</definedName>
    <definedName name="ss">#REF!</definedName>
    <definedName name="STACKCOEF" localSheetId="9">#REF!</definedName>
    <definedName name="STACKCOEF" localSheetId="5">#REF!</definedName>
    <definedName name="STACKCOEF" localSheetId="10">#REF!</definedName>
    <definedName name="STACKCOEF" localSheetId="3">#REF!</definedName>
    <definedName name="STACKCOEF" localSheetId="7">#REF!</definedName>
    <definedName name="STACKCOEF">#REF!</definedName>
    <definedName name="START" localSheetId="9">'[14]17-Pool Heater'!#REF!</definedName>
    <definedName name="START" localSheetId="5">'[14]17-Pool Heater'!#REF!</definedName>
    <definedName name="START" localSheetId="10">'[14]17-Pool Heater'!#REF!</definedName>
    <definedName name="START" localSheetId="3">'[14]17-Pool Heater'!#REF!</definedName>
    <definedName name="START" localSheetId="7">'[14]17-Pool Heater'!#REF!</definedName>
    <definedName name="START">'[15]17-Pool Heater'!#REF!</definedName>
    <definedName name="State" localSheetId="9">[61]TMY2!$CO$3:$CP$57</definedName>
    <definedName name="State" localSheetId="5">[61]TMY2!$CO$3:$CP$57</definedName>
    <definedName name="State" localSheetId="10">[61]TMY2!$CO$3:$CP$57</definedName>
    <definedName name="State" localSheetId="3">[61]TMY2!$CO$3:$CP$57</definedName>
    <definedName name="State" localSheetId="7">[61]TMY2!$CO$3:$CP$57</definedName>
    <definedName name="State">[61]TMY2!$CO$3:$CP$57</definedName>
    <definedName name="STATE_HOUSE" localSheetId="9">'[16]Chill Ops Costs FY05'!#REF!</definedName>
    <definedName name="STATE_HOUSE" localSheetId="5">'[16]Chill Ops Costs FY05'!#REF!</definedName>
    <definedName name="STATE_HOUSE" localSheetId="10">'[16]Chill Ops Costs FY05'!#REF!</definedName>
    <definedName name="STATE_HOUSE" localSheetId="3">'[16]Chill Ops Costs FY05'!#REF!</definedName>
    <definedName name="STATE_HOUSE" localSheetId="7">'[16]Chill Ops Costs FY05'!#REF!</definedName>
    <definedName name="STATE_HOUSE">'[16]Chill Ops Costs FY05'!#REF!</definedName>
    <definedName name="STATE_OFFICE" localSheetId="9">'[16]Chill Ops Costs FY05'!#REF!</definedName>
    <definedName name="STATE_OFFICE" localSheetId="5">'[16]Chill Ops Costs FY05'!#REF!</definedName>
    <definedName name="STATE_OFFICE" localSheetId="10">'[16]Chill Ops Costs FY05'!#REF!</definedName>
    <definedName name="STATE_OFFICE" localSheetId="3">'[16]Chill Ops Costs FY05'!#REF!</definedName>
    <definedName name="STATE_OFFICE" localSheetId="7">'[16]Chill Ops Costs FY05'!#REF!</definedName>
    <definedName name="STATE_OFFICE">'[16]Chill Ops Costs FY05'!#REF!</definedName>
    <definedName name="Stations" localSheetId="9">[61]TMY2!$CU$3:$CV$152</definedName>
    <definedName name="Stations" localSheetId="5">[61]TMY2!$CU$3:$CV$152</definedName>
    <definedName name="Stations" localSheetId="10">[61]TMY2!$CU$3:$CV$152</definedName>
    <definedName name="Stations" localSheetId="3">[61]TMY2!$CU$3:$CV$152</definedName>
    <definedName name="Stations" localSheetId="7">[61]TMY2!$CU$3:$CV$152</definedName>
    <definedName name="Stations">[61]TMY2!$CU$3:$CV$152</definedName>
    <definedName name="STEDMAN" localSheetId="9">'[16]Chill Ops Costs FY05'!#REF!</definedName>
    <definedName name="STEDMAN" localSheetId="5">'[16]Chill Ops Costs FY05'!#REF!</definedName>
    <definedName name="STEDMAN" localSheetId="10">'[16]Chill Ops Costs FY05'!#REF!</definedName>
    <definedName name="STEDMAN" localSheetId="3">'[16]Chill Ops Costs FY05'!#REF!</definedName>
    <definedName name="STEDMAN" localSheetId="7">'[16]Chill Ops Costs FY05'!#REF!</definedName>
    <definedName name="STEDMAN">'[16]Chill Ops Costs FY05'!#REF!</definedName>
    <definedName name="Subcontr_Bond">[51]Index!$M$18</definedName>
    <definedName name="Subcontr_OHP">[51]Index!$M$17</definedName>
    <definedName name="SugArrSizeHYBR" localSheetId="9">'[11]Solar Resource &amp; System Load'!$AU$24</definedName>
    <definedName name="SugArrSizeHYBR" localSheetId="5">'[11]Solar Resource &amp; System Load'!$AU$24</definedName>
    <definedName name="SugArrSizeHYBR" localSheetId="10">'[11]Solar Resource &amp; System Load'!$AU$24</definedName>
    <definedName name="SugArrSizeHYBR" localSheetId="3">'[11]Solar Resource &amp; System Load'!$AU$24</definedName>
    <definedName name="SugArrSizeHYBR" localSheetId="7">'[11]Solar Resource &amp; System Load'!$AU$24</definedName>
    <definedName name="SugArrSizeHYBR">'[12]Solar Resource &amp; System Load'!$AU$24</definedName>
    <definedName name="SugArrSizePUMP" localSheetId="9">'[11]Solar Resource &amp; System Load'!$AV$24</definedName>
    <definedName name="SugArrSizePUMP" localSheetId="5">'[11]Solar Resource &amp; System Load'!$AV$24</definedName>
    <definedName name="SugArrSizePUMP" localSheetId="10">'[11]Solar Resource &amp; System Load'!$AV$24</definedName>
    <definedName name="SugArrSizePUMP" localSheetId="3">'[11]Solar Resource &amp; System Load'!$AV$24</definedName>
    <definedName name="SugArrSizePUMP" localSheetId="7">'[11]Solar Resource &amp; System Load'!$AV$24</definedName>
    <definedName name="SugArrSizePUMP">'[12]Solar Resource &amp; System Load'!$AV$24</definedName>
    <definedName name="SugArrSizeSABB" localSheetId="9">'[11]Solar Resource &amp; System Load'!$AT$24</definedName>
    <definedName name="SugArrSizeSABB" localSheetId="5">'[11]Solar Resource &amp; System Load'!$AT$24</definedName>
    <definedName name="SugArrSizeSABB" localSheetId="10">'[11]Solar Resource &amp; System Load'!$AT$24</definedName>
    <definedName name="SugArrSizeSABB" localSheetId="3">'[11]Solar Resource &amp; System Load'!$AT$24</definedName>
    <definedName name="SugArrSizeSABB" localSheetId="7">'[11]Solar Resource &amp; System Load'!$AT$24</definedName>
    <definedName name="SugArrSizeSABB">'[12]Solar Resource &amp; System Load'!$AT$24</definedName>
    <definedName name="SugBatCapa" localSheetId="9">'[11]Solar Resource &amp; System Load'!$BS$24</definedName>
    <definedName name="SugBatCapa" localSheetId="5">'[11]Solar Resource &amp; System Load'!$BS$24</definedName>
    <definedName name="SugBatCapa" localSheetId="10">'[11]Solar Resource &amp; System Load'!$BS$24</definedName>
    <definedName name="SugBatCapa" localSheetId="3">'[11]Solar Resource &amp; System Load'!$BS$24</definedName>
    <definedName name="SugBatCapa" localSheetId="7">'[11]Solar Resource &amp; System Load'!$BS$24</definedName>
    <definedName name="SugBatCapa">'[12]Solar Resource &amp; System Load'!$BS$24</definedName>
    <definedName name="SUMMARY" localSheetId="9">#REF!</definedName>
    <definedName name="SUMMARY" localSheetId="5">#REF!</definedName>
    <definedName name="SUMMARY" localSheetId="10">#REF!</definedName>
    <definedName name="SUMMARY" localSheetId="3">#REF!</definedName>
    <definedName name="SUMMARY" localSheetId="7">#REF!</definedName>
    <definedName name="SUMMARY">#REF!</definedName>
    <definedName name="SupFankW" localSheetId="9">'[10]Heat Rec''ry'!$B$12</definedName>
    <definedName name="SupFankW" localSheetId="5">'[10]Heat Rec''ry'!$B$12</definedName>
    <definedName name="SupFankW" localSheetId="10">'[10]Heat Rec''ry'!$B$12</definedName>
    <definedName name="SupFankW" localSheetId="3">'[10]Heat Rec''ry'!$B$12</definedName>
    <definedName name="SupFankW" localSheetId="7">'[10]Heat Rec''ry'!$B$12</definedName>
    <definedName name="SupFankW">'[10]Heat Rec''ry'!$B$12</definedName>
    <definedName name="T" localSheetId="9">#REF!</definedName>
    <definedName name="T" localSheetId="5">#REF!</definedName>
    <definedName name="T" localSheetId="10">#REF!</definedName>
    <definedName name="T" localSheetId="3">#REF!</definedName>
    <definedName name="T" localSheetId="7">#REF!</definedName>
    <definedName name="T">#REF!</definedName>
    <definedName name="tabadfaf">'[64]ECM-1 Boiler Replacement '!$I$9:$L$26</definedName>
    <definedName name="Table" localSheetId="9">'[65]M3A Boiler-Std'!$I$9:$L$20</definedName>
    <definedName name="Table" localSheetId="5">'[65]M3A Boiler-Std'!$I$9:$L$20</definedName>
    <definedName name="Table" localSheetId="10">'[65]M3A Boiler-Std'!$I$9:$L$20</definedName>
    <definedName name="Table" localSheetId="3">'[65]M3A Boiler-Std'!$I$9:$L$20</definedName>
    <definedName name="Table" localSheetId="7">'[65]M3A Boiler-Std'!$I$9:$L$20</definedName>
    <definedName name="Table">#REF!</definedName>
    <definedName name="table1" localSheetId="9">#REF!</definedName>
    <definedName name="table1" localSheetId="5">#REF!</definedName>
    <definedName name="table1" localSheetId="10">#REF!</definedName>
    <definedName name="table1" localSheetId="3">#REF!</definedName>
    <definedName name="table1" localSheetId="7">#REF!</definedName>
    <definedName name="table1">#REF!</definedName>
    <definedName name="table2">'[66]Boiler Replacement '!$I$9:$L$16</definedName>
    <definedName name="Table3" localSheetId="9">#REF!</definedName>
    <definedName name="Table3" localSheetId="5">#REF!</definedName>
    <definedName name="Table3" localSheetId="10">#REF!</definedName>
    <definedName name="Table3" localSheetId="3">#REF!</definedName>
    <definedName name="Table3" localSheetId="7">#REF!</definedName>
    <definedName name="Table3">#REF!</definedName>
    <definedName name="TableSinks" localSheetId="9">[58]FIXTURES!$B$74:$I$99</definedName>
    <definedName name="TableSinks" localSheetId="5">[58]FIXTURES!$B$74:$I$99</definedName>
    <definedName name="TableSinks" localSheetId="10">[58]FIXTURES!$B$74:$I$99</definedName>
    <definedName name="TableSinks" localSheetId="3">[58]FIXTURES!$B$74:$I$99</definedName>
    <definedName name="TableSinks" localSheetId="7">[58]FIXTURES!$B$74:$I$99</definedName>
    <definedName name="TableSinks">[59]FIXTURES!$B$74:$I$99</definedName>
    <definedName name="Tadp" localSheetId="9">'[10]Clg Coil-BP'!$B$5</definedName>
    <definedName name="Tadp" localSheetId="5">'[10]Clg Coil-BP'!$B$5</definedName>
    <definedName name="Tadp" localSheetId="10">'[10]Clg Coil-BP'!$B$5</definedName>
    <definedName name="Tadp" localSheetId="3">'[10]Clg Coil-BP'!$B$5</definedName>
    <definedName name="Tadp" localSheetId="7">'[10]Clg Coil-BP'!$B$5</definedName>
    <definedName name="Tadp">'[10]Clg Coil-BP'!$B$5</definedName>
    <definedName name="Tags">#REF!</definedName>
    <definedName name="tax" localSheetId="9">'[67]COST-ROI - Do Not Use '!$G$25</definedName>
    <definedName name="tax" localSheetId="5">'[67]COST-ROI - Do Not Use '!$G$25</definedName>
    <definedName name="tax" localSheetId="10">'[67]COST-ROI - Do Not Use '!$G$25</definedName>
    <definedName name="tax" localSheetId="3">'[67]COST-ROI - Do Not Use '!$G$25</definedName>
    <definedName name="tax" localSheetId="7">'[67]COST-ROI - Do Not Use '!$G$25</definedName>
    <definedName name="tax">'[68]COST-ROI - Do Not Use '!$G$25</definedName>
    <definedName name="TC" localSheetId="9">'[10]Clg-Coil'!$B$4</definedName>
    <definedName name="TC" localSheetId="5">'[10]Clg-Coil'!$B$4</definedName>
    <definedName name="TC" localSheetId="10">'[10]Clg-Coil'!$B$4</definedName>
    <definedName name="TC" localSheetId="3">'[10]Clg-Coil'!$B$4</definedName>
    <definedName name="TC" localSheetId="7">'[10]Clg-Coil'!$B$4</definedName>
    <definedName name="TC">'[10]Clg-Coil'!$B$4</definedName>
    <definedName name="TdbHin" localSheetId="9">'[10]Htg Coil'!$B$8</definedName>
    <definedName name="TdbHin" localSheetId="5">'[10]Htg Coil'!$B$8</definedName>
    <definedName name="TdbHin" localSheetId="10">'[10]Htg Coil'!$B$8</definedName>
    <definedName name="TdbHin" localSheetId="3">'[10]Htg Coil'!$B$8</definedName>
    <definedName name="TdbHin" localSheetId="7">'[10]Htg Coil'!$B$8</definedName>
    <definedName name="TdbHin">'[10]Htg Coil'!$B$8</definedName>
    <definedName name="TdbHout" localSheetId="9">'[10]Htg Coil'!$F$6</definedName>
    <definedName name="TdbHout" localSheetId="5">'[10]Htg Coil'!$F$6</definedName>
    <definedName name="TdbHout" localSheetId="10">'[10]Htg Coil'!$F$6</definedName>
    <definedName name="TdbHout" localSheetId="3">'[10]Htg Coil'!$F$6</definedName>
    <definedName name="TdbHout" localSheetId="7">'[10]Htg Coil'!$F$6</definedName>
    <definedName name="TdbHout">'[10]Htg Coil'!$F$6</definedName>
    <definedName name="TdbHru" localSheetId="9">'[10]Heat Rec''ry'!$H$14</definedName>
    <definedName name="TdbHru" localSheetId="5">'[10]Heat Rec''ry'!$H$14</definedName>
    <definedName name="TdbHru" localSheetId="10">'[10]Heat Rec''ry'!$H$14</definedName>
    <definedName name="TdbHru" localSheetId="3">'[10]Heat Rec''ry'!$H$14</definedName>
    <definedName name="TdbHru" localSheetId="7">'[10]Heat Rec''ry'!$H$14</definedName>
    <definedName name="TdbHru">'[10]Heat Rec''ry'!$H$14</definedName>
    <definedName name="TdbIn" localSheetId="9">'[10]Clg-Coil'!$B$8</definedName>
    <definedName name="TdbIn" localSheetId="5">'[10]Clg-Coil'!$B$8</definedName>
    <definedName name="TdbIn" localSheetId="10">'[10]Clg-Coil'!$B$8</definedName>
    <definedName name="TdbIn" localSheetId="3">'[10]Clg-Coil'!$B$8</definedName>
    <definedName name="TdbIn" localSheetId="7">'[10]Clg-Coil'!$B$8</definedName>
    <definedName name="TdbIn">'[10]Clg-Coil'!$B$8</definedName>
    <definedName name="TdbNet" localSheetId="9">'[10]Clg-Coil'!$I$12</definedName>
    <definedName name="TdbNet" localSheetId="5">'[10]Clg-Coil'!$I$12</definedName>
    <definedName name="TdbNet" localSheetId="10">'[10]Clg-Coil'!$I$12</definedName>
    <definedName name="TdbNet" localSheetId="3">'[10]Clg-Coil'!$I$12</definedName>
    <definedName name="TdbNet" localSheetId="7">'[10]Clg-Coil'!$I$12</definedName>
    <definedName name="TdbNet">'[10]Clg-Coil'!$I$12</definedName>
    <definedName name="TdbOut" localSheetId="9">'[10]Heat Rec''ry'!$F$9</definedName>
    <definedName name="TdbOut" localSheetId="5">'[10]Heat Rec''ry'!$F$9</definedName>
    <definedName name="TdbOut" localSheetId="10">'[10]Heat Rec''ry'!$F$9</definedName>
    <definedName name="TdbOut" localSheetId="3">'[10]Heat Rec''ry'!$F$9</definedName>
    <definedName name="TdbOut" localSheetId="7">'[10]Heat Rec''ry'!$F$9</definedName>
    <definedName name="TdbOut">'[10]Heat Rec''ry'!$F$9</definedName>
    <definedName name="TdbOutAir" localSheetId="9">'[10]Htg Coil'!$J$3</definedName>
    <definedName name="TdbOutAir" localSheetId="5">'[10]Htg Coil'!$J$3</definedName>
    <definedName name="TdbOutAir" localSheetId="10">'[10]Htg Coil'!$J$3</definedName>
    <definedName name="TdbOutAir" localSheetId="3">'[10]Htg Coil'!$J$3</definedName>
    <definedName name="TdbOutAir" localSheetId="7">'[10]Htg Coil'!$J$3</definedName>
    <definedName name="TdbOutAir">'[10]Htg Coil'!$J$3</definedName>
    <definedName name="TdbRet" localSheetId="9">'[10]Clg Coil-BP'!$B$9</definedName>
    <definedName name="TdbRet" localSheetId="5">'[10]Clg Coil-BP'!$B$9</definedName>
    <definedName name="TdbRet" localSheetId="10">'[10]Clg Coil-BP'!$B$9</definedName>
    <definedName name="TdbRet" localSheetId="3">'[10]Clg Coil-BP'!$B$9</definedName>
    <definedName name="TdbRet" localSheetId="7">'[10]Clg Coil-BP'!$B$9</definedName>
    <definedName name="TdbRet">'[10]Clg Coil-BP'!$B$9</definedName>
    <definedName name="TdbRm" localSheetId="9">'[10]Heat Rec''ry'!$F$6</definedName>
    <definedName name="TdbRm" localSheetId="5">'[10]Heat Rec''ry'!$F$6</definedName>
    <definedName name="TdbRm" localSheetId="10">'[10]Heat Rec''ry'!$F$6</definedName>
    <definedName name="TdbRm" localSheetId="3">'[10]Heat Rec''ry'!$F$6</definedName>
    <definedName name="TdbRm" localSheetId="7">'[10]Heat Rec''ry'!$F$6</definedName>
    <definedName name="TdbRm">'[10]Heat Rec''ry'!$F$6</definedName>
    <definedName name="TdbSup" localSheetId="9">'[10]Clg Coil-BP'!$F$8</definedName>
    <definedName name="TdbSup" localSheetId="5">'[10]Clg Coil-BP'!$F$8</definedName>
    <definedName name="TdbSup" localSheetId="10">'[10]Clg Coil-BP'!$F$8</definedName>
    <definedName name="TdbSup" localSheetId="3">'[10]Clg Coil-BP'!$F$8</definedName>
    <definedName name="TdbSup" localSheetId="7">'[10]Clg Coil-BP'!$F$8</definedName>
    <definedName name="TdbSup">'[10]Clg Coil-BP'!$F$8</definedName>
    <definedName name="Tdrybulb" localSheetId="9">#REF!</definedName>
    <definedName name="Tdrybulb" localSheetId="5">#REF!</definedName>
    <definedName name="Tdrybulb" localSheetId="10">#REF!</definedName>
    <definedName name="Tdrybulb" localSheetId="3">#REF!</definedName>
    <definedName name="Tdrybulb" localSheetId="7">#REF!</definedName>
    <definedName name="Tdrybulb">#REF!</definedName>
    <definedName name="Tdwb1" localSheetId="9">#REF!</definedName>
    <definedName name="Tdwb1" localSheetId="5">#REF!</definedName>
    <definedName name="Tdwb1" localSheetId="10">#REF!</definedName>
    <definedName name="Tdwb1" localSheetId="3">#REF!</definedName>
    <definedName name="Tdwb1" localSheetId="7">#REF!</definedName>
    <definedName name="Tdwb1">#REF!</definedName>
    <definedName name="TESC" localSheetId="9">#REF!</definedName>
    <definedName name="TESC" localSheetId="5">#REF!</definedName>
    <definedName name="TESC" localSheetId="10">#REF!</definedName>
    <definedName name="TESC" localSheetId="3">#REF!</definedName>
    <definedName name="TESC" localSheetId="7">#REF!</definedName>
    <definedName name="TESC">#REF!</definedName>
    <definedName name="TESCAP" localSheetId="9">#REF!</definedName>
    <definedName name="TESCAP" localSheetId="5">#REF!</definedName>
    <definedName name="TESCAP" localSheetId="10">#REF!</definedName>
    <definedName name="TESCAP" localSheetId="3">#REF!</definedName>
    <definedName name="TESCAP" localSheetId="7">#REF!</definedName>
    <definedName name="TESCAP">#REF!</definedName>
    <definedName name="Test" localSheetId="9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Test" localSheetId="5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Test" localSheetId="10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Test" localSheetId="3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Test" localSheetId="7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Test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THA" localSheetId="9">#REF!</definedName>
    <definedName name="THA" localSheetId="5">#REF!</definedName>
    <definedName name="THA" localSheetId="10">#REF!</definedName>
    <definedName name="THA" localSheetId="3">#REF!</definedName>
    <definedName name="THA" localSheetId="7">#REF!</definedName>
    <definedName name="THA">#REF!</definedName>
    <definedName name="THAB" localSheetId="9">#REF!</definedName>
    <definedName name="THAB" localSheetId="5">#REF!</definedName>
    <definedName name="THAB" localSheetId="10">#REF!</definedName>
    <definedName name="THAB" localSheetId="3">#REF!</definedName>
    <definedName name="THAB" localSheetId="7">#REF!</definedName>
    <definedName name="THAB">#REF!</definedName>
    <definedName name="TNS" localSheetId="9">#REF!</definedName>
    <definedName name="TNS" localSheetId="5">#REF!</definedName>
    <definedName name="TNS" localSheetId="10">#REF!</definedName>
    <definedName name="TNS" localSheetId="3">#REF!</definedName>
    <definedName name="TNS" localSheetId="7">#REF!</definedName>
    <definedName name="TNS">#REF!</definedName>
    <definedName name="TOPLABEL" localSheetId="9">#REF!</definedName>
    <definedName name="TOPLABEL" localSheetId="5">#REF!</definedName>
    <definedName name="TOPLABEL" localSheetId="10">#REF!</definedName>
    <definedName name="TOPLABEL" localSheetId="3">#REF!</definedName>
    <definedName name="TOPLABEL" localSheetId="7">#REF!</definedName>
    <definedName name="TOPLABEL">#REF!</definedName>
    <definedName name="TOTAL_WINDOW" localSheetId="9">#REF!</definedName>
    <definedName name="TOTAL_WINDOW" localSheetId="5">#REF!</definedName>
    <definedName name="TOTAL_WINDOW" localSheetId="10">#REF!</definedName>
    <definedName name="TOTAL_WINDOW" localSheetId="3">#REF!</definedName>
    <definedName name="TOTAL_WINDOW" localSheetId="7">#REF!</definedName>
    <definedName name="TOTAL_WINDOW">#REF!</definedName>
    <definedName name="TotalBalAfter" localSheetId="9">#REF!</definedName>
    <definedName name="TotalBalAfter" localSheetId="5">#REF!</definedName>
    <definedName name="TotalBalAfter" localSheetId="10">#REF!</definedName>
    <definedName name="TotalBalAfter" localSheetId="3">#REF!</definedName>
    <definedName name="TotalBalAfter" localSheetId="7">#REF!</definedName>
    <definedName name="TotalBalAfter">#REF!</definedName>
    <definedName name="TotalBallastAfter" localSheetId="9">#REF!</definedName>
    <definedName name="TotalBallastAfter" localSheetId="5">#REF!</definedName>
    <definedName name="TotalBallastAfter" localSheetId="10">#REF!</definedName>
    <definedName name="TotalBallastAfter" localSheetId="3">#REF!</definedName>
    <definedName name="TotalBallastAfter" localSheetId="7">#REF!</definedName>
    <definedName name="TotalBallastAfter">#REF!</definedName>
    <definedName name="TotalOtherExpenses" localSheetId="9">#REF!</definedName>
    <definedName name="TotalOtherExpenses" localSheetId="5">#REF!</definedName>
    <definedName name="TotalOtherExpenses" localSheetId="10">#REF!</definedName>
    <definedName name="TotalOtherExpenses" localSheetId="3">#REF!</definedName>
    <definedName name="TotalOtherExpenses" localSheetId="7">#REF!</definedName>
    <definedName name="TotalOtherExpenses">#REF!</definedName>
    <definedName name="TotalPress" localSheetId="9">'[10]Clg-Coil'!$I$3</definedName>
    <definedName name="TotalPress" localSheetId="5">'[10]Clg-Coil'!$I$3</definedName>
    <definedName name="TotalPress" localSheetId="10">'[10]Clg-Coil'!$I$3</definedName>
    <definedName name="TotalPress" localSheetId="3">'[10]Clg-Coil'!$I$3</definedName>
    <definedName name="TotalPress" localSheetId="7">'[10]Clg-Coil'!$I$3</definedName>
    <definedName name="TotalPress">'[10]Clg-Coil'!$I$3</definedName>
    <definedName name="TotMaintSav" localSheetId="9">#REF!</definedName>
    <definedName name="TotMaintSav" localSheetId="5">#REF!</definedName>
    <definedName name="TotMaintSav" localSheetId="10">#REF!</definedName>
    <definedName name="TotMaintSav" localSheetId="3">#REF!</definedName>
    <definedName name="TotMaintSav" localSheetId="7">#REF!</definedName>
    <definedName name="TotMaintSav">#REF!</definedName>
    <definedName name="tpwPCpms">[43]Assumptions!$N$28</definedName>
    <definedName name="TwbHin" localSheetId="9">'[10]Htg Coil'!$B$9</definedName>
    <definedName name="TwbHin" localSheetId="5">'[10]Htg Coil'!$B$9</definedName>
    <definedName name="TwbHin" localSheetId="10">'[10]Htg Coil'!$B$9</definedName>
    <definedName name="TwbHin" localSheetId="3">'[10]Htg Coil'!$B$9</definedName>
    <definedName name="TwbHin" localSheetId="7">'[10]Htg Coil'!$B$9</definedName>
    <definedName name="TwbHin">'[10]Htg Coil'!$B$9</definedName>
    <definedName name="TwbHout" localSheetId="9">'[10]Htg Coil'!$F$7</definedName>
    <definedName name="TwbHout" localSheetId="5">'[10]Htg Coil'!$F$7</definedName>
    <definedName name="TwbHout" localSheetId="10">'[10]Htg Coil'!$F$7</definedName>
    <definedName name="TwbHout" localSheetId="3">'[10]Htg Coil'!$F$7</definedName>
    <definedName name="TwbHout" localSheetId="7">'[10]Htg Coil'!$F$7</definedName>
    <definedName name="TwbHout">'[10]Htg Coil'!$F$7</definedName>
    <definedName name="TwbHru" localSheetId="9">'[10]Heat Rec''ry'!$H$15</definedName>
    <definedName name="TwbHru" localSheetId="5">'[10]Heat Rec''ry'!$H$15</definedName>
    <definedName name="TwbHru" localSheetId="10">'[10]Heat Rec''ry'!$H$15</definedName>
    <definedName name="TwbHru" localSheetId="3">'[10]Heat Rec''ry'!$H$15</definedName>
    <definedName name="TwbHru" localSheetId="7">'[10]Heat Rec''ry'!$H$15</definedName>
    <definedName name="TwbHru">'[10]Heat Rec''ry'!$H$15</definedName>
    <definedName name="TwbIn" localSheetId="9">'[10]Clg-Coil'!$B$9</definedName>
    <definedName name="TwbIn" localSheetId="5">'[10]Clg-Coil'!$B$9</definedName>
    <definedName name="TwbIn" localSheetId="10">'[10]Clg-Coil'!$B$9</definedName>
    <definedName name="TwbIn" localSheetId="3">'[10]Clg-Coil'!$B$9</definedName>
    <definedName name="TwbIn" localSheetId="7">'[10]Clg-Coil'!$B$9</definedName>
    <definedName name="TwbIn">'[10]Clg-Coil'!$B$9</definedName>
    <definedName name="TwbNet" localSheetId="9">'[10]Clg-Coil'!$I$13</definedName>
    <definedName name="TwbNet" localSheetId="5">'[10]Clg-Coil'!$I$13</definedName>
    <definedName name="TwbNet" localSheetId="10">'[10]Clg-Coil'!$I$13</definedName>
    <definedName name="TwbNet" localSheetId="3">'[10]Clg-Coil'!$I$13</definedName>
    <definedName name="TwbNet" localSheetId="7">'[10]Clg-Coil'!$I$13</definedName>
    <definedName name="TwbNet">'[10]Clg-Coil'!$I$13</definedName>
    <definedName name="TwbOut" localSheetId="9">'[10]Heat Rec''ry'!$F$10</definedName>
    <definedName name="TwbOut" localSheetId="5">'[10]Heat Rec''ry'!$F$10</definedName>
    <definedName name="TwbOut" localSheetId="10">'[10]Heat Rec''ry'!$F$10</definedName>
    <definedName name="TwbOut" localSheetId="3">'[10]Heat Rec''ry'!$F$10</definedName>
    <definedName name="TwbOut" localSheetId="7">'[10]Heat Rec''ry'!$F$10</definedName>
    <definedName name="TwbOut">'[10]Heat Rec''ry'!$F$10</definedName>
    <definedName name="TwbOutAir" localSheetId="9">'[10]Htg Coil'!$J$4</definedName>
    <definedName name="TwbOutAir" localSheetId="5">'[10]Htg Coil'!$J$4</definedName>
    <definedName name="TwbOutAir" localSheetId="10">'[10]Htg Coil'!$J$4</definedName>
    <definedName name="TwbOutAir" localSheetId="3">'[10]Htg Coil'!$J$4</definedName>
    <definedName name="TwbOutAir" localSheetId="7">'[10]Htg Coil'!$J$4</definedName>
    <definedName name="TwbOutAir">'[10]Htg Coil'!$J$4</definedName>
    <definedName name="TwbRet" localSheetId="9">'[10]Clg Coil-BP'!$B$10</definedName>
    <definedName name="TwbRet" localSheetId="5">'[10]Clg Coil-BP'!$B$10</definedName>
    <definedName name="TwbRet" localSheetId="10">'[10]Clg Coil-BP'!$B$10</definedName>
    <definedName name="TwbRet" localSheetId="3">'[10]Clg Coil-BP'!$B$10</definedName>
    <definedName name="TwbRet" localSheetId="7">'[10]Clg Coil-BP'!$B$10</definedName>
    <definedName name="TwbRet">'[10]Clg Coil-BP'!$B$10</definedName>
    <definedName name="TwbRm" localSheetId="9">'[10]Heat Rec''ry'!$F$7</definedName>
    <definedName name="TwbRm" localSheetId="5">'[10]Heat Rec''ry'!$F$7</definedName>
    <definedName name="TwbRm" localSheetId="10">'[10]Heat Rec''ry'!$F$7</definedName>
    <definedName name="TwbRm" localSheetId="3">'[10]Heat Rec''ry'!$F$7</definedName>
    <definedName name="TwbRm" localSheetId="7">'[10]Heat Rec''ry'!$F$7</definedName>
    <definedName name="TwbRm">'[10]Heat Rec''ry'!$F$7</definedName>
    <definedName name="TwbSup" localSheetId="9">'[10]Clg Coil-BP'!$F$9</definedName>
    <definedName name="TwbSup" localSheetId="5">'[10]Clg Coil-BP'!$F$9</definedName>
    <definedName name="TwbSup" localSheetId="10">'[10]Clg Coil-BP'!$F$9</definedName>
    <definedName name="TwbSup" localSheetId="3">'[10]Clg Coil-BP'!$F$9</definedName>
    <definedName name="TwbSup" localSheetId="7">'[10]Clg Coil-BP'!$F$9</definedName>
    <definedName name="TwbSup">'[10]Clg Coil-BP'!$F$9</definedName>
    <definedName name="Twetbulb" localSheetId="9">#REF!</definedName>
    <definedName name="Twetbulb" localSheetId="5">#REF!</definedName>
    <definedName name="Twetbulb" localSheetId="10">#REF!</definedName>
    <definedName name="Twetbulb" localSheetId="3">#REF!</definedName>
    <definedName name="Twetbulb" localSheetId="7">#REF!</definedName>
    <definedName name="Twetbulb">#REF!</definedName>
    <definedName name="tyduytdt1" localSheetId="9" hidden="1">{"hostelec",#N/A,FALSE,"Billing";"nhelec",#N/A,FALSE,"Billing";"sitelec",#N/A,FALSE,"Billing";"Service",#N/A,FALSE,"Misc."}</definedName>
    <definedName name="tyduytdt1" localSheetId="5" hidden="1">{"hostelec",#N/A,FALSE,"Billing";"nhelec",#N/A,FALSE,"Billing";"sitelec",#N/A,FALSE,"Billing";"Service",#N/A,FALSE,"Misc."}</definedName>
    <definedName name="tyduytdt1" localSheetId="10" hidden="1">{"hostelec",#N/A,FALSE,"Billing";"nhelec",#N/A,FALSE,"Billing";"sitelec",#N/A,FALSE,"Billing";"Service",#N/A,FALSE,"Misc."}</definedName>
    <definedName name="tyduytdt1" localSheetId="3" hidden="1">{"hostelec",#N/A,FALSE,"Billing";"nhelec",#N/A,FALSE,"Billing";"sitelec",#N/A,FALSE,"Billing";"Service",#N/A,FALSE,"Misc."}</definedName>
    <definedName name="tyduytdt1" localSheetId="7" hidden="1">{"hostelec",#N/A,FALSE,"Billing";"nhelec",#N/A,FALSE,"Billing";"sitelec",#N/A,FALSE,"Billing";"Service",#N/A,FALSE,"Misc."}</definedName>
    <definedName name="tyduytdt1" hidden="1">{"hostelec",#N/A,FALSE,"Billing";"nhelec",#N/A,FALSE,"Billing";"sitelec",#N/A,FALSE,"Billing";"Service",#N/A,FALSE,"Misc."}</definedName>
    <definedName name="TypeRange" localSheetId="9">'[11]Cost Analysis'!$I$11,'[11]Cost Analysis'!$I$18,'[11]Cost Analysis'!$I$27</definedName>
    <definedName name="TypeRange" localSheetId="5">'[11]Cost Analysis'!$I$11,'[11]Cost Analysis'!$I$18,'[11]Cost Analysis'!$I$27</definedName>
    <definedName name="TypeRange" localSheetId="10">'[11]Cost Analysis'!$I$11,'[11]Cost Analysis'!$I$18,'[11]Cost Analysis'!$I$27</definedName>
    <definedName name="TypeRange" localSheetId="3">'[11]Cost Analysis'!$I$11,'[11]Cost Analysis'!$I$18,'[11]Cost Analysis'!$I$27</definedName>
    <definedName name="TypeRange" localSheetId="7">'[11]Cost Analysis'!$I$11,'[11]Cost Analysis'!$I$18,'[11]Cost Analysis'!$I$27</definedName>
    <definedName name="TypeRange">'[12]Cost Analysis'!$I$11,'[12]Cost Analysis'!$I$18,'[12]Cost Analysis'!$I$27</definedName>
    <definedName name="tytduytdt" localSheetId="9" hidden="1">{"hostelec",#N/A,FALSE,"Billing";"nhelec",#N/A,FALSE,"Billing";"sitelec",#N/A,FALSE,"Billing";"Service",#N/A,FALSE,"Misc."}</definedName>
    <definedName name="tytduytdt" localSheetId="5" hidden="1">{"hostelec",#N/A,FALSE,"Billing";"nhelec",#N/A,FALSE,"Billing";"sitelec",#N/A,FALSE,"Billing";"Service",#N/A,FALSE,"Misc."}</definedName>
    <definedName name="tytduytdt" localSheetId="10" hidden="1">{"hostelec",#N/A,FALSE,"Billing";"nhelec",#N/A,FALSE,"Billing";"sitelec",#N/A,FALSE,"Billing";"Service",#N/A,FALSE,"Misc."}</definedName>
    <definedName name="tytduytdt" localSheetId="3" hidden="1">{"hostelec",#N/A,FALSE,"Billing";"nhelec",#N/A,FALSE,"Billing";"sitelec",#N/A,FALSE,"Billing";"Service",#N/A,FALSE,"Misc."}</definedName>
    <definedName name="tytduytdt" localSheetId="7" hidden="1">{"hostelec",#N/A,FALSE,"Billing";"nhelec",#N/A,FALSE,"Billing";"sitelec",#N/A,FALSE,"Billing";"Service",#N/A,FALSE,"Misc."}</definedName>
    <definedName name="tytduytdt" hidden="1">{"hostelec",#N/A,FALSE,"Billing";"nhelec",#N/A,FALSE,"Billing";"sitelec",#N/A,FALSE,"Billing";"Service",#N/A,FALSE,"Misc."}</definedName>
    <definedName name="U" localSheetId="9">'[17]HW Reset'!#REF!</definedName>
    <definedName name="U" localSheetId="5">'[17]HW Reset'!#REF!</definedName>
    <definedName name="U" localSheetId="10">'[17]HW Reset'!#REF!</definedName>
    <definedName name="U" localSheetId="3">'[17]HW Reset'!#REF!</definedName>
    <definedName name="U" localSheetId="7">'[17]HW Reset'!#REF!</definedName>
    <definedName name="U">'[17]HW Reset'!#REF!</definedName>
    <definedName name="U_Value" localSheetId="9">#REF!</definedName>
    <definedName name="U_Value" localSheetId="5">#REF!</definedName>
    <definedName name="U_Value" localSheetId="10">#REF!</definedName>
    <definedName name="U_Value" localSheetId="3">#REF!</definedName>
    <definedName name="U_Value" localSheetId="7">#REF!</definedName>
    <definedName name="U_Value">#REF!</definedName>
    <definedName name="UMC" localSheetId="9">#REF!</definedName>
    <definedName name="UMC" localSheetId="5">#REF!</definedName>
    <definedName name="UMC" localSheetId="10">#REF!</definedName>
    <definedName name="UMC" localSheetId="3">#REF!</definedName>
    <definedName name="UMC" localSheetId="7">#REF!</definedName>
    <definedName name="UMC">#REF!</definedName>
    <definedName name="UNI_AA_VERSION" hidden="1">"202.1.0"</definedName>
    <definedName name="UNI_FILT_END" hidden="1">8</definedName>
    <definedName name="UNI_FILT_OFFSPEC" hidden="1">2</definedName>
    <definedName name="UNI_FILT_ONSPEC" hidden="1">1</definedName>
    <definedName name="UNI_FILT_START" hidden="1">4</definedName>
    <definedName name="UNI_NOTHING" hidden="1">0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OUTLIERS" hidden="1">32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PRES_TRANSPOSE" hidden="1">4096</definedName>
    <definedName name="UNI_RET_ATTRIB" hidden="1">64</definedName>
    <definedName name="UNI_RET_CONF" hidden="1">32</definedName>
    <definedName name="UNI_RET_DESC" hidden="1">4</definedName>
    <definedName name="UNI_RET_END" hidden="1">16384</definedName>
    <definedName name="UNI_RET_EQUIP" hidden="1">32768</definedName>
    <definedName name="UNI_RET_EVENT" hidden="1">4096</definedName>
    <definedName name="UNI_RET_OFFSPEC" hidden="1">512</definedName>
    <definedName name="UNI_RET_ONSPEC" hidden="1">256</definedName>
    <definedName name="UNI_RET_PROP" hidden="1">131072</definedName>
    <definedName name="UNI_RET_PROPDESC" hidden="1">262144</definedName>
    <definedName name="UNI_RET_SMPLPNT" hidden="1">65536</definedName>
    <definedName name="UNI_RET_SPECMAX" hidden="1">2048</definedName>
    <definedName name="UNI_RET_SPECMIN" hidden="1">1024</definedName>
    <definedName name="UNI_RET_START" hidden="1">8192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NetGHG" localSheetId="9">'[11]Financial Summary'!$J$7:$J$9,'[11]Financial Summary'!$O$65</definedName>
    <definedName name="UnitNetGHG" localSheetId="5">'[11]Financial Summary'!$J$7:$J$9,'[11]Financial Summary'!$O$65</definedName>
    <definedName name="UnitNetGHG" localSheetId="10">'[11]Financial Summary'!$J$7:$J$9,'[11]Financial Summary'!$O$65</definedName>
    <definedName name="UnitNetGHG" localSheetId="3">'[11]Financial Summary'!$J$7:$J$9,'[11]Financial Summary'!$O$65</definedName>
    <definedName name="UnitNetGHG" localSheetId="7">'[11]Financial Summary'!$J$7:$J$9,'[11]Financial Summary'!$O$65</definedName>
    <definedName name="UnitNetGHG">'[12]Financial Summary'!$J$7:$J$9,'[12]Financial Summary'!$O$65</definedName>
    <definedName name="UNOCVENT" localSheetId="9">'[17]HW Reset'!#REF!</definedName>
    <definedName name="UNOCVENT" localSheetId="5">'[17]HW Reset'!#REF!</definedName>
    <definedName name="UNOCVENT" localSheetId="10">'[17]HW Reset'!#REF!</definedName>
    <definedName name="UNOCVENT" localSheetId="3">'[17]HW Reset'!#REF!</definedName>
    <definedName name="UNOCVENT" localSheetId="7">'[17]HW Reset'!#REF!</definedName>
    <definedName name="UNOCVENT">'[17]HW Reset'!#REF!</definedName>
    <definedName name="utica">[69]Infiltr_8x8!$A$1:$K$59</definedName>
    <definedName name="uuu" localSheetId="9">#REF!</definedName>
    <definedName name="uuu" localSheetId="5">#REF!</definedName>
    <definedName name="uuu" localSheetId="10">#REF!</definedName>
    <definedName name="uuu" localSheetId="3">#REF!</definedName>
    <definedName name="uuu" localSheetId="7">#REF!</definedName>
    <definedName name="uuu">#REF!</definedName>
    <definedName name="UxA" localSheetId="9">#REF!</definedName>
    <definedName name="UxA" localSheetId="5">#REF!</definedName>
    <definedName name="UxA" localSheetId="10">#REF!</definedName>
    <definedName name="UxA" localSheetId="3">#REF!</definedName>
    <definedName name="UxA" localSheetId="7">#REF!</definedName>
    <definedName name="UxA">#REF!</definedName>
    <definedName name="v" localSheetId="9">#REF!</definedName>
    <definedName name="v" localSheetId="5">#REF!</definedName>
    <definedName name="v" localSheetId="10">#REF!</definedName>
    <definedName name="v" localSheetId="3">#REF!</definedName>
    <definedName name="v" localSheetId="7">#REF!</definedName>
    <definedName name="v">#REF!</definedName>
    <definedName name="VALVE_COUNT" localSheetId="9">#REF!</definedName>
    <definedName name="VALVE_COUNT" localSheetId="5">#REF!</definedName>
    <definedName name="VALVE_COUNT" localSheetId="10">#REF!</definedName>
    <definedName name="VALVE_COUNT" localSheetId="3">#REF!</definedName>
    <definedName name="VALVE_COUNT" localSheetId="7">#REF!</definedName>
    <definedName name="VALVE_COUNT">#REF!</definedName>
    <definedName name="VALVE_DATA" localSheetId="9">#REF!</definedName>
    <definedName name="VALVE_DATA" localSheetId="5">#REF!</definedName>
    <definedName name="VALVE_DATA" localSheetId="10">#REF!</definedName>
    <definedName name="VALVE_DATA" localSheetId="3">#REF!</definedName>
    <definedName name="VALVE_DATA" localSheetId="7">#REF!</definedName>
    <definedName name="VALVE_DATA">#REF!</definedName>
    <definedName name="VarTab" localSheetId="9">[11]Sensitivity!$G$220:$G$227,[11]Sensitivity!$G$229</definedName>
    <definedName name="VarTab" localSheetId="5">[11]Sensitivity!$G$220:$G$227,[11]Sensitivity!$G$229</definedName>
    <definedName name="VarTab" localSheetId="10">[11]Sensitivity!$G$220:$G$227,[11]Sensitivity!$G$229</definedName>
    <definedName name="VarTab" localSheetId="3">[11]Sensitivity!$G$220:$G$227,[11]Sensitivity!$G$229</definedName>
    <definedName name="VarTab" localSheetId="7">[11]Sensitivity!$G$220:$G$227,[11]Sensitivity!$G$229</definedName>
    <definedName name="VarTab">[12]Sensitivity!$G$220:$G$227,[12]Sensitivity!$G$229</definedName>
    <definedName name="VAV_Conversion" localSheetId="9">#REF!</definedName>
    <definedName name="VAV_Conversion" localSheetId="5">#REF!</definedName>
    <definedName name="VAV_Conversion" localSheetId="10">#REF!</definedName>
    <definedName name="VAV_Conversion" localSheetId="3">#REF!</definedName>
    <definedName name="VAV_Conversion" localSheetId="7">#REF!</definedName>
    <definedName name="VAV_Conversion">#REF!</definedName>
    <definedName name="vbaDate" localSheetId="9">#REF!</definedName>
    <definedName name="vbaDate" localSheetId="5">#REF!</definedName>
    <definedName name="vbaDate" localSheetId="10">#REF!</definedName>
    <definedName name="vbaDate" localSheetId="3">#REF!</definedName>
    <definedName name="vbaDate" localSheetId="7">#REF!</definedName>
    <definedName name="vbaDate">#REF!</definedName>
    <definedName name="vbaStatus" localSheetId="9">#REF!</definedName>
    <definedName name="vbaStatus" localSheetId="5">#REF!</definedName>
    <definedName name="vbaStatus" localSheetId="10">#REF!</definedName>
    <definedName name="vbaStatus" localSheetId="3">#REF!</definedName>
    <definedName name="vbaStatus" localSheetId="7">#REF!</definedName>
    <definedName name="vbaStatus">#REF!</definedName>
    <definedName name="VendingMisers" localSheetId="9">'[70]Boiler Replacement '!$I$9:$L$16</definedName>
    <definedName name="VendingMisers" localSheetId="5">'[70]Boiler Replacement '!$I$9:$L$16</definedName>
    <definedName name="VendingMisers" localSheetId="10">'[70]Boiler Replacement '!$I$9:$L$16</definedName>
    <definedName name="VendingMisers" localSheetId="3">'[70]Boiler Replacement '!$I$9:$L$16</definedName>
    <definedName name="VendingMisers" localSheetId="7">'[70]Boiler Replacement '!$I$9:$L$16</definedName>
    <definedName name="VendingMisers">'[71]Boiler Replacement '!$I$9:$L$16</definedName>
    <definedName name="VENTPER" localSheetId="9">'[17]HW Reset'!#REF!</definedName>
    <definedName name="VENTPER" localSheetId="5">'[17]HW Reset'!#REF!</definedName>
    <definedName name="VENTPER" localSheetId="10">'[17]HW Reset'!#REF!</definedName>
    <definedName name="VENTPER" localSheetId="3">'[17]HW Reset'!#REF!</definedName>
    <definedName name="VENTPER" localSheetId="7">'[17]HW Reset'!#REF!</definedName>
    <definedName name="VENTPER">'[17]HW Reset'!#REF!</definedName>
    <definedName name="VETS" localSheetId="9">'[16]Chill Ops Costs FY05'!#REF!</definedName>
    <definedName name="VETS" localSheetId="5">'[16]Chill Ops Costs FY05'!#REF!</definedName>
    <definedName name="VETS" localSheetId="10">'[16]Chill Ops Costs FY05'!#REF!</definedName>
    <definedName name="VETS" localSheetId="3">'[16]Chill Ops Costs FY05'!#REF!</definedName>
    <definedName name="VETS" localSheetId="7">'[16]Chill Ops Costs FY05'!#REF!</definedName>
    <definedName name="VETS">'[16]Chill Ops Costs FY05'!#REF!</definedName>
    <definedName name="VMF_Doors" localSheetId="9">#REF!</definedName>
    <definedName name="VMF_Doors" localSheetId="5">#REF!</definedName>
    <definedName name="VMF_Doors" localSheetId="10">#REF!</definedName>
    <definedName name="VMF_Doors" localSheetId="3">#REF!</definedName>
    <definedName name="VMF_Doors" localSheetId="7">#REF!</definedName>
    <definedName name="VMF_Doors">#REF!</definedName>
    <definedName name="W" localSheetId="9">#REF!</definedName>
    <definedName name="W" localSheetId="5">#REF!</definedName>
    <definedName name="W" localSheetId="10">#REF!</definedName>
    <definedName name="W" localSheetId="3">#REF!</definedName>
    <definedName name="W" localSheetId="7">#REF!</definedName>
    <definedName name="W">#REF!</definedName>
    <definedName name="W1_" localSheetId="9">#REF!</definedName>
    <definedName name="W1_" localSheetId="5">#REF!</definedName>
    <definedName name="W1_" localSheetId="10">#REF!</definedName>
    <definedName name="W1_" localSheetId="3">#REF!</definedName>
    <definedName name="W1_" localSheetId="7">#REF!</definedName>
    <definedName name="W1_">#REF!</definedName>
    <definedName name="Wahs" localSheetId="9">#REF!</definedName>
    <definedName name="Wahs" localSheetId="5">#REF!</definedName>
    <definedName name="Wahs" localSheetId="10">#REF!</definedName>
    <definedName name="Wahs" localSheetId="3">#REF!</definedName>
    <definedName name="Wahs" localSheetId="7">#REF!</definedName>
    <definedName name="Wahs">#REF!</definedName>
    <definedName name="warn.all" localSheetId="9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arn.all" localSheetId="5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arn.all" localSheetId="10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arn.all" localSheetId="3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arn.all" localSheetId="7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arn.all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aste_Oil" localSheetId="9">#REF!</definedName>
    <definedName name="Waste_Oil" localSheetId="5">#REF!</definedName>
    <definedName name="Waste_Oil" localSheetId="10">#REF!</definedName>
    <definedName name="Waste_Oil" localSheetId="3">#REF!</definedName>
    <definedName name="Waste_Oil" localSheetId="7">#REF!</definedName>
    <definedName name="Waste_Oil">#REF!</definedName>
    <definedName name="Waste_Oil_Reclaim" localSheetId="9">#REF!</definedName>
    <definedName name="Waste_Oil_Reclaim" localSheetId="5">#REF!</definedName>
    <definedName name="Waste_Oil_Reclaim" localSheetId="10">#REF!</definedName>
    <definedName name="Waste_Oil_Reclaim" localSheetId="3">#REF!</definedName>
    <definedName name="Waste_Oil_Reclaim" localSheetId="7">#REF!</definedName>
    <definedName name="Waste_Oil_Reclaim">#REF!</definedName>
    <definedName name="WatrDlvd" localSheetId="9">'[11]Solar Resource &amp; System Load'!$CX$24</definedName>
    <definedName name="WatrDlvd" localSheetId="5">'[11]Solar Resource &amp; System Load'!$CX$24</definedName>
    <definedName name="WatrDlvd" localSheetId="10">'[11]Solar Resource &amp; System Load'!$CX$24</definedName>
    <definedName name="WatrDlvd" localSheetId="3">'[11]Solar Resource &amp; System Load'!$CX$24</definedName>
    <definedName name="WatrDlvd" localSheetId="7">'[11]Solar Resource &amp; System Load'!$CX$24</definedName>
    <definedName name="WatrDlvd">'[12]Solar Resource &amp; System Load'!$CX$24</definedName>
    <definedName name="WatrDmd" localSheetId="9">'[11]Solar Resource &amp; System Load'!$H$71</definedName>
    <definedName name="WatrDmd" localSheetId="5">'[11]Solar Resource &amp; System Load'!$H$71</definedName>
    <definedName name="WatrDmd" localSheetId="10">'[11]Solar Resource &amp; System Load'!$H$71</definedName>
    <definedName name="WatrDmd" localSheetId="3">'[11]Solar Resource &amp; System Load'!$H$71</definedName>
    <definedName name="WatrDmd" localSheetId="7">'[11]Solar Resource &amp; System Load'!$H$71</definedName>
    <definedName name="WatrDmd">'[12]Solar Resource &amp; System Load'!$H$71</definedName>
    <definedName name="WattageTable">#REF!</definedName>
    <definedName name="WBTU">[13]JC_CALC.XLS!$S$125</definedName>
    <definedName name="WF_Name" localSheetId="9">[61]TMY2!$B$12</definedName>
    <definedName name="WF_Name" localSheetId="5">[61]TMY2!$B$12</definedName>
    <definedName name="WF_Name" localSheetId="10">[61]TMY2!$B$12</definedName>
    <definedName name="WF_Name" localSheetId="3">[61]TMY2!$B$12</definedName>
    <definedName name="WF_Name" localSheetId="7">[61]TMY2!$B$12</definedName>
    <definedName name="WF_Name">[61]TMY2!$B$12</definedName>
    <definedName name="WINDCOEF" localSheetId="9">#REF!</definedName>
    <definedName name="WINDCOEF" localSheetId="5">#REF!</definedName>
    <definedName name="WINDCOEF" localSheetId="10">#REF!</definedName>
    <definedName name="WINDCOEF" localSheetId="3">#REF!</definedName>
    <definedName name="WINDCOEF" localSheetId="7">#REF!</definedName>
    <definedName name="WINDCOEF">#REF!</definedName>
    <definedName name="WksHeating" localSheetId="9">#REF!</definedName>
    <definedName name="WksHeating" localSheetId="5">#REF!</definedName>
    <definedName name="WksHeating" localSheetId="10">#REF!</definedName>
    <definedName name="WksHeating" localSheetId="3">#REF!</definedName>
    <definedName name="WksHeating" localSheetId="7">#REF!</definedName>
    <definedName name="WksHeating">#REF!</definedName>
    <definedName name="WPY">[13]JC_CALC.XLS!$A$54</definedName>
    <definedName name="wrn.all." localSheetId="9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" localSheetId="5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" localSheetId="10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" localSheetId="3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" localSheetId="7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_.Reports." localSheetId="9" hidden="1">{#N/A,#N/A,FALSE,"Prioritization";#N/A,#N/A,FALSE,"Development";#N/A,#N/A,FALSE,"Usage";#N/A,#N/A,FALSE,"Maintenance"}</definedName>
    <definedName name="wrn.All._.Reports." localSheetId="5" hidden="1">{#N/A,#N/A,FALSE,"Prioritization";#N/A,#N/A,FALSE,"Development";#N/A,#N/A,FALSE,"Usage";#N/A,#N/A,FALSE,"Maintenance"}</definedName>
    <definedName name="wrn.All._.Reports." localSheetId="10" hidden="1">{#N/A,#N/A,FALSE,"Prioritization";#N/A,#N/A,FALSE,"Development";#N/A,#N/A,FALSE,"Usage";#N/A,#N/A,FALSE,"Maintenance"}</definedName>
    <definedName name="wrn.All._.Reports." localSheetId="3" hidden="1">{#N/A,#N/A,FALSE,"Prioritization";#N/A,#N/A,FALSE,"Development";#N/A,#N/A,FALSE,"Usage";#N/A,#N/A,FALSE,"Maintenance"}</definedName>
    <definedName name="wrn.All._.Reports." localSheetId="7" hidden="1">{#N/A,#N/A,FALSE,"Prioritization";#N/A,#N/A,FALSE,"Development";#N/A,#N/A,FALSE,"Usage";#N/A,#N/A,FALSE,"Maintenance"}</definedName>
    <definedName name="wrn.All._.Reports." hidden="1">{#N/A,#N/A,FALSE,"Prioritization";#N/A,#N/A,FALSE,"Development";#N/A,#N/A,FALSE,"Usage";#N/A,#N/A,FALSE,"Maintenance"}</definedName>
    <definedName name="wrn.all.2" localSheetId="9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2" localSheetId="5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2" localSheetId="10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2" localSheetId="3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2" localSheetId="7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2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3" localSheetId="9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3" localSheetId="5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3" localSheetId="10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3" localSheetId="3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3" localSheetId="7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all.3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.Development." localSheetId="9" hidden="1">{#N/A,#N/A,FALSE,"Development"}</definedName>
    <definedName name="wrn.Development." localSheetId="5" hidden="1">{#N/A,#N/A,FALSE,"Development"}</definedName>
    <definedName name="wrn.Development." localSheetId="10" hidden="1">{#N/A,#N/A,FALSE,"Development"}</definedName>
    <definedName name="wrn.Development." localSheetId="3" hidden="1">{#N/A,#N/A,FALSE,"Development"}</definedName>
    <definedName name="wrn.Development." localSheetId="7" hidden="1">{#N/A,#N/A,FALSE,"Development"}</definedName>
    <definedName name="wrn.Development." hidden="1">{#N/A,#N/A,FALSE,"Development"}</definedName>
    <definedName name="wrn.E_FC_DH." localSheetId="9" hidden="1">{"E_FC",#N/A,TRUE,"Walk-In96";"DH",#N/A,TRUE,"Door Heater";"CostROI",#N/A,TRUE,"COST-ROI";"CostDH",#N/A,TRUE,"COST-DH";"Summary",#N/A,TRUE,"Custom"}</definedName>
    <definedName name="wrn.E_FC_DH." localSheetId="5" hidden="1">{"E_FC",#N/A,TRUE,"Walk-In96";"DH",#N/A,TRUE,"Door Heater";"CostROI",#N/A,TRUE,"COST-ROI";"CostDH",#N/A,TRUE,"COST-DH";"Summary",#N/A,TRUE,"Custom"}</definedName>
    <definedName name="wrn.E_FC_DH." localSheetId="10" hidden="1">{"E_FC",#N/A,TRUE,"Walk-In96";"DH",#N/A,TRUE,"Door Heater";"CostROI",#N/A,TRUE,"COST-ROI";"CostDH",#N/A,TRUE,"COST-DH";"Summary",#N/A,TRUE,"Custom"}</definedName>
    <definedName name="wrn.E_FC_DH." localSheetId="3" hidden="1">{"E_FC",#N/A,TRUE,"Walk-In96";"DH",#N/A,TRUE,"Door Heater";"CostROI",#N/A,TRUE,"COST-ROI";"CostDH",#N/A,TRUE,"COST-DH";"Summary",#N/A,TRUE,"Custom"}</definedName>
    <definedName name="wrn.E_FC_DH." localSheetId="7" hidden="1">{"E_FC",#N/A,TRUE,"Walk-In96";"DH",#N/A,TRUE,"Door Heater";"CostROI",#N/A,TRUE,"COST-ROI";"CostDH",#N/A,TRUE,"COST-DH";"Summary",#N/A,TRUE,"Custom"}</definedName>
    <definedName name="wrn.E_FC_DH." hidden="1">{"E_FC",#N/A,TRUE,"Walk-In96";"DH",#N/A,TRUE,"Door Heater";"CostROI",#N/A,TRUE,"COST-ROI";"CostDH",#N/A,TRUE,"COST-DH";"Summary",#N/A,TRUE,"Custom"}</definedName>
    <definedName name="wrn.ffhosp.2" localSheetId="9" hidden="1">{"hostelec",#N/A,FALSE,"Billing";"nhelec",#N/A,FALSE,"Billing";"sitelec",#N/A,FALSE,"Billing";"Service",#N/A,FALSE,"Misc."}</definedName>
    <definedName name="wrn.ffhosp.2" localSheetId="5" hidden="1">{"hostelec",#N/A,FALSE,"Billing";"nhelec",#N/A,FALSE,"Billing";"sitelec",#N/A,FALSE,"Billing";"Service",#N/A,FALSE,"Misc."}</definedName>
    <definedName name="wrn.ffhosp.2" localSheetId="10" hidden="1">{"hostelec",#N/A,FALSE,"Billing";"nhelec",#N/A,FALSE,"Billing";"sitelec",#N/A,FALSE,"Billing";"Service",#N/A,FALSE,"Misc."}</definedName>
    <definedName name="wrn.ffhosp.2" localSheetId="3" hidden="1">{"hostelec",#N/A,FALSE,"Billing";"nhelec",#N/A,FALSE,"Billing";"sitelec",#N/A,FALSE,"Billing";"Service",#N/A,FALSE,"Misc."}</definedName>
    <definedName name="wrn.ffhosp.2" localSheetId="7" hidden="1">{"hostelec",#N/A,FALSE,"Billing";"nhelec",#N/A,FALSE,"Billing";"sitelec",#N/A,FALSE,"Billing";"Service",#N/A,FALSE,"Misc."}</definedName>
    <definedName name="wrn.ffhosp.2" hidden="1">{"hostelec",#N/A,FALSE,"Billing";"nhelec",#N/A,FALSE,"Billing";"sitelec",#N/A,FALSE,"Billing";"Service",#N/A,FALSE,"Misc."}</definedName>
    <definedName name="wrn.ffthosp." localSheetId="9" hidden="1">{"hostelec",#N/A,FALSE,"Billing";"nhelec",#N/A,FALSE,"Billing";"sitelec",#N/A,FALSE,"Billing";"Service",#N/A,FALSE,"Misc."}</definedName>
    <definedName name="wrn.ffthosp." localSheetId="5" hidden="1">{"hostelec",#N/A,FALSE,"Billing";"nhelec",#N/A,FALSE,"Billing";"sitelec",#N/A,FALSE,"Billing";"Service",#N/A,FALSE,"Misc."}</definedName>
    <definedName name="wrn.ffthosp." localSheetId="10" hidden="1">{"hostelec",#N/A,FALSE,"Billing";"nhelec",#N/A,FALSE,"Billing";"sitelec",#N/A,FALSE,"Billing";"Service",#N/A,FALSE,"Misc."}</definedName>
    <definedName name="wrn.ffthosp." localSheetId="3" hidden="1">{"hostelec",#N/A,FALSE,"Billing";"nhelec",#N/A,FALSE,"Billing";"sitelec",#N/A,FALSE,"Billing";"Service",#N/A,FALSE,"Misc."}</definedName>
    <definedName name="wrn.ffthosp." localSheetId="7" hidden="1">{"hostelec",#N/A,FALSE,"Billing";"nhelec",#N/A,FALSE,"Billing";"sitelec",#N/A,FALSE,"Billing";"Service",#N/A,FALSE,"Misc."}</definedName>
    <definedName name="wrn.ffthosp." hidden="1">{"hostelec",#N/A,FALSE,"Billing";"nhelec",#N/A,FALSE,"Billing";"sitelec",#N/A,FALSE,"Billing";"Service",#N/A,FALSE,"Misc."}</definedName>
    <definedName name="wrn.ffthosp.1" localSheetId="9" hidden="1">{"hostelec",#N/A,FALSE,"Billing";"nhelec",#N/A,FALSE,"Billing";"sitelec",#N/A,FALSE,"Billing";"Service",#N/A,FALSE,"Misc."}</definedName>
    <definedName name="wrn.ffthosp.1" localSheetId="5" hidden="1">{"hostelec",#N/A,FALSE,"Billing";"nhelec",#N/A,FALSE,"Billing";"sitelec",#N/A,FALSE,"Billing";"Service",#N/A,FALSE,"Misc."}</definedName>
    <definedName name="wrn.ffthosp.1" localSheetId="10" hidden="1">{"hostelec",#N/A,FALSE,"Billing";"nhelec",#N/A,FALSE,"Billing";"sitelec",#N/A,FALSE,"Billing";"Service",#N/A,FALSE,"Misc."}</definedName>
    <definedName name="wrn.ffthosp.1" localSheetId="3" hidden="1">{"hostelec",#N/A,FALSE,"Billing";"nhelec",#N/A,FALSE,"Billing";"sitelec",#N/A,FALSE,"Billing";"Service",#N/A,FALSE,"Misc."}</definedName>
    <definedName name="wrn.ffthosp.1" localSheetId="7" hidden="1">{"hostelec",#N/A,FALSE,"Billing";"nhelec",#N/A,FALSE,"Billing";"sitelec",#N/A,FALSE,"Billing";"Service",#N/A,FALSE,"Misc."}</definedName>
    <definedName name="wrn.ffthosp.1" hidden="1">{"hostelec",#N/A,FALSE,"Billing";"nhelec",#N/A,FALSE,"Billing";"sitelec",#N/A,FALSE,"Billing";"Service",#N/A,FALSE,"Misc."}</definedName>
    <definedName name="wrn.Maintenance." localSheetId="9" hidden="1">{#N/A,#N/A,FALSE,"Maintenance"}</definedName>
    <definedName name="wrn.Maintenance." localSheetId="5" hidden="1">{#N/A,#N/A,FALSE,"Maintenance"}</definedName>
    <definedName name="wrn.Maintenance." localSheetId="10" hidden="1">{#N/A,#N/A,FALSE,"Maintenance"}</definedName>
    <definedName name="wrn.Maintenance." localSheetId="3" hidden="1">{#N/A,#N/A,FALSE,"Maintenance"}</definedName>
    <definedName name="wrn.Maintenance." localSheetId="7" hidden="1">{#N/A,#N/A,FALSE,"Maintenance"}</definedName>
    <definedName name="wrn.Maintenance." hidden="1">{#N/A,#N/A,FALSE,"Maintenance"}</definedName>
    <definedName name="wrn.Prioritization." localSheetId="9" hidden="1">{#N/A,#N/A,FALSE,"Prioritization"}</definedName>
    <definedName name="wrn.Prioritization." localSheetId="5" hidden="1">{#N/A,#N/A,FALSE,"Prioritization"}</definedName>
    <definedName name="wrn.Prioritization." localSheetId="10" hidden="1">{#N/A,#N/A,FALSE,"Prioritization"}</definedName>
    <definedName name="wrn.Prioritization." localSheetId="3" hidden="1">{#N/A,#N/A,FALSE,"Prioritization"}</definedName>
    <definedName name="wrn.Prioritization." localSheetId="7" hidden="1">{#N/A,#N/A,FALSE,"Prioritization"}</definedName>
    <definedName name="wrn.Prioritization." hidden="1">{#N/A,#N/A,FALSE,"Prioritization"}</definedName>
    <definedName name="wrn.total." localSheetId="9" hidden="1">{#N/A,#N/A,FALSE,"Summary";#N/A,#N/A,FALSE,"Berkeley";#N/A,#N/A,FALSE,"HS";#N/A,#N/A,FALSE,"Brookside";#N/A,#N/A,FALSE,"George";#N/A,#N/A,FALSE,"Ketler";#N/A,#N/A,FALSE,"Washington"}</definedName>
    <definedName name="wrn.total." localSheetId="5" hidden="1">{#N/A,#N/A,FALSE,"Summary";#N/A,#N/A,FALSE,"Berkeley";#N/A,#N/A,FALSE,"HS";#N/A,#N/A,FALSE,"Brookside";#N/A,#N/A,FALSE,"George";#N/A,#N/A,FALSE,"Ketler";#N/A,#N/A,FALSE,"Washington"}</definedName>
    <definedName name="wrn.total." localSheetId="10" hidden="1">{#N/A,#N/A,FALSE,"Summary";#N/A,#N/A,FALSE,"Berkeley";#N/A,#N/A,FALSE,"HS";#N/A,#N/A,FALSE,"Brookside";#N/A,#N/A,FALSE,"George";#N/A,#N/A,FALSE,"Ketler";#N/A,#N/A,FALSE,"Washington"}</definedName>
    <definedName name="wrn.total." localSheetId="3" hidden="1">{#N/A,#N/A,FALSE,"Summary";#N/A,#N/A,FALSE,"Berkeley";#N/A,#N/A,FALSE,"HS";#N/A,#N/A,FALSE,"Brookside";#N/A,#N/A,FALSE,"George";#N/A,#N/A,FALSE,"Ketler";#N/A,#N/A,FALSE,"Washington"}</definedName>
    <definedName name="wrn.total." localSheetId="7" hidden="1">{#N/A,#N/A,FALSE,"Summary";#N/A,#N/A,FALSE,"Berkeley";#N/A,#N/A,FALSE,"HS";#N/A,#N/A,FALSE,"Brookside";#N/A,#N/A,FALSE,"George";#N/A,#N/A,FALSE,"Ketler";#N/A,#N/A,FALSE,"Washington"}</definedName>
    <definedName name="wrn.total." hidden="1">{#N/A,#N/A,FALSE,"Summary";#N/A,#N/A,FALSE,"Berkeley";#N/A,#N/A,FALSE,"HS";#N/A,#N/A,FALSE,"Brookside";#N/A,#N/A,FALSE,"George";#N/A,#N/A,FALSE,"Ketler";#N/A,#N/A,FALSE,"Washington"}</definedName>
    <definedName name="wrn.Usage." localSheetId="9" hidden="1">{#N/A,#N/A,FALSE,"Usage"}</definedName>
    <definedName name="wrn.Usage." localSheetId="5" hidden="1">{#N/A,#N/A,FALSE,"Usage"}</definedName>
    <definedName name="wrn.Usage." localSheetId="10" hidden="1">{#N/A,#N/A,FALSE,"Usage"}</definedName>
    <definedName name="wrn.Usage." localSheetId="3" hidden="1">{#N/A,#N/A,FALSE,"Usage"}</definedName>
    <definedName name="wrn.Usage." localSheetId="7" hidden="1">{#N/A,#N/A,FALSE,"Usage"}</definedName>
    <definedName name="wrn.Usage." hidden="1">{#N/A,#N/A,FALSE,"Usage"}</definedName>
    <definedName name="wrnall.1" localSheetId="9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all.1" localSheetId="5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all.1" localSheetId="10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all.1" localSheetId="3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all.1" localSheetId="7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rnall.1" hidden="1">{#N/A,#N/A,FALSE,"Summary";#N/A,#N/A,FALSE,"CHWP VFD";#N/A,#N/A,FALSE,"AC 6 VFD";#N/A,#N/A,FALSE,"HWP VFD";#N/A,#N/A,FALSE,"Motors";#N/A,#N/A,FALSE,"Kitchen";#N/A,#N/A,FALSE,"DHW HTR";#N/A,#N/A,FALSE,"Lightcool";#N/A,#N/A,FALSE,"evap";#N/A,#N/A,FALSE,"TOD";#N/A,#N/A,FALSE,"kitcheqpt"}</definedName>
    <definedName name="WtrTemp" localSheetId="9">'[1]Elementary School'!#REF!</definedName>
    <definedName name="WtrTemp" localSheetId="5">'[1]Elementary School'!#REF!</definedName>
    <definedName name="WtrTemp" localSheetId="10">'[1]Elementary School'!#REF!</definedName>
    <definedName name="WtrTemp" localSheetId="3">'[1]Elementary School'!#REF!</definedName>
    <definedName name="WtrTemp" localSheetId="7">'[1]Elementary School'!#REF!</definedName>
    <definedName name="WtrTemp">'[1]Elementary School'!#REF!</definedName>
    <definedName name="x">1.49999113673065</definedName>
    <definedName name="y">6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13" l="1"/>
  <c r="S41" i="1"/>
  <c r="S42" i="1"/>
  <c r="D27" i="17"/>
  <c r="C24" i="15"/>
  <c r="B23" i="15"/>
  <c r="C23" i="15"/>
  <c r="B18" i="13"/>
  <c r="G45" i="17"/>
  <c r="G46" i="17" s="1"/>
  <c r="G49" i="17" s="1"/>
  <c r="G50" i="17" s="1"/>
  <c r="C48" i="17"/>
  <c r="D15" i="17"/>
  <c r="D14" i="17"/>
  <c r="D13" i="17"/>
  <c r="D12" i="17"/>
  <c r="D11" i="17"/>
  <c r="D9" i="17"/>
  <c r="A1" i="11" l="1"/>
  <c r="D31" i="16" l="1" a="1"/>
  <c r="D31" i="16" s="1"/>
  <c r="C31" i="16" a="1"/>
  <c r="C31" i="16" s="1"/>
  <c r="B31" i="16" a="1"/>
  <c r="B31" i="16" s="1"/>
  <c r="C73" i="16" l="1"/>
  <c r="C62" i="16"/>
  <c r="C53" i="16"/>
  <c r="C41" i="16"/>
  <c r="D78" i="16"/>
  <c r="D62" i="16"/>
  <c r="C70" i="16"/>
  <c r="C61" i="16"/>
  <c r="C49" i="16"/>
  <c r="C38" i="16"/>
  <c r="C78" i="16"/>
  <c r="C69" i="16"/>
  <c r="C57" i="16"/>
  <c r="C46" i="16"/>
  <c r="C37" i="16"/>
  <c r="C77" i="16"/>
  <c r="C65" i="16"/>
  <c r="C54" i="16"/>
  <c r="C45" i="16"/>
  <c r="C33" i="16"/>
  <c r="D46" i="16"/>
  <c r="D70" i="16"/>
  <c r="D38" i="16"/>
  <c r="D54" i="16"/>
  <c r="B78" i="16"/>
  <c r="B62" i="16"/>
  <c r="B46" i="16"/>
  <c r="B74" i="16"/>
  <c r="B58" i="16"/>
  <c r="B42" i="16"/>
  <c r="D66" i="16"/>
  <c r="D50" i="16"/>
  <c r="D34" i="16"/>
  <c r="B70" i="16"/>
  <c r="B54" i="16"/>
  <c r="B38" i="16"/>
  <c r="B66" i="16"/>
  <c r="B50" i="16"/>
  <c r="B34" i="16"/>
  <c r="C74" i="16"/>
  <c r="C66" i="16"/>
  <c r="C58" i="16"/>
  <c r="C50" i="16"/>
  <c r="C42" i="16"/>
  <c r="C34" i="16"/>
  <c r="D74" i="16"/>
  <c r="D58" i="16"/>
  <c r="D42" i="16"/>
  <c r="D77" i="16"/>
  <c r="D73" i="16"/>
  <c r="D69" i="16"/>
  <c r="D65" i="16"/>
  <c r="D61" i="16"/>
  <c r="D57" i="16"/>
  <c r="D53" i="16"/>
  <c r="D49" i="16"/>
  <c r="D45" i="16"/>
  <c r="D41" i="16"/>
  <c r="D37" i="16"/>
  <c r="D33" i="16"/>
  <c r="D80" i="16"/>
  <c r="D76" i="16"/>
  <c r="D72" i="16"/>
  <c r="D68" i="16"/>
  <c r="D64" i="16"/>
  <c r="D60" i="16"/>
  <c r="D56" i="16"/>
  <c r="D52" i="16"/>
  <c r="D48" i="16"/>
  <c r="D44" i="16"/>
  <c r="D40" i="16"/>
  <c r="D36" i="16"/>
  <c r="D32" i="16"/>
  <c r="D79" i="16"/>
  <c r="D75" i="16"/>
  <c r="D71" i="16"/>
  <c r="D67" i="16"/>
  <c r="D63" i="16"/>
  <c r="D59" i="16"/>
  <c r="D55" i="16"/>
  <c r="D51" i="16"/>
  <c r="D47" i="16"/>
  <c r="D43" i="16"/>
  <c r="D39" i="16"/>
  <c r="D35" i="16"/>
  <c r="C80" i="16"/>
  <c r="C76" i="16"/>
  <c r="C72" i="16"/>
  <c r="C68" i="16"/>
  <c r="C64" i="16"/>
  <c r="C60" i="16"/>
  <c r="C56" i="16"/>
  <c r="C52" i="16"/>
  <c r="C48" i="16"/>
  <c r="C44" i="16"/>
  <c r="C40" i="16"/>
  <c r="C36" i="16"/>
  <c r="C32" i="16"/>
  <c r="C79" i="16"/>
  <c r="C75" i="16"/>
  <c r="C71" i="16"/>
  <c r="C67" i="16"/>
  <c r="C63" i="16"/>
  <c r="C59" i="16"/>
  <c r="C55" i="16"/>
  <c r="C51" i="16"/>
  <c r="C47" i="16"/>
  <c r="C43" i="16"/>
  <c r="C39" i="16"/>
  <c r="C35" i="16"/>
  <c r="B77" i="16"/>
  <c r="B73" i="16"/>
  <c r="B69" i="16"/>
  <c r="B65" i="16"/>
  <c r="B61" i="16"/>
  <c r="B57" i="16"/>
  <c r="B53" i="16"/>
  <c r="B49" i="16"/>
  <c r="B45" i="16"/>
  <c r="B41" i="16"/>
  <c r="B37" i="16"/>
  <c r="B33" i="16"/>
  <c r="B80" i="16"/>
  <c r="B76" i="16"/>
  <c r="B72" i="16"/>
  <c r="B68" i="16"/>
  <c r="B64" i="16"/>
  <c r="B60" i="16"/>
  <c r="B56" i="16"/>
  <c r="B52" i="16"/>
  <c r="B48" i="16"/>
  <c r="B44" i="16"/>
  <c r="B40" i="16"/>
  <c r="B36" i="16"/>
  <c r="B32" i="16"/>
  <c r="B79" i="16"/>
  <c r="B75" i="16"/>
  <c r="B71" i="16"/>
  <c r="B67" i="16"/>
  <c r="B63" i="16"/>
  <c r="B59" i="16"/>
  <c r="B55" i="16"/>
  <c r="B51" i="16"/>
  <c r="B47" i="16"/>
  <c r="B43" i="16"/>
  <c r="B39" i="16"/>
  <c r="B35" i="16"/>
  <c r="C81" i="16" l="1"/>
  <c r="J35" i="16"/>
  <c r="K79" i="16"/>
  <c r="J79" i="16"/>
  <c r="L79" i="16" l="1"/>
  <c r="C28" i="17" l="1"/>
  <c r="C15" i="17"/>
  <c r="E15" i="17" s="1"/>
  <c r="C14" i="17"/>
  <c r="E14" i="17" s="1"/>
  <c r="B13" i="17"/>
  <c r="B26" i="17" s="1"/>
  <c r="B12" i="17"/>
  <c r="B25" i="17" s="1"/>
  <c r="B11" i="17"/>
  <c r="B24" i="17" s="1"/>
  <c r="C10" i="17"/>
  <c r="B10" i="17"/>
  <c r="B23" i="17" s="1"/>
  <c r="B9" i="17"/>
  <c r="B22" i="17" s="1"/>
  <c r="D24" i="16"/>
  <c r="N12" i="16" s="1"/>
  <c r="C24" i="16"/>
  <c r="E24" i="16" s="1"/>
  <c r="D23" i="16"/>
  <c r="N11" i="16" s="1"/>
  <c r="L12" i="16"/>
  <c r="D12" i="16"/>
  <c r="M12" i="16" s="1"/>
  <c r="C12" i="16"/>
  <c r="K12" i="16" s="1"/>
  <c r="D11" i="16"/>
  <c r="M11" i="16" s="1"/>
  <c r="C11" i="16"/>
  <c r="K11" i="16" s="1"/>
  <c r="B10" i="16"/>
  <c r="B22" i="16" s="1"/>
  <c r="B9" i="16"/>
  <c r="B21" i="16" s="1"/>
  <c r="B8" i="16"/>
  <c r="B20" i="16" s="1"/>
  <c r="D7" i="16"/>
  <c r="M7" i="16" s="1"/>
  <c r="C7" i="16"/>
  <c r="K7" i="16" s="1"/>
  <c r="B7" i="16"/>
  <c r="B19" i="16" s="1"/>
  <c r="B6" i="16"/>
  <c r="B18" i="16" s="1"/>
  <c r="E7" i="16" l="1"/>
  <c r="O11" i="16"/>
  <c r="E11" i="16"/>
  <c r="O12" i="16"/>
  <c r="E12" i="16"/>
  <c r="K35" i="16" l="1"/>
  <c r="J62" i="16"/>
  <c r="K62" i="16"/>
  <c r="J52" i="16"/>
  <c r="K52" i="16"/>
  <c r="L62" i="16" l="1"/>
  <c r="L52" i="16"/>
  <c r="L35" i="16"/>
  <c r="C18" i="15" l="1"/>
  <c r="B18" i="15"/>
  <c r="B18" i="14"/>
  <c r="C18" i="13"/>
  <c r="C19" i="12"/>
  <c r="B19" i="12"/>
  <c r="D26" i="11" l="1"/>
  <c r="D25" i="11"/>
  <c r="B19" i="15"/>
  <c r="C26" i="11" s="1"/>
  <c r="C20" i="15"/>
  <c r="D14" i="11"/>
  <c r="C14" i="11"/>
  <c r="D13" i="11"/>
  <c r="C13" i="11"/>
  <c r="C25" i="11" l="1"/>
  <c r="C27" i="17"/>
  <c r="C23" i="16"/>
  <c r="C21" i="13"/>
  <c r="C21" i="15"/>
  <c r="E25" i="11"/>
  <c r="E13" i="11"/>
  <c r="E26" i="11"/>
  <c r="E14" i="11"/>
  <c r="L11" i="16" l="1"/>
  <c r="E23" i="16"/>
  <c r="C21" i="12"/>
  <c r="C20" i="13"/>
  <c r="C20" i="14"/>
  <c r="C18" i="14"/>
  <c r="C22" i="10" l="1"/>
  <c r="J20" i="5"/>
  <c r="C12" i="4"/>
  <c r="C22" i="4"/>
  <c r="C24" i="11"/>
  <c r="D9" i="11"/>
  <c r="C10" i="11"/>
  <c r="C9" i="11"/>
  <c r="B12" i="11"/>
  <c r="B24" i="11" s="1"/>
  <c r="B11" i="11"/>
  <c r="B23" i="11" s="1"/>
  <c r="B10" i="11"/>
  <c r="B22" i="11" s="1"/>
  <c r="B9" i="11"/>
  <c r="B21" i="11" s="1"/>
  <c r="B8" i="11"/>
  <c r="B20" i="11" s="1"/>
  <c r="C22" i="9"/>
  <c r="C22" i="7"/>
  <c r="E23" i="6"/>
  <c r="D23" i="6"/>
  <c r="C23" i="6"/>
  <c r="C24" i="3"/>
  <c r="M24" i="3"/>
  <c r="R24" i="3"/>
  <c r="V24" i="3"/>
  <c r="V12" i="3"/>
  <c r="V20" i="3"/>
  <c r="M20" i="3"/>
  <c r="R20" i="3"/>
  <c r="E23" i="2"/>
  <c r="C23" i="2"/>
  <c r="U19" i="9"/>
  <c r="U12" i="9"/>
  <c r="U11" i="9"/>
  <c r="S21" i="9"/>
  <c r="Q21" i="9"/>
  <c r="S19" i="9"/>
  <c r="Q19" i="9"/>
  <c r="V19" i="9" s="1"/>
  <c r="S18" i="9"/>
  <c r="Q18" i="9"/>
  <c r="S17" i="9"/>
  <c r="Q17" i="9"/>
  <c r="S16" i="9"/>
  <c r="Q16" i="9"/>
  <c r="S15" i="9"/>
  <c r="Q15" i="9"/>
  <c r="S14" i="9"/>
  <c r="Q14" i="9"/>
  <c r="S13" i="9"/>
  <c r="Q13" i="9"/>
  <c r="S12" i="9"/>
  <c r="Q12" i="9"/>
  <c r="S11" i="9"/>
  <c r="Q11" i="9"/>
  <c r="V11" i="9" s="1"/>
  <c r="S10" i="9"/>
  <c r="Q10" i="9"/>
  <c r="R34" i="1"/>
  <c r="R30" i="1"/>
  <c r="V10" i="5"/>
  <c r="R29" i="1"/>
  <c r="V12" i="1"/>
  <c r="V10" i="4"/>
  <c r="V20" i="5"/>
  <c r="V11" i="5"/>
  <c r="V13" i="5"/>
  <c r="V14" i="5"/>
  <c r="V15" i="5"/>
  <c r="V16" i="5"/>
  <c r="V17" i="5"/>
  <c r="V18" i="5"/>
  <c r="V19" i="5"/>
  <c r="V21" i="5"/>
  <c r="W11" i="8"/>
  <c r="W13" i="8"/>
  <c r="W14" i="8"/>
  <c r="W15" i="8"/>
  <c r="W16" i="8"/>
  <c r="W17" i="8"/>
  <c r="W18" i="8"/>
  <c r="W19" i="8"/>
  <c r="W20" i="8"/>
  <c r="W21" i="8"/>
  <c r="W10" i="8"/>
  <c r="W11" i="10"/>
  <c r="W13" i="10"/>
  <c r="W14" i="10"/>
  <c r="W15" i="10"/>
  <c r="W16" i="10"/>
  <c r="W17" i="10"/>
  <c r="W18" i="10"/>
  <c r="W19" i="10"/>
  <c r="W20" i="10"/>
  <c r="W21" i="10"/>
  <c r="W10" i="10"/>
  <c r="I22" i="10"/>
  <c r="T16" i="10"/>
  <c r="C26" i="17" l="1"/>
  <c r="C22" i="16"/>
  <c r="C10" i="16"/>
  <c r="K10" i="16" s="1"/>
  <c r="H17" i="16" s="1"/>
  <c r="C13" i="17"/>
  <c r="E13" i="17" s="1"/>
  <c r="C12" i="11"/>
  <c r="C9" i="16"/>
  <c r="K9" i="16" s="1"/>
  <c r="H19" i="16" s="1"/>
  <c r="C12" i="17"/>
  <c r="E12" i="17" s="1"/>
  <c r="C11" i="11"/>
  <c r="C8" i="16"/>
  <c r="K8" i="16" s="1"/>
  <c r="H18" i="16" s="1"/>
  <c r="C11" i="17"/>
  <c r="E11" i="17" s="1"/>
  <c r="C9" i="17"/>
  <c r="E9" i="17" s="1"/>
  <c r="C6" i="16"/>
  <c r="K6" i="16" s="1"/>
  <c r="C8" i="11"/>
  <c r="E9" i="11"/>
  <c r="E12" i="10"/>
  <c r="D12" i="10"/>
  <c r="B12" i="10"/>
  <c r="B13" i="10"/>
  <c r="B14" i="10"/>
  <c r="B15" i="10"/>
  <c r="B16" i="10"/>
  <c r="B17" i="10"/>
  <c r="B18" i="10"/>
  <c r="B19" i="10"/>
  <c r="B20" i="10"/>
  <c r="B21" i="10"/>
  <c r="B11" i="10"/>
  <c r="B10" i="10"/>
  <c r="U22" i="10"/>
  <c r="T21" i="10"/>
  <c r="J21" i="10"/>
  <c r="H21" i="10"/>
  <c r="T20" i="10"/>
  <c r="J20" i="10"/>
  <c r="X20" i="10" s="1"/>
  <c r="H20" i="10"/>
  <c r="T19" i="10"/>
  <c r="J19" i="10"/>
  <c r="X19" i="10" s="1"/>
  <c r="H19" i="10"/>
  <c r="T18" i="10"/>
  <c r="J18" i="10"/>
  <c r="H18" i="10"/>
  <c r="T17" i="10"/>
  <c r="J17" i="10"/>
  <c r="H17" i="10"/>
  <c r="J16" i="10"/>
  <c r="H16" i="10"/>
  <c r="T15" i="10"/>
  <c r="J15" i="10"/>
  <c r="H15" i="10"/>
  <c r="T14" i="10"/>
  <c r="J14" i="10"/>
  <c r="H14" i="10"/>
  <c r="T13" i="10"/>
  <c r="J13" i="10"/>
  <c r="H13" i="10"/>
  <c r="J12" i="10"/>
  <c r="T11" i="10"/>
  <c r="J11" i="10"/>
  <c r="H11" i="10"/>
  <c r="T10" i="10"/>
  <c r="J10" i="10"/>
  <c r="H10" i="10"/>
  <c r="D22" i="9"/>
  <c r="W21" i="9"/>
  <c r="V21" i="9"/>
  <c r="U21" i="9"/>
  <c r="Y21" i="9" s="1"/>
  <c r="T21" i="9"/>
  <c r="N21" i="9"/>
  <c r="W20" i="9"/>
  <c r="V20" i="9"/>
  <c r="U20" i="9"/>
  <c r="Y20" i="9" s="1"/>
  <c r="N20" i="9"/>
  <c r="W19" i="9"/>
  <c r="Z19" i="9"/>
  <c r="Y19" i="9"/>
  <c r="T19" i="9"/>
  <c r="N19" i="9"/>
  <c r="W18" i="9"/>
  <c r="V18" i="9"/>
  <c r="Z18" i="9" s="1"/>
  <c r="U18" i="9"/>
  <c r="T18" i="9"/>
  <c r="N18" i="9"/>
  <c r="W17" i="9"/>
  <c r="V17" i="9"/>
  <c r="U17" i="9"/>
  <c r="Y17" i="9" s="1"/>
  <c r="T17" i="9"/>
  <c r="N17" i="9"/>
  <c r="W16" i="9"/>
  <c r="V16" i="9"/>
  <c r="Z16" i="9" s="1"/>
  <c r="U16" i="9"/>
  <c r="Y16" i="9" s="1"/>
  <c r="T16" i="9"/>
  <c r="N16" i="9"/>
  <c r="W15" i="9"/>
  <c r="V15" i="9"/>
  <c r="Z15" i="9" s="1"/>
  <c r="U15" i="9"/>
  <c r="Y15" i="9" s="1"/>
  <c r="T15" i="9"/>
  <c r="N15" i="9"/>
  <c r="W14" i="9"/>
  <c r="V14" i="9"/>
  <c r="Z14" i="9" s="1"/>
  <c r="U14" i="9"/>
  <c r="Y14" i="9" s="1"/>
  <c r="T14" i="9"/>
  <c r="N14" i="9"/>
  <c r="W13" i="9"/>
  <c r="V13" i="9"/>
  <c r="Z13" i="9" s="1"/>
  <c r="U13" i="9"/>
  <c r="T13" i="9"/>
  <c r="N13" i="9"/>
  <c r="W12" i="9"/>
  <c r="V12" i="9"/>
  <c r="Z12" i="9" s="1"/>
  <c r="Y12" i="9"/>
  <c r="T12" i="9"/>
  <c r="N12" i="9"/>
  <c r="W11" i="9"/>
  <c r="Z11" i="9"/>
  <c r="Y11" i="9"/>
  <c r="T11" i="9"/>
  <c r="N11" i="9"/>
  <c r="T10" i="9"/>
  <c r="I22" i="8"/>
  <c r="E12" i="8"/>
  <c r="D12" i="8"/>
  <c r="C12" i="8"/>
  <c r="C13" i="8"/>
  <c r="C14" i="8"/>
  <c r="C15" i="8"/>
  <c r="C16" i="8"/>
  <c r="C17" i="8"/>
  <c r="C18" i="8"/>
  <c r="C19" i="8"/>
  <c r="C20" i="8"/>
  <c r="C21" i="8"/>
  <c r="C10" i="8"/>
  <c r="U22" i="8"/>
  <c r="T21" i="8"/>
  <c r="J21" i="8"/>
  <c r="H21" i="8"/>
  <c r="T20" i="8"/>
  <c r="J20" i="8"/>
  <c r="H20" i="8"/>
  <c r="J19" i="8"/>
  <c r="H19" i="8"/>
  <c r="T18" i="8"/>
  <c r="T19" i="8" s="1"/>
  <c r="J18" i="8"/>
  <c r="H18" i="8"/>
  <c r="J17" i="8"/>
  <c r="H17" i="8"/>
  <c r="T16" i="8"/>
  <c r="J16" i="8"/>
  <c r="H16" i="8"/>
  <c r="T15" i="8"/>
  <c r="J15" i="8"/>
  <c r="H15" i="8"/>
  <c r="T14" i="8"/>
  <c r="J14" i="8"/>
  <c r="H14" i="8"/>
  <c r="T13" i="8"/>
  <c r="J13" i="8"/>
  <c r="H13" i="8"/>
  <c r="J12" i="8"/>
  <c r="T11" i="8"/>
  <c r="J11" i="8"/>
  <c r="X11" i="8" s="1"/>
  <c r="H11" i="8"/>
  <c r="T10" i="8"/>
  <c r="J10" i="8"/>
  <c r="X10" i="8" s="1"/>
  <c r="H10" i="8"/>
  <c r="V13" i="7"/>
  <c r="T13" i="7"/>
  <c r="U12" i="7"/>
  <c r="V12" i="7"/>
  <c r="M13" i="7"/>
  <c r="M21" i="7"/>
  <c r="T11" i="7"/>
  <c r="X11" i="7" s="1"/>
  <c r="T12" i="7"/>
  <c r="T14" i="7"/>
  <c r="T15" i="7"/>
  <c r="T16" i="7"/>
  <c r="T17" i="7"/>
  <c r="T18" i="7"/>
  <c r="T19" i="7"/>
  <c r="T20" i="7"/>
  <c r="T21" i="7"/>
  <c r="U13" i="7"/>
  <c r="D22" i="7"/>
  <c r="R21" i="7"/>
  <c r="V21" i="7" s="1"/>
  <c r="P21" i="7"/>
  <c r="U21" i="7" s="1"/>
  <c r="R20" i="7"/>
  <c r="V20" i="7" s="1"/>
  <c r="P20" i="7"/>
  <c r="U20" i="7" s="1"/>
  <c r="R19" i="7"/>
  <c r="V19" i="7" s="1"/>
  <c r="P19" i="7"/>
  <c r="U19" i="7" s="1"/>
  <c r="R18" i="7"/>
  <c r="V18" i="7" s="1"/>
  <c r="P18" i="7"/>
  <c r="U18" i="7" s="1"/>
  <c r="R17" i="7"/>
  <c r="V17" i="7" s="1"/>
  <c r="P17" i="7"/>
  <c r="U17" i="7" s="1"/>
  <c r="R16" i="7"/>
  <c r="V16" i="7" s="1"/>
  <c r="P16" i="7"/>
  <c r="U16" i="7" s="1"/>
  <c r="R15" i="7"/>
  <c r="V15" i="7" s="1"/>
  <c r="P15" i="7"/>
  <c r="U15" i="7" s="1"/>
  <c r="R14" i="7"/>
  <c r="V14" i="7" s="1"/>
  <c r="P14" i="7"/>
  <c r="U14" i="7" s="1"/>
  <c r="R11" i="7"/>
  <c r="V11" i="7" s="1"/>
  <c r="P11" i="7"/>
  <c r="S11" i="7" s="1"/>
  <c r="R10" i="7"/>
  <c r="P10" i="7"/>
  <c r="B22" i="10" l="1"/>
  <c r="W12" i="10"/>
  <c r="W22" i="10" s="1"/>
  <c r="X22" i="10" s="1"/>
  <c r="T22" i="10"/>
  <c r="V17" i="10"/>
  <c r="Y17" i="10" s="1"/>
  <c r="L10" i="16"/>
  <c r="T17" i="8"/>
  <c r="V17" i="8" s="1"/>
  <c r="Y17" i="8" s="1"/>
  <c r="X10" i="9"/>
  <c r="X19" i="9"/>
  <c r="T20" i="9"/>
  <c r="T22" i="9" s="1"/>
  <c r="J34" i="16"/>
  <c r="J31" i="16"/>
  <c r="J45" i="16"/>
  <c r="J55" i="16"/>
  <c r="J43" i="16"/>
  <c r="J33" i="16"/>
  <c r="J40" i="16"/>
  <c r="J57" i="16"/>
  <c r="J51" i="16"/>
  <c r="J50" i="16"/>
  <c r="J36" i="16"/>
  <c r="J58" i="16"/>
  <c r="J37" i="16"/>
  <c r="J46" i="16"/>
  <c r="J38" i="16"/>
  <c r="J59" i="16"/>
  <c r="J56" i="16"/>
  <c r="J41" i="16"/>
  <c r="J70" i="16"/>
  <c r="J54" i="16"/>
  <c r="J78" i="16"/>
  <c r="J69" i="16"/>
  <c r="J77" i="16"/>
  <c r="J49" i="16"/>
  <c r="J64" i="16"/>
  <c r="J73" i="16"/>
  <c r="J72" i="16"/>
  <c r="J80" i="16"/>
  <c r="J42" i="16"/>
  <c r="J61" i="16"/>
  <c r="J76" i="16"/>
  <c r="J71" i="16"/>
  <c r="J74" i="16"/>
  <c r="J32" i="16"/>
  <c r="J75" i="16"/>
  <c r="V22" i="7"/>
  <c r="J68" i="16"/>
  <c r="J66" i="16"/>
  <c r="J67" i="16"/>
  <c r="J65" i="16"/>
  <c r="J39" i="16"/>
  <c r="J44" i="16"/>
  <c r="J60" i="16"/>
  <c r="J63" i="16"/>
  <c r="J53" i="16"/>
  <c r="J47" i="16"/>
  <c r="J48" i="16"/>
  <c r="J22" i="10"/>
  <c r="H12" i="10"/>
  <c r="H22" i="10" s="1"/>
  <c r="V10" i="10"/>
  <c r="X12" i="9"/>
  <c r="AA12" i="9" s="1"/>
  <c r="AA10" i="9"/>
  <c r="H12" i="8"/>
  <c r="V12" i="8" s="1"/>
  <c r="Y12" i="8" s="1"/>
  <c r="W12" i="8"/>
  <c r="W22" i="8" s="1"/>
  <c r="X22" i="8" s="1"/>
  <c r="U11" i="7"/>
  <c r="T22" i="7"/>
  <c r="X21" i="9"/>
  <c r="AA21" i="9" s="1"/>
  <c r="X20" i="9"/>
  <c r="AA20" i="9" s="1"/>
  <c r="AC20" i="9"/>
  <c r="X14" i="9"/>
  <c r="AA14" i="9" s="1"/>
  <c r="N22" i="9"/>
  <c r="X11" i="9"/>
  <c r="AA11" i="9" s="1"/>
  <c r="AC21" i="9"/>
  <c r="X13" i="9"/>
  <c r="AA13" i="9" s="1"/>
  <c r="V19" i="10"/>
  <c r="Y19" i="10" s="1"/>
  <c r="V18" i="10"/>
  <c r="Y18" i="10" s="1"/>
  <c r="X17" i="10"/>
  <c r="X16" i="10"/>
  <c r="X15" i="10"/>
  <c r="X13" i="10"/>
  <c r="V13" i="10"/>
  <c r="Y13" i="10" s="1"/>
  <c r="V21" i="10"/>
  <c r="Y21" i="10" s="1"/>
  <c r="V15" i="10"/>
  <c r="Y15" i="10" s="1"/>
  <c r="X10" i="10"/>
  <c r="V11" i="10"/>
  <c r="Y11" i="10" s="1"/>
  <c r="V14" i="10"/>
  <c r="Y14" i="10" s="1"/>
  <c r="X18" i="10"/>
  <c r="V20" i="10"/>
  <c r="Y20" i="10" s="1"/>
  <c r="X14" i="10"/>
  <c r="V16" i="10"/>
  <c r="Y16" i="10" s="1"/>
  <c r="X11" i="10"/>
  <c r="X21" i="10"/>
  <c r="U22" i="9"/>
  <c r="AC14" i="9"/>
  <c r="AC15" i="9"/>
  <c r="AC13" i="9"/>
  <c r="AC18" i="9"/>
  <c r="Y13" i="9"/>
  <c r="Y22" i="9" s="1"/>
  <c r="AC12" i="9"/>
  <c r="X15" i="9"/>
  <c r="AA15" i="9" s="1"/>
  <c r="X16" i="9"/>
  <c r="AA16" i="9" s="1"/>
  <c r="X17" i="9"/>
  <c r="AA17" i="9" s="1"/>
  <c r="X18" i="9"/>
  <c r="AA18" i="9" s="1"/>
  <c r="Y18" i="9"/>
  <c r="AC19" i="9"/>
  <c r="AD19" i="9" s="1"/>
  <c r="W22" i="9"/>
  <c r="AC17" i="9"/>
  <c r="AA19" i="9"/>
  <c r="Z20" i="9"/>
  <c r="AC11" i="9"/>
  <c r="Z17" i="9"/>
  <c r="Z21" i="9"/>
  <c r="AC16" i="9"/>
  <c r="V22" i="9"/>
  <c r="Z22" i="9" s="1"/>
  <c r="V21" i="8"/>
  <c r="Y21" i="8" s="1"/>
  <c r="X20" i="8"/>
  <c r="X16" i="8"/>
  <c r="V15" i="8"/>
  <c r="Y15" i="8" s="1"/>
  <c r="J22" i="8"/>
  <c r="V11" i="8"/>
  <c r="Y11" i="8" s="1"/>
  <c r="T22" i="8"/>
  <c r="V20" i="8"/>
  <c r="Y20" i="8" s="1"/>
  <c r="V19" i="8"/>
  <c r="Y19" i="8" s="1"/>
  <c r="V18" i="8"/>
  <c r="Y18" i="8" s="1"/>
  <c r="V16" i="8"/>
  <c r="Y16" i="8" s="1"/>
  <c r="V14" i="8"/>
  <c r="Y14" i="8" s="1"/>
  <c r="X14" i="8"/>
  <c r="V10" i="8"/>
  <c r="V13" i="8"/>
  <c r="Y13" i="8" s="1"/>
  <c r="X18" i="8"/>
  <c r="X13" i="8"/>
  <c r="X17" i="8"/>
  <c r="X21" i="8"/>
  <c r="X15" i="8"/>
  <c r="X19" i="8"/>
  <c r="H22" i="8" l="1"/>
  <c r="AD20" i="9"/>
  <c r="AD13" i="9"/>
  <c r="X22" i="9"/>
  <c r="AA22" i="9" s="1"/>
  <c r="Y10" i="10"/>
  <c r="V12" i="10"/>
  <c r="Y12" i="10" s="1"/>
  <c r="AD11" i="9"/>
  <c r="Y10" i="8"/>
  <c r="V22" i="8"/>
  <c r="D21" i="16" s="1"/>
  <c r="Y11" i="7"/>
  <c r="U22" i="7"/>
  <c r="AD12" i="9"/>
  <c r="AD21" i="9"/>
  <c r="AD14" i="9"/>
  <c r="AD18" i="9"/>
  <c r="X12" i="10"/>
  <c r="X23" i="10" s="1"/>
  <c r="AD16" i="9"/>
  <c r="AD17" i="9"/>
  <c r="AD15" i="9"/>
  <c r="X12" i="8"/>
  <c r="N9" i="16" l="1"/>
  <c r="M19" i="16" s="1"/>
  <c r="D10" i="16"/>
  <c r="D12" i="11"/>
  <c r="E12" i="11" s="1"/>
  <c r="Y22" i="8"/>
  <c r="D23" i="11"/>
  <c r="V22" i="10"/>
  <c r="X21" i="7"/>
  <c r="S21" i="7"/>
  <c r="W21" i="7" s="1"/>
  <c r="X20" i="7"/>
  <c r="S20" i="7"/>
  <c r="M20" i="7"/>
  <c r="S19" i="7"/>
  <c r="Y18" i="7"/>
  <c r="X18" i="7"/>
  <c r="S18" i="7"/>
  <c r="M18" i="7"/>
  <c r="X17" i="7"/>
  <c r="S17" i="7"/>
  <c r="M17" i="7"/>
  <c r="X16" i="7"/>
  <c r="S16" i="7"/>
  <c r="M16" i="7"/>
  <c r="S15" i="7"/>
  <c r="X14" i="7"/>
  <c r="S14" i="7"/>
  <c r="S13" i="7" s="1"/>
  <c r="W13" i="7" s="1"/>
  <c r="M14" i="7"/>
  <c r="X13" i="7"/>
  <c r="X12" i="7"/>
  <c r="M12" i="7"/>
  <c r="M11" i="7"/>
  <c r="S10" i="7"/>
  <c r="R31" i="1"/>
  <c r="R32" i="1"/>
  <c r="S32" i="1" s="1"/>
  <c r="R33" i="1"/>
  <c r="R35" i="1"/>
  <c r="R36" i="1"/>
  <c r="R37" i="1"/>
  <c r="R38" i="1"/>
  <c r="R39" i="1"/>
  <c r="R40" i="1"/>
  <c r="T23" i="1"/>
  <c r="C23" i="1"/>
  <c r="V21" i="1"/>
  <c r="V14" i="1"/>
  <c r="V15" i="1"/>
  <c r="V16" i="1"/>
  <c r="V17" i="1"/>
  <c r="V18" i="1"/>
  <c r="V19" i="1"/>
  <c r="V20" i="1"/>
  <c r="V22" i="1"/>
  <c r="V11" i="1"/>
  <c r="W19" i="5"/>
  <c r="T22" i="5"/>
  <c r="C22" i="5"/>
  <c r="I22" i="5"/>
  <c r="S10" i="5"/>
  <c r="J11" i="5"/>
  <c r="W11" i="5" s="1"/>
  <c r="B16" i="5"/>
  <c r="E12" i="5"/>
  <c r="D12" i="5"/>
  <c r="V12" i="5" s="1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J14" i="6" s="1"/>
  <c r="H12" i="6"/>
  <c r="G12" i="6"/>
  <c r="H11" i="6"/>
  <c r="G11" i="6"/>
  <c r="J13" i="6"/>
  <c r="K13" i="6" s="1"/>
  <c r="H10" i="6"/>
  <c r="G10" i="6"/>
  <c r="T20" i="3"/>
  <c r="X20" i="3"/>
  <c r="I22" i="4"/>
  <c r="V11" i="4"/>
  <c r="V13" i="4"/>
  <c r="V14" i="4"/>
  <c r="V15" i="4"/>
  <c r="V16" i="4"/>
  <c r="V17" i="4"/>
  <c r="V18" i="4"/>
  <c r="V19" i="4"/>
  <c r="W19" i="4" s="1"/>
  <c r="V20" i="4"/>
  <c r="V21" i="4"/>
  <c r="W16" i="4"/>
  <c r="U15" i="4"/>
  <c r="X15" i="4" s="1"/>
  <c r="S21" i="5"/>
  <c r="J21" i="5"/>
  <c r="W21" i="5" s="1"/>
  <c r="H21" i="5"/>
  <c r="B21" i="5"/>
  <c r="S20" i="5"/>
  <c r="W20" i="5"/>
  <c r="S19" i="5"/>
  <c r="J19" i="5"/>
  <c r="H19" i="5"/>
  <c r="B19" i="5"/>
  <c r="S18" i="5"/>
  <c r="J18" i="5"/>
  <c r="W18" i="5" s="1"/>
  <c r="H18" i="5"/>
  <c r="B18" i="5"/>
  <c r="S17" i="5"/>
  <c r="J17" i="5"/>
  <c r="H17" i="5"/>
  <c r="B17" i="5"/>
  <c r="S16" i="5"/>
  <c r="J16" i="5"/>
  <c r="W16" i="5" s="1"/>
  <c r="H16" i="5"/>
  <c r="S15" i="5"/>
  <c r="J15" i="5"/>
  <c r="W15" i="5" s="1"/>
  <c r="H15" i="5"/>
  <c r="B15" i="5"/>
  <c r="S14" i="5"/>
  <c r="J14" i="5"/>
  <c r="W14" i="5" s="1"/>
  <c r="H14" i="5"/>
  <c r="B14" i="5"/>
  <c r="S13" i="5"/>
  <c r="J13" i="5"/>
  <c r="W13" i="5" s="1"/>
  <c r="H13" i="5"/>
  <c r="B13" i="5"/>
  <c r="J12" i="5"/>
  <c r="S11" i="5"/>
  <c r="H11" i="5"/>
  <c r="B11" i="5"/>
  <c r="J10" i="5"/>
  <c r="W10" i="5" s="1"/>
  <c r="H10" i="5"/>
  <c r="B10" i="5"/>
  <c r="T15" i="4"/>
  <c r="T14" i="4"/>
  <c r="T13" i="4"/>
  <c r="T12" i="4"/>
  <c r="T11" i="4"/>
  <c r="T10" i="4"/>
  <c r="J10" i="4"/>
  <c r="E12" i="4"/>
  <c r="D12" i="4"/>
  <c r="B12" i="4"/>
  <c r="Y13" i="3"/>
  <c r="T24" i="3"/>
  <c r="X24" i="3" s="1"/>
  <c r="X19" i="3"/>
  <c r="W13" i="3"/>
  <c r="M13" i="3"/>
  <c r="R13" i="3"/>
  <c r="AA13" i="3"/>
  <c r="U14" i="3"/>
  <c r="U15" i="3"/>
  <c r="U16" i="3"/>
  <c r="U17" i="3"/>
  <c r="U18" i="3"/>
  <c r="U19" i="3"/>
  <c r="U20" i="3"/>
  <c r="U21" i="3"/>
  <c r="U22" i="3"/>
  <c r="U23" i="3"/>
  <c r="U13" i="3"/>
  <c r="X13" i="3"/>
  <c r="T14" i="3"/>
  <c r="T15" i="3"/>
  <c r="T16" i="3"/>
  <c r="T17" i="3"/>
  <c r="T18" i="3"/>
  <c r="T19" i="3"/>
  <c r="T21" i="3"/>
  <c r="T22" i="3"/>
  <c r="T23" i="3"/>
  <c r="T13" i="3"/>
  <c r="S14" i="3"/>
  <c r="S15" i="3"/>
  <c r="S16" i="3"/>
  <c r="S17" i="3"/>
  <c r="W17" i="3" s="1"/>
  <c r="S18" i="3"/>
  <c r="S19" i="3"/>
  <c r="S20" i="3"/>
  <c r="S21" i="3"/>
  <c r="W21" i="3" s="1"/>
  <c r="S22" i="3"/>
  <c r="S23" i="3"/>
  <c r="S13" i="3"/>
  <c r="T21" i="4"/>
  <c r="J21" i="4"/>
  <c r="H21" i="4"/>
  <c r="U21" i="4" s="1"/>
  <c r="X21" i="4" s="1"/>
  <c r="B21" i="4"/>
  <c r="T20" i="4"/>
  <c r="J20" i="4"/>
  <c r="H20" i="4"/>
  <c r="B20" i="4"/>
  <c r="T19" i="4"/>
  <c r="J19" i="4"/>
  <c r="H19" i="4"/>
  <c r="B19" i="4"/>
  <c r="T18" i="4"/>
  <c r="J18" i="4"/>
  <c r="H18" i="4"/>
  <c r="U18" i="4" s="1"/>
  <c r="X18" i="4" s="1"/>
  <c r="B18" i="4"/>
  <c r="T17" i="4"/>
  <c r="J17" i="4"/>
  <c r="W17" i="4" s="1"/>
  <c r="H17" i="4"/>
  <c r="B17" i="4"/>
  <c r="T16" i="4"/>
  <c r="J16" i="4"/>
  <c r="H16" i="4"/>
  <c r="U16" i="4" s="1"/>
  <c r="X16" i="4" s="1"/>
  <c r="B16" i="4"/>
  <c r="J15" i="4"/>
  <c r="H15" i="4"/>
  <c r="B15" i="4"/>
  <c r="J14" i="4"/>
  <c r="H14" i="4"/>
  <c r="B14" i="4"/>
  <c r="J13" i="4"/>
  <c r="H13" i="4"/>
  <c r="U13" i="4" s="1"/>
  <c r="X13" i="4" s="1"/>
  <c r="B13" i="4"/>
  <c r="J12" i="4"/>
  <c r="H11" i="4"/>
  <c r="U11" i="4" s="1"/>
  <c r="B11" i="4"/>
  <c r="H10" i="4"/>
  <c r="B10" i="4"/>
  <c r="M14" i="3"/>
  <c r="M15" i="3"/>
  <c r="M16" i="3"/>
  <c r="M17" i="3"/>
  <c r="M18" i="3"/>
  <c r="M19" i="3"/>
  <c r="M21" i="3"/>
  <c r="M22" i="3"/>
  <c r="M23" i="3"/>
  <c r="Q12" i="3"/>
  <c r="P12" i="3"/>
  <c r="R12" i="3" s="1"/>
  <c r="D24" i="3"/>
  <c r="Q23" i="3"/>
  <c r="P23" i="3"/>
  <c r="R23" i="3" s="1"/>
  <c r="Q22" i="3"/>
  <c r="P22" i="3"/>
  <c r="Q21" i="3"/>
  <c r="P21" i="3"/>
  <c r="Q20" i="3"/>
  <c r="P20" i="3"/>
  <c r="Q19" i="3"/>
  <c r="P19" i="3"/>
  <c r="R19" i="3" s="1"/>
  <c r="Q18" i="3"/>
  <c r="P18" i="3"/>
  <c r="R18" i="3" s="1"/>
  <c r="Q17" i="3"/>
  <c r="P17" i="3"/>
  <c r="R17" i="3" s="1"/>
  <c r="Q16" i="3"/>
  <c r="P16" i="3"/>
  <c r="Q15" i="3"/>
  <c r="P15" i="3"/>
  <c r="R15" i="3" s="1"/>
  <c r="Q14" i="3"/>
  <c r="P14" i="3"/>
  <c r="Q13" i="3"/>
  <c r="P13" i="3"/>
  <c r="D23" i="2"/>
  <c r="B41" i="1"/>
  <c r="C39" i="1"/>
  <c r="S22" i="1"/>
  <c r="C38" i="1"/>
  <c r="S21" i="1"/>
  <c r="P39" i="1"/>
  <c r="H39" i="1"/>
  <c r="S20" i="1"/>
  <c r="P38" i="1"/>
  <c r="P37" i="1"/>
  <c r="S19" i="1"/>
  <c r="P36" i="1"/>
  <c r="P35" i="1"/>
  <c r="S18" i="1"/>
  <c r="S17" i="1"/>
  <c r="P33" i="1"/>
  <c r="P32" i="1"/>
  <c r="P31" i="1"/>
  <c r="P30" i="1"/>
  <c r="H30" i="1"/>
  <c r="H31" i="1"/>
  <c r="H32" i="1"/>
  <c r="H33" i="1"/>
  <c r="H35" i="1"/>
  <c r="H36" i="1"/>
  <c r="H37" i="1"/>
  <c r="H38" i="1"/>
  <c r="H40" i="1"/>
  <c r="H29" i="1"/>
  <c r="S12" i="1"/>
  <c r="I12" i="1"/>
  <c r="J12" i="1" s="1"/>
  <c r="P29" i="1"/>
  <c r="P40" i="1"/>
  <c r="C40" i="1"/>
  <c r="C37" i="1"/>
  <c r="C36" i="1"/>
  <c r="C35" i="1"/>
  <c r="Q34" i="1"/>
  <c r="C34" i="1"/>
  <c r="S34" i="1" s="1"/>
  <c r="C33" i="1"/>
  <c r="C32" i="1"/>
  <c r="C31" i="1"/>
  <c r="C30" i="1"/>
  <c r="S30" i="1" s="1"/>
  <c r="C29" i="1"/>
  <c r="S29" i="1" s="1"/>
  <c r="S13" i="1"/>
  <c r="S14" i="1"/>
  <c r="S15" i="1"/>
  <c r="S16" i="1"/>
  <c r="J13" i="1"/>
  <c r="J14" i="1"/>
  <c r="J15" i="1"/>
  <c r="J16" i="1"/>
  <c r="J17" i="1"/>
  <c r="J18" i="1"/>
  <c r="J19" i="1"/>
  <c r="J20" i="1"/>
  <c r="J21" i="1"/>
  <c r="J22" i="1"/>
  <c r="E13" i="1"/>
  <c r="D13" i="1"/>
  <c r="V13" i="1" s="1"/>
  <c r="H12" i="1"/>
  <c r="H14" i="1"/>
  <c r="U14" i="1" s="1"/>
  <c r="X14" i="1" s="1"/>
  <c r="H15" i="1"/>
  <c r="U15" i="1" s="1"/>
  <c r="X15" i="1" s="1"/>
  <c r="H16" i="1"/>
  <c r="H17" i="1"/>
  <c r="H18" i="1"/>
  <c r="H19" i="1"/>
  <c r="H20" i="1"/>
  <c r="U20" i="1" s="1"/>
  <c r="H21" i="1"/>
  <c r="U21" i="1" s="1"/>
  <c r="H22" i="1"/>
  <c r="B13" i="1"/>
  <c r="B14" i="1"/>
  <c r="B15" i="1"/>
  <c r="B16" i="1"/>
  <c r="B17" i="1"/>
  <c r="B18" i="1"/>
  <c r="B19" i="1"/>
  <c r="B20" i="1"/>
  <c r="B21" i="1"/>
  <c r="B22" i="1"/>
  <c r="B12" i="1"/>
  <c r="H11" i="1"/>
  <c r="U11" i="1" s="1"/>
  <c r="B11" i="1"/>
  <c r="W23" i="3"/>
  <c r="W20" i="3"/>
  <c r="W19" i="3"/>
  <c r="W16" i="3"/>
  <c r="X15" i="3"/>
  <c r="W15" i="3"/>
  <c r="W14" i="3"/>
  <c r="R14" i="3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J14" i="2" s="1"/>
  <c r="K14" i="2" s="1"/>
  <c r="L14" i="2" s="1"/>
  <c r="G14" i="2"/>
  <c r="H12" i="2"/>
  <c r="G12" i="2"/>
  <c r="H11" i="2"/>
  <c r="G11" i="2"/>
  <c r="H10" i="2"/>
  <c r="G10" i="2"/>
  <c r="D22" i="16" l="1"/>
  <c r="O10" i="16" s="1"/>
  <c r="Y22" i="10"/>
  <c r="D24" i="11"/>
  <c r="E24" i="11" s="1"/>
  <c r="E10" i="16"/>
  <c r="J17" i="16" s="1"/>
  <c r="M10" i="16"/>
  <c r="L17" i="16" s="1"/>
  <c r="W17" i="7"/>
  <c r="S12" i="7"/>
  <c r="S22" i="7"/>
  <c r="W10" i="7"/>
  <c r="W12" i="7"/>
  <c r="W18" i="7"/>
  <c r="M19" i="7"/>
  <c r="W19" i="7" s="1"/>
  <c r="Z19" i="7" s="1"/>
  <c r="W14" i="7"/>
  <c r="M15" i="7"/>
  <c r="W15" i="7" s="1"/>
  <c r="U10" i="5"/>
  <c r="H20" i="5"/>
  <c r="S22" i="5"/>
  <c r="W12" i="5"/>
  <c r="J22" i="5"/>
  <c r="J10" i="6"/>
  <c r="J11" i="6"/>
  <c r="W13" i="4"/>
  <c r="U17" i="4"/>
  <c r="X17" i="4" s="1"/>
  <c r="U20" i="4"/>
  <c r="X20" i="4" s="1"/>
  <c r="V12" i="4"/>
  <c r="W12" i="4" s="1"/>
  <c r="V22" i="4"/>
  <c r="W21" i="4"/>
  <c r="B22" i="4"/>
  <c r="T22" i="4"/>
  <c r="W15" i="4"/>
  <c r="J21" i="2"/>
  <c r="K21" i="2" s="1"/>
  <c r="L21" i="2" s="1"/>
  <c r="J16" i="2"/>
  <c r="K16" i="2" s="1"/>
  <c r="L16" i="2" s="1"/>
  <c r="R41" i="1"/>
  <c r="T34" i="1"/>
  <c r="C22" i="17"/>
  <c r="C18" i="16"/>
  <c r="L6" i="16" s="1"/>
  <c r="C20" i="11"/>
  <c r="H41" i="1"/>
  <c r="Q41" i="1" s="1"/>
  <c r="T41" i="1" s="1"/>
  <c r="S39" i="1"/>
  <c r="S38" i="1"/>
  <c r="U22" i="1"/>
  <c r="X22" i="1" s="1"/>
  <c r="U19" i="1"/>
  <c r="S37" i="1"/>
  <c r="U18" i="1"/>
  <c r="S36" i="1"/>
  <c r="U17" i="1"/>
  <c r="Q29" i="1"/>
  <c r="T29" i="1" s="1"/>
  <c r="S35" i="1"/>
  <c r="U16" i="1"/>
  <c r="X16" i="1" s="1"/>
  <c r="S33" i="1"/>
  <c r="W11" i="7"/>
  <c r="Z11" i="7" s="1"/>
  <c r="Z10" i="7"/>
  <c r="W16" i="7"/>
  <c r="W20" i="7"/>
  <c r="Z20" i="7" s="1"/>
  <c r="X10" i="5"/>
  <c r="W17" i="5"/>
  <c r="V22" i="5"/>
  <c r="W22" i="5" s="1"/>
  <c r="J16" i="6"/>
  <c r="K16" i="6" s="1"/>
  <c r="J20" i="6"/>
  <c r="J12" i="6"/>
  <c r="J19" i="6"/>
  <c r="K19" i="6" s="1"/>
  <c r="L19" i="6" s="1"/>
  <c r="W10" i="4"/>
  <c r="W18" i="4"/>
  <c r="W14" i="4"/>
  <c r="U10" i="4"/>
  <c r="U14" i="4"/>
  <c r="X14" i="4" s="1"/>
  <c r="U19" i="4"/>
  <c r="X19" i="4" s="1"/>
  <c r="W20" i="4"/>
  <c r="S23" i="1"/>
  <c r="U12" i="1"/>
  <c r="X12" i="1" s="1"/>
  <c r="P41" i="1"/>
  <c r="S31" i="1"/>
  <c r="B23" i="1"/>
  <c r="J23" i="1"/>
  <c r="W12" i="1"/>
  <c r="W15" i="1"/>
  <c r="Z16" i="7"/>
  <c r="Z17" i="7"/>
  <c r="Y13" i="7"/>
  <c r="AB16" i="7"/>
  <c r="Y16" i="7"/>
  <c r="Z18" i="7"/>
  <c r="Z12" i="7"/>
  <c r="Y17" i="7"/>
  <c r="Y20" i="7"/>
  <c r="AB20" i="7"/>
  <c r="AC20" i="7" s="1"/>
  <c r="AB12" i="7"/>
  <c r="Y12" i="7"/>
  <c r="Y21" i="7"/>
  <c r="AB13" i="7"/>
  <c r="Y14" i="7"/>
  <c r="X15" i="7"/>
  <c r="AB17" i="7"/>
  <c r="AB21" i="7"/>
  <c r="AC21" i="7" s="1"/>
  <c r="AB11" i="7"/>
  <c r="Y15" i="7"/>
  <c r="Y19" i="7"/>
  <c r="X19" i="7"/>
  <c r="AB18" i="7"/>
  <c r="W13" i="1"/>
  <c r="V23" i="1"/>
  <c r="W22" i="1"/>
  <c r="W16" i="1"/>
  <c r="C41" i="1"/>
  <c r="W14" i="1"/>
  <c r="I23" i="1"/>
  <c r="U21" i="5"/>
  <c r="X21" i="5" s="1"/>
  <c r="U17" i="5"/>
  <c r="X17" i="5" s="1"/>
  <c r="U13" i="5"/>
  <c r="X13" i="5" s="1"/>
  <c r="U15" i="5"/>
  <c r="X15" i="5" s="1"/>
  <c r="U20" i="5"/>
  <c r="X20" i="5" s="1"/>
  <c r="U16" i="5"/>
  <c r="X16" i="5" s="1"/>
  <c r="U19" i="5"/>
  <c r="X19" i="5" s="1"/>
  <c r="U11" i="5"/>
  <c r="X11" i="5" s="1"/>
  <c r="U18" i="5"/>
  <c r="X18" i="5" s="1"/>
  <c r="U14" i="5"/>
  <c r="X14" i="5" s="1"/>
  <c r="J15" i="6"/>
  <c r="K15" i="6" s="1"/>
  <c r="L15" i="6" s="1"/>
  <c r="J22" i="6"/>
  <c r="K22" i="6" s="1"/>
  <c r="L22" i="6" s="1"/>
  <c r="J21" i="6"/>
  <c r="K21" i="6" s="1"/>
  <c r="L21" i="6" s="1"/>
  <c r="J18" i="6"/>
  <c r="K18" i="6" s="1"/>
  <c r="L18" i="6" s="1"/>
  <c r="J17" i="6"/>
  <c r="K20" i="6"/>
  <c r="L20" i="6" s="1"/>
  <c r="K11" i="6"/>
  <c r="L11" i="6" s="1"/>
  <c r="L13" i="6"/>
  <c r="K14" i="6"/>
  <c r="L14" i="6" s="1"/>
  <c r="B12" i="5"/>
  <c r="B22" i="5" s="1"/>
  <c r="H12" i="5"/>
  <c r="H22" i="5" s="1"/>
  <c r="H12" i="4"/>
  <c r="H22" i="4" s="1"/>
  <c r="V13" i="3"/>
  <c r="X21" i="3"/>
  <c r="J11" i="4"/>
  <c r="W11" i="4" s="1"/>
  <c r="Y20" i="3"/>
  <c r="V23" i="3"/>
  <c r="Y23" i="3" s="1"/>
  <c r="V14" i="3"/>
  <c r="Y14" i="3" s="1"/>
  <c r="X16" i="3"/>
  <c r="R22" i="3"/>
  <c r="V22" i="3" s="1"/>
  <c r="AA20" i="3"/>
  <c r="V19" i="3"/>
  <c r="Y19" i="3" s="1"/>
  <c r="R21" i="3"/>
  <c r="V21" i="3" s="1"/>
  <c r="Y21" i="3" s="1"/>
  <c r="V18" i="3"/>
  <c r="Y18" i="3" s="1"/>
  <c r="R16" i="3"/>
  <c r="V15" i="3"/>
  <c r="V17" i="3"/>
  <c r="Y17" i="3" s="1"/>
  <c r="Q39" i="1"/>
  <c r="T39" i="1" s="1"/>
  <c r="Q40" i="1"/>
  <c r="Q37" i="1"/>
  <c r="T37" i="1" s="1"/>
  <c r="Q36" i="1"/>
  <c r="T36" i="1" s="1"/>
  <c r="Q35" i="1"/>
  <c r="T35" i="1" s="1"/>
  <c r="Q38" i="1"/>
  <c r="T38" i="1" s="1"/>
  <c r="Q32" i="1"/>
  <c r="T32" i="1" s="1"/>
  <c r="Q31" i="1"/>
  <c r="T31" i="1" s="1"/>
  <c r="Q30" i="1"/>
  <c r="T30" i="1" s="1"/>
  <c r="Q33" i="1"/>
  <c r="T33" i="1" s="1"/>
  <c r="H13" i="1"/>
  <c r="H23" i="1" s="1"/>
  <c r="J15" i="2"/>
  <c r="K15" i="2" s="1"/>
  <c r="L15" i="2" s="1"/>
  <c r="J22" i="2"/>
  <c r="K22" i="2" s="1"/>
  <c r="L22" i="2" s="1"/>
  <c r="J11" i="2"/>
  <c r="K11" i="2" s="1"/>
  <c r="L11" i="2" s="1"/>
  <c r="J18" i="2"/>
  <c r="K18" i="2" s="1"/>
  <c r="L18" i="2" s="1"/>
  <c r="J20" i="2"/>
  <c r="K20" i="2" s="1"/>
  <c r="L20" i="2" s="1"/>
  <c r="J10" i="2"/>
  <c r="J19" i="2"/>
  <c r="K19" i="2" s="1"/>
  <c r="L19" i="2" s="1"/>
  <c r="X14" i="3"/>
  <c r="AA14" i="3"/>
  <c r="Y15" i="3"/>
  <c r="AA23" i="3"/>
  <c r="X23" i="3"/>
  <c r="X17" i="3"/>
  <c r="W22" i="3"/>
  <c r="X18" i="3"/>
  <c r="X22" i="3"/>
  <c r="AA15" i="3"/>
  <c r="AA21" i="3"/>
  <c r="W18" i="3"/>
  <c r="W24" i="3" s="1"/>
  <c r="J17" i="2"/>
  <c r="K17" i="2" s="1"/>
  <c r="L17" i="2" s="1"/>
  <c r="J12" i="2"/>
  <c r="N10" i="16" l="1"/>
  <c r="E22" i="16"/>
  <c r="M22" i="7"/>
  <c r="W22" i="7"/>
  <c r="X22" i="7"/>
  <c r="AC18" i="7"/>
  <c r="AC12" i="7"/>
  <c r="C24" i="17"/>
  <c r="C20" i="16"/>
  <c r="L8" i="16" s="1"/>
  <c r="I18" i="16" s="1"/>
  <c r="C22" i="11"/>
  <c r="J23" i="6"/>
  <c r="K12" i="6"/>
  <c r="X11" i="4"/>
  <c r="J22" i="4"/>
  <c r="K12" i="2"/>
  <c r="L12" i="2" s="1"/>
  <c r="J13" i="2"/>
  <c r="K13" i="2" s="1"/>
  <c r="L13" i="2" s="1"/>
  <c r="J23" i="2"/>
  <c r="AB20" i="3"/>
  <c r="X10" i="4"/>
  <c r="W23" i="1"/>
  <c r="Z13" i="7"/>
  <c r="Z21" i="7"/>
  <c r="AC17" i="7"/>
  <c r="AC13" i="7"/>
  <c r="AC11" i="7"/>
  <c r="AC16" i="7"/>
  <c r="AB14" i="7"/>
  <c r="AC14" i="7" s="1"/>
  <c r="AB15" i="7"/>
  <c r="AC15" i="7" s="1"/>
  <c r="AB19" i="7"/>
  <c r="AC19" i="7" s="1"/>
  <c r="Y22" i="7"/>
  <c r="Z15" i="7"/>
  <c r="Z14" i="7"/>
  <c r="U13" i="1"/>
  <c r="U12" i="5"/>
  <c r="X12" i="5" s="1"/>
  <c r="K17" i="6"/>
  <c r="L17" i="6" s="1"/>
  <c r="K10" i="6"/>
  <c r="L16" i="6"/>
  <c r="L12" i="6"/>
  <c r="U12" i="4"/>
  <c r="X12" i="4" s="1"/>
  <c r="AB23" i="3"/>
  <c r="AA19" i="3"/>
  <c r="AB19" i="3" s="1"/>
  <c r="AB15" i="3"/>
  <c r="AB14" i="3"/>
  <c r="AA16" i="3"/>
  <c r="AB21" i="3"/>
  <c r="V16" i="3"/>
  <c r="AA18" i="3"/>
  <c r="AB18" i="3" s="1"/>
  <c r="K10" i="2"/>
  <c r="Y22" i="3"/>
  <c r="AA22" i="3"/>
  <c r="AB22" i="3" s="1"/>
  <c r="AA17" i="3"/>
  <c r="AB17" i="3" s="1"/>
  <c r="D9" i="16" l="1"/>
  <c r="D11" i="11"/>
  <c r="E11" i="11" s="1"/>
  <c r="Z22" i="7"/>
  <c r="K63" i="16"/>
  <c r="K60" i="16"/>
  <c r="K66" i="16"/>
  <c r="K44" i="16"/>
  <c r="K48" i="16"/>
  <c r="K67" i="16"/>
  <c r="K65" i="16"/>
  <c r="K39" i="16"/>
  <c r="K47" i="16"/>
  <c r="K53" i="16"/>
  <c r="K68" i="16"/>
  <c r="K23" i="6"/>
  <c r="W22" i="4"/>
  <c r="C19" i="16"/>
  <c r="L7" i="16" s="1"/>
  <c r="I17" i="16" s="1"/>
  <c r="C23" i="17"/>
  <c r="C21" i="11"/>
  <c r="L10" i="2"/>
  <c r="K23" i="2"/>
  <c r="U22" i="5"/>
  <c r="D20" i="16" s="1"/>
  <c r="U22" i="4"/>
  <c r="U23" i="1"/>
  <c r="X13" i="1"/>
  <c r="L10" i="6"/>
  <c r="AB13" i="3"/>
  <c r="Y24" i="3"/>
  <c r="AB16" i="3"/>
  <c r="Y16" i="3"/>
  <c r="B22" i="8"/>
  <c r="C11" i="8"/>
  <c r="C22" i="8" s="1"/>
  <c r="C25" i="17" l="1"/>
  <c r="C21" i="16"/>
  <c r="C23" i="11"/>
  <c r="E23" i="11" s="1"/>
  <c r="M9" i="16"/>
  <c r="L19" i="16" s="1"/>
  <c r="O9" i="16"/>
  <c r="N19" i="16" s="1"/>
  <c r="E9" i="16"/>
  <c r="J19" i="16" s="1"/>
  <c r="N8" i="16"/>
  <c r="M18" i="16" s="1"/>
  <c r="E20" i="16"/>
  <c r="K18" i="16" s="1"/>
  <c r="D8" i="16"/>
  <c r="D10" i="11"/>
  <c r="E10" i="11" s="1"/>
  <c r="L23" i="6"/>
  <c r="X22" i="4"/>
  <c r="D19" i="16"/>
  <c r="D21" i="11"/>
  <c r="E21" i="11" s="1"/>
  <c r="K59" i="16"/>
  <c r="K31" i="16"/>
  <c r="K34" i="16"/>
  <c r="K57" i="16"/>
  <c r="K58" i="16"/>
  <c r="K40" i="16"/>
  <c r="K37" i="16"/>
  <c r="K38" i="16"/>
  <c r="K46" i="16"/>
  <c r="K33" i="16"/>
  <c r="K36" i="16"/>
  <c r="K51" i="16"/>
  <c r="K45" i="16"/>
  <c r="K56" i="16"/>
  <c r="K55" i="16"/>
  <c r="K50" i="16"/>
  <c r="K41" i="16"/>
  <c r="K43" i="16"/>
  <c r="L23" i="2"/>
  <c r="D6" i="16"/>
  <c r="D8" i="11"/>
  <c r="E8" i="11" s="1"/>
  <c r="E15" i="11" s="1"/>
  <c r="X23" i="1"/>
  <c r="D18" i="16"/>
  <c r="D20" i="11"/>
  <c r="E20" i="11" s="1"/>
  <c r="X22" i="5"/>
  <c r="D22" i="11"/>
  <c r="L9" i="16" l="1"/>
  <c r="I19" i="16" s="1"/>
  <c r="E21" i="16"/>
  <c r="K19" i="16" s="1"/>
  <c r="M8" i="16"/>
  <c r="L18" i="16" s="1"/>
  <c r="E8" i="16"/>
  <c r="J18" i="16" s="1"/>
  <c r="O8" i="16"/>
  <c r="N18" i="16" s="1"/>
  <c r="L51" i="16"/>
  <c r="L46" i="16"/>
  <c r="N7" i="16"/>
  <c r="M17" i="16" s="1"/>
  <c r="O7" i="16"/>
  <c r="N17" i="16" s="1"/>
  <c r="E19" i="16"/>
  <c r="K17" i="16" s="1"/>
  <c r="L38" i="16" s="1"/>
  <c r="M6" i="16"/>
  <c r="E6" i="16"/>
  <c r="E13" i="16" s="1"/>
  <c r="N6" i="16"/>
  <c r="E18" i="16"/>
  <c r="O6" i="16"/>
  <c r="E22" i="11"/>
  <c r="L55" i="16" l="1"/>
  <c r="L59" i="16"/>
  <c r="L37" i="16"/>
  <c r="L33" i="16"/>
  <c r="L45" i="16"/>
  <c r="K70" i="16"/>
  <c r="L70" i="16" s="1"/>
  <c r="K42" i="16"/>
  <c r="L42" i="16" s="1"/>
  <c r="K61" i="16"/>
  <c r="L61" i="16" s="1"/>
  <c r="K78" i="16"/>
  <c r="L78" i="16" s="1"/>
  <c r="K64" i="16"/>
  <c r="L64" i="16" s="1"/>
  <c r="K73" i="16"/>
  <c r="L73" i="16" s="1"/>
  <c r="K32" i="16"/>
  <c r="L32" i="16" s="1"/>
  <c r="K49" i="16"/>
  <c r="L49" i="16" s="1"/>
  <c r="K74" i="16"/>
  <c r="L74" i="16" s="1"/>
  <c r="K69" i="16"/>
  <c r="L69" i="16" s="1"/>
  <c r="K54" i="16"/>
  <c r="L54" i="16" s="1"/>
  <c r="K80" i="16"/>
  <c r="L80" i="16" s="1"/>
  <c r="K77" i="16"/>
  <c r="L77" i="16" s="1"/>
  <c r="K76" i="16"/>
  <c r="L76" i="16" s="1"/>
  <c r="K72" i="16"/>
  <c r="L72" i="16" s="1"/>
  <c r="K71" i="16"/>
  <c r="L71" i="16" s="1"/>
  <c r="K75" i="16"/>
  <c r="L75" i="16" s="1"/>
  <c r="L68" i="16"/>
  <c r="L60" i="16"/>
  <c r="L65" i="16"/>
  <c r="L66" i="16"/>
  <c r="L67" i="16"/>
  <c r="L39" i="16"/>
  <c r="L44" i="16"/>
  <c r="L48" i="16"/>
  <c r="L53" i="16"/>
  <c r="L47" i="16"/>
  <c r="L63" i="16"/>
  <c r="L31" i="16"/>
  <c r="L40" i="16"/>
  <c r="L34" i="16"/>
  <c r="L57" i="16"/>
  <c r="L41" i="16"/>
  <c r="L43" i="16"/>
  <c r="L56" i="16"/>
  <c r="L58" i="16"/>
  <c r="L36" i="16"/>
  <c r="E25" i="16"/>
  <c r="L50" i="16"/>
  <c r="E27" i="11"/>
  <c r="F31" i="16" l="1" a="1"/>
  <c r="F56" i="16" s="1"/>
  <c r="H56" i="16" s="1"/>
  <c r="F44" i="16"/>
  <c r="H44" i="16" s="1"/>
  <c r="F50" i="16"/>
  <c r="H50" i="16" s="1"/>
  <c r="F52" i="16"/>
  <c r="H52" i="16" s="1"/>
  <c r="F41" i="16"/>
  <c r="H41" i="16" s="1"/>
  <c r="F57" i="16"/>
  <c r="H57" i="16" s="1"/>
  <c r="F46" i="16" l="1"/>
  <c r="H46" i="16" s="1"/>
  <c r="F72" i="16"/>
  <c r="H72" i="16" s="1"/>
  <c r="F63" i="16"/>
  <c r="H63" i="16" s="1"/>
  <c r="F48" i="16"/>
  <c r="H48" i="16" s="1"/>
  <c r="F55" i="16"/>
  <c r="H55" i="16" s="1"/>
  <c r="F70" i="16"/>
  <c r="H70" i="16" s="1"/>
  <c r="F32" i="16"/>
  <c r="H32" i="16" s="1"/>
  <c r="F47" i="16"/>
  <c r="H47" i="16" s="1"/>
  <c r="F31" i="16"/>
  <c r="F79" i="16"/>
  <c r="H79" i="16" s="1"/>
  <c r="F74" i="16"/>
  <c r="H74" i="16" s="1"/>
  <c r="F37" i="16"/>
  <c r="H37" i="16" s="1"/>
  <c r="F80" i="16"/>
  <c r="H80" i="16" s="1"/>
  <c r="F67" i="16"/>
  <c r="H67" i="16" s="1"/>
  <c r="F43" i="16"/>
  <c r="H43" i="16" s="1"/>
  <c r="F39" i="16"/>
  <c r="H39" i="16" s="1"/>
  <c r="F62" i="16"/>
  <c r="H62" i="16" s="1"/>
  <c r="F34" i="16"/>
  <c r="H34" i="16" s="1"/>
  <c r="F71" i="16"/>
  <c r="H71" i="16" s="1"/>
  <c r="F51" i="16"/>
  <c r="H51" i="16" s="1"/>
  <c r="F69" i="16"/>
  <c r="H69" i="16" s="1"/>
  <c r="F36" i="16"/>
  <c r="H36" i="16" s="1"/>
  <c r="F59" i="16"/>
  <c r="H59" i="16" s="1"/>
  <c r="F33" i="16"/>
  <c r="H33" i="16" s="1"/>
  <c r="F45" i="16"/>
  <c r="H45" i="16" s="1"/>
  <c r="F49" i="16"/>
  <c r="H49" i="16" s="1"/>
  <c r="F78" i="16"/>
  <c r="H78" i="16" s="1"/>
  <c r="F66" i="16"/>
  <c r="H66" i="16" s="1"/>
  <c r="F68" i="16"/>
  <c r="H68" i="16" s="1"/>
  <c r="F64" i="16"/>
  <c r="H64" i="16" s="1"/>
  <c r="F53" i="16"/>
  <c r="H53" i="16" s="1"/>
  <c r="F54" i="16"/>
  <c r="H54" i="16" s="1"/>
  <c r="F58" i="16"/>
  <c r="H58" i="16" s="1"/>
  <c r="F77" i="16"/>
  <c r="H77" i="16" s="1"/>
  <c r="F73" i="16"/>
  <c r="H73" i="16" s="1"/>
  <c r="F75" i="16"/>
  <c r="H75" i="16" s="1"/>
  <c r="F35" i="16"/>
  <c r="H35" i="16" s="1"/>
  <c r="F61" i="16"/>
  <c r="H61" i="16" s="1"/>
  <c r="F38" i="16"/>
  <c r="H38" i="16" s="1"/>
  <c r="F42" i="16"/>
  <c r="H42" i="16" s="1"/>
  <c r="F76" i="16"/>
  <c r="H76" i="16" s="1"/>
  <c r="F40" i="16"/>
  <c r="H40" i="16" s="1"/>
  <c r="F65" i="16"/>
  <c r="H65" i="16" s="1"/>
  <c r="F60" i="16"/>
  <c r="H60" i="16" s="1"/>
  <c r="H31" i="16"/>
  <c r="E31" i="16" a="1"/>
  <c r="F81" i="16" l="1"/>
  <c r="H81" i="16"/>
  <c r="E42" i="16"/>
  <c r="E71" i="16"/>
  <c r="E56" i="16"/>
  <c r="E63" i="16"/>
  <c r="E54" i="16"/>
  <c r="E72" i="16"/>
  <c r="E52" i="16"/>
  <c r="E33" i="16"/>
  <c r="E74" i="16"/>
  <c r="E37" i="16"/>
  <c r="E80" i="16"/>
  <c r="E55" i="16"/>
  <c r="E79" i="16"/>
  <c r="E32" i="16"/>
  <c r="E40" i="16"/>
  <c r="E78" i="16"/>
  <c r="E68" i="16"/>
  <c r="E49" i="16"/>
  <c r="E47" i="16"/>
  <c r="E50" i="16"/>
  <c r="E46" i="16"/>
  <c r="E58" i="16"/>
  <c r="E66" i="16"/>
  <c r="E77" i="16"/>
  <c r="E48" i="16"/>
  <c r="E60" i="16"/>
  <c r="E41" i="16"/>
  <c r="E51" i="16"/>
  <c r="E59" i="16"/>
  <c r="E53" i="16"/>
  <c r="E34" i="16"/>
  <c r="E73" i="16"/>
  <c r="E62" i="16"/>
  <c r="E76" i="16"/>
  <c r="E67" i="16"/>
  <c r="E35" i="16"/>
  <c r="E45" i="16"/>
  <c r="E39" i="16"/>
  <c r="E44" i="16"/>
  <c r="E65" i="16"/>
  <c r="E31" i="16"/>
  <c r="E36" i="16"/>
  <c r="E70" i="16"/>
  <c r="E64" i="16"/>
  <c r="E38" i="16"/>
  <c r="E61" i="16"/>
  <c r="E43" i="16"/>
  <c r="E69" i="16"/>
  <c r="E57" i="16"/>
  <c r="E75" i="16"/>
  <c r="G75" i="16" l="1"/>
  <c r="I75" i="16"/>
  <c r="I57" i="16"/>
  <c r="G57" i="16"/>
  <c r="I69" i="16"/>
  <c r="G69" i="16"/>
  <c r="G43" i="16"/>
  <c r="I43" i="16"/>
  <c r="I61" i="16"/>
  <c r="G61" i="16"/>
  <c r="G38" i="16"/>
  <c r="I38" i="16"/>
  <c r="I64" i="16"/>
  <c r="G64" i="16"/>
  <c r="G70" i="16"/>
  <c r="I70" i="16"/>
  <c r="G36" i="16"/>
  <c r="I36" i="16"/>
  <c r="I31" i="16"/>
  <c r="G31" i="16"/>
  <c r="E81" i="16"/>
  <c r="G65" i="16"/>
  <c r="I65" i="16"/>
  <c r="I44" i="16"/>
  <c r="G44" i="16"/>
  <c r="I39" i="16"/>
  <c r="G39" i="16"/>
  <c r="G45" i="16"/>
  <c r="I45" i="16"/>
  <c r="I35" i="16"/>
  <c r="G35" i="16"/>
  <c r="G67" i="16"/>
  <c r="I67" i="16"/>
  <c r="I76" i="16"/>
  <c r="G76" i="16"/>
  <c r="G62" i="16"/>
  <c r="I62" i="16"/>
  <c r="I73" i="16"/>
  <c r="G73" i="16"/>
  <c r="G34" i="16"/>
  <c r="I34" i="16"/>
  <c r="I53" i="16"/>
  <c r="G53" i="16"/>
  <c r="I59" i="16"/>
  <c r="G59" i="16"/>
  <c r="G51" i="16"/>
  <c r="I51" i="16"/>
  <c r="G41" i="16"/>
  <c r="I41" i="16"/>
  <c r="G60" i="16"/>
  <c r="I60" i="16"/>
  <c r="I48" i="16"/>
  <c r="G48" i="16"/>
  <c r="G77" i="16"/>
  <c r="I77" i="16"/>
  <c r="G66" i="16"/>
  <c r="I66" i="16"/>
  <c r="I58" i="16"/>
  <c r="G58" i="16"/>
  <c r="G46" i="16"/>
  <c r="I46" i="16"/>
  <c r="I50" i="16"/>
  <c r="G50" i="16"/>
  <c r="I47" i="16"/>
  <c r="G47" i="16"/>
  <c r="I49" i="16"/>
  <c r="G49" i="16"/>
  <c r="I68" i="16"/>
  <c r="G68" i="16"/>
  <c r="I78" i="16"/>
  <c r="G78" i="16"/>
  <c r="I40" i="16"/>
  <c r="G40" i="16"/>
  <c r="I32" i="16"/>
  <c r="G32" i="16"/>
  <c r="I79" i="16"/>
  <c r="G79" i="16"/>
  <c r="I55" i="16"/>
  <c r="G55" i="16"/>
  <c r="G80" i="16"/>
  <c r="I80" i="16"/>
  <c r="I37" i="16"/>
  <c r="G37" i="16"/>
  <c r="I74" i="16"/>
  <c r="G74" i="16"/>
  <c r="I33" i="16"/>
  <c r="G33" i="16"/>
  <c r="G52" i="16"/>
  <c r="I52" i="16"/>
  <c r="I72" i="16"/>
  <c r="G72" i="16"/>
  <c r="G54" i="16"/>
  <c r="I54" i="16"/>
  <c r="I63" i="16"/>
  <c r="G63" i="16"/>
  <c r="G56" i="16"/>
  <c r="I56" i="16"/>
  <c r="G71" i="16"/>
  <c r="I71" i="16"/>
  <c r="G42" i="16"/>
  <c r="I42" i="16"/>
  <c r="G81" i="16" l="1"/>
  <c r="I81" i="16"/>
  <c r="D26" i="17" l="1"/>
  <c r="E26" i="17" s="1"/>
  <c r="D25" i="17" l="1"/>
  <c r="E25" i="17" s="1"/>
  <c r="D22" i="17"/>
  <c r="E22" i="17" s="1"/>
  <c r="E27" i="17" l="1"/>
  <c r="D28" i="17"/>
  <c r="E28" i="17" s="1"/>
  <c r="D24" i="17"/>
  <c r="E24" i="17" s="1"/>
</calcChain>
</file>

<file path=xl/sharedStrings.xml><?xml version="1.0" encoding="utf-8"?>
<sst xmlns="http://schemas.openxmlformats.org/spreadsheetml/2006/main" count="602" uniqueCount="194">
  <si>
    <t>Syracuse District Energy</t>
  </si>
  <si>
    <t>Utility and Load Profile Comparison</t>
  </si>
  <si>
    <t>Electric Utility</t>
  </si>
  <si>
    <t>Building</t>
  </si>
  <si>
    <t>Utility</t>
  </si>
  <si>
    <t>Load Profile</t>
  </si>
  <si>
    <t>Cooling Percentage</t>
  </si>
  <si>
    <t xml:space="preserve">Consumption </t>
  </si>
  <si>
    <t>Cooling Energy</t>
  </si>
  <si>
    <t>(kWh)</t>
  </si>
  <si>
    <t>205 S Salina</t>
  </si>
  <si>
    <t>Apartment</t>
  </si>
  <si>
    <t>224 Harrison</t>
  </si>
  <si>
    <t>100 E Washington</t>
  </si>
  <si>
    <t>100 N Salina</t>
  </si>
  <si>
    <t xml:space="preserve">100 S Salina </t>
  </si>
  <si>
    <t>Office</t>
  </si>
  <si>
    <t>110 W Fayette</t>
  </si>
  <si>
    <t>One Lincoln Center</t>
  </si>
  <si>
    <t>300 South State</t>
  </si>
  <si>
    <t>One Park Place</t>
  </si>
  <si>
    <t>Natural Gas Utility</t>
  </si>
  <si>
    <t>Percentage</t>
  </si>
  <si>
    <t>Heating Energy</t>
  </si>
  <si>
    <t>(MMBtu)</t>
  </si>
  <si>
    <t>On List of Buildings</t>
  </si>
  <si>
    <t>g CO2 per g CH4</t>
  </si>
  <si>
    <t>tons per gram</t>
  </si>
  <si>
    <t>g CH4 per MJ gas</t>
  </si>
  <si>
    <t>Btu per MJ</t>
  </si>
  <si>
    <t>Btu</t>
  </si>
  <si>
    <t>MJ</t>
  </si>
  <si>
    <t>gCO2 per MJ gas</t>
  </si>
  <si>
    <t>tons CO2 per MMBtu gas</t>
  </si>
  <si>
    <t>Utility Summary</t>
  </si>
  <si>
    <t>Total Cost</t>
  </si>
  <si>
    <t>Blended Rate</t>
  </si>
  <si>
    <t>($)</t>
  </si>
  <si>
    <t>($/kWh)</t>
  </si>
  <si>
    <t>Gas Utility</t>
  </si>
  <si>
    <t>Rate</t>
  </si>
  <si>
    <t>($/MMBtu)</t>
  </si>
  <si>
    <t>ELECTRIC UTILITY</t>
  </si>
  <si>
    <t>Building Information</t>
  </si>
  <si>
    <t>Energy per Square Foot</t>
  </si>
  <si>
    <t>Cost per Square Foot</t>
  </si>
  <si>
    <t>Building Address</t>
  </si>
  <si>
    <t>Building Type</t>
  </si>
  <si>
    <t>Square Feet</t>
  </si>
  <si>
    <t>kWh/sf</t>
  </si>
  <si>
    <t>MMBtu/sf</t>
  </si>
  <si>
    <t>Electric $/sf</t>
  </si>
  <si>
    <t>Gas $/sf</t>
  </si>
  <si>
    <t>Total $/sf</t>
  </si>
  <si>
    <t>salinas place</t>
  </si>
  <si>
    <t>Midrise Apt</t>
  </si>
  <si>
    <t>Large Office</t>
  </si>
  <si>
    <t>White Memorial</t>
  </si>
  <si>
    <t>Medium Office</t>
  </si>
  <si>
    <t>One Clinton Square</t>
  </si>
  <si>
    <t>Atrium</t>
  </si>
  <si>
    <t>Large office</t>
  </si>
  <si>
    <t>GAS UTILITY</t>
  </si>
  <si>
    <t>Average Energy per Square Foot</t>
  </si>
  <si>
    <t>Average Rates</t>
  </si>
  <si>
    <t>Average Costs per Square Foot</t>
  </si>
  <si>
    <t>$/kWh</t>
  </si>
  <si>
    <t>$/MMBtu</t>
  </si>
  <si>
    <t>Midrise</t>
  </si>
  <si>
    <t>Estimates - All Sites</t>
  </si>
  <si>
    <t>Space Type</t>
  </si>
  <si>
    <t>From Load Profile</t>
  </si>
  <si>
    <t>From Square Foot Estimate (Above)</t>
  </si>
  <si>
    <t>Cooling kWh</t>
  </si>
  <si>
    <t>Heating MMBtu</t>
  </si>
  <si>
    <t>Cooling Cost</t>
  </si>
  <si>
    <t>Heating Cost</t>
  </si>
  <si>
    <t>Annual Cost</t>
  </si>
  <si>
    <t>Annual kWh</t>
  </si>
  <si>
    <t>Annual MMBtu</t>
  </si>
  <si>
    <t>Electrical Delivery and Supply</t>
  </si>
  <si>
    <t>Salina</t>
  </si>
  <si>
    <t>Supply: Direct Energy</t>
  </si>
  <si>
    <t>Delivery: National Grid</t>
  </si>
  <si>
    <t>Delivery</t>
  </si>
  <si>
    <t xml:space="preserve">Supply </t>
  </si>
  <si>
    <t>Total</t>
  </si>
  <si>
    <t>Calculated</t>
  </si>
  <si>
    <t>Month</t>
  </si>
  <si>
    <t>Electric Usage (kWh)</t>
  </si>
  <si>
    <t>Peak Demand (kW)</t>
  </si>
  <si>
    <t>Total Delivery Charge</t>
  </si>
  <si>
    <t>Fixed Price</t>
  </si>
  <si>
    <t>Clean Energy Standard</t>
  </si>
  <si>
    <t>Tax</t>
  </si>
  <si>
    <t>Late Payment Charge</t>
  </si>
  <si>
    <t>Total Supply Charge</t>
  </si>
  <si>
    <t>Total Charge</t>
  </si>
  <si>
    <t>Blended Cost/kWh</t>
  </si>
  <si>
    <t>Totals</t>
  </si>
  <si>
    <t>Natural Gas Delivery and Supply</t>
  </si>
  <si>
    <t>Supply</t>
  </si>
  <si>
    <t>Costs</t>
  </si>
  <si>
    <t>Gas Usage (therms)</t>
  </si>
  <si>
    <t>Gas Usage (MMBtu)</t>
  </si>
  <si>
    <t>Commodity Cost</t>
  </si>
  <si>
    <t>Change in Law</t>
  </si>
  <si>
    <t>County Sales Tax</t>
  </si>
  <si>
    <t>State Sales Tax</t>
  </si>
  <si>
    <t>Total Supply Cost</t>
  </si>
  <si>
    <t>Basic Service Charge</t>
  </si>
  <si>
    <t>Next 277 Therms</t>
  </si>
  <si>
    <t>Last Therms</t>
  </si>
  <si>
    <t>Adjustment for Normal Weather</t>
  </si>
  <si>
    <t>Delivery Service Adj</t>
  </si>
  <si>
    <t>SBC</t>
  </si>
  <si>
    <t>Tariff Surcharge</t>
  </si>
  <si>
    <t>Sales Tax</t>
  </si>
  <si>
    <t>Other Charges</t>
  </si>
  <si>
    <t>Usage Costs</t>
  </si>
  <si>
    <t>Gas Rate ($/MMBtu)</t>
  </si>
  <si>
    <t>Blended Rate ($/MMBtu)</t>
  </si>
  <si>
    <t>201 S Salina</t>
  </si>
  <si>
    <t>Usage</t>
  </si>
  <si>
    <t>Gas Supply</t>
  </si>
  <si>
    <t>Merchant Function</t>
  </si>
  <si>
    <t>Tarifff Surcharge</t>
  </si>
  <si>
    <t>Customer Charge</t>
  </si>
  <si>
    <t>Demand Charge</t>
  </si>
  <si>
    <t>Legacy Transition Charge</t>
  </si>
  <si>
    <t>RDM</t>
  </si>
  <si>
    <t>Transmission Rev Adj</t>
  </si>
  <si>
    <t>Total kW charges</t>
  </si>
  <si>
    <t>Total kWh charges</t>
  </si>
  <si>
    <t>Total Fixed Charges</t>
  </si>
  <si>
    <t>Total Charges</t>
  </si>
  <si>
    <t>Cost/kW</t>
  </si>
  <si>
    <t>Marginal Cost/kWh</t>
  </si>
  <si>
    <t>Next 4720 Therms</t>
  </si>
  <si>
    <t>Usage Cost</t>
  </si>
  <si>
    <t>Other/Late Charges</t>
  </si>
  <si>
    <t>Capacity Tag Adjustment</t>
  </si>
  <si>
    <t>Reactive</t>
  </si>
  <si>
    <t>One Lincoln Center - Electric</t>
  </si>
  <si>
    <t>Dates of service</t>
  </si>
  <si>
    <t>kWh</t>
  </si>
  <si>
    <t>12/09/2018 - 1/09/2019</t>
  </si>
  <si>
    <t>01/09/2019 - 02/07/2019</t>
  </si>
  <si>
    <t>02/07/2019 - 03/10/2019</t>
  </si>
  <si>
    <t>03/10/2019 - 04/08/2019</t>
  </si>
  <si>
    <t>04/08/2019 - 05/08/2019</t>
  </si>
  <si>
    <t>05/08/2019 - 06/10/2019</t>
  </si>
  <si>
    <t>06/10/2019 - 07/10/2019</t>
  </si>
  <si>
    <t>07/10/2019 - 08/08/2019</t>
  </si>
  <si>
    <t>08/08/2019 - 9/10/2019</t>
  </si>
  <si>
    <t>09/10/2019 - 10/08/2019</t>
  </si>
  <si>
    <t>10/08/2019 - 11/06/2019</t>
  </si>
  <si>
    <t>11/06/2019 - 12/09/2019</t>
  </si>
  <si>
    <t>12/09/2019 - 01/09/2020</t>
  </si>
  <si>
    <t>per kWh</t>
  </si>
  <si>
    <t>One Lincoln Center - Gas</t>
  </si>
  <si>
    <t>Therms</t>
  </si>
  <si>
    <t>12/26/2018 - 1/25/2019</t>
  </si>
  <si>
    <t>01/25/2019 - 02/25/2019</t>
  </si>
  <si>
    <t>02/25/2019 - 03/26/2019</t>
  </si>
  <si>
    <t>03/26/2019 - 04/25/2019</t>
  </si>
  <si>
    <t>04/25/2019 - 05/28/2019</t>
  </si>
  <si>
    <t>05/28/2019 - 06/25/2019</t>
  </si>
  <si>
    <t>06/25/2019 - 07/26/2019</t>
  </si>
  <si>
    <t>07/26/2019 - 08/27/2019</t>
  </si>
  <si>
    <t>08/27/2019 - 09/26/2019</t>
  </si>
  <si>
    <t>09/26/2019 - 10/24/2019</t>
  </si>
  <si>
    <t>10/24/2019 - 11/22/2019</t>
  </si>
  <si>
    <t>11/22/2019 - 12/27/2019</t>
  </si>
  <si>
    <t>12/27/2019 - 01/27/2020</t>
  </si>
  <si>
    <t>per therm</t>
  </si>
  <si>
    <t>per MMBtu</t>
  </si>
  <si>
    <t>One Park Place - Electric</t>
  </si>
  <si>
    <t>12/28/2018 - 01/29/2019</t>
  </si>
  <si>
    <t>01/29/2019 - 02/27/2019</t>
  </si>
  <si>
    <t>02/27/2019 - 03/28/2019</t>
  </si>
  <si>
    <t>03/28/2019 - 04/29/2019</t>
  </si>
  <si>
    <t>04/29/2019 - 05/30/2019</t>
  </si>
  <si>
    <t>05/30/2019 - 06/27/2019</t>
  </si>
  <si>
    <t>06/27/2019 - 07/30/2019</t>
  </si>
  <si>
    <t>07/30/2019 - 08/29/2019</t>
  </si>
  <si>
    <t>08/29/2019 - 09/27/2019</t>
  </si>
  <si>
    <t>09/27/2019 - 10/27/2019</t>
  </si>
  <si>
    <t>10/27/2019 - 11/26/2019</t>
  </si>
  <si>
    <t>11/26/2019 - 12/30/2019</t>
  </si>
  <si>
    <t>One Park Place - Gas</t>
  </si>
  <si>
    <t>All Electric</t>
  </si>
  <si>
    <t>Additional</t>
  </si>
  <si>
    <t>Missing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</si>
</sst>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"/>
    <numFmt numFmtId="166" formatCode="[$-409]mmm\-yy;@"/>
    <numFmt numFmtId="167" formatCode="#,##0.0"/>
    <numFmt numFmtId="168" formatCode="&quot;$&quot;#,##0.0000"/>
    <numFmt numFmtId="169" formatCode="#,##0.0_);\(#,##0.0\)"/>
    <numFmt numFmtId="170" formatCode="0.0%"/>
    <numFmt numFmtId="171" formatCode="&quot;$&quot;#,##0"/>
    <numFmt numFmtId="172" formatCode="&quot;$&quot;#,##0.000"/>
    <numFmt numFmtId="173" formatCode="0.0000"/>
    <numFmt numFmtId="174" formatCode="0.000"/>
    <numFmt numFmtId="175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theme="1"/>
      <name val="Calibri"/>
      <family val="2"/>
      <scheme val="minor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sz val="9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sz val="9"/>
      <color rgb="FFFF0000"/>
      <name val="Times New Roman"/>
      <family val="1"/>
    </font>
    <font>
      <sz val="9"/>
      <name val="Times New Roman"/>
      <family val="1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name val="Century Gothic"/>
      <family val="2"/>
    </font>
    <font>
      <sz val="12"/>
      <color theme="1"/>
      <name val="Century Gothic"/>
      <family val="2"/>
    </font>
    <font>
      <sz val="16"/>
      <name val="Century Gothic"/>
      <family val="2"/>
    </font>
    <font>
      <sz val="16"/>
      <color theme="1"/>
      <name val="Century Gothic"/>
      <family val="2"/>
    </font>
    <font>
      <sz val="12"/>
      <color rgb="FF333333"/>
      <name val="Century Gothic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7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553">
    <xf numFmtId="0" fontId="0" fillId="0" borderId="0" xfId="0"/>
    <xf numFmtId="0" fontId="2" fillId="0" borderId="0" xfId="1" applyFont="1"/>
    <xf numFmtId="0" fontId="1" fillId="0" borderId="0" xfId="1"/>
    <xf numFmtId="164" fontId="0" fillId="0" borderId="0" xfId="2" applyNumberFormat="1" applyFont="1"/>
    <xf numFmtId="44" fontId="0" fillId="0" borderId="0" xfId="3" applyFont="1"/>
    <xf numFmtId="43" fontId="1" fillId="0" borderId="0" xfId="1" applyNumberFormat="1"/>
    <xf numFmtId="165" fontId="1" fillId="0" borderId="0" xfId="1" applyNumberFormat="1"/>
    <xf numFmtId="0" fontId="2" fillId="0" borderId="0" xfId="1" applyFont="1" applyAlignment="1">
      <alignment horizontal="left"/>
    </xf>
    <xf numFmtId="0" fontId="1" fillId="0" borderId="1" xfId="1" applyBorder="1"/>
    <xf numFmtId="0" fontId="1" fillId="0" borderId="0" xfId="1" applyAlignment="1">
      <alignment vertical="center"/>
    </xf>
    <xf numFmtId="0" fontId="3" fillId="2" borderId="8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164" fontId="3" fillId="2" borderId="9" xfId="2" applyNumberFormat="1" applyFont="1" applyFill="1" applyBorder="1" applyAlignment="1">
      <alignment horizontal="center" vertical="center" wrapText="1"/>
    </xf>
    <xf numFmtId="44" fontId="3" fillId="2" borderId="10" xfId="3" applyFont="1" applyFill="1" applyBorder="1" applyAlignment="1">
      <alignment horizontal="center" vertical="center" wrapText="1"/>
    </xf>
    <xf numFmtId="44" fontId="3" fillId="2" borderId="11" xfId="3" applyFont="1" applyFill="1" applyBorder="1" applyAlignment="1">
      <alignment horizontal="center" vertical="center" wrapText="1"/>
    </xf>
    <xf numFmtId="44" fontId="3" fillId="2" borderId="9" xfId="3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4" fillId="0" borderId="0" xfId="1" applyFont="1" applyAlignment="1">
      <alignment horizontal="left" vertical="center"/>
    </xf>
    <xf numFmtId="166" fontId="5" fillId="0" borderId="14" xfId="1" applyNumberFormat="1" applyFont="1" applyBorder="1" applyAlignment="1">
      <alignment horizontal="center"/>
    </xf>
    <xf numFmtId="167" fontId="5" fillId="0" borderId="16" xfId="2" applyNumberFormat="1" applyFont="1" applyFill="1" applyBorder="1" applyAlignment="1">
      <alignment horizontal="center" vertical="center" wrapText="1"/>
    </xf>
    <xf numFmtId="165" fontId="5" fillId="0" borderId="17" xfId="2" applyNumberFormat="1" applyFont="1" applyFill="1" applyBorder="1" applyAlignment="1">
      <alignment horizontal="center" vertical="center" wrapText="1"/>
    </xf>
    <xf numFmtId="165" fontId="5" fillId="0" borderId="18" xfId="2" applyNumberFormat="1" applyFont="1" applyFill="1" applyBorder="1" applyAlignment="1">
      <alignment horizontal="center" vertical="center" wrapText="1"/>
    </xf>
    <xf numFmtId="165" fontId="5" fillId="0" borderId="18" xfId="3" applyNumberFormat="1" applyFont="1" applyFill="1" applyBorder="1" applyAlignment="1">
      <alignment horizontal="center" vertical="center" wrapText="1"/>
    </xf>
    <xf numFmtId="165" fontId="5" fillId="0" borderId="19" xfId="3" applyNumberFormat="1" applyFont="1" applyFill="1" applyBorder="1" applyAlignment="1">
      <alignment horizontal="center" vertical="center" wrapText="1"/>
    </xf>
    <xf numFmtId="165" fontId="7" fillId="0" borderId="0" xfId="1" applyNumberFormat="1" applyFont="1"/>
    <xf numFmtId="0" fontId="4" fillId="0" borderId="0" xfId="1" applyFont="1" applyAlignment="1">
      <alignment vertical="center"/>
    </xf>
    <xf numFmtId="165" fontId="5" fillId="0" borderId="22" xfId="3" applyNumberFormat="1" applyFont="1" applyFill="1" applyBorder="1" applyAlignment="1">
      <alignment horizontal="center" vertical="center" wrapText="1"/>
    </xf>
    <xf numFmtId="165" fontId="5" fillId="0" borderId="23" xfId="3" applyNumberFormat="1" applyFont="1" applyFill="1" applyBorder="1" applyAlignment="1">
      <alignment horizontal="center" vertical="center" wrapText="1"/>
    </xf>
    <xf numFmtId="169" fontId="5" fillId="0" borderId="25" xfId="2" applyNumberFormat="1" applyFont="1" applyFill="1" applyBorder="1" applyAlignment="1">
      <alignment horizontal="center" vertical="center" wrapText="1"/>
    </xf>
    <xf numFmtId="165" fontId="5" fillId="0" borderId="26" xfId="2" applyNumberFormat="1" applyFont="1" applyFill="1" applyBorder="1" applyAlignment="1">
      <alignment horizontal="center" vertical="center" wrapText="1"/>
    </xf>
    <xf numFmtId="165" fontId="5" fillId="0" borderId="22" xfId="2" applyNumberFormat="1" applyFont="1" applyFill="1" applyBorder="1" applyAlignment="1">
      <alignment horizontal="center" vertical="center" wrapText="1"/>
    </xf>
    <xf numFmtId="169" fontId="5" fillId="0" borderId="27" xfId="2" applyNumberFormat="1" applyFont="1" applyFill="1" applyBorder="1" applyAlignment="1">
      <alignment horizontal="center" vertical="center" wrapText="1"/>
    </xf>
    <xf numFmtId="166" fontId="3" fillId="0" borderId="8" xfId="1" applyNumberFormat="1" applyFont="1" applyBorder="1" applyAlignment="1">
      <alignment horizontal="center" vertical="center"/>
    </xf>
    <xf numFmtId="3" fontId="5" fillId="0" borderId="31" xfId="1" applyNumberFormat="1" applyFont="1" applyBorder="1" applyAlignment="1">
      <alignment horizontal="center" vertical="center" wrapText="1"/>
    </xf>
    <xf numFmtId="167" fontId="5" fillId="0" borderId="32" xfId="2" applyNumberFormat="1" applyFont="1" applyFill="1" applyBorder="1" applyAlignment="1">
      <alignment horizontal="center" vertical="center" wrapText="1"/>
    </xf>
    <xf numFmtId="165" fontId="5" fillId="0" borderId="10" xfId="3" applyNumberFormat="1" applyFont="1" applyFill="1" applyBorder="1" applyAlignment="1">
      <alignment horizontal="center" vertical="center" wrapText="1"/>
    </xf>
    <xf numFmtId="165" fontId="5" fillId="0" borderId="11" xfId="3" applyNumberFormat="1" applyFont="1" applyFill="1" applyBorder="1" applyAlignment="1">
      <alignment horizontal="center" vertical="center" wrapText="1"/>
    </xf>
    <xf numFmtId="165" fontId="6" fillId="0" borderId="11" xfId="1" applyNumberFormat="1" applyFont="1" applyBorder="1" applyAlignment="1">
      <alignment horizontal="center" vertical="center"/>
    </xf>
    <xf numFmtId="165" fontId="5" fillId="0" borderId="6" xfId="3" applyNumberFormat="1" applyFont="1" applyBorder="1" applyAlignment="1">
      <alignment horizontal="center" vertical="center" wrapText="1"/>
    </xf>
    <xf numFmtId="165" fontId="5" fillId="0" borderId="10" xfId="3" applyNumberFormat="1" applyFont="1" applyBorder="1" applyAlignment="1">
      <alignment horizontal="center" vertical="center" wrapText="1"/>
    </xf>
    <xf numFmtId="165" fontId="6" fillId="0" borderId="11" xfId="3" applyNumberFormat="1" applyFont="1" applyBorder="1" applyAlignment="1">
      <alignment horizontal="center" vertical="center"/>
    </xf>
    <xf numFmtId="165" fontId="5" fillId="0" borderId="9" xfId="3" applyNumberFormat="1" applyFont="1" applyFill="1" applyBorder="1" applyAlignment="1">
      <alignment horizontal="center" vertical="center" wrapText="1"/>
    </xf>
    <xf numFmtId="165" fontId="5" fillId="0" borderId="8" xfId="3" applyNumberFormat="1" applyFont="1" applyBorder="1" applyAlignment="1">
      <alignment horizontal="center" vertical="center" wrapText="1"/>
    </xf>
    <xf numFmtId="165" fontId="5" fillId="0" borderId="13" xfId="3" applyNumberFormat="1" applyFont="1" applyBorder="1" applyAlignment="1">
      <alignment horizontal="center" vertical="center" wrapText="1"/>
    </xf>
    <xf numFmtId="165" fontId="5" fillId="0" borderId="11" xfId="3" applyNumberFormat="1" applyFont="1" applyBorder="1" applyAlignment="1">
      <alignment horizontal="center" vertical="center" wrapText="1"/>
    </xf>
    <xf numFmtId="165" fontId="5" fillId="0" borderId="9" xfId="3" applyNumberFormat="1" applyFont="1" applyBorder="1" applyAlignment="1">
      <alignment horizontal="center" vertical="center" wrapText="1"/>
    </xf>
    <xf numFmtId="165" fontId="6" fillId="0" borderId="10" xfId="1" applyNumberFormat="1" applyFont="1" applyBorder="1" applyAlignment="1">
      <alignment horizontal="center" vertical="center"/>
    </xf>
    <xf numFmtId="168" fontId="6" fillId="0" borderId="11" xfId="1" applyNumberFormat="1" applyFont="1" applyBorder="1" applyAlignment="1">
      <alignment horizontal="center" vertical="center"/>
    </xf>
    <xf numFmtId="168" fontId="6" fillId="0" borderId="12" xfId="1" applyNumberFormat="1" applyFont="1" applyBorder="1" applyAlignment="1">
      <alignment horizontal="center" vertical="center"/>
    </xf>
    <xf numFmtId="0" fontId="8" fillId="0" borderId="0" xfId="1" applyFont="1"/>
    <xf numFmtId="0" fontId="0" fillId="0" borderId="0" xfId="1" applyFont="1"/>
    <xf numFmtId="170" fontId="0" fillId="0" borderId="0" xfId="4" applyNumberFormat="1" applyFont="1"/>
    <xf numFmtId="165" fontId="5" fillId="3" borderId="14" xfId="3" applyNumberFormat="1" applyFont="1" applyFill="1" applyBorder="1" applyAlignment="1">
      <alignment horizontal="center" wrapText="1"/>
    </xf>
    <xf numFmtId="165" fontId="5" fillId="3" borderId="17" xfId="3" applyNumberFormat="1" applyFont="1" applyFill="1" applyBorder="1" applyAlignment="1">
      <alignment horizontal="center" wrapText="1"/>
    </xf>
    <xf numFmtId="165" fontId="5" fillId="3" borderId="18" xfId="3" applyNumberFormat="1" applyFont="1" applyFill="1" applyBorder="1" applyAlignment="1">
      <alignment horizontal="center" wrapText="1"/>
    </xf>
    <xf numFmtId="165" fontId="5" fillId="3" borderId="19" xfId="3" applyNumberFormat="1" applyFont="1" applyFill="1" applyBorder="1" applyAlignment="1">
      <alignment horizontal="center" wrapText="1"/>
    </xf>
    <xf numFmtId="165" fontId="6" fillId="3" borderId="20" xfId="1" applyNumberFormat="1" applyFont="1" applyFill="1" applyBorder="1" applyAlignment="1">
      <alignment horizontal="center"/>
    </xf>
    <xf numFmtId="168" fontId="6" fillId="3" borderId="18" xfId="1" applyNumberFormat="1" applyFont="1" applyFill="1" applyBorder="1" applyAlignment="1">
      <alignment horizontal="center"/>
    </xf>
    <xf numFmtId="168" fontId="6" fillId="3" borderId="16" xfId="1" applyNumberFormat="1" applyFont="1" applyFill="1" applyBorder="1" applyAlignment="1">
      <alignment horizontal="center"/>
    </xf>
    <xf numFmtId="3" fontId="5" fillId="0" borderId="15" xfId="1" applyNumberFormat="1" applyFont="1" applyBorder="1" applyAlignment="1">
      <alignment horizontal="center" vertical="center" wrapText="1"/>
    </xf>
    <xf numFmtId="3" fontId="5" fillId="0" borderId="24" xfId="1" applyNumberFormat="1" applyFont="1" applyBorder="1" applyAlignment="1">
      <alignment horizontal="center" vertical="center" wrapText="1"/>
    </xf>
    <xf numFmtId="165" fontId="5" fillId="0" borderId="20" xfId="3" applyNumberFormat="1" applyFont="1" applyFill="1" applyBorder="1" applyAlignment="1">
      <alignment horizontal="center" wrapText="1"/>
    </xf>
    <xf numFmtId="165" fontId="5" fillId="0" borderId="14" xfId="3" applyNumberFormat="1" applyFont="1" applyFill="1" applyBorder="1" applyAlignment="1">
      <alignment horizontal="center" wrapText="1"/>
    </xf>
    <xf numFmtId="165" fontId="5" fillId="0" borderId="21" xfId="3" applyNumberFormat="1" applyFont="1" applyFill="1" applyBorder="1" applyAlignment="1">
      <alignment horizontal="center" wrapText="1"/>
    </xf>
    <xf numFmtId="165" fontId="5" fillId="0" borderId="37" xfId="3" applyNumberFormat="1" applyFont="1" applyFill="1" applyBorder="1" applyAlignment="1">
      <alignment horizontal="center" wrapText="1"/>
    </xf>
    <xf numFmtId="165" fontId="5" fillId="0" borderId="34" xfId="3" applyNumberFormat="1" applyFont="1" applyFill="1" applyBorder="1" applyAlignment="1">
      <alignment horizontal="center" vertical="center" wrapText="1"/>
    </xf>
    <xf numFmtId="165" fontId="5" fillId="0" borderId="35" xfId="3" applyNumberFormat="1" applyFont="1" applyFill="1" applyBorder="1" applyAlignment="1">
      <alignment horizontal="center" vertical="center" wrapText="1"/>
    </xf>
    <xf numFmtId="165" fontId="5" fillId="0" borderId="33" xfId="3" applyNumberFormat="1" applyFont="1" applyFill="1" applyBorder="1" applyAlignment="1">
      <alignment horizontal="center" wrapText="1"/>
    </xf>
    <xf numFmtId="165" fontId="5" fillId="0" borderId="38" xfId="3" applyNumberFormat="1" applyFont="1" applyFill="1" applyBorder="1" applyAlignment="1">
      <alignment horizontal="center" wrapText="1"/>
    </xf>
    <xf numFmtId="165" fontId="5" fillId="0" borderId="15" xfId="3" applyNumberFormat="1" applyFont="1" applyFill="1" applyBorder="1" applyAlignment="1">
      <alignment horizontal="center" wrapText="1"/>
    </xf>
    <xf numFmtId="167" fontId="5" fillId="0" borderId="19" xfId="2" applyNumberFormat="1" applyFont="1" applyFill="1" applyBorder="1" applyAlignment="1">
      <alignment horizontal="center" vertical="center" wrapText="1"/>
    </xf>
    <xf numFmtId="169" fontId="5" fillId="0" borderId="19" xfId="2" applyNumberFormat="1" applyFont="1" applyFill="1" applyBorder="1" applyAlignment="1">
      <alignment horizontal="center" vertical="center" wrapText="1"/>
    </xf>
    <xf numFmtId="169" fontId="5" fillId="0" borderId="23" xfId="2" applyNumberFormat="1" applyFont="1" applyFill="1" applyBorder="1" applyAlignment="1">
      <alignment horizontal="center" vertical="center" wrapText="1"/>
    </xf>
    <xf numFmtId="169" fontId="5" fillId="0" borderId="39" xfId="2" applyNumberFormat="1" applyFont="1" applyFill="1" applyBorder="1" applyAlignment="1">
      <alignment horizontal="center" vertical="center" wrapText="1"/>
    </xf>
    <xf numFmtId="167" fontId="5" fillId="0" borderId="39" xfId="2" applyNumberFormat="1" applyFont="1" applyFill="1" applyBorder="1" applyAlignment="1">
      <alignment horizontal="center" vertical="center" wrapText="1"/>
    </xf>
    <xf numFmtId="44" fontId="3" fillId="2" borderId="8" xfId="3" applyFont="1" applyFill="1" applyBorder="1" applyAlignment="1">
      <alignment horizontal="center" vertical="center" wrapText="1"/>
    </xf>
    <xf numFmtId="164" fontId="2" fillId="0" borderId="8" xfId="2" applyNumberFormat="1" applyFont="1" applyBorder="1" applyAlignment="1">
      <alignment horizontal="center" vertical="center"/>
    </xf>
    <xf numFmtId="165" fontId="11" fillId="0" borderId="14" xfId="3" applyNumberFormat="1" applyFont="1" applyFill="1" applyBorder="1" applyAlignment="1">
      <alignment horizontal="center" wrapText="1"/>
    </xf>
    <xf numFmtId="3" fontId="11" fillId="0" borderId="15" xfId="1" applyNumberFormat="1" applyFont="1" applyBorder="1" applyAlignment="1">
      <alignment horizontal="center" vertical="center" wrapText="1"/>
    </xf>
    <xf numFmtId="166" fontId="11" fillId="0" borderId="14" xfId="1" applyNumberFormat="1" applyFont="1" applyBorder="1" applyAlignment="1">
      <alignment horizontal="center"/>
    </xf>
    <xf numFmtId="165" fontId="10" fillId="3" borderId="21" xfId="3" applyNumberFormat="1" applyFont="1" applyFill="1" applyBorder="1" applyAlignment="1">
      <alignment horizontal="center" wrapText="1"/>
    </xf>
    <xf numFmtId="165" fontId="10" fillId="3" borderId="22" xfId="3" applyNumberFormat="1" applyFont="1" applyFill="1" applyBorder="1" applyAlignment="1">
      <alignment horizontal="center" vertical="center" wrapText="1"/>
    </xf>
    <xf numFmtId="165" fontId="10" fillId="3" borderId="23" xfId="3" applyNumberFormat="1" applyFont="1" applyFill="1" applyBorder="1" applyAlignment="1">
      <alignment horizontal="center" vertical="center" wrapText="1"/>
    </xf>
    <xf numFmtId="167" fontId="10" fillId="3" borderId="19" xfId="2" applyNumberFormat="1" applyFont="1" applyFill="1" applyBorder="1" applyAlignment="1">
      <alignment horizontal="center" vertical="center" wrapText="1"/>
    </xf>
    <xf numFmtId="166" fontId="5" fillId="0" borderId="15" xfId="1" applyNumberFormat="1" applyFont="1" applyBorder="1" applyAlignment="1">
      <alignment horizontal="center"/>
    </xf>
    <xf numFmtId="3" fontId="5" fillId="0" borderId="21" xfId="1" applyNumberFormat="1" applyFont="1" applyBorder="1" applyAlignment="1">
      <alignment horizontal="center" vertical="center" wrapText="1"/>
    </xf>
    <xf numFmtId="3" fontId="5" fillId="0" borderId="43" xfId="1" applyNumberFormat="1" applyFont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4" fontId="5" fillId="0" borderId="42" xfId="1" applyNumberFormat="1" applyFont="1" applyBorder="1" applyAlignment="1">
      <alignment horizontal="center" vertical="center" wrapText="1"/>
    </xf>
    <xf numFmtId="0" fontId="3" fillId="2" borderId="45" xfId="1" applyFont="1" applyFill="1" applyBorder="1" applyAlignment="1">
      <alignment horizontal="center" vertical="center" wrapText="1"/>
    </xf>
    <xf numFmtId="3" fontId="5" fillId="0" borderId="41" xfId="1" applyNumberFormat="1" applyFont="1" applyBorder="1" applyAlignment="1">
      <alignment horizontal="center" vertical="center" wrapText="1"/>
    </xf>
    <xf numFmtId="4" fontId="5" fillId="0" borderId="25" xfId="1" applyNumberFormat="1" applyFont="1" applyBorder="1" applyAlignment="1">
      <alignment horizontal="center" vertical="center" wrapText="1"/>
    </xf>
    <xf numFmtId="4" fontId="5" fillId="0" borderId="27" xfId="1" applyNumberFormat="1" applyFont="1" applyBorder="1" applyAlignment="1">
      <alignment horizontal="center" vertical="center" wrapText="1"/>
    </xf>
    <xf numFmtId="165" fontId="0" fillId="0" borderId="0" xfId="0" applyNumberFormat="1"/>
    <xf numFmtId="0" fontId="3" fillId="2" borderId="37" xfId="1" applyFont="1" applyFill="1" applyBorder="1" applyAlignment="1">
      <alignment horizontal="center" vertical="center" wrapText="1"/>
    </xf>
    <xf numFmtId="0" fontId="3" fillId="2" borderId="35" xfId="1" applyFont="1" applyFill="1" applyBorder="1" applyAlignment="1">
      <alignment horizontal="center" vertical="center" wrapText="1"/>
    </xf>
    <xf numFmtId="165" fontId="0" fillId="0" borderId="22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4" fontId="5" fillId="0" borderId="51" xfId="1" applyNumberFormat="1" applyFont="1" applyBorder="1" applyAlignment="1">
      <alignment horizontal="center" vertical="center" wrapText="1"/>
    </xf>
    <xf numFmtId="4" fontId="5" fillId="0" borderId="23" xfId="1" applyNumberFormat="1" applyFont="1" applyBorder="1" applyAlignment="1">
      <alignment horizontal="center" vertical="center" wrapText="1"/>
    </xf>
    <xf numFmtId="165" fontId="0" fillId="0" borderId="52" xfId="0" applyNumberFormat="1" applyBorder="1" applyAlignment="1">
      <alignment horizontal="center"/>
    </xf>
    <xf numFmtId="0" fontId="3" fillId="2" borderId="34" xfId="1" applyFont="1" applyFill="1" applyBorder="1" applyAlignment="1">
      <alignment horizontal="center" vertical="center" wrapText="1"/>
    </xf>
    <xf numFmtId="165" fontId="0" fillId="0" borderId="41" xfId="0" applyNumberFormat="1" applyBorder="1" applyAlignment="1">
      <alignment horizontal="center"/>
    </xf>
    <xf numFmtId="165" fontId="0" fillId="0" borderId="44" xfId="0" applyNumberFormat="1" applyBorder="1" applyAlignment="1">
      <alignment horizontal="center"/>
    </xf>
    <xf numFmtId="165" fontId="0" fillId="0" borderId="42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165" fontId="0" fillId="0" borderId="25" xfId="0" applyNumberFormat="1" applyBorder="1" applyAlignment="1">
      <alignment horizontal="center"/>
    </xf>
    <xf numFmtId="165" fontId="0" fillId="0" borderId="43" xfId="0" applyNumberFormat="1" applyBorder="1" applyAlignment="1">
      <alignment horizontal="center"/>
    </xf>
    <xf numFmtId="165" fontId="0" fillId="0" borderId="27" xfId="0" applyNumberFormat="1" applyBorder="1" applyAlignment="1">
      <alignment horizontal="center"/>
    </xf>
    <xf numFmtId="166" fontId="3" fillId="0" borderId="6" xfId="1" applyNumberFormat="1" applyFont="1" applyBorder="1" applyAlignment="1">
      <alignment horizontal="center" vertical="center"/>
    </xf>
    <xf numFmtId="3" fontId="5" fillId="0" borderId="28" xfId="1" applyNumberFormat="1" applyFont="1" applyBorder="1" applyAlignment="1">
      <alignment horizontal="center" vertical="center" wrapText="1"/>
    </xf>
    <xf numFmtId="4" fontId="5" fillId="0" borderId="30" xfId="1" applyNumberFormat="1" applyFont="1" applyBorder="1" applyAlignment="1">
      <alignment horizontal="center" vertical="center" wrapText="1"/>
    </xf>
    <xf numFmtId="3" fontId="5" fillId="0" borderId="10" xfId="1" applyNumberFormat="1" applyFont="1" applyBorder="1" applyAlignment="1">
      <alignment horizontal="center" vertical="center" wrapText="1"/>
    </xf>
    <xf numFmtId="165" fontId="0" fillId="0" borderId="28" xfId="0" applyNumberFormat="1" applyBorder="1" applyAlignment="1">
      <alignment horizontal="center"/>
    </xf>
    <xf numFmtId="165" fontId="0" fillId="0" borderId="29" xfId="0" applyNumberFormat="1" applyBorder="1" applyAlignment="1">
      <alignment horizontal="center"/>
    </xf>
    <xf numFmtId="165" fontId="0" fillId="0" borderId="53" xfId="0" applyNumberFormat="1" applyBorder="1" applyAlignment="1">
      <alignment horizontal="center"/>
    </xf>
    <xf numFmtId="0" fontId="0" fillId="0" borderId="8" xfId="0" applyBorder="1"/>
    <xf numFmtId="165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0" fillId="0" borderId="54" xfId="0" applyNumberFormat="1" applyBorder="1" applyAlignment="1">
      <alignment horizontal="center"/>
    </xf>
    <xf numFmtId="3" fontId="5" fillId="0" borderId="48" xfId="1" applyNumberFormat="1" applyFont="1" applyBorder="1" applyAlignment="1">
      <alignment horizontal="center" vertical="center" wrapText="1"/>
    </xf>
    <xf numFmtId="4" fontId="0" fillId="0" borderId="39" xfId="0" applyNumberFormat="1" applyBorder="1" applyAlignment="1">
      <alignment horizontal="center"/>
    </xf>
    <xf numFmtId="3" fontId="5" fillId="0" borderId="20" xfId="1" applyNumberFormat="1" applyFont="1" applyBorder="1" applyAlignment="1">
      <alignment horizontal="center" vertical="center" wrapText="1"/>
    </xf>
    <xf numFmtId="4" fontId="5" fillId="0" borderId="19" xfId="1" applyNumberFormat="1" applyFont="1" applyBorder="1" applyAlignment="1">
      <alignment horizontal="center" vertical="center" wrapText="1"/>
    </xf>
    <xf numFmtId="0" fontId="3" fillId="2" borderId="55" xfId="1" applyFont="1" applyFill="1" applyBorder="1" applyAlignment="1">
      <alignment horizontal="center" vertical="center" wrapText="1"/>
    </xf>
    <xf numFmtId="0" fontId="3" fillId="2" borderId="56" xfId="1" applyFont="1" applyFill="1" applyBorder="1" applyAlignment="1">
      <alignment horizontal="center" vertical="center" wrapText="1"/>
    </xf>
    <xf numFmtId="165" fontId="0" fillId="0" borderId="9" xfId="0" applyNumberFormat="1" applyBorder="1" applyAlignment="1">
      <alignment horizontal="center"/>
    </xf>
    <xf numFmtId="0" fontId="3" fillId="2" borderId="58" xfId="1" applyFont="1" applyFill="1" applyBorder="1" applyAlignment="1">
      <alignment horizontal="center" vertical="center" wrapText="1"/>
    </xf>
    <xf numFmtId="165" fontId="0" fillId="0" borderId="59" xfId="0" applyNumberFormat="1" applyBorder="1" applyAlignment="1">
      <alignment horizontal="center"/>
    </xf>
    <xf numFmtId="165" fontId="0" fillId="0" borderId="60" xfId="0" applyNumberFormat="1" applyBorder="1" applyAlignment="1">
      <alignment horizontal="center"/>
    </xf>
    <xf numFmtId="165" fontId="0" fillId="0" borderId="48" xfId="0" applyNumberFormat="1" applyBorder="1" applyAlignment="1">
      <alignment horizontal="center"/>
    </xf>
    <xf numFmtId="165" fontId="0" fillId="0" borderId="61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63" xfId="0" applyNumberFormat="1" applyBorder="1" applyAlignment="1">
      <alignment horizontal="center"/>
    </xf>
    <xf numFmtId="165" fontId="0" fillId="0" borderId="26" xfId="0" applyNumberFormat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0" fontId="0" fillId="0" borderId="57" xfId="0" applyBorder="1"/>
    <xf numFmtId="165" fontId="0" fillId="0" borderId="40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5" fontId="0" fillId="0" borderId="24" xfId="0" applyNumberFormat="1" applyBorder="1" applyAlignment="1">
      <alignment horizontal="center"/>
    </xf>
    <xf numFmtId="165" fontId="0" fillId="0" borderId="46" xfId="0" applyNumberFormat="1" applyBorder="1" applyAlignment="1">
      <alignment horizontal="center"/>
    </xf>
    <xf numFmtId="0" fontId="1" fillId="0" borderId="36" xfId="1" applyBorder="1"/>
    <xf numFmtId="0" fontId="2" fillId="0" borderId="1" xfId="1" applyFont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168" fontId="6" fillId="0" borderId="16" xfId="1" applyNumberFormat="1" applyFont="1" applyBorder="1" applyAlignment="1">
      <alignment horizontal="center"/>
    </xf>
    <xf numFmtId="3" fontId="5" fillId="0" borderId="46" xfId="1" applyNumberFormat="1" applyFont="1" applyBorder="1" applyAlignment="1">
      <alignment horizontal="center" vertical="center" wrapText="1"/>
    </xf>
    <xf numFmtId="167" fontId="5" fillId="0" borderId="25" xfId="2" applyNumberFormat="1" applyFont="1" applyFill="1" applyBorder="1" applyAlignment="1">
      <alignment horizontal="center" vertical="center" wrapText="1"/>
    </xf>
    <xf numFmtId="0" fontId="5" fillId="0" borderId="63" xfId="1" applyFont="1" applyBorder="1" applyAlignment="1">
      <alignment horizontal="center" vertical="center" wrapText="1"/>
    </xf>
    <xf numFmtId="0" fontId="5" fillId="0" borderId="44" xfId="1" applyFont="1" applyBorder="1" applyAlignment="1">
      <alignment horizontal="center" vertical="center" wrapText="1"/>
    </xf>
    <xf numFmtId="0" fontId="5" fillId="0" borderId="51" xfId="1" applyFont="1" applyBorder="1" applyAlignment="1">
      <alignment horizontal="center" vertical="center" wrapText="1"/>
    </xf>
    <xf numFmtId="0" fontId="5" fillId="0" borderId="41" xfId="1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 wrapText="1"/>
    </xf>
    <xf numFmtId="164" fontId="2" fillId="0" borderId="7" xfId="2" applyNumberFormat="1" applyFont="1" applyBorder="1" applyAlignment="1">
      <alignment horizontal="center" vertical="center"/>
    </xf>
    <xf numFmtId="165" fontId="5" fillId="0" borderId="41" xfId="2" applyNumberFormat="1" applyFont="1" applyFill="1" applyBorder="1" applyAlignment="1">
      <alignment horizontal="center" vertical="center" wrapText="1"/>
    </xf>
    <xf numFmtId="165" fontId="5" fillId="0" borderId="44" xfId="2" applyNumberFormat="1" applyFont="1" applyFill="1" applyBorder="1" applyAlignment="1">
      <alignment horizontal="center" vertical="center" wrapText="1"/>
    </xf>
    <xf numFmtId="165" fontId="5" fillId="0" borderId="20" xfId="2" applyNumberFormat="1" applyFont="1" applyFill="1" applyBorder="1" applyAlignment="1">
      <alignment horizontal="center" vertical="center" wrapText="1"/>
    </xf>
    <xf numFmtId="165" fontId="5" fillId="0" borderId="42" xfId="2" applyNumberFormat="1" applyFont="1" applyFill="1" applyBorder="1" applyAlignment="1">
      <alignment horizontal="center" vertical="center" wrapText="1"/>
    </xf>
    <xf numFmtId="165" fontId="5" fillId="0" borderId="61" xfId="2" applyNumberFormat="1" applyFont="1" applyFill="1" applyBorder="1" applyAlignment="1">
      <alignment horizontal="center" vertical="center" wrapText="1"/>
    </xf>
    <xf numFmtId="165" fontId="6" fillId="0" borderId="7" xfId="1" applyNumberFormat="1" applyFont="1" applyBorder="1" applyAlignment="1">
      <alignment horizontal="center" vertical="center"/>
    </xf>
    <xf numFmtId="165" fontId="5" fillId="0" borderId="51" xfId="2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3" fillId="2" borderId="12" xfId="2" applyNumberFormat="1" applyFont="1" applyFill="1" applyBorder="1" applyAlignment="1">
      <alignment horizontal="center" vertical="center" wrapText="1"/>
    </xf>
    <xf numFmtId="0" fontId="3" fillId="2" borderId="10" xfId="2" applyNumberFormat="1" applyFont="1" applyFill="1" applyBorder="1" applyAlignment="1">
      <alignment horizontal="center" vertical="center" wrapText="1"/>
    </xf>
    <xf numFmtId="0" fontId="3" fillId="2" borderId="11" xfId="2" applyNumberFormat="1" applyFont="1" applyFill="1" applyBorder="1" applyAlignment="1">
      <alignment horizontal="center" vertical="center" wrapText="1"/>
    </xf>
    <xf numFmtId="0" fontId="3" fillId="2" borderId="7" xfId="2" applyNumberFormat="1" applyFont="1" applyFill="1" applyBorder="1" applyAlignment="1">
      <alignment horizontal="center" vertical="center" wrapText="1"/>
    </xf>
    <xf numFmtId="0" fontId="3" fillId="2" borderId="8" xfId="3" applyNumberFormat="1" applyFont="1" applyFill="1" applyBorder="1" applyAlignment="1">
      <alignment horizontal="center" vertical="center" wrapText="1"/>
    </xf>
    <xf numFmtId="0" fontId="3" fillId="2" borderId="6" xfId="3" applyNumberFormat="1" applyFont="1" applyFill="1" applyBorder="1" applyAlignment="1">
      <alignment horizontal="center" vertical="center" wrapText="1"/>
    </xf>
    <xf numFmtId="0" fontId="3" fillId="2" borderId="10" xfId="3" applyNumberFormat="1" applyFont="1" applyFill="1" applyBorder="1" applyAlignment="1">
      <alignment horizontal="center" vertical="center" wrapText="1"/>
    </xf>
    <xf numFmtId="0" fontId="3" fillId="2" borderId="11" xfId="3" applyNumberFormat="1" applyFont="1" applyFill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165" fontId="5" fillId="0" borderId="17" xfId="3" applyNumberFormat="1" applyFont="1" applyFill="1" applyBorder="1" applyAlignment="1">
      <alignment horizontal="center" wrapText="1"/>
    </xf>
    <xf numFmtId="165" fontId="5" fillId="0" borderId="18" xfId="3" applyNumberFormat="1" applyFont="1" applyFill="1" applyBorder="1" applyAlignment="1">
      <alignment horizontal="center" wrapText="1"/>
    </xf>
    <xf numFmtId="165" fontId="5" fillId="0" borderId="19" xfId="3" applyNumberFormat="1" applyFont="1" applyFill="1" applyBorder="1" applyAlignment="1">
      <alignment horizontal="center" wrapText="1"/>
    </xf>
    <xf numFmtId="165" fontId="6" fillId="0" borderId="20" xfId="1" applyNumberFormat="1" applyFont="1" applyBorder="1" applyAlignment="1">
      <alignment horizontal="center"/>
    </xf>
    <xf numFmtId="168" fontId="6" fillId="0" borderId="18" xfId="1" applyNumberFormat="1" applyFont="1" applyBorder="1" applyAlignment="1">
      <alignment horizontal="center"/>
    </xf>
    <xf numFmtId="165" fontId="12" fillId="0" borderId="21" xfId="0" applyNumberFormat="1" applyFont="1" applyBorder="1" applyAlignment="1">
      <alignment horizontal="center"/>
    </xf>
    <xf numFmtId="165" fontId="12" fillId="0" borderId="22" xfId="0" applyNumberFormat="1" applyFont="1" applyBorder="1" applyAlignment="1">
      <alignment horizontal="center"/>
    </xf>
    <xf numFmtId="165" fontId="12" fillId="0" borderId="25" xfId="0" applyNumberFormat="1" applyFont="1" applyBorder="1" applyAlignment="1">
      <alignment horizontal="center"/>
    </xf>
    <xf numFmtId="165" fontId="12" fillId="0" borderId="54" xfId="0" applyNumberFormat="1" applyFon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18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5" fontId="0" fillId="0" borderId="36" xfId="0" applyNumberFormat="1" applyBorder="1" applyAlignment="1">
      <alignment horizontal="center"/>
    </xf>
    <xf numFmtId="0" fontId="0" fillId="0" borderId="46" xfId="0" applyBorder="1"/>
    <xf numFmtId="0" fontId="0" fillId="0" borderId="31" xfId="0" applyBorder="1"/>
    <xf numFmtId="165" fontId="0" fillId="0" borderId="37" xfId="0" applyNumberFormat="1" applyBorder="1" applyAlignment="1">
      <alignment horizontal="center"/>
    </xf>
    <xf numFmtId="166" fontId="5" fillId="0" borderId="36" xfId="1" applyNumberFormat="1" applyFont="1" applyBorder="1" applyAlignment="1">
      <alignment horizontal="center"/>
    </xf>
    <xf numFmtId="165" fontId="12" fillId="0" borderId="28" xfId="0" applyNumberFormat="1" applyFont="1" applyBorder="1" applyAlignment="1">
      <alignment horizontal="center"/>
    </xf>
    <xf numFmtId="165" fontId="12" fillId="0" borderId="29" xfId="0" applyNumberFormat="1" applyFont="1" applyBorder="1" applyAlignment="1">
      <alignment horizontal="center"/>
    </xf>
    <xf numFmtId="165" fontId="12" fillId="0" borderId="53" xfId="0" applyNumberFormat="1" applyFont="1" applyBorder="1" applyAlignment="1">
      <alignment horizontal="center"/>
    </xf>
    <xf numFmtId="165" fontId="12" fillId="0" borderId="65" xfId="0" applyNumberFormat="1" applyFont="1" applyBorder="1" applyAlignment="1">
      <alignment horizontal="center"/>
    </xf>
    <xf numFmtId="165" fontId="0" fillId="0" borderId="65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19" xfId="0" applyNumberFormat="1" applyBorder="1" applyAlignment="1">
      <alignment horizontal="center"/>
    </xf>
    <xf numFmtId="165" fontId="0" fillId="0" borderId="23" xfId="0" applyNumberFormat="1" applyBorder="1" applyAlignment="1">
      <alignment horizontal="center"/>
    </xf>
    <xf numFmtId="165" fontId="0" fillId="0" borderId="30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66" xfId="0" applyNumberFormat="1" applyBorder="1" applyAlignment="1">
      <alignment horizontal="center"/>
    </xf>
    <xf numFmtId="166" fontId="5" fillId="3" borderId="15" xfId="1" applyNumberFormat="1" applyFont="1" applyFill="1" applyBorder="1" applyAlignment="1">
      <alignment horizontal="center"/>
    </xf>
    <xf numFmtId="3" fontId="5" fillId="3" borderId="21" xfId="1" applyNumberFormat="1" applyFont="1" applyFill="1" applyBorder="1" applyAlignment="1">
      <alignment horizontal="center" vertical="center" wrapText="1"/>
    </xf>
    <xf numFmtId="169" fontId="5" fillId="3" borderId="25" xfId="2" applyNumberFormat="1" applyFont="1" applyFill="1" applyBorder="1" applyAlignment="1">
      <alignment horizontal="center" vertical="center" wrapText="1"/>
    </xf>
    <xf numFmtId="165" fontId="5" fillId="3" borderId="26" xfId="2" applyNumberFormat="1" applyFont="1" applyFill="1" applyBorder="1" applyAlignment="1">
      <alignment horizontal="center" vertical="center" wrapText="1"/>
    </xf>
    <xf numFmtId="165" fontId="5" fillId="3" borderId="22" xfId="2" applyNumberFormat="1" applyFont="1" applyFill="1" applyBorder="1" applyAlignment="1">
      <alignment horizontal="center" vertical="center" wrapText="1"/>
    </xf>
    <xf numFmtId="165" fontId="5" fillId="3" borderId="61" xfId="2" applyNumberFormat="1" applyFont="1" applyFill="1" applyBorder="1" applyAlignment="1">
      <alignment horizontal="center" vertical="center" wrapText="1"/>
    </xf>
    <xf numFmtId="165" fontId="5" fillId="3" borderId="15" xfId="3" applyNumberFormat="1" applyFont="1" applyFill="1" applyBorder="1" applyAlignment="1">
      <alignment horizontal="center" wrapText="1"/>
    </xf>
    <xf numFmtId="165" fontId="5" fillId="3" borderId="21" xfId="3" applyNumberFormat="1" applyFont="1" applyFill="1" applyBorder="1" applyAlignment="1">
      <alignment horizontal="center" wrapText="1"/>
    </xf>
    <xf numFmtId="165" fontId="5" fillId="3" borderId="22" xfId="3" applyNumberFormat="1" applyFont="1" applyFill="1" applyBorder="1" applyAlignment="1">
      <alignment horizontal="center" vertical="center" wrapText="1"/>
    </xf>
    <xf numFmtId="169" fontId="5" fillId="0" borderId="32" xfId="2" applyNumberFormat="1" applyFont="1" applyFill="1" applyBorder="1" applyAlignment="1">
      <alignment horizontal="center" vertical="center" wrapText="1"/>
    </xf>
    <xf numFmtId="165" fontId="5" fillId="0" borderId="36" xfId="3" applyNumberFormat="1" applyFont="1" applyFill="1" applyBorder="1" applyAlignment="1">
      <alignment horizontal="center" wrapText="1"/>
    </xf>
    <xf numFmtId="0" fontId="3" fillId="2" borderId="7" xfId="3" applyNumberFormat="1" applyFont="1" applyFill="1" applyBorder="1" applyAlignment="1">
      <alignment horizontal="center" vertical="center" wrapText="1"/>
    </xf>
    <xf numFmtId="165" fontId="5" fillId="0" borderId="61" xfId="3" applyNumberFormat="1" applyFont="1" applyFill="1" applyBorder="1" applyAlignment="1">
      <alignment horizontal="center" vertical="center" wrapText="1"/>
    </xf>
    <xf numFmtId="165" fontId="5" fillId="3" borderId="61" xfId="3" applyNumberFormat="1" applyFont="1" applyFill="1" applyBorder="1" applyAlignment="1">
      <alignment horizontal="center" vertical="center" wrapText="1"/>
    </xf>
    <xf numFmtId="165" fontId="5" fillId="0" borderId="0" xfId="3" applyNumberFormat="1" applyFont="1" applyFill="1" applyBorder="1" applyAlignment="1">
      <alignment horizontal="center" vertical="center" wrapText="1"/>
    </xf>
    <xf numFmtId="165" fontId="5" fillId="0" borderId="7" xfId="3" applyNumberFormat="1" applyFont="1" applyFill="1" applyBorder="1" applyAlignment="1">
      <alignment horizontal="center" vertical="center" wrapText="1"/>
    </xf>
    <xf numFmtId="167" fontId="5" fillId="3" borderId="25" xfId="2" applyNumberFormat="1" applyFont="1" applyFill="1" applyBorder="1" applyAlignment="1">
      <alignment horizontal="center" vertical="center" wrapText="1"/>
    </xf>
    <xf numFmtId="165" fontId="5" fillId="3" borderId="17" xfId="2" applyNumberFormat="1" applyFont="1" applyFill="1" applyBorder="1" applyAlignment="1">
      <alignment horizontal="center" vertical="center" wrapText="1"/>
    </xf>
    <xf numFmtId="165" fontId="5" fillId="3" borderId="18" xfId="2" applyNumberFormat="1" applyFont="1" applyFill="1" applyBorder="1" applyAlignment="1">
      <alignment horizontal="center" vertical="center" wrapText="1"/>
    </xf>
    <xf numFmtId="165" fontId="5" fillId="0" borderId="24" xfId="3" applyNumberFormat="1" applyFont="1" applyFill="1" applyBorder="1" applyAlignment="1">
      <alignment horizontal="center" wrapText="1"/>
    </xf>
    <xf numFmtId="165" fontId="5" fillId="0" borderId="54" xfId="3" applyNumberFormat="1" applyFont="1" applyFill="1" applyBorder="1" applyAlignment="1">
      <alignment horizontal="center" vertical="center" wrapText="1"/>
    </xf>
    <xf numFmtId="168" fontId="6" fillId="0" borderId="25" xfId="1" applyNumberFormat="1" applyFont="1" applyBorder="1" applyAlignment="1">
      <alignment horizontal="center"/>
    </xf>
    <xf numFmtId="165" fontId="0" fillId="0" borderId="67" xfId="0" applyNumberFormat="1" applyBorder="1" applyAlignment="1">
      <alignment horizontal="center"/>
    </xf>
    <xf numFmtId="165" fontId="13" fillId="0" borderId="21" xfId="0" applyNumberFormat="1" applyFont="1" applyBorder="1" applyAlignment="1">
      <alignment horizontal="center"/>
    </xf>
    <xf numFmtId="165" fontId="13" fillId="0" borderId="22" xfId="0" applyNumberFormat="1" applyFont="1" applyBorder="1" applyAlignment="1">
      <alignment horizontal="center"/>
    </xf>
    <xf numFmtId="165" fontId="13" fillId="0" borderId="25" xfId="0" applyNumberFormat="1" applyFont="1" applyBorder="1" applyAlignment="1">
      <alignment horizontal="center"/>
    </xf>
    <xf numFmtId="165" fontId="13" fillId="0" borderId="54" xfId="0" applyNumberFormat="1" applyFont="1" applyBorder="1" applyAlignment="1">
      <alignment horizontal="center"/>
    </xf>
    <xf numFmtId="165" fontId="13" fillId="0" borderId="28" xfId="0" applyNumberFormat="1" applyFont="1" applyBorder="1" applyAlignment="1">
      <alignment horizontal="center"/>
    </xf>
    <xf numFmtId="165" fontId="13" fillId="0" borderId="29" xfId="0" applyNumberFormat="1" applyFont="1" applyBorder="1" applyAlignment="1">
      <alignment horizontal="center"/>
    </xf>
    <xf numFmtId="165" fontId="13" fillId="0" borderId="53" xfId="0" applyNumberFormat="1" applyFont="1" applyBorder="1" applyAlignment="1">
      <alignment horizontal="center"/>
    </xf>
    <xf numFmtId="165" fontId="13" fillId="0" borderId="65" xfId="0" applyNumberFormat="1" applyFont="1" applyBorder="1" applyAlignment="1">
      <alignment horizontal="center"/>
    </xf>
    <xf numFmtId="4" fontId="5" fillId="3" borderId="23" xfId="1" applyNumberFormat="1" applyFont="1" applyFill="1" applyBorder="1" applyAlignment="1">
      <alignment horizontal="center" vertical="center" wrapText="1"/>
    </xf>
    <xf numFmtId="165" fontId="0" fillId="3" borderId="21" xfId="0" applyNumberFormat="1" applyFill="1" applyBorder="1" applyAlignment="1">
      <alignment horizontal="center"/>
    </xf>
    <xf numFmtId="165" fontId="0" fillId="3" borderId="22" xfId="0" applyNumberFormat="1" applyFill="1" applyBorder="1" applyAlignment="1">
      <alignment horizontal="center"/>
    </xf>
    <xf numFmtId="165" fontId="0" fillId="3" borderId="25" xfId="0" applyNumberFormat="1" applyFill="1" applyBorder="1" applyAlignment="1">
      <alignment horizontal="center"/>
    </xf>
    <xf numFmtId="165" fontId="0" fillId="3" borderId="54" xfId="0" applyNumberFormat="1" applyFill="1" applyBorder="1" applyAlignment="1">
      <alignment horizontal="center"/>
    </xf>
    <xf numFmtId="0" fontId="1" fillId="0" borderId="6" xfId="1" applyBorder="1"/>
    <xf numFmtId="0" fontId="3" fillId="2" borderId="2" xfId="1" applyFont="1" applyFill="1" applyBorder="1" applyAlignment="1">
      <alignment horizontal="center" vertical="center" wrapText="1"/>
    </xf>
    <xf numFmtId="165" fontId="0" fillId="3" borderId="52" xfId="0" applyNumberFormat="1" applyFill="1" applyBorder="1" applyAlignment="1">
      <alignment horizontal="center"/>
    </xf>
    <xf numFmtId="165" fontId="0" fillId="0" borderId="51" xfId="0" applyNumberFormat="1" applyBorder="1" applyAlignment="1">
      <alignment horizontal="center"/>
    </xf>
    <xf numFmtId="165" fontId="0" fillId="0" borderId="69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3" borderId="26" xfId="0" applyNumberFormat="1" applyFill="1" applyBorder="1" applyAlignment="1">
      <alignment horizontal="center"/>
    </xf>
    <xf numFmtId="165" fontId="0" fillId="3" borderId="23" xfId="0" applyNumberFormat="1" applyFill="1" applyBorder="1" applyAlignment="1">
      <alignment horizontal="center"/>
    </xf>
    <xf numFmtId="165" fontId="5" fillId="3" borderId="41" xfId="2" applyNumberFormat="1" applyFont="1" applyFill="1" applyBorder="1" applyAlignment="1">
      <alignment horizontal="center" vertical="center" wrapText="1"/>
    </xf>
    <xf numFmtId="165" fontId="5" fillId="3" borderId="44" xfId="2" applyNumberFormat="1" applyFont="1" applyFill="1" applyBorder="1" applyAlignment="1">
      <alignment horizontal="center" vertical="center" wrapText="1"/>
    </xf>
    <xf numFmtId="165" fontId="5" fillId="3" borderId="51" xfId="2" applyNumberFormat="1" applyFont="1" applyFill="1" applyBorder="1" applyAlignment="1">
      <alignment horizontal="center" vertical="center" wrapText="1"/>
    </xf>
    <xf numFmtId="165" fontId="5" fillId="3" borderId="42" xfId="2" applyNumberFormat="1" applyFont="1" applyFill="1" applyBorder="1" applyAlignment="1">
      <alignment horizontal="center" vertical="center" wrapText="1"/>
    </xf>
    <xf numFmtId="165" fontId="5" fillId="0" borderId="68" xfId="3" applyNumberFormat="1" applyFont="1" applyFill="1" applyBorder="1" applyAlignment="1">
      <alignment horizontal="center" wrapText="1"/>
    </xf>
    <xf numFmtId="165" fontId="5" fillId="0" borderId="70" xfId="3" applyNumberFormat="1" applyFont="1" applyBorder="1" applyAlignment="1">
      <alignment horizontal="center" vertical="center" wrapText="1"/>
    </xf>
    <xf numFmtId="165" fontId="5" fillId="0" borderId="49" xfId="3" applyNumberFormat="1" applyFont="1" applyBorder="1" applyAlignment="1">
      <alignment horizontal="center" vertical="center" wrapText="1"/>
    </xf>
    <xf numFmtId="165" fontId="5" fillId="0" borderId="22" xfId="1" applyNumberFormat="1" applyFont="1" applyBorder="1" applyAlignment="1">
      <alignment horizontal="center" vertical="center" wrapText="1"/>
    </xf>
    <xf numFmtId="165" fontId="5" fillId="0" borderId="21" xfId="1" applyNumberFormat="1" applyFont="1" applyBorder="1" applyAlignment="1">
      <alignment horizontal="center" vertical="center" wrapText="1"/>
    </xf>
    <xf numFmtId="165" fontId="5" fillId="0" borderId="43" xfId="1" applyNumberFormat="1" applyFont="1" applyBorder="1" applyAlignment="1">
      <alignment horizontal="center" vertical="center" wrapText="1"/>
    </xf>
    <xf numFmtId="165" fontId="5" fillId="0" borderId="47" xfId="1" applyNumberFormat="1" applyFont="1" applyBorder="1" applyAlignment="1">
      <alignment horizontal="center" vertical="center" wrapText="1"/>
    </xf>
    <xf numFmtId="165" fontId="5" fillId="0" borderId="25" xfId="1" applyNumberFormat="1" applyFont="1" applyBorder="1" applyAlignment="1">
      <alignment horizontal="center" vertical="center" wrapText="1"/>
    </xf>
    <xf numFmtId="165" fontId="5" fillId="0" borderId="27" xfId="1" applyNumberFormat="1" applyFont="1" applyBorder="1" applyAlignment="1">
      <alignment horizontal="center" vertical="center" wrapText="1"/>
    </xf>
    <xf numFmtId="165" fontId="5" fillId="3" borderId="41" xfId="1" applyNumberFormat="1" applyFont="1" applyFill="1" applyBorder="1" applyAlignment="1">
      <alignment horizontal="center" vertical="center" wrapText="1"/>
    </xf>
    <xf numFmtId="165" fontId="5" fillId="3" borderId="44" xfId="1" applyNumberFormat="1" applyFont="1" applyFill="1" applyBorder="1" applyAlignment="1">
      <alignment horizontal="center" vertical="center" wrapText="1"/>
    </xf>
    <xf numFmtId="165" fontId="5" fillId="3" borderId="42" xfId="1" applyNumberFormat="1" applyFont="1" applyFill="1" applyBorder="1" applyAlignment="1">
      <alignment horizontal="center" vertical="center" wrapText="1"/>
    </xf>
    <xf numFmtId="0" fontId="5" fillId="3" borderId="41" xfId="1" applyFont="1" applyFill="1" applyBorder="1" applyAlignment="1">
      <alignment horizontal="center" vertical="center"/>
    </xf>
    <xf numFmtId="0" fontId="5" fillId="3" borderId="44" xfId="1" applyFont="1" applyFill="1" applyBorder="1" applyAlignment="1">
      <alignment horizontal="center" vertical="center" wrapText="1"/>
    </xf>
    <xf numFmtId="168" fontId="5" fillId="0" borderId="42" xfId="1" applyNumberFormat="1" applyFont="1" applyBorder="1" applyAlignment="1">
      <alignment horizontal="center" vertical="center" wrapText="1"/>
    </xf>
    <xf numFmtId="165" fontId="0" fillId="3" borderId="20" xfId="0" applyNumberFormat="1" applyFill="1" applyBorder="1" applyAlignment="1">
      <alignment horizontal="center"/>
    </xf>
    <xf numFmtId="165" fontId="13" fillId="0" borderId="41" xfId="0" applyNumberFormat="1" applyFont="1" applyBorder="1" applyAlignment="1">
      <alignment horizontal="center"/>
    </xf>
    <xf numFmtId="165" fontId="13" fillId="0" borderId="44" xfId="0" applyNumberFormat="1" applyFont="1" applyBorder="1" applyAlignment="1">
      <alignment horizontal="center"/>
    </xf>
    <xf numFmtId="165" fontId="13" fillId="0" borderId="42" xfId="0" applyNumberFormat="1" applyFont="1" applyBorder="1" applyAlignment="1">
      <alignment horizontal="center"/>
    </xf>
    <xf numFmtId="165" fontId="13" fillId="3" borderId="21" xfId="0" applyNumberFormat="1" applyFont="1" applyFill="1" applyBorder="1" applyAlignment="1">
      <alignment horizontal="center"/>
    </xf>
    <xf numFmtId="165" fontId="13" fillId="3" borderId="22" xfId="0" applyNumberFormat="1" applyFont="1" applyFill="1" applyBorder="1" applyAlignment="1">
      <alignment horizontal="center"/>
    </xf>
    <xf numFmtId="165" fontId="13" fillId="3" borderId="25" xfId="0" applyNumberFormat="1" applyFont="1" applyFill="1" applyBorder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0" borderId="12" xfId="0" applyNumberFormat="1" applyFont="1" applyBorder="1" applyAlignment="1">
      <alignment horizontal="center"/>
    </xf>
    <xf numFmtId="0" fontId="3" fillId="2" borderId="71" xfId="1" applyFont="1" applyFill="1" applyBorder="1" applyAlignment="1">
      <alignment horizontal="center" vertical="center" wrapText="1"/>
    </xf>
    <xf numFmtId="165" fontId="0" fillId="0" borderId="35" xfId="0" applyNumberFormat="1" applyBorder="1" applyAlignment="1">
      <alignment horizontal="center"/>
    </xf>
    <xf numFmtId="0" fontId="0" fillId="0" borderId="42" xfId="0" applyBorder="1"/>
    <xf numFmtId="0" fontId="2" fillId="0" borderId="0" xfId="0" applyFont="1"/>
    <xf numFmtId="165" fontId="10" fillId="3" borderId="14" xfId="3" applyNumberFormat="1" applyFont="1" applyFill="1" applyBorder="1" applyAlignment="1">
      <alignment horizontal="center" wrapText="1"/>
    </xf>
    <xf numFmtId="165" fontId="10" fillId="3" borderId="15" xfId="3" applyNumberFormat="1" applyFont="1" applyFill="1" applyBorder="1" applyAlignment="1">
      <alignment horizontal="center" wrapText="1"/>
    </xf>
    <xf numFmtId="165" fontId="11" fillId="0" borderId="50" xfId="1" applyNumberFormat="1" applyFont="1" applyBorder="1" applyAlignment="1">
      <alignment horizontal="center" vertical="center" wrapText="1"/>
    </xf>
    <xf numFmtId="165" fontId="10" fillId="0" borderId="15" xfId="3" applyNumberFormat="1" applyFont="1" applyFill="1" applyBorder="1" applyAlignment="1">
      <alignment horizontal="center" wrapText="1"/>
    </xf>
    <xf numFmtId="3" fontId="0" fillId="0" borderId="0" xfId="0" applyNumberFormat="1"/>
    <xf numFmtId="3" fontId="0" fillId="0" borderId="22" xfId="0" applyNumberFormat="1" applyBorder="1" applyAlignment="1">
      <alignment horizontal="center"/>
    </xf>
    <xf numFmtId="171" fontId="0" fillId="0" borderId="22" xfId="0" applyNumberFormat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2" xfId="0" applyBorder="1" applyAlignment="1">
      <alignment horizontal="center"/>
    </xf>
    <xf numFmtId="172" fontId="0" fillId="0" borderId="25" xfId="0" applyNumberFormat="1" applyBorder="1" applyAlignment="1">
      <alignment horizontal="center"/>
    </xf>
    <xf numFmtId="171" fontId="0" fillId="0" borderId="47" xfId="0" applyNumberFormat="1" applyBorder="1" applyAlignment="1">
      <alignment horizontal="center"/>
    </xf>
    <xf numFmtId="172" fontId="0" fillId="0" borderId="27" xfId="0" applyNumberFormat="1" applyBorder="1" applyAlignment="1">
      <alignment horizontal="center"/>
    </xf>
    <xf numFmtId="0" fontId="0" fillId="0" borderId="63" xfId="0" applyBorder="1" applyAlignment="1">
      <alignment horizontal="center"/>
    </xf>
    <xf numFmtId="3" fontId="0" fillId="0" borderId="17" xfId="0" applyNumberFormat="1" applyBorder="1" applyAlignment="1">
      <alignment horizontal="center"/>
    </xf>
    <xf numFmtId="3" fontId="0" fillId="0" borderId="26" xfId="0" applyNumberFormat="1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53" xfId="0" applyBorder="1" applyAlignment="1">
      <alignment horizontal="center"/>
    </xf>
    <xf numFmtId="3" fontId="0" fillId="0" borderId="41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43" xfId="0" applyNumberFormat="1" applyBorder="1" applyAlignment="1">
      <alignment horizontal="center"/>
    </xf>
    <xf numFmtId="171" fontId="0" fillId="0" borderId="44" xfId="0" applyNumberFormat="1" applyBorder="1" applyAlignment="1">
      <alignment horizontal="center"/>
    </xf>
    <xf numFmtId="3" fontId="10" fillId="3" borderId="24" xfId="1" applyNumberFormat="1" applyFont="1" applyFill="1" applyBorder="1" applyAlignment="1">
      <alignment horizontal="center" vertical="center" wrapText="1"/>
    </xf>
    <xf numFmtId="3" fontId="10" fillId="3" borderId="25" xfId="1" applyNumberFormat="1" applyFont="1" applyFill="1" applyBorder="1" applyAlignment="1">
      <alignment horizontal="center" vertical="center" wrapText="1"/>
    </xf>
    <xf numFmtId="165" fontId="12" fillId="3" borderId="54" xfId="0" applyNumberFormat="1" applyFont="1" applyFill="1" applyBorder="1" applyAlignment="1">
      <alignment horizontal="center"/>
    </xf>
    <xf numFmtId="172" fontId="0" fillId="0" borderId="0" xfId="0" applyNumberFormat="1"/>
    <xf numFmtId="0" fontId="0" fillId="0" borderId="3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0" xfId="0" applyBorder="1" applyAlignment="1">
      <alignment horizontal="center" vertical="center"/>
    </xf>
    <xf numFmtId="171" fontId="0" fillId="0" borderId="25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165" fontId="14" fillId="0" borderId="0" xfId="0" applyNumberFormat="1" applyFont="1" applyAlignment="1">
      <alignment horizontal="right"/>
    </xf>
    <xf numFmtId="0" fontId="15" fillId="0" borderId="0" xfId="0" applyFont="1"/>
    <xf numFmtId="0" fontId="15" fillId="0" borderId="0" xfId="0" applyFont="1" applyAlignment="1">
      <alignment wrapText="1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165" fontId="14" fillId="0" borderId="0" xfId="0" applyNumberFormat="1" applyFont="1" applyAlignment="1">
      <alignment horizontal="right" wrapText="1"/>
    </xf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165" fontId="15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center"/>
    </xf>
    <xf numFmtId="165" fontId="14" fillId="0" borderId="0" xfId="0" applyNumberFormat="1" applyFont="1" applyAlignment="1">
      <alignment horizontal="center"/>
    </xf>
    <xf numFmtId="3" fontId="15" fillId="0" borderId="0" xfId="0" applyNumberFormat="1" applyFont="1" applyAlignment="1">
      <alignment horizontal="center"/>
    </xf>
    <xf numFmtId="165" fontId="14" fillId="0" borderId="42" xfId="0" applyNumberFormat="1" applyFont="1" applyBorder="1" applyAlignment="1">
      <alignment horizontal="center" wrapText="1"/>
    </xf>
    <xf numFmtId="165" fontId="14" fillId="0" borderId="25" xfId="0" applyNumberFormat="1" applyFont="1" applyBorder="1" applyAlignment="1">
      <alignment horizontal="center" wrapText="1"/>
    </xf>
    <xf numFmtId="165" fontId="14" fillId="0" borderId="25" xfId="0" applyNumberFormat="1" applyFont="1" applyBorder="1" applyAlignment="1">
      <alignment horizontal="center"/>
    </xf>
    <xf numFmtId="165" fontId="14" fillId="0" borderId="27" xfId="0" applyNumberFormat="1" applyFont="1" applyBorder="1" applyAlignment="1">
      <alignment horizontal="center"/>
    </xf>
    <xf numFmtId="165" fontId="14" fillId="0" borderId="12" xfId="0" applyNumberFormat="1" applyFont="1" applyBorder="1" applyAlignment="1">
      <alignment horizontal="center" wrapText="1"/>
    </xf>
    <xf numFmtId="0" fontId="14" fillId="0" borderId="13" xfId="0" applyFont="1" applyBorder="1" applyAlignment="1">
      <alignment horizontal="center" wrapText="1"/>
    </xf>
    <xf numFmtId="3" fontId="14" fillId="0" borderId="63" xfId="0" applyNumberFormat="1" applyFont="1" applyBorder="1" applyAlignment="1">
      <alignment horizontal="center" wrapText="1"/>
    </xf>
    <xf numFmtId="3" fontId="14" fillId="0" borderId="26" xfId="0" applyNumberFormat="1" applyFont="1" applyBorder="1" applyAlignment="1">
      <alignment horizontal="center" wrapText="1"/>
    </xf>
    <xf numFmtId="3" fontId="14" fillId="0" borderId="26" xfId="0" applyNumberFormat="1" applyFont="1" applyBorder="1" applyAlignment="1">
      <alignment horizontal="center"/>
    </xf>
    <xf numFmtId="3" fontId="14" fillId="0" borderId="72" xfId="0" applyNumberFormat="1" applyFont="1" applyBorder="1" applyAlignment="1">
      <alignment horizontal="center"/>
    </xf>
    <xf numFmtId="0" fontId="14" fillId="0" borderId="8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0" borderId="38" xfId="0" applyFont="1" applyBorder="1" applyAlignment="1">
      <alignment horizontal="center" wrapText="1"/>
    </xf>
    <xf numFmtId="0" fontId="14" fillId="0" borderId="38" xfId="0" applyFont="1" applyBorder="1" applyAlignment="1">
      <alignment horizontal="center"/>
    </xf>
    <xf numFmtId="0" fontId="14" fillId="0" borderId="73" xfId="0" applyFont="1" applyBorder="1" applyAlignment="1">
      <alignment horizontal="center"/>
    </xf>
    <xf numFmtId="165" fontId="14" fillId="0" borderId="16" xfId="0" applyNumberFormat="1" applyFont="1" applyBorder="1" applyAlignment="1">
      <alignment horizontal="center" wrapText="1"/>
    </xf>
    <xf numFmtId="3" fontId="14" fillId="0" borderId="17" xfId="0" applyNumberFormat="1" applyFont="1" applyBorder="1" applyAlignment="1">
      <alignment horizontal="center" wrapText="1"/>
    </xf>
    <xf numFmtId="0" fontId="14" fillId="0" borderId="14" xfId="0" applyFont="1" applyBorder="1" applyAlignment="1">
      <alignment horizontal="center" wrapText="1"/>
    </xf>
    <xf numFmtId="165" fontId="15" fillId="0" borderId="25" xfId="0" applyNumberFormat="1" applyFont="1" applyBorder="1" applyAlignment="1">
      <alignment horizontal="center" wrapText="1"/>
    </xf>
    <xf numFmtId="165" fontId="15" fillId="0" borderId="25" xfId="0" applyNumberFormat="1" applyFont="1" applyBorder="1" applyAlignment="1">
      <alignment horizontal="center"/>
    </xf>
    <xf numFmtId="165" fontId="15" fillId="0" borderId="27" xfId="0" applyNumberFormat="1" applyFont="1" applyBorder="1" applyAlignment="1">
      <alignment horizontal="center"/>
    </xf>
    <xf numFmtId="3" fontId="15" fillId="0" borderId="26" xfId="0" applyNumberFormat="1" applyFont="1" applyBorder="1" applyAlignment="1">
      <alignment horizontal="center" wrapText="1"/>
    </xf>
    <xf numFmtId="3" fontId="15" fillId="0" borderId="26" xfId="0" applyNumberFormat="1" applyFont="1" applyBorder="1" applyAlignment="1">
      <alignment horizontal="center"/>
    </xf>
    <xf numFmtId="3" fontId="15" fillId="0" borderId="72" xfId="0" applyNumberFormat="1" applyFont="1" applyBorder="1" applyAlignment="1">
      <alignment horizontal="center"/>
    </xf>
    <xf numFmtId="0" fontId="15" fillId="0" borderId="38" xfId="0" applyFont="1" applyBorder="1" applyAlignment="1">
      <alignment horizontal="center" wrapText="1"/>
    </xf>
    <xf numFmtId="0" fontId="15" fillId="0" borderId="38" xfId="0" applyFont="1" applyBorder="1" applyAlignment="1">
      <alignment horizontal="center"/>
    </xf>
    <xf numFmtId="0" fontId="18" fillId="0" borderId="38" xfId="0" applyFont="1" applyBorder="1" applyAlignment="1">
      <alignment horizontal="center"/>
    </xf>
    <xf numFmtId="0" fontId="18" fillId="0" borderId="73" xfId="0" applyFont="1" applyBorder="1" applyAlignment="1">
      <alignment horizontal="center"/>
    </xf>
    <xf numFmtId="0" fontId="15" fillId="0" borderId="14" xfId="0" applyFont="1" applyBorder="1" applyAlignment="1">
      <alignment horizontal="center" wrapText="1"/>
    </xf>
    <xf numFmtId="3" fontId="15" fillId="0" borderId="17" xfId="0" applyNumberFormat="1" applyFont="1" applyBorder="1" applyAlignment="1">
      <alignment horizontal="center" wrapText="1"/>
    </xf>
    <xf numFmtId="165" fontId="15" fillId="0" borderId="16" xfId="0" applyNumberFormat="1" applyFont="1" applyBorder="1" applyAlignment="1">
      <alignment horizontal="center" wrapText="1"/>
    </xf>
    <xf numFmtId="0" fontId="15" fillId="0" borderId="2" xfId="0" applyFont="1" applyBorder="1" applyAlignment="1">
      <alignment horizontal="left" wrapText="1"/>
    </xf>
    <xf numFmtId="0" fontId="15" fillId="0" borderId="4" xfId="0" applyFont="1" applyBorder="1" applyAlignment="1">
      <alignment horizontal="center" wrapText="1"/>
    </xf>
    <xf numFmtId="165" fontId="15" fillId="0" borderId="3" xfId="0" applyNumberFormat="1" applyFont="1" applyBorder="1" applyAlignment="1">
      <alignment horizontal="right" wrapText="1"/>
    </xf>
    <xf numFmtId="0" fontId="15" fillId="0" borderId="8" xfId="0" applyFont="1" applyBorder="1" applyAlignment="1">
      <alignment horizontal="center" wrapText="1"/>
    </xf>
    <xf numFmtId="0" fontId="15" fillId="0" borderId="13" xfId="0" applyFont="1" applyBorder="1" applyAlignment="1">
      <alignment horizontal="center" wrapText="1"/>
    </xf>
    <xf numFmtId="165" fontId="15" fillId="0" borderId="12" xfId="0" applyNumberFormat="1" applyFont="1" applyBorder="1" applyAlignment="1">
      <alignment horizontal="center" wrapText="1"/>
    </xf>
    <xf numFmtId="172" fontId="14" fillId="0" borderId="0" xfId="0" applyNumberFormat="1" applyFont="1" applyAlignment="1">
      <alignment horizontal="center"/>
    </xf>
    <xf numFmtId="0" fontId="0" fillId="4" borderId="0" xfId="0" applyFill="1"/>
    <xf numFmtId="0" fontId="0" fillId="0" borderId="24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172" fontId="0" fillId="0" borderId="42" xfId="0" applyNumberFormat="1" applyBorder="1" applyAlignment="1">
      <alignment horizontal="center"/>
    </xf>
    <xf numFmtId="0" fontId="0" fillId="0" borderId="0" xfId="0" applyAlignment="1">
      <alignment horizontal="center"/>
    </xf>
    <xf numFmtId="173" fontId="0" fillId="0" borderId="0" xfId="0" applyNumberFormat="1"/>
    <xf numFmtId="173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172" fontId="0" fillId="0" borderId="0" xfId="0" applyNumberFormat="1" applyAlignment="1">
      <alignment horizontal="center"/>
    </xf>
    <xf numFmtId="0" fontId="0" fillId="0" borderId="19" xfId="0" applyBorder="1" applyAlignment="1">
      <alignment horizontal="center"/>
    </xf>
    <xf numFmtId="0" fontId="0" fillId="0" borderId="23" xfId="0" applyBorder="1" applyAlignment="1">
      <alignment horizontal="center"/>
    </xf>
    <xf numFmtId="3" fontId="0" fillId="0" borderId="28" xfId="0" applyNumberFormat="1" applyBorder="1" applyAlignment="1">
      <alignment horizontal="center"/>
    </xf>
    <xf numFmtId="3" fontId="0" fillId="0" borderId="29" xfId="0" applyNumberFormat="1" applyBorder="1" applyAlignment="1">
      <alignment horizontal="center"/>
    </xf>
    <xf numFmtId="171" fontId="0" fillId="0" borderId="53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12" xfId="0" applyBorder="1"/>
    <xf numFmtId="0" fontId="0" fillId="0" borderId="11" xfId="0" applyBorder="1"/>
    <xf numFmtId="171" fontId="0" fillId="0" borderId="12" xfId="0" applyNumberFormat="1" applyBorder="1"/>
    <xf numFmtId="3" fontId="0" fillId="0" borderId="12" xfId="0" applyNumberFormat="1" applyBorder="1" applyAlignment="1">
      <alignment horizontal="center"/>
    </xf>
    <xf numFmtId="0" fontId="0" fillId="0" borderId="13" xfId="0" applyBorder="1"/>
    <xf numFmtId="0" fontId="0" fillId="0" borderId="37" xfId="0" applyBorder="1" applyAlignment="1">
      <alignment horizontal="center"/>
    </xf>
    <xf numFmtId="0" fontId="0" fillId="0" borderId="70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2" xfId="0" applyBorder="1" applyAlignment="1">
      <alignment horizontal="center"/>
    </xf>
    <xf numFmtId="5" fontId="0" fillId="0" borderId="22" xfId="0" applyNumberFormat="1" applyBorder="1" applyAlignment="1">
      <alignment horizontal="center"/>
    </xf>
    <xf numFmtId="5" fontId="12" fillId="0" borderId="22" xfId="0" applyNumberFormat="1" applyFont="1" applyBorder="1" applyAlignment="1">
      <alignment horizontal="center"/>
    </xf>
    <xf numFmtId="5" fontId="0" fillId="0" borderId="18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5" fontId="0" fillId="0" borderId="29" xfId="0" applyNumberFormat="1" applyBorder="1" applyAlignment="1">
      <alignment horizontal="center"/>
    </xf>
    <xf numFmtId="171" fontId="2" fillId="0" borderId="9" xfId="0" applyNumberFormat="1" applyFont="1" applyBorder="1" applyAlignment="1">
      <alignment horizontal="center"/>
    </xf>
    <xf numFmtId="3" fontId="0" fillId="0" borderId="75" xfId="0" applyNumberFormat="1" applyBorder="1" applyAlignment="1">
      <alignment horizontal="center"/>
    </xf>
    <xf numFmtId="0" fontId="0" fillId="0" borderId="57" xfId="0" applyBorder="1" applyAlignment="1">
      <alignment horizontal="center" vertical="center"/>
    </xf>
    <xf numFmtId="0" fontId="0" fillId="0" borderId="35" xfId="0" applyBorder="1" applyAlignment="1">
      <alignment horizontal="center"/>
    </xf>
    <xf numFmtId="5" fontId="0" fillId="0" borderId="17" xfId="0" applyNumberFormat="1" applyBorder="1" applyAlignment="1">
      <alignment horizontal="center"/>
    </xf>
    <xf numFmtId="5" fontId="0" fillId="0" borderId="26" xfId="0" applyNumberFormat="1" applyBorder="1" applyAlignment="1">
      <alignment horizontal="center"/>
    </xf>
    <xf numFmtId="5" fontId="12" fillId="0" borderId="26" xfId="0" applyNumberFormat="1" applyFont="1" applyBorder="1" applyAlignment="1">
      <alignment horizontal="center"/>
    </xf>
    <xf numFmtId="5" fontId="0" fillId="0" borderId="74" xfId="0" applyNumberFormat="1" applyBorder="1" applyAlignment="1">
      <alignment horizontal="center"/>
    </xf>
    <xf numFmtId="3" fontId="0" fillId="0" borderId="42" xfId="0" applyNumberFormat="1" applyBorder="1" applyAlignment="1">
      <alignment horizontal="center"/>
    </xf>
    <xf numFmtId="3" fontId="0" fillId="0" borderId="25" xfId="0" applyNumberFormat="1" applyBorder="1" applyAlignment="1">
      <alignment horizontal="center"/>
    </xf>
    <xf numFmtId="3" fontId="0" fillId="0" borderId="53" xfId="0" applyNumberFormat="1" applyBorder="1" applyAlignment="1">
      <alignment horizontal="center"/>
    </xf>
    <xf numFmtId="3" fontId="0" fillId="0" borderId="48" xfId="0" applyNumberFormat="1" applyBorder="1" applyAlignment="1">
      <alignment horizontal="center"/>
    </xf>
    <xf numFmtId="3" fontId="0" fillId="0" borderId="32" xfId="0" applyNumberFormat="1" applyBorder="1" applyAlignment="1">
      <alignment horizontal="center"/>
    </xf>
    <xf numFmtId="171" fontId="0" fillId="0" borderId="19" xfId="0" applyNumberFormat="1" applyBorder="1" applyAlignment="1">
      <alignment horizontal="center"/>
    </xf>
    <xf numFmtId="171" fontId="0" fillId="0" borderId="23" xfId="0" applyNumberFormat="1" applyBorder="1" applyAlignment="1">
      <alignment horizontal="center"/>
    </xf>
    <xf numFmtId="171" fontId="12" fillId="0" borderId="23" xfId="0" applyNumberFormat="1" applyFont="1" applyBorder="1" applyAlignment="1">
      <alignment horizontal="center"/>
    </xf>
    <xf numFmtId="171" fontId="0" fillId="0" borderId="30" xfId="0" applyNumberFormat="1" applyBorder="1" applyAlignment="1">
      <alignment horizontal="center"/>
    </xf>
    <xf numFmtId="3" fontId="0" fillId="0" borderId="44" xfId="0" applyNumberFormat="1" applyBorder="1" applyAlignment="1">
      <alignment horizontal="center"/>
    </xf>
    <xf numFmtId="171" fontId="0" fillId="0" borderId="42" xfId="0" applyNumberFormat="1" applyBorder="1" applyAlignment="1">
      <alignment horizontal="center"/>
    </xf>
    <xf numFmtId="5" fontId="0" fillId="0" borderId="0" xfId="0" applyNumberFormat="1"/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0" borderId="22" xfId="0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4" borderId="43" xfId="0" applyFill="1" applyBorder="1" applyAlignment="1">
      <alignment horizontal="center"/>
    </xf>
    <xf numFmtId="0" fontId="0" fillId="0" borderId="47" xfId="0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0" borderId="18" xfId="0" applyBorder="1" applyAlignment="1">
      <alignment horizontal="center"/>
    </xf>
    <xf numFmtId="3" fontId="0" fillId="0" borderId="16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3" fontId="0" fillId="0" borderId="19" xfId="0" applyNumberFormat="1" applyBorder="1" applyAlignment="1">
      <alignment horizontal="center"/>
    </xf>
    <xf numFmtId="3" fontId="0" fillId="0" borderId="2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2" fontId="0" fillId="0" borderId="43" xfId="0" applyNumberFormat="1" applyBorder="1" applyAlignment="1">
      <alignment horizontal="center"/>
    </xf>
    <xf numFmtId="165" fontId="0" fillId="0" borderId="47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65" fontId="0" fillId="0" borderId="72" xfId="0" applyNumberFormat="1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3" fontId="0" fillId="0" borderId="25" xfId="0" applyNumberFormat="1" applyBorder="1" applyAlignment="1">
      <alignment horizontal="center"/>
    </xf>
    <xf numFmtId="173" fontId="0" fillId="0" borderId="27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6" xfId="0" applyBorder="1" applyAlignment="1">
      <alignment horizontal="center"/>
    </xf>
    <xf numFmtId="172" fontId="0" fillId="0" borderId="20" xfId="0" applyNumberFormat="1" applyBorder="1" applyAlignment="1">
      <alignment horizontal="center"/>
    </xf>
    <xf numFmtId="172" fontId="0" fillId="0" borderId="21" xfId="0" applyNumberFormat="1" applyBorder="1" applyAlignment="1">
      <alignment horizontal="center"/>
    </xf>
    <xf numFmtId="172" fontId="0" fillId="0" borderId="43" xfId="0" applyNumberFormat="1" applyBorder="1" applyAlignment="1">
      <alignment horizontal="center"/>
    </xf>
    <xf numFmtId="174" fontId="0" fillId="0" borderId="25" xfId="0" applyNumberFormat="1" applyBorder="1" applyAlignment="1">
      <alignment horizontal="center"/>
    </xf>
    <xf numFmtId="174" fontId="0" fillId="0" borderId="27" xfId="0" applyNumberFormat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5" fontId="13" fillId="0" borderId="0" xfId="0" applyNumberFormat="1" applyFont="1" applyAlignment="1">
      <alignment horizontal="center"/>
    </xf>
    <xf numFmtId="171" fontId="13" fillId="0" borderId="0" xfId="0" applyNumberFormat="1" applyFont="1" applyAlignment="1">
      <alignment horizontal="center"/>
    </xf>
    <xf numFmtId="171" fontId="19" fillId="0" borderId="0" xfId="0" applyNumberFormat="1" applyFont="1" applyAlignment="1">
      <alignment horizontal="center"/>
    </xf>
    <xf numFmtId="171" fontId="13" fillId="0" borderId="0" xfId="0" applyNumberFormat="1" applyFont="1"/>
    <xf numFmtId="0" fontId="0" fillId="0" borderId="17" xfId="0" applyBorder="1" applyAlignment="1">
      <alignment horizontal="center"/>
    </xf>
    <xf numFmtId="0" fontId="0" fillId="0" borderId="72" xfId="0" applyBorder="1" applyAlignment="1">
      <alignment horizontal="center"/>
    </xf>
    <xf numFmtId="3" fontId="0" fillId="0" borderId="20" xfId="0" applyNumberFormat="1" applyBorder="1" applyAlignment="1">
      <alignment horizontal="center"/>
    </xf>
    <xf numFmtId="0" fontId="0" fillId="0" borderId="40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0" fillId="0" borderId="24" xfId="0" applyNumberFormat="1" applyBorder="1" applyAlignment="1">
      <alignment horizontal="center"/>
    </xf>
    <xf numFmtId="3" fontId="0" fillId="0" borderId="76" xfId="0" applyNumberFormat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73" xfId="0" applyBorder="1" applyAlignment="1">
      <alignment horizontal="center"/>
    </xf>
    <xf numFmtId="170" fontId="0" fillId="0" borderId="50" xfId="0" applyNumberFormat="1" applyBorder="1" applyAlignment="1">
      <alignment horizontal="center"/>
    </xf>
    <xf numFmtId="170" fontId="0" fillId="0" borderId="38" xfId="0" applyNumberFormat="1" applyBorder="1" applyAlignment="1">
      <alignment horizontal="center"/>
    </xf>
    <xf numFmtId="170" fontId="0" fillId="0" borderId="73" xfId="0" applyNumberFormat="1" applyBorder="1" applyAlignment="1">
      <alignment horizontal="center"/>
    </xf>
    <xf numFmtId="0" fontId="0" fillId="0" borderId="66" xfId="0" applyBorder="1" applyAlignment="1">
      <alignment horizontal="center"/>
    </xf>
    <xf numFmtId="3" fontId="0" fillId="0" borderId="40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2" fontId="0" fillId="0" borderId="15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2" fontId="0" fillId="0" borderId="76" xfId="0" applyNumberFormat="1" applyBorder="1" applyAlignment="1">
      <alignment horizontal="center"/>
    </xf>
    <xf numFmtId="174" fontId="0" fillId="0" borderId="42" xfId="0" applyNumberFormat="1" applyBorder="1" applyAlignment="1">
      <alignment horizontal="center"/>
    </xf>
    <xf numFmtId="171" fontId="2" fillId="0" borderId="6" xfId="0" applyNumberFormat="1" applyFont="1" applyBorder="1" applyAlignment="1">
      <alignment horizontal="center"/>
    </xf>
    <xf numFmtId="171" fontId="2" fillId="0" borderId="12" xfId="0" applyNumberFormat="1" applyFont="1" applyBorder="1" applyAlignment="1">
      <alignment horizontal="center"/>
    </xf>
    <xf numFmtId="175" fontId="0" fillId="0" borderId="0" xfId="0" applyNumberFormat="1" applyAlignment="1">
      <alignment horizontal="center"/>
    </xf>
    <xf numFmtId="11" fontId="13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7" fontId="13" fillId="0" borderId="0" xfId="0" applyNumberFormat="1" applyFont="1" applyAlignment="1">
      <alignment horizontal="center"/>
    </xf>
    <xf numFmtId="4" fontId="19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left"/>
    </xf>
    <xf numFmtId="171" fontId="15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44" fontId="0" fillId="3" borderId="0" xfId="3" applyFont="1" applyFill="1"/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2" xfId="1" applyBorder="1" applyAlignment="1">
      <alignment horizontal="center"/>
    </xf>
    <xf numFmtId="0" fontId="1" fillId="0" borderId="4" xfId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4" xfId="0" applyBorder="1" applyAlignment="1">
      <alignment horizontal="center"/>
    </xf>
    <xf numFmtId="0" fontId="1" fillId="0" borderId="3" xfId="1" applyBorder="1" applyAlignment="1">
      <alignment horizont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164" fontId="2" fillId="0" borderId="6" xfId="2" applyNumberFormat="1" applyFont="1" applyBorder="1" applyAlignment="1">
      <alignment horizontal="center" vertical="center"/>
    </xf>
    <xf numFmtId="164" fontId="2" fillId="0" borderId="7" xfId="2" applyNumberFormat="1" applyFont="1" applyBorder="1" applyAlignment="1">
      <alignment horizontal="center" vertical="center"/>
    </xf>
    <xf numFmtId="164" fontId="2" fillId="0" borderId="5" xfId="2" applyNumberFormat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top" wrapText="1"/>
    </xf>
    <xf numFmtId="0" fontId="16" fillId="0" borderId="65" xfId="0" applyFont="1" applyBorder="1" applyAlignment="1">
      <alignment horizontal="center" vertical="top" wrapText="1"/>
    </xf>
    <xf numFmtId="0" fontId="16" fillId="0" borderId="74" xfId="0" applyFont="1" applyBorder="1" applyAlignment="1">
      <alignment horizontal="center" vertical="top" wrapText="1"/>
    </xf>
    <xf numFmtId="0" fontId="16" fillId="0" borderId="19" xfId="0" applyFont="1" applyBorder="1" applyAlignment="1">
      <alignment horizontal="center" vertical="top" wrapText="1"/>
    </xf>
    <xf numFmtId="0" fontId="16" fillId="0" borderId="61" xfId="0" applyFont="1" applyBorder="1" applyAlignment="1">
      <alignment horizontal="center" vertical="top" wrapText="1"/>
    </xf>
    <xf numFmtId="0" fontId="16" fillId="0" borderId="17" xfId="0" applyFont="1" applyBorder="1" applyAlignment="1">
      <alignment horizontal="center" vertical="top" wrapText="1"/>
    </xf>
    <xf numFmtId="0" fontId="17" fillId="0" borderId="30" xfId="0" applyFont="1" applyBorder="1" applyAlignment="1">
      <alignment horizontal="center" vertical="top" wrapText="1"/>
    </xf>
    <xf numFmtId="0" fontId="17" fillId="0" borderId="65" xfId="0" applyFont="1" applyBorder="1" applyAlignment="1">
      <alignment horizontal="center" vertical="top" wrapText="1"/>
    </xf>
    <xf numFmtId="0" fontId="17" fillId="0" borderId="74" xfId="0" applyFont="1" applyBorder="1" applyAlignment="1">
      <alignment horizontal="center" vertical="top" wrapText="1"/>
    </xf>
    <xf numFmtId="0" fontId="17" fillId="0" borderId="35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7" fillId="0" borderId="75" xfId="0" applyFont="1" applyBorder="1" applyAlignment="1">
      <alignment horizontal="center" vertical="top" wrapText="1"/>
    </xf>
  </cellXfs>
  <cellStyles count="5">
    <cellStyle name="Comma 28 5" xfId="2" xr:uid="{704144D8-6409-4B5C-B8B6-283C8CB654C4}"/>
    <cellStyle name="Currency 27 5" xfId="3" xr:uid="{0FA6F759-29FE-4987-90A4-629A86101471}"/>
    <cellStyle name="Normal" xfId="0" builtinId="0"/>
    <cellStyle name="Normal 33 6" xfId="1" xr:uid="{E5C352E8-C6F7-4C26-A268-E27162380766}"/>
    <cellStyle name="Percent 2" xfId="4" xr:uid="{4D490AB0-77BF-4C11-8463-D141799587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9.xml"/><Relationship Id="rId21" Type="http://schemas.openxmlformats.org/officeDocument/2006/relationships/externalLink" Target="externalLinks/externalLink4.xml"/><Relationship Id="rId34" Type="http://schemas.openxmlformats.org/officeDocument/2006/relationships/externalLink" Target="externalLinks/externalLink17.xml"/><Relationship Id="rId42" Type="http://schemas.openxmlformats.org/officeDocument/2006/relationships/externalLink" Target="externalLinks/externalLink25.xml"/><Relationship Id="rId47" Type="http://schemas.openxmlformats.org/officeDocument/2006/relationships/externalLink" Target="externalLinks/externalLink30.xml"/><Relationship Id="rId50" Type="http://schemas.openxmlformats.org/officeDocument/2006/relationships/externalLink" Target="externalLinks/externalLink33.xml"/><Relationship Id="rId55" Type="http://schemas.openxmlformats.org/officeDocument/2006/relationships/externalLink" Target="externalLinks/externalLink38.xml"/><Relationship Id="rId63" Type="http://schemas.openxmlformats.org/officeDocument/2006/relationships/externalLink" Target="externalLinks/externalLink46.xml"/><Relationship Id="rId68" Type="http://schemas.openxmlformats.org/officeDocument/2006/relationships/externalLink" Target="externalLinks/externalLink51.xml"/><Relationship Id="rId76" Type="http://schemas.openxmlformats.org/officeDocument/2006/relationships/externalLink" Target="externalLinks/externalLink59.xml"/><Relationship Id="rId84" Type="http://schemas.openxmlformats.org/officeDocument/2006/relationships/externalLink" Target="externalLinks/externalLink67.xml"/><Relationship Id="rId89" Type="http://schemas.openxmlformats.org/officeDocument/2006/relationships/externalLink" Target="externalLinks/externalLink72.xml"/><Relationship Id="rId9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54.xml"/><Relationship Id="rId9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2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23.xml"/><Relationship Id="rId45" Type="http://schemas.openxmlformats.org/officeDocument/2006/relationships/externalLink" Target="externalLinks/externalLink28.xml"/><Relationship Id="rId53" Type="http://schemas.openxmlformats.org/officeDocument/2006/relationships/externalLink" Target="externalLinks/externalLink36.xml"/><Relationship Id="rId58" Type="http://schemas.openxmlformats.org/officeDocument/2006/relationships/externalLink" Target="externalLinks/externalLink41.xml"/><Relationship Id="rId66" Type="http://schemas.openxmlformats.org/officeDocument/2006/relationships/externalLink" Target="externalLinks/externalLink49.xml"/><Relationship Id="rId74" Type="http://schemas.openxmlformats.org/officeDocument/2006/relationships/externalLink" Target="externalLinks/externalLink57.xml"/><Relationship Id="rId79" Type="http://schemas.openxmlformats.org/officeDocument/2006/relationships/externalLink" Target="externalLinks/externalLink62.xml"/><Relationship Id="rId87" Type="http://schemas.openxmlformats.org/officeDocument/2006/relationships/externalLink" Target="externalLinks/externalLink70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44.xml"/><Relationship Id="rId82" Type="http://schemas.openxmlformats.org/officeDocument/2006/relationships/externalLink" Target="externalLinks/externalLink65.xml"/><Relationship Id="rId90" Type="http://schemas.openxmlformats.org/officeDocument/2006/relationships/externalLink" Target="externalLinks/externalLink73.xml"/><Relationship Id="rId95" Type="http://schemas.openxmlformats.org/officeDocument/2006/relationships/customXml" Target="../customXml/item1.xml"/><Relationship Id="rId19" Type="http://schemas.openxmlformats.org/officeDocument/2006/relationships/externalLink" Target="externalLinks/externalLink2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externalLink" Target="externalLinks/externalLink18.xml"/><Relationship Id="rId43" Type="http://schemas.openxmlformats.org/officeDocument/2006/relationships/externalLink" Target="externalLinks/externalLink26.xml"/><Relationship Id="rId48" Type="http://schemas.openxmlformats.org/officeDocument/2006/relationships/externalLink" Target="externalLinks/externalLink31.xml"/><Relationship Id="rId56" Type="http://schemas.openxmlformats.org/officeDocument/2006/relationships/externalLink" Target="externalLinks/externalLink39.xml"/><Relationship Id="rId64" Type="http://schemas.openxmlformats.org/officeDocument/2006/relationships/externalLink" Target="externalLinks/externalLink47.xml"/><Relationship Id="rId69" Type="http://schemas.openxmlformats.org/officeDocument/2006/relationships/externalLink" Target="externalLinks/externalLink52.xml"/><Relationship Id="rId77" Type="http://schemas.openxmlformats.org/officeDocument/2006/relationships/externalLink" Target="externalLinks/externalLink60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4.xml"/><Relationship Id="rId72" Type="http://schemas.openxmlformats.org/officeDocument/2006/relationships/externalLink" Target="externalLinks/externalLink55.xml"/><Relationship Id="rId80" Type="http://schemas.openxmlformats.org/officeDocument/2006/relationships/externalLink" Target="externalLinks/externalLink63.xml"/><Relationship Id="rId85" Type="http://schemas.openxmlformats.org/officeDocument/2006/relationships/externalLink" Target="externalLinks/externalLink68.xml"/><Relationship Id="rId9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21.xml"/><Relationship Id="rId46" Type="http://schemas.openxmlformats.org/officeDocument/2006/relationships/externalLink" Target="externalLinks/externalLink29.xml"/><Relationship Id="rId59" Type="http://schemas.openxmlformats.org/officeDocument/2006/relationships/externalLink" Target="externalLinks/externalLink42.xml"/><Relationship Id="rId67" Type="http://schemas.openxmlformats.org/officeDocument/2006/relationships/externalLink" Target="externalLinks/externalLink50.xml"/><Relationship Id="rId20" Type="http://schemas.openxmlformats.org/officeDocument/2006/relationships/externalLink" Target="externalLinks/externalLink3.xml"/><Relationship Id="rId41" Type="http://schemas.openxmlformats.org/officeDocument/2006/relationships/externalLink" Target="externalLinks/externalLink24.xml"/><Relationship Id="rId54" Type="http://schemas.openxmlformats.org/officeDocument/2006/relationships/externalLink" Target="externalLinks/externalLink37.xml"/><Relationship Id="rId62" Type="http://schemas.openxmlformats.org/officeDocument/2006/relationships/externalLink" Target="externalLinks/externalLink45.xml"/><Relationship Id="rId70" Type="http://schemas.openxmlformats.org/officeDocument/2006/relationships/externalLink" Target="externalLinks/externalLink53.xml"/><Relationship Id="rId75" Type="http://schemas.openxmlformats.org/officeDocument/2006/relationships/externalLink" Target="externalLinks/externalLink58.xml"/><Relationship Id="rId83" Type="http://schemas.openxmlformats.org/officeDocument/2006/relationships/externalLink" Target="externalLinks/externalLink66.xml"/><Relationship Id="rId88" Type="http://schemas.openxmlformats.org/officeDocument/2006/relationships/externalLink" Target="externalLinks/externalLink71.xml"/><Relationship Id="rId91" Type="http://schemas.openxmlformats.org/officeDocument/2006/relationships/theme" Target="theme/theme1.xml"/><Relationship Id="rId9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19.xml"/><Relationship Id="rId49" Type="http://schemas.openxmlformats.org/officeDocument/2006/relationships/externalLink" Target="externalLinks/externalLink32.xml"/><Relationship Id="rId57" Type="http://schemas.openxmlformats.org/officeDocument/2006/relationships/externalLink" Target="externalLinks/externalLink40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4.xml"/><Relationship Id="rId44" Type="http://schemas.openxmlformats.org/officeDocument/2006/relationships/externalLink" Target="externalLinks/externalLink27.xml"/><Relationship Id="rId52" Type="http://schemas.openxmlformats.org/officeDocument/2006/relationships/externalLink" Target="externalLinks/externalLink35.xml"/><Relationship Id="rId60" Type="http://schemas.openxmlformats.org/officeDocument/2006/relationships/externalLink" Target="externalLinks/externalLink43.xml"/><Relationship Id="rId65" Type="http://schemas.openxmlformats.org/officeDocument/2006/relationships/externalLink" Target="externalLinks/externalLink48.xml"/><Relationship Id="rId73" Type="http://schemas.openxmlformats.org/officeDocument/2006/relationships/externalLink" Target="externalLinks/externalLink56.xml"/><Relationship Id="rId78" Type="http://schemas.openxmlformats.org/officeDocument/2006/relationships/externalLink" Target="externalLinks/externalLink61.xml"/><Relationship Id="rId81" Type="http://schemas.openxmlformats.org/officeDocument/2006/relationships/externalLink" Target="externalLinks/externalLink64.xml"/><Relationship Id="rId86" Type="http://schemas.openxmlformats.org/officeDocument/2006/relationships/externalLink" Target="externalLinks/externalLink69.xml"/><Relationship Id="rId9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9" Type="http://schemas.openxmlformats.org/officeDocument/2006/relationships/externalLink" Target="externalLinks/externalLink2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bs\960027\AUDIT\AUDIT_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Documents%20and%20Settings\3848\My%20Documents\Learning\PsychProcess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U\PerfSolutions\Carbone\Johnson%20&amp;%20Wales\JW%20Inn\Solar%20PV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BAU\PerfSolutions\Carbone\Johnson%20&amp;%20Wales\JW%20Inn\Solar%20PV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windows\TEMP\jc_calcsB.xlt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8439\Tech\Calcs\Master%20ECM%20(Rev0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18439\Tech\Calcs\Master%20ECM%20(Rev0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BAU\Sales\SALESREP\Drummond\State%20of%20RI\1%20-%20Project%20Development%20(DEA)\Calcs\Calculations\Powers%20DEA%20Calcs%2012.13.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jci\Lackawanna\HS&amp;MS\HS_MS_Calcs_Rev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jci\Foxwoods\Global%20PSA\MPOW%20Setback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Projects\ANY\K2\22693\Tech\Calcs\High%20School\ECM%20Master%20HS%20-%20Rev%209%20ver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jci\Foxwoods\Global%20PSA\MPOW\AHU-4%20VFD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jci\FIMS\Calculation%20Library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windows\TEMP\Jc_calcs%20410A.xlt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M%2012%20Fina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2502\Local%20Settings\Temp\Temporary%20Directory%201%20for%20St.%20Luke's%20(Rev-14).zip\St.%20Luke's%20Cornwall\(Rev-17)%20Ellis_Hospital_Lighting_Analysi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ugload%20Controls%20-%20Sample%20Calculation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Energy%20Engineering\Franklin%20County%20Tech%20School\FCTS%20Final%20Savings%20Calculations%20Rev%204-13-08%20with%20DFW%20Fixe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Energy%20Engineering\Franklin%20County%20Tech%20School\FCTS%20Final%20Savings%20Calculations%20Rev%204-13-08%20with%20DFW%20Fixe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Documents%20and%20Settings\chauhany\Local%20Settings\Temporary%20Internet%20Files\OLK107\Repair%20Condensate%20Leaks%20(2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jects\CIL\27880\Tech\Calcs\Durable%20Calcs%20rev4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BAU\Sales\SALESREP\Drummond\State%20of%20RI\1%20-%20Project%20Development%20(DEA)\Calcs\Calculations\Powers%20DEA%20Calcs%2010.07.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Startup" Target="953024/CONTRO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jci\NBGH\Calculations\NBGH\NBGH%20Calculations%20Rev9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10003\Proposal\Technical\Calcs\VF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Projects\ANY\K2\22693\Tech\Calcs\Barton%20Intermediate\ECM%20Master%20-QUFSD%20BIS%20Rev%202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Projects\ANY\K2\22693\Tech\Calcs\Bus%20Garage\ECM%20Master%20-%20Rev%209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3710\Desktop\Magna%2016205\Tech\Lighting\ECM-%20Metal%20Halide%20to%20Flourecent%20w%20sensors%20rev%20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Projects\ANY\K2\22693\Tech\Calcs\Elementary%20School\Elementary%20School%20ECM%20Calcs%20-%20Rev7%20w%20comments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ILES\JOBS95\950081\DTAILLTG\SMS\ECM-1B\SMSCOST3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ghting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jects\ANY\K2\23077\Reports\1140%20-%20Bassett%20Healthcare%20-%20Main%20Campus\Report\Bassett%20Calcs%20%20-%20Rev3%20GH%20Comment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divdata\jci\Foxwoods\Global%20PSA\MPOW\AHU-4%20VFD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Warren%20Prison\Bay%20State%20Gravity%20Film%20HX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Documents%20and%20Settings\ctrentc\My%20Documents\Buffalo%20Schools\Buffalo%20Pool%20Cover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Projects\ANY\K2\22693\Tech\Calcs\High%20School\ECM%20Master%20HS%20-%20Rev%209%20ver7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BS\DFAS\CALCULATIONS\plugload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jci\Lackawanna\HS&amp;MS\HS_MS_Calcs_Rev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microsoft.com/office/2006/relationships/xlExternalLinkPath/xlStartup" Target="960014/VSDCALC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2502\Local%20Settings\Temporary%20Internet%20Files\OLK131\West%20Point%20Lighting%20-%20Rev(0)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2502\Local%20Settings\Temporary%20Internet%20Files\OLK131\West%20Point%20Lighting%20-%20Rev(0)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2502\Local%20Settings\Temporary%20Internet%20Files\Content.Outlook\LWRSNSCV\SVP%20Yr7\NEC\NEC%20v5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2502\Local%20Settings\Temporary%20Internet%20Files\Content.Outlook\LWRSNSCV\Technical\Mtr-Eff%20part%20load%20data%20by%20h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Startup" Target="960027/PROPOSAL/LANSING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Startup" Target="960008/AUDIT/ESTIMATE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rmawes\data\Jobs\2003\320133%20-%20NORFOLK%20WALPOLE%20CORRECTIONAL%20COMPLEX\0%20-%20Proposal\Financial\CostCenter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PC109\PROJECTS\LAKEMILL\PROPOSAL\HS\CALC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C109\PROJECTS\LANHOSP\LANHOSP.XLW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C109\PROJECTS\LAKEMILL\ES\LIGHTING.XLW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C109\PROJECTS\EDGEHOSP\EDGEHOSP.XLW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C109\PROJECTS\LINDBERG\LINDBERG.XLW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420028%20-%20Cumberland%20County%20Schools\0%20-%20Proposal\Technical\Calcs\71%20st%20HS\Costsave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Moore\Local%20Settings\Temporary%20Internet%20Files\OLK12\Fixture%20Count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JMoore\Local%20Settings\Temporary%20Internet%20Files\OLK12\Fixture%20Coun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Documents%20and%20Settings\stewartt\Desktop\LANSING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ILES\JOBS95\950081\DTAILLTG\SHS\OPTION1\SHSCOST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Tim\Desktop\TMC%20Transfer%20Info%20%231\Citi%20Group\Court%20Square\EUP%20-%20Citi%20Corp%20-%20One%20Court%20Sq%20(2.1)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jci\Lackawanna\Mckinley\Mckinley_Calcs_Rev5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ric\d\Strategic\Energy%20Services\Jobs\Jobs%202000\Blue%20Hill%20Cogeneration\GeneratorCost$Diesel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jects\ANY\K2\20418\Tech\Calcs\Municipal%20Building\Municipal%20Building%20-%20ECM%20-%20Rev%208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.\Proj\Projects\ANY\K3\24941\data\Other\Utility%20Bills\ECM%20Master%20-%20Rev%2010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divdata\Documents%20and%20Settings\chauser\My%20Documents\Springfield\Beal%20and%20other%20Templates\Beal\Beal%20ECMs%20(Rev1)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kleinha\Local%20Settings\Temporary%20Internet%20Files\Content.Outlook\MA1YZEPU\Franklin%20County%20Technical%20School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kleinha\Local%20Settings\Temporary%20Internet%20Files\Content.Outlook\MA1YZEPU\Franklin%20County%20Technical%20School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rmafra\data\Jobs\1999\990152\Binghamton_GMF\Calcs\Bing_Calc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livier\jobs\My%20Documents\sweetheart\My%20Documents\complete%20compressor%20analysis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U\PerfSolutions\Jobs\0067%20City%20of%20Springfield\1%20-%20Project%20Development%20(DEA)\Technical\SBT%20EEs\8-10-06%20Block%202%20DEA%20Report\Brunton\Brunton%20DEA%20FINALCalcs%208-1-06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BAU\PerfSolutions\Jobs\0067%20City%20of%20Springfield\1%20-%20Project%20Development%20(DEA)\Technical\SBT%20EEs\8-10-06%20Block%202%20DEA%20Report\Brunton\Brunton%20DEA%20FINALCalcs%208-1-06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haconsulting.sharepoint.com/sites/x67523-SyracuseDESNYSERDA/Shared%20Documents/General/06_Project_Data/Calcs/App%20A%20Load%20Profiles%20Rev2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haconsulting.sharepoint.com/sites/x67523-SyracuseDESNYSERDA/Shared%20Documents/General/06_Project_Data/Design_Data/Load%20Profile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-llp.com\Proj\Documents%20and%20Settings\3079\Desktop\CHA\Projects\Active\16206%20-%20Rockefeller\Tech\Reports\1221\Appendices\1221%20Stack%20Report%206-0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stewartt\Desktop\LANS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lementary School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erties"/>
      <sheetName val="Mixing"/>
      <sheetName val="Heat Rec'ry"/>
      <sheetName val="Htg Coil"/>
      <sheetName val="Clg-Coil"/>
      <sheetName val="Clg Coil-B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Energy Model"/>
      <sheetName val="Solar Resource &amp; System Load"/>
      <sheetName val="Tables"/>
      <sheetName val="Cost Analysis"/>
      <sheetName val="Cost Range"/>
      <sheetName val="Currency"/>
      <sheetName val="GHG Analysis"/>
      <sheetName val="Financial Summary"/>
      <sheetName val="Sensitivity"/>
      <sheetName val="Sheet1"/>
      <sheetName val="Sheet2"/>
      <sheetName val="Sheet3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Energy Model"/>
      <sheetName val="Solar Resource &amp; System Load"/>
      <sheetName val="Tables"/>
      <sheetName val="Cost Analysis"/>
      <sheetName val="Cost Range"/>
      <sheetName val="Currency"/>
      <sheetName val="GHG Analysis"/>
      <sheetName val="Financial Summary"/>
      <sheetName val="Sensitivity"/>
      <sheetName val="Sheet1"/>
      <sheetName val="Sheet2"/>
      <sheetName val="Sheet3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C_CALC.XLS"/>
      <sheetName val="MACRO_PC.XLM"/>
      <sheetName val="tower"/>
      <sheetName val="CHW Pump"/>
      <sheetName val="410"/>
      <sheetName val="HT PUMP"/>
      <sheetName val="VFD on Cond. pmp"/>
      <sheetName val="roof"/>
      <sheetName val="Sheet1"/>
      <sheetName val="WINDOWS"/>
      <sheetName val="U_VALUE.X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Global Assumptions"/>
      <sheetName val="Block Load Heating &amp; Cooling"/>
      <sheetName val="Walls, Doors &amp; Windows"/>
      <sheetName val="HVAC"/>
      <sheetName val="Heating &amp; Cooling Load Total"/>
      <sheetName val="Reconcile Thermal"/>
      <sheetName val="1-Lighting Summary"/>
      <sheetName val="1a-Lighting"/>
      <sheetName val="1b-Sensors"/>
      <sheetName val="2-Boiler Replacement "/>
      <sheetName val="EMS Over-Heating"/>
      <sheetName val="EMS Night Setback and shutdown"/>
      <sheetName val="Hot Water Reset"/>
      <sheetName val="HW Reset"/>
      <sheetName val="Replace Doors or Door Seals"/>
      <sheetName val="Windows"/>
      <sheetName val="3a-Absorber versus Centrifugal"/>
      <sheetName val="Absorber versus TecoChill"/>
      <sheetName val="3a-Existing Absorber Info"/>
      <sheetName val="3a-Centrifugal Performance Data"/>
      <sheetName val="4a-Night Setback"/>
      <sheetName val="4c-DCV"/>
      <sheetName val="4b - Night Shutdown"/>
      <sheetName val="4c-Demand Control Vent"/>
      <sheetName val="5-DHW"/>
      <sheetName val="6-Window AC"/>
      <sheetName val="Roof Replacement"/>
      <sheetName val="Pipe Insulation"/>
      <sheetName val="8-AHU recommissioning"/>
      <sheetName val="9a-HW Pump VFD "/>
      <sheetName val="9b-CHW Pump VFD"/>
      <sheetName val="9c-Fan VFD "/>
      <sheetName val="17-Pool Heater"/>
      <sheetName val="17a-Pool Cover"/>
      <sheetName val="19-Cogen"/>
      <sheetName val="20a-Cooling Tower Water Savings"/>
      <sheetName val="Bin Weather_Annual"/>
      <sheetName val="Current Schedule"/>
      <sheetName val="Misc.Design Data"/>
      <sheetName val="Kitchen Hood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/>
      <sheetData sheetId="22" refreshError="1"/>
      <sheetData sheetId="23"/>
      <sheetData sheetId="24"/>
      <sheetData sheetId="25" refreshError="1"/>
      <sheetData sheetId="26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Global Assumptions"/>
      <sheetName val="Block Load Heating &amp; Cooling"/>
      <sheetName val="Walls, Doors &amp; Windows"/>
      <sheetName val="HVAC"/>
      <sheetName val="Heating &amp; Cooling Load Total"/>
      <sheetName val="Reconcile Thermal"/>
      <sheetName val="1-Lighting Summary"/>
      <sheetName val="1a-Lighting"/>
      <sheetName val="1b-Sensors"/>
      <sheetName val="2-Boiler Replacement "/>
      <sheetName val="EMS Over-Heating"/>
      <sheetName val="EMS Night Setback and shutdown"/>
      <sheetName val="Hot Water Reset"/>
      <sheetName val="HW Reset"/>
      <sheetName val="Replace Doors or Door Seals"/>
      <sheetName val="Windows"/>
      <sheetName val="3a-Absorber versus Centrifugal"/>
      <sheetName val="Absorber versus TecoChill"/>
      <sheetName val="3a-Existing Absorber Info"/>
      <sheetName val="3a-Centrifugal Performance Data"/>
      <sheetName val="4a-Night Setback"/>
      <sheetName val="4c-DCV"/>
      <sheetName val="4b - Night Shutdown"/>
      <sheetName val="4c-Demand Control Vent"/>
      <sheetName val="5-DHW"/>
      <sheetName val="6-Window AC"/>
      <sheetName val="Roof Replacement"/>
      <sheetName val="Pipe Insulation"/>
      <sheetName val="8-AHU recommissioning"/>
      <sheetName val="9a-HW Pump VFD "/>
      <sheetName val="9b-CHW Pump VFD"/>
      <sheetName val="9c-Fan VFD "/>
      <sheetName val="17-Pool Heater"/>
      <sheetName val="17a-Pool Cover"/>
      <sheetName val="19-Cogen"/>
      <sheetName val="20a-Cooling Tower Water Savings"/>
      <sheetName val="Bin Weather_Annual"/>
      <sheetName val="Current Schedule"/>
      <sheetName val="Misc.Design Data"/>
      <sheetName val="Kitchen Hood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/>
      <sheetData sheetId="22" refreshError="1"/>
      <sheetData sheetId="23"/>
      <sheetData sheetId="24"/>
      <sheetData sheetId="25" refreshError="1"/>
      <sheetData sheetId="26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Summary"/>
      <sheetName val="Billing"/>
      <sheetName val="Utility Rates"/>
      <sheetName val="Light Retrofits"/>
      <sheetName val="Light Occ Control"/>
      <sheetName val="Emerg Lights"/>
      <sheetName val="Perim Daylighting"/>
      <sheetName val="Light Interaction"/>
      <sheetName val="Light Datalogger"/>
      <sheetName val="Light Ops Savings"/>
      <sheetName val="Envelope Leakage"/>
      <sheetName val="Replace Main Chillers"/>
      <sheetName val="Chill Ops Costs FY05"/>
      <sheetName val="Chill Ops Costs FY04"/>
      <sheetName val="Chill Ops Costs FY03"/>
      <sheetName val="Chill Tear Down"/>
      <sheetName val="IT Chiller"/>
      <sheetName val="IT Chill Ops Costs FY05"/>
      <sheetName val="IT Chill Ops Costs FY04"/>
      <sheetName val="IT Chill Ops Costs 2003"/>
      <sheetName val="New Boilers"/>
      <sheetName val="Old Boiler Standby Loss"/>
      <sheetName val="New Boiler Standby Loss"/>
      <sheetName val="Boiler Ops Costs FY05"/>
      <sheetName val="Boiler Ops Costs FY04"/>
      <sheetName val="Boiler Ops Costs FY03"/>
      <sheetName val="VFD List"/>
      <sheetName val="AHU-2N VFD"/>
      <sheetName val="AHU-3N VFD"/>
      <sheetName val="AHU-4N VFD"/>
      <sheetName val="AHU-B1 VFD"/>
      <sheetName val="CHW Pump VFD "/>
      <sheetName val="HW Pump VFD (P-9&amp;10)"/>
      <sheetName val="HW Pump VFD (P-11-14)"/>
      <sheetName val="DCV  Cafeteria"/>
      <sheetName val="Product to be installed"/>
      <sheetName val="stats"/>
      <sheetName val="Toilet and Urinal Use"/>
      <sheetName val="Faucet Use"/>
      <sheetName val="Shower Use"/>
      <sheetName val="Water Related Energy Savings"/>
      <sheetName val="Summary Page"/>
      <sheetName val="Computers"/>
      <sheetName val="Vending Miser"/>
      <sheetName val="Fluke HW Pumps"/>
      <sheetName val="Fluke CHW Pumps"/>
      <sheetName val="Fluke AHUs"/>
      <sheetName val="Fluke Lighting"/>
      <sheetName val="AHU Schedules"/>
      <sheetName val="Weather_Annual"/>
      <sheetName val="Wkdy Sched AHU-2N"/>
      <sheetName val="Sat Sched AHU-2N"/>
      <sheetName val="Sun Sched AHU-2N"/>
      <sheetName val="Wkdy Sched AHU-3N"/>
      <sheetName val="Sat Sched AHU-3N"/>
      <sheetName val="Sun Sched AHU-3N"/>
      <sheetName val="Wkdy Sched AHU-4N"/>
      <sheetName val="Sat Sched AHU-4N"/>
      <sheetName val="Sun Sched AHU-4N"/>
      <sheetName val="Wkdy Sched AHU-B1"/>
      <sheetName val="Sat Sched AHU-B1"/>
      <sheetName val="Sun Sched AHU-B1"/>
      <sheetName val="Wkdy Sched Chillers"/>
      <sheetName val="Sat Sched Chillers"/>
      <sheetName val="Sun Sched Chill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S-MS Summary"/>
      <sheetName val="New Gym Setback"/>
      <sheetName val="Orig. Gym Setback"/>
      <sheetName val="Cafeteria Setback"/>
      <sheetName val="Auditorium Setback"/>
      <sheetName val="Natatorium Setback"/>
      <sheetName val="Lockers Setback"/>
      <sheetName val="Acad Cool Setback"/>
      <sheetName val="Guidance Setback"/>
      <sheetName val="Admin,Teacher,Kitch Setback"/>
      <sheetName val="Acad Non-Cool Setback"/>
      <sheetName val="New HW Boilers"/>
      <sheetName val="HW Reset"/>
      <sheetName val="New RTU's"/>
      <sheetName val="Auditorium Unit"/>
      <sheetName val="High Eff. Motors"/>
      <sheetName val="Infiltration CFM"/>
      <sheetName val="Shut Down HW Pump"/>
      <sheetName val="Vending Miser"/>
      <sheetName val="New Gym U-Value"/>
      <sheetName val="Orig. Gym U-Value"/>
      <sheetName val="Cafe. U-Value"/>
      <sheetName val="Aud. U-Value"/>
      <sheetName val="Natat. U-Value"/>
      <sheetName val="Locker U-Value"/>
      <sheetName val="Acad. Cool U-Value"/>
      <sheetName val="Guidance U-Value"/>
      <sheetName val="Admin,Teacher,Kitch U-Value"/>
      <sheetName val="Non-Cool Acad U-Value"/>
      <sheetName val="Air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_PC.XLM"/>
      <sheetName val="JC_CALC.XLS"/>
      <sheetName val="U_VALUE.X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M Summary"/>
      <sheetName val="Summary"/>
      <sheetName val="Block Load Heating &amp; Cooling"/>
      <sheetName val="U values"/>
      <sheetName val="Wall Const"/>
      <sheetName val="Roof Const"/>
      <sheetName val="Walls, Doors &amp; Windows"/>
      <sheetName val="HVAC"/>
      <sheetName val="Lighting"/>
      <sheetName val="Reconcile Thermal"/>
      <sheetName val="Use This Est Sheet for Cost Est"/>
      <sheetName val="HS ECM 1 Install Ice Harvesters"/>
      <sheetName val="HS ECM 1 Cost Est"/>
      <sheetName val="HS ECM 2 Boiler Rpl with HW Res"/>
      <sheetName val="HS ECM 3 Wall Insulation"/>
      <sheetName val="HS ECM 3 Cost Est"/>
      <sheetName val="HS ECM 4 Door Seals"/>
      <sheetName val="HS ECM 4 Cost Est"/>
      <sheetName val="HS ECM 5 Windows"/>
      <sheetName val="HS ECM 5 Cost Est"/>
      <sheetName val="HS ECM 6 Pipe Insulation"/>
      <sheetName val="HS ECM 6 Cost Est"/>
      <sheetName val="HS ECM 7 VFD"/>
      <sheetName val="HS ECM 7 Cost Est"/>
      <sheetName val="ECM8 AHU Leak"/>
      <sheetName val="ECM 8 Cost Est"/>
      <sheetName val="ECO-M9a DCV Auditorium"/>
      <sheetName val="ECM 9a Cost Est"/>
      <sheetName val="ECO-M9b DCV Blue Gym"/>
      <sheetName val="ECM 9b Cost Est "/>
      <sheetName val="ECO-M9c DCV Wood Gym"/>
      <sheetName val="ECM 9c Cost Est"/>
      <sheetName val="ECM9d DCV Unit Vent CRooms "/>
      <sheetName val="ECM 9d Cost Est "/>
      <sheetName val="ECM 12 UV OS"/>
      <sheetName val="ECM 12 Cost Est"/>
      <sheetName val="UV Schedule"/>
      <sheetName val="Cost_Table"/>
      <sheetName val="Revisions"/>
      <sheetName val="ECO-E6 Daylighting"/>
      <sheetName val="UV Heating and cooling"/>
      <sheetName val="E6 Lighting Bin Data"/>
      <sheetName val="ECO-M3 Door Seals"/>
      <sheetName val="ECO-M2 HW Reset "/>
      <sheetName val="Bin Weather_Annu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HU-1"/>
      <sheetName val="AHU-4"/>
      <sheetName val="Load Chart"/>
      <sheetName val="Sheet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##CONTROLS###"/>
      <sheetName val="Setback AHU"/>
      <sheetName val="Setback Heat Pump"/>
      <sheetName val="Air-Side Economizer"/>
      <sheetName val="HW Reset"/>
      <sheetName val="Opt Start-Stop"/>
      <sheetName val="CO2 Vent Control"/>
      <sheetName val="Exh Fan Control"/>
      <sheetName val="Shut Down Pump"/>
      <sheetName val="Radiator Valves"/>
      <sheetName val="INCOMM Inputs"/>
      <sheetName val="INNCOM Summary"/>
      <sheetName val="INNCOM BASE"/>
      <sheetName val="INNCOM Retro"/>
      <sheetName val="U-Value"/>
      <sheetName val="###LIGHTING###"/>
      <sheetName val="Lighting Retrofit"/>
      <sheetName val="Light Look-Up"/>
      <sheetName val="Light Interaction"/>
      <sheetName val="Light Maintenance"/>
      <sheetName val="Lighting Time Clock"/>
      <sheetName val="Purchase Street Lights"/>
      <sheetName val="Occ Sensor1"/>
      <sheetName val="Occ Sensor2"/>
      <sheetName val="Occ Sensor3"/>
      <sheetName val="###VAV-VFD-MOTORS###"/>
      <sheetName val="AHU VFD"/>
      <sheetName val="Pump VFD"/>
      <sheetName val="VAV Conversion"/>
      <sheetName val="High Eff. Motors"/>
      <sheetName val="###BOILERS###"/>
      <sheetName val="Boilers&amp;Burners"/>
      <sheetName val="Boiler Staging"/>
      <sheetName val="Stack Economizers"/>
      <sheetName val="Boiler Comb Fan VFD"/>
      <sheetName val="###STEAM&amp;HW###"/>
      <sheetName val="Pipe Insulation1"/>
      <sheetName val="Pipe Insulation2"/>
      <sheetName val="Steam Traps1"/>
      <sheetName val="Steam Traps2"/>
      <sheetName val="Valve Leak"/>
      <sheetName val="###CHILLERS###"/>
      <sheetName val="Chiller Plant"/>
      <sheetName val="###ENVELOPE###"/>
      <sheetName val="Envelope Leakage"/>
      <sheetName val="Open Windows"/>
      <sheetName val="Window CFM"/>
      <sheetName val="Open Doors"/>
      <sheetName val="###DHW###"/>
      <sheetName val="DHW Fuel Conv"/>
      <sheetName val="DHW Pump Sched"/>
      <sheetName val="###PLUG LOADS###"/>
      <sheetName val="Vending Miser"/>
      <sheetName val="Monitor Miser"/>
      <sheetName val="###GENERATION###"/>
      <sheetName val="Microturbine"/>
      <sheetName val="Photovoltaic"/>
      <sheetName val="Fuel Cell"/>
      <sheetName val="Steam Turbine"/>
      <sheetName val="###H2O###"/>
      <sheetName val="Water Treatment Boilers"/>
      <sheetName val="Water Treatment Towers"/>
      <sheetName val="Toilets and Urinals"/>
      <sheetName val="Sewer Abatement"/>
      <sheetName val="###MISC###"/>
      <sheetName val="Transformers"/>
      <sheetName val="Replace RTU or AHU"/>
      <sheetName val="Ceiling Fan"/>
      <sheetName val=" Pool Cover"/>
      <sheetName val="Heat Pipes"/>
      <sheetName val="Dish Booster Heater"/>
      <sheetName val="Heat Recovery"/>
      <sheetName val="HR Info"/>
      <sheetName val="HR Air Data"/>
      <sheetName val="Cost per OA CFM"/>
      <sheetName val="High Eff Filters"/>
      <sheetName val="Clean Coils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C_CALC.XLS"/>
      <sheetName val="MACRO_PC.XLM"/>
      <sheetName val="tower"/>
      <sheetName val="CHW Pump"/>
      <sheetName val="410"/>
      <sheetName val="HT PUMP"/>
      <sheetName val="VFD on Cond. pmp"/>
      <sheetName val="roof"/>
      <sheetName val="WINDOWS"/>
      <sheetName val="U_VALUE.X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M 12"/>
      <sheetName val="Insulate Pipes"/>
      <sheetName val="Utility Summary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isting "/>
      <sheetName val="ECM-1 "/>
      <sheetName val="ECM-2"/>
      <sheetName val="ECM-2 A"/>
      <sheetName val="Summary "/>
      <sheetName val="NYSERDA"/>
      <sheetName val="CostTable"/>
      <sheetName val="Room Ty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levision Controls"/>
      <sheetName val="Vending Audit"/>
      <sheetName val="Vending Calculations.XLS"/>
      <sheetName val="Office Saving Calculation.XLS"/>
      <sheetName val="Printer Saving Calculation.XLS"/>
      <sheetName val="Assumption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End Use Analysis"/>
      <sheetName val="Block Load Heating &amp; Cooling"/>
      <sheetName val="Global Assumptions"/>
      <sheetName val="Lighting All Options"/>
      <sheetName val="RLRB Option"/>
      <sheetName val="New Fixture"/>
      <sheetName val="RT5 New Fixture "/>
      <sheetName val="RTU Replacement #2"/>
      <sheetName val="Heat Wheel"/>
      <sheetName val="H&amp;V Recommissioning # 3"/>
      <sheetName val="Boiler Replacement  # 4"/>
      <sheetName val="EMS Savings # 5"/>
      <sheetName val="HW Pump VFD # 6"/>
      <sheetName val="Reheat Conversion # 7"/>
      <sheetName val="DHW System Improvements # 8"/>
      <sheetName val="Network Controller # 9"/>
      <sheetName val="Building Envelope # 10"/>
      <sheetName val="Solar DHW # 11"/>
      <sheetName val="Vending Machines # 12"/>
      <sheetName val="Cooltrol Savings # 13"/>
      <sheetName val="Water Conservation # 14"/>
      <sheetName val="Solar Parking Lot Lighting # 15"/>
      <sheetName val="Propane Conversion"/>
      <sheetName val="RTU Info"/>
      <sheetName val="H&amp;V Units + Reheats"/>
      <sheetName val="H&amp;V Unit Schedule"/>
      <sheetName val="Weather_Annual"/>
      <sheetName val="Current Schedules &amp; Weather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  <sheetName val="Proposed Schedules"/>
      <sheetName val="Pro January"/>
      <sheetName val="Pro February"/>
      <sheetName val="Pro March"/>
      <sheetName val="Pro April"/>
      <sheetName val="Pro May"/>
      <sheetName val="Pro June"/>
      <sheetName val="Pro July"/>
      <sheetName val="Pro August"/>
      <sheetName val="Pro September"/>
      <sheetName val="Pro October"/>
      <sheetName val="Pro November"/>
      <sheetName val="Pro Decemb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End Use Analysis"/>
      <sheetName val="Block Load Heating &amp; Cooling"/>
      <sheetName val="Global Assumptions"/>
      <sheetName val="Lighting All Options"/>
      <sheetName val="RLRB Option"/>
      <sheetName val="New Fixture"/>
      <sheetName val="RT5 New Fixture "/>
      <sheetName val="RTU Replacement #2"/>
      <sheetName val="Heat Wheel"/>
      <sheetName val="H&amp;V Recommissioning # 3"/>
      <sheetName val="Boiler Replacement  # 4"/>
      <sheetName val="EMS Savings # 5"/>
      <sheetName val="HW Pump VFD # 6"/>
      <sheetName val="Reheat Conversion # 7"/>
      <sheetName val="DHW System Improvements # 8"/>
      <sheetName val="Network Controller # 9"/>
      <sheetName val="Building Envelope # 10"/>
      <sheetName val="Solar DHW # 11"/>
      <sheetName val="Vending Machines # 12"/>
      <sheetName val="Cooltrol Savings # 13"/>
      <sheetName val="Water Conservation # 14"/>
      <sheetName val="Solar Parking Lot Lighting # 15"/>
      <sheetName val="Propane Conversion"/>
      <sheetName val="RTU Info"/>
      <sheetName val="H&amp;V Units + Reheats"/>
      <sheetName val="H&amp;V Unit Schedule"/>
      <sheetName val="Weather_Annual"/>
      <sheetName val="Current Schedules &amp; Weather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  <sheetName val="Proposed Schedules"/>
      <sheetName val="Pro January"/>
      <sheetName val="Pro February"/>
      <sheetName val="Pro March"/>
      <sheetName val="Pro April"/>
      <sheetName val="Pro May"/>
      <sheetName val="Pro June"/>
      <sheetName val="Pro July"/>
      <sheetName val="Pro August"/>
      <sheetName val="Pro September"/>
      <sheetName val="Pro October"/>
      <sheetName val="Pro November"/>
      <sheetName val="Pro Decemb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M Link"/>
      <sheetName val="ECM Pricing"/>
      <sheetName val="Condensate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Electric Use Table"/>
      <sheetName val="Electric Chart"/>
      <sheetName val="For Report"/>
      <sheetName val="Baseline - Compressors"/>
      <sheetName val="Baseline - Dryers"/>
      <sheetName val="Amp chart"/>
      <sheetName val="Demand chart"/>
      <sheetName val="AC1 Perf. Curves"/>
      <sheetName val="AC2 Perf. Curve"/>
      <sheetName val="AC3 Perf. Curve"/>
      <sheetName val="Chart1"/>
      <sheetName val="Logged Data"/>
      <sheetName val="Compressor Perf. Curve"/>
      <sheetName val="1 CA Leaks"/>
      <sheetName val="1 Cost"/>
      <sheetName val="CA Leak Survey"/>
      <sheetName val="Db"/>
      <sheetName val="2 Comp Seq"/>
      <sheetName val="2a Cost"/>
      <sheetName val="2 Red Sys Press"/>
      <sheetName val="2 Cost"/>
      <sheetName val="ECM-1 VFD AC"/>
      <sheetName val="ECM-1a Cost"/>
      <sheetName val="3 OA Intake"/>
      <sheetName val="3 Cost"/>
      <sheetName val="4 No Loss Cond"/>
      <sheetName val="4 Cost"/>
      <sheetName val="Orifice Table"/>
      <sheetName val="5 High Eff. Nozz"/>
      <sheetName val="5 Cost"/>
      <sheetName val="6 Solenoids"/>
      <sheetName val="6 Cost"/>
      <sheetName val="7 High Eff. Pump"/>
      <sheetName val="7 Air Motor elim"/>
      <sheetName val="7c Cost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Summary"/>
      <sheetName val="Billing"/>
      <sheetName val="Utility Rates"/>
      <sheetName val="Light Retrofits"/>
      <sheetName val="Light Occ Control"/>
      <sheetName val="Emerg Lights"/>
      <sheetName val="Perim Daylighting"/>
      <sheetName val="Light Interaction"/>
      <sheetName val="Light Datalogger"/>
      <sheetName val="Light Ops Savings"/>
      <sheetName val="Envelope Leakage"/>
      <sheetName val="Replace Main Chillers"/>
      <sheetName val="Chill Ops Costs FY05"/>
      <sheetName val="Chill Ops Costs FY04"/>
      <sheetName val="Chill Ops Costs FY03"/>
      <sheetName val="Chill Tear Down"/>
      <sheetName val="IT Chiller"/>
      <sheetName val="IT Chill Ops Costs FY05"/>
      <sheetName val="IT Chill Ops Costs FY04"/>
      <sheetName val="IT Chill Ops Costs 2003"/>
      <sheetName val="New Boilers"/>
      <sheetName val="Boiler Ops Costs FY05"/>
      <sheetName val="Boiler Ops Costs FY04"/>
      <sheetName val="Boiler Ops Costs FY03"/>
      <sheetName val="VFD List"/>
      <sheetName val="AHU-2N VFD"/>
      <sheetName val="AHU-3N VFD"/>
      <sheetName val="AHU-4N VFD"/>
      <sheetName val="AHU-B1 VFD"/>
      <sheetName val="CHW Pump VFD "/>
      <sheetName val="HW Pump VFD (P-9&amp;10)"/>
      <sheetName val="HW Pump VFD (P-11-14)"/>
      <sheetName val="Product to be installed"/>
      <sheetName val="stats"/>
      <sheetName val="Toilet and Urinal Use"/>
      <sheetName val="Faucet Use"/>
      <sheetName val="Shower Use"/>
      <sheetName val="Water Related Energy Savings"/>
      <sheetName val="Summary Page"/>
      <sheetName val="Computers"/>
      <sheetName val="Vending Miser"/>
      <sheetName val="Fluke HW Pumps"/>
      <sheetName val="Fluke CHW Pumps"/>
      <sheetName val="Fluke AHUs"/>
      <sheetName val="Fluke Lighting"/>
      <sheetName val="AHU Schedules"/>
      <sheetName val="Weather_Annual"/>
      <sheetName val="Wkdy Sched AHU-2N"/>
      <sheetName val="Sat Sched AHU-2N"/>
      <sheetName val="Sun Sched AHU-2N"/>
      <sheetName val="Wkdy Sched AHU-3N"/>
      <sheetName val="Sat Sched AHU-3N"/>
      <sheetName val="Sun Sched AHU-3N"/>
      <sheetName val="Wkdy Sched AHU-4N"/>
      <sheetName val="Sat Sched AHU-4N"/>
      <sheetName val="Sun Sched AHU-4N"/>
      <sheetName val="Wkdy Sched AHU-B1"/>
      <sheetName val="Sat Sched AHU-B1"/>
      <sheetName val="Sun Sched AHU-B1"/>
      <sheetName val="Wkdy Sched Chillers"/>
      <sheetName val="Sat Sched Chillers"/>
      <sheetName val="Sun Sched Chill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. Vol. Pump"/>
      <sheetName val="Control SRVY 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BASE.XLS"/>
      <sheetName val="Sanity Check"/>
      <sheetName val="Summary All FIMs"/>
      <sheetName val="Summary FIM Categories"/>
      <sheetName val="Controls Summary"/>
      <sheetName val="Light Material"/>
      <sheetName val="Chiller Savings"/>
      <sheetName val="VSD tower fans - electric chil"/>
      <sheetName val="VSD Pumping"/>
      <sheetName val="Burner Controls"/>
      <sheetName val="Stack Economizers"/>
      <sheetName val="AHU-2 Setback"/>
      <sheetName val="AC-1 (Central) Setback"/>
      <sheetName val="AC-1 (D-Bldg) Setback"/>
      <sheetName val="AC-2 (Central) Setback"/>
      <sheetName val="AC-2 (AMB) Setback"/>
      <sheetName val="AC-3 (AMB) Setback"/>
      <sheetName val="AC-4 (AMB) Setback"/>
      <sheetName val="AC-5 (AMB) Setback"/>
      <sheetName val="AC-6 (AMB) Setback"/>
      <sheetName val="AC-6 (North) Setback"/>
      <sheetName val="AC-11 (Central) Setback"/>
      <sheetName val="AC-19 (E. Pavilion) Setback"/>
      <sheetName val="AC-20 (E. Pavilion) Setback"/>
      <sheetName val="AC-22 (Central) Setback"/>
      <sheetName val="AC-24 (Central) Setback"/>
      <sheetName val="AC-26 (D-Bldg) Setback"/>
      <sheetName val="AC-27 (Nurse Res) Setback"/>
      <sheetName val="AC-29 (North) Setback"/>
      <sheetName val="Modular RTU Setback"/>
      <sheetName val="HV-4 (D Bldg) Setback"/>
      <sheetName val="HV-5 (D Bldg) Setback"/>
      <sheetName val="HV-6 (D Bldg) Setback"/>
      <sheetName val="AS-1 (D Bldg) Setback"/>
      <sheetName val="Common U-Value"/>
      <sheetName val="Tomasso U-Value"/>
      <sheetName val="Economizer"/>
      <sheetName val="AHU-6 SP Sensor"/>
      <sheetName val="AC-1 (CENTRAL) VFDS"/>
      <sheetName val="Steam Traps"/>
      <sheetName val="Water Treatment Boilers"/>
      <sheetName val="Water Treatment N2 Tower"/>
      <sheetName val="Water Treatment N6 Tower"/>
      <sheetName val="Water stats"/>
      <sheetName val="Toilet and Urinal Use"/>
      <sheetName val="Faucet Use"/>
      <sheetName val="Shower Use"/>
      <sheetName val="Water Related Energy Savings"/>
      <sheetName val="Water Summary Page"/>
      <sheetName val="Sewer Abatement"/>
      <sheetName val="Leaks &amp; Receivers"/>
      <sheetName val="Pipe Insul 100"/>
      <sheetName val="Pipe Insul 40"/>
      <sheetName val="Pipe Insul 6"/>
      <sheetName val="Unit Heaters"/>
      <sheetName val="Radiator Valves"/>
      <sheetName val="Vending Miser"/>
      <sheetName val="Monitor Miser"/>
      <sheetName val="Light Interaction"/>
      <sheetName val="Bin Data - Heat"/>
      <sheetName val="Bin Data - Cool"/>
      <sheetName val="Sheet15"/>
      <sheetName val="Sheet16"/>
      <sheetName val="Sheet17"/>
      <sheetName val="Sheet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Cloonan"/>
      <sheetName val="Newfield"/>
      <sheetName val="Northeast"/>
      <sheetName val="Rippowam"/>
      <sheetName val="Roxbury"/>
      <sheetName val="Stamford HS"/>
      <sheetName val="Toquam"/>
      <sheetName val="Westhill HS"/>
      <sheetName val="Rogers"/>
      <sheetName val="Rogers AHU"/>
      <sheetName val="Efficiency"/>
      <sheetName val="Bin Weather"/>
      <sheetName val="Rogers OC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YSERDA"/>
      <sheetName val="ECM Summary"/>
      <sheetName val="Summary"/>
      <sheetName val="Block Load Heating &amp; Cooling"/>
      <sheetName val="U values"/>
      <sheetName val="Wall Const"/>
      <sheetName val="Roof Const"/>
      <sheetName val="Walls, Doors &amp; Windows"/>
      <sheetName val="HVAC"/>
      <sheetName val="Reconcile Thermal"/>
      <sheetName val="ECO-M2 Boiler Replacement "/>
      <sheetName val="ECO-M2 Cost Est"/>
      <sheetName val="ECM-1 Door Seals"/>
      <sheetName val="ECM-1Cost Est"/>
      <sheetName val="ECM-X Shutdown"/>
      <sheetName val="ECM-2 Gym Shutdown"/>
      <sheetName val="ECM-2 Cost"/>
      <sheetName val="ECM-3 DCV"/>
      <sheetName val="ECM-3 Cost Est"/>
      <sheetName val="ECM-4 Pipe Insulation"/>
      <sheetName val="ECM-4 HW Pump VFD "/>
      <sheetName val="ECM-4 Cost Est."/>
      <sheetName val="ECM-5 Prem Motors"/>
      <sheetName val="ECM-5 Cost"/>
      <sheetName val="ECM-6 Econ"/>
      <sheetName val="ECM-6 Enth"/>
      <sheetName val="ECM-6 Ecmzr"/>
      <sheetName val="ECM-6Cost"/>
      <sheetName val="ECM-7 DCV UV"/>
      <sheetName val="UV Schedule"/>
      <sheetName val="ECM-7 Cost"/>
      <sheetName val="ECM-8 Boiler"/>
      <sheetName val="Boiler"/>
      <sheetName val="ECM-8 Cost"/>
      <sheetName val="ECM-9 Load Shed"/>
      <sheetName val="ECM-6 Boiler Fan VFD "/>
      <sheetName val="ECM-8 Windows"/>
      <sheetName val="ECM-8 Cost Est"/>
      <sheetName val="ECO-M21 HW Reset"/>
      <sheetName val="ECO-M21 HW Reset w boiler"/>
      <sheetName val="ECO-M21 Cost Est"/>
      <sheetName val="ECO-M12 Cost Est."/>
      <sheetName val="ECO-M19 Door Seals"/>
      <sheetName val="ECO-M20 DHW Heater"/>
      <sheetName val="ECO-M20 elec DHW Heater"/>
      <sheetName val="ECO-M20 Cost Est"/>
      <sheetName val="ECO-M22 Kitchen Hood"/>
      <sheetName val="ECO-M22 Cost Est"/>
      <sheetName val="Revisions"/>
      <sheetName val="Bin Weather_Annual"/>
      <sheetName val="GYM AHU space temp"/>
      <sheetName val="ECO-M12 VAV Conv."/>
      <sheetName val="ECM-E11 Add Solar Panels"/>
      <sheetName val="Sheet1"/>
      <sheetName val="New DCV Classrooms"/>
      <sheetName val="NEW DC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M Summary"/>
      <sheetName val="Summary"/>
      <sheetName val="Block Load Heating &amp; Cooling"/>
      <sheetName val="U values"/>
      <sheetName val="Wall Const"/>
      <sheetName val="Roof Const"/>
      <sheetName val="Walls, Doors &amp; Windows"/>
      <sheetName val="HVAC"/>
      <sheetName val="Lighting"/>
      <sheetName val="Reconcile Thermal"/>
      <sheetName val="ECO-M1 Boiler Replacement"/>
      <sheetName val="ECO-M2 Fan VFD "/>
      <sheetName val="ECO-M3 Wall Insul"/>
      <sheetName val="ECO-M4 Bus Exhaust Cap"/>
      <sheetName val="ECO-M5 HW Pump VFD "/>
      <sheetName val="Engine Block Heater Timer"/>
      <sheetName val="ECO-M6 Pipe Insulation"/>
      <sheetName val="ECO-M1 Roof Insul"/>
      <sheetName val="ECO-M1 Cost Est"/>
      <sheetName val="ECO-M2 Boiler Replacement "/>
      <sheetName val="ECO-M2 Cost Est"/>
      <sheetName val="ECO-M3 Cost Est"/>
      <sheetName val="ECO-M2 HW Reset "/>
      <sheetName val="ECO-M4 Setback"/>
      <sheetName val="ECO-M4 Night Shutdown"/>
      <sheetName val="ECO-M4 Cost Est"/>
      <sheetName val="ECO-M5 CHW Pump VFD"/>
      <sheetName val="ECO-M5 Cost"/>
      <sheetName val="ECO-M6 Windows"/>
      <sheetName val="ECO-M6 Cost Est"/>
      <sheetName val="ECO-M7 Infrared Htrs-Main"/>
      <sheetName val="ECO-M7 Cost Est"/>
      <sheetName val="ECO-M8 DCV"/>
      <sheetName val="ECO-M8 Cost Est"/>
      <sheetName val="ECM-M9 DW Waste Heat"/>
      <sheetName val="ECO-M10 Heat Ex"/>
      <sheetName val="ECO-M10 Cost Est"/>
      <sheetName val="ECO-M11 Cost Est."/>
      <sheetName val="ECO-M12 VAV Conv."/>
      <sheetName val="ECO-M12 Cost Est."/>
      <sheetName val="ECO-M13 Heat Pipe"/>
      <sheetName val="ECO-M13 Cost Est"/>
      <sheetName val="ECM-M14 AC or HPDHWH"/>
      <sheetName val="ECO-M15 Blinds"/>
      <sheetName val="ECO-M15 Cost Est"/>
      <sheetName val="ECM-M16 Prem Motors"/>
      <sheetName val="ECO-M17 O&amp;M"/>
      <sheetName val="ECO-M18 Replace Window Units"/>
      <sheetName val="ECO-M18 Cost Est"/>
      <sheetName val="ECO-M19 Door Seals"/>
      <sheetName val="ECO-M19(2) Door Seals"/>
      <sheetName val="ECO-M19 Cost Est"/>
      <sheetName val="ECO-M20 DHW Heater"/>
      <sheetName val="ECO-M20 elec DHW Heater"/>
      <sheetName val="ECO-M20 Cost Est"/>
      <sheetName val="ECO-M21 HW Reset"/>
      <sheetName val="ECO-M21 HW Reset w boiler"/>
      <sheetName val="ECO-M21 Cost Est"/>
      <sheetName val="ECO-M22 Kitchen Hood"/>
      <sheetName val="ECO-M22 Cost Est"/>
      <sheetName val="WCO-1 Urinals"/>
      <sheetName val="WCO-2 Toilets"/>
      <sheetName val="WCO-3 Faucets"/>
      <sheetName val="WCO-4 Aerators"/>
      <sheetName val="WCO-5 Waterless Ur"/>
      <sheetName val="ECO-E1 Delamp"/>
      <sheetName val="ECO-E1 Cost Est"/>
      <sheetName val="ECO-E2 Ext Photo"/>
      <sheetName val="ECO-E3 Ext Motion"/>
      <sheetName val="ECO-E4 Exit signs"/>
      <sheetName val="ECO-E4 Cost Est."/>
      <sheetName val="ECO-E5 Ext Light Replac"/>
      <sheetName val="ECO-E6 Daylighting"/>
      <sheetName val="E6 Lighting Bin Data"/>
      <sheetName val="ECO-E8 Light Replac"/>
      <sheetName val="ECO-E9 Motion Sens."/>
      <sheetName val="Light_Table"/>
      <sheetName val="Cost_Table"/>
      <sheetName val="ECO-E10 O&amp;M"/>
      <sheetName val="ECM-E11 Add Solar Panels"/>
      <sheetName val="Revisions"/>
      <sheetName val="Bin Weather_Annual"/>
      <sheetName val="ECO-M5 Fan VFD "/>
      <sheetName val="ECO-M11 Pipe Insulation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/>
      <sheetData sheetId="81"/>
      <sheetData sheetId="82" refreshError="1"/>
      <sheetData sheetId="8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M Summary"/>
      <sheetName val="Analysis"/>
      <sheetName val="CE"/>
    </sheetNames>
    <sheetDataSet>
      <sheetData sheetId="0"/>
      <sheetData sheetId="1"/>
      <sheetData sheetId="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YSERDA"/>
      <sheetName val="Summary"/>
      <sheetName val="HVAC Sched"/>
      <sheetName val="8 DCV Old"/>
      <sheetName val="1 Boiler Upgrade"/>
      <sheetName val="1 Cost"/>
      <sheetName val="2 Install Sep Pool Boiler "/>
      <sheetName val="2a Stby Losses"/>
      <sheetName val="2 Cost"/>
      <sheetName val="3 Pool Cover"/>
      <sheetName val="3 Cost"/>
      <sheetName val="4 Pool DHW Heater"/>
      <sheetName val="4 Cost"/>
      <sheetName val="5 Install Solar Pool Heater"/>
      <sheetName val="5 Cost"/>
      <sheetName val="6 Kitch Boost"/>
      <sheetName val="5 DHW Heater-Other"/>
      <sheetName val="6A Cost"/>
      <sheetName val="6B Cost"/>
      <sheetName val="7 Prem Motors"/>
      <sheetName val="8 DCV"/>
      <sheetName val="8 Cost"/>
      <sheetName val="9 Economizer"/>
      <sheetName val="9 Econ - Old 2"/>
      <sheetName val="9 Econ - Old"/>
      <sheetName val="9 Cost"/>
      <sheetName val="10 DCV Unit Vent"/>
      <sheetName val="10 Cost"/>
      <sheetName val="11 VAV Conv"/>
      <sheetName val="11 Cost"/>
      <sheetName val="12 Windows"/>
      <sheetName val="12 Cost"/>
      <sheetName val="ES ECM-13 Lighting"/>
      <sheetName val="ES ECM-14 DL+OS"/>
      <sheetName val="ES ECM-15 Lighitng and OS"/>
      <sheetName val="16 Toilets"/>
      <sheetName val="17 Faucets"/>
      <sheetName val="Wattage Table"/>
      <sheetName val="Cost_Table"/>
      <sheetName val="ES ECM-13 Lighitng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COST3"/>
    </sheetNames>
    <sheetDataSet>
      <sheetData sheetId="0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mp, Ballast, and New Fixtures"/>
      <sheetName val="Lamp and Ballast Cost Table"/>
      <sheetName val="Fixture Code Table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Original"/>
      <sheetName val="Replacement"/>
      <sheetName val="Wattage Table"/>
      <sheetName val="Fixture Code Legend"/>
      <sheetName val="Cost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e Data"/>
      <sheetName val="Hours of Operation"/>
      <sheetName val="Lighting Inventory"/>
      <sheetName val="Comments"/>
      <sheetName val="Fixture Type Tabl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endix E - ECM List"/>
      <sheetName val="NYSERDA"/>
      <sheetName val="Summary Sheet"/>
      <sheetName val="Appendix E - Master List of ECM"/>
      <sheetName val="Chilled Water Calc"/>
      <sheetName val="Chiller#1"/>
      <sheetName val="Chiller#3"/>
      <sheetName val="Weather Data"/>
      <sheetName val="Amp Data - Not Used"/>
      <sheetName val="Fuel Oil n Elec Total"/>
      <sheetName val="Total Elec Breakdown"/>
      <sheetName val="Total Fuel Oil Breakdown"/>
      <sheetName val="Electric A&amp;R 1-8,10"/>
      <sheetName val="#2 Fuel Oil A&amp;R 1-8,10"/>
      <sheetName val="A&amp;R Bldgs 1-8,10 Summary"/>
      <sheetName val="Electric IP Bldg. 9"/>
      <sheetName val="#2 Fuel Oil IP Bldg. 9"/>
      <sheetName val="IP Bldg. 9 Summary "/>
      <sheetName val="Electric Clinic Bldg. 13"/>
      <sheetName val="#2 Fuel Oil Clinic Bldg. 13"/>
      <sheetName val="Clinic Bldg. 13 Summary"/>
      <sheetName val="Electric Bassett Hall"/>
      <sheetName val="#2 Fuel Oil Bassett Hall"/>
      <sheetName val="Bassett Hall Summary"/>
      <sheetName val="Electricity Chart"/>
      <sheetName val="Fuel Oil Chart"/>
      <sheetName val="ECM Calcs A&amp;R"/>
      <sheetName val="ECM AR-5 DCV"/>
      <sheetName val="ECM Calcs IP"/>
      <sheetName val="ECM IP-5 DCV  ACS-1"/>
      <sheetName val="ECM IP-5 DCV  ES-1"/>
      <sheetName val="ECM IP-5 DCV  B-1"/>
      <sheetName val="ECM IP-5 DCV  B-2"/>
      <sheetName val="ECM IP-5 DCV  AC-1"/>
      <sheetName val="ECM IP-5 DCV  AC-5"/>
      <sheetName val="ECM IP-6 Kitchen Ex Melink"/>
      <sheetName val="ECM IP-8 Insulate Piping"/>
      <sheetName val="ECM-IP8a Insulate DHW Piping"/>
      <sheetName val="ECM Calcs Clinic Building"/>
      <sheetName val="ECM CB-4 Flow Hood Valve Mod"/>
      <sheetName val="ECM CB-5 HT Rcvry AHU 3-4"/>
      <sheetName val="ECM Calcs Bassett Hall"/>
      <sheetName val="ECM-BH-1 HW Pipe Insulation"/>
      <sheetName val="ECM-BH-1 Steam Pipe Insulation"/>
      <sheetName val="M10 Heat 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HU-1"/>
      <sheetName val="AHU-4"/>
      <sheetName val="Load Chart"/>
      <sheetName val="Sheet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ak Load reduction"/>
      <sheetName val="Biomass Boiler"/>
      <sheetName val="Analysis"/>
      <sheetName val="HHV"/>
    </sheetNames>
    <sheetDataSet>
      <sheetData sheetId="0"/>
      <sheetData sheetId="1"/>
      <sheetData sheetId="2"/>
      <sheetData sheetId="3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vings Summary"/>
      <sheetName val="Pricing"/>
      <sheetName val="Chemicals"/>
      <sheetName val="Chemical Savings"/>
      <sheetName val="Utility Costs"/>
      <sheetName val="32 Pre Inputs"/>
      <sheetName val="Pre Hourly Load"/>
      <sheetName val="Pre Annual Load"/>
      <sheetName val="Pre Bin Data"/>
      <sheetName val="Pre Enthalpy"/>
      <sheetName val="Pre Evap Rate"/>
      <sheetName val="32 Retro Inputs"/>
      <sheetName val="Retro  Hourly Load"/>
      <sheetName val="Retro Annual Load"/>
      <sheetName val="Retro Bin Data"/>
      <sheetName val="Retro Enthalpy"/>
      <sheetName val="Retro Evap Rate"/>
      <sheetName val="38 Pre Inputs (2)"/>
      <sheetName val="Pre Hourly Load (2)"/>
      <sheetName val="Pre Annual Load (2)"/>
      <sheetName val="Pre Bin Data (2)"/>
      <sheetName val="Pre Enthalpy (2)"/>
      <sheetName val="Pre Evap Rate (2)"/>
      <sheetName val="38 Retro Inputs (2)"/>
      <sheetName val="Retro  Hourly Load (2)"/>
      <sheetName val="Retro Annual Load (2)"/>
      <sheetName val="Retro Bin Data (2)"/>
      <sheetName val="Retro Enthalpy (2)"/>
      <sheetName val="Retro Evap Rate (2)"/>
      <sheetName val="56 Pre Inputs (3)"/>
      <sheetName val="Pre Hourly Load (3)"/>
      <sheetName val="Pre Annual Load (3)"/>
      <sheetName val="Pre Bin Data (3)"/>
      <sheetName val="Pre Enthalpy (3)"/>
      <sheetName val="Pre Evap Rate (3)"/>
      <sheetName val="56 Retro Inputs (4)"/>
      <sheetName val="Retro Hourly Load (4)"/>
      <sheetName val="Retro Annual Load (4)"/>
      <sheetName val="Retro Bin Data (4)"/>
      <sheetName val="Retro Enthalpy (4)"/>
      <sheetName val="Retro Evap Rate (4)"/>
      <sheetName val="59S Pre Inputs (2)"/>
      <sheetName val="Pre Hourly Load (4)"/>
      <sheetName val="Pre Annual Load (4)"/>
      <sheetName val="Pre Bin Data (4)"/>
      <sheetName val="Pre Enthalpy (4)"/>
      <sheetName val="Pre Evap Rate (4)"/>
      <sheetName val="59S Retro Inputs (2)"/>
      <sheetName val="Retro  Hourly Load (3)"/>
      <sheetName val="Retro Annual Load (3)"/>
      <sheetName val="Retro Bin Data (3)"/>
      <sheetName val="Retro Enthalpy (3)"/>
      <sheetName val="Retro Evap Rate (3)"/>
      <sheetName val="79 Pre Inputs (2)"/>
      <sheetName val="Pre Hourly Load (5)"/>
      <sheetName val="Pre Annual Load (5)"/>
      <sheetName val="Pre Bin Data (5)"/>
      <sheetName val="Pre Enthalpy (5)"/>
      <sheetName val="Pre Evap Rate (5)"/>
      <sheetName val="79 Retro Inputs (2)"/>
      <sheetName val="Retro  Hourly Load (4)"/>
      <sheetName val="Retro Annual Load (5)"/>
      <sheetName val="Retro Bin Data (5)"/>
      <sheetName val="Retro Enthalpy (5)"/>
      <sheetName val="Retro Evap Rate (5)"/>
      <sheetName val="89 Pre Inputs (2)"/>
      <sheetName val="Pre Hourly Load (6)"/>
      <sheetName val="Pre Annual Load (6)"/>
      <sheetName val="Pre Bin Data (6)"/>
      <sheetName val="Pre Enthalpy (6)"/>
      <sheetName val="Pre Evap Rate (6)"/>
      <sheetName val="89 Retro Inputs (2)"/>
      <sheetName val="Retro  Hourly Load (5)"/>
      <sheetName val="Retro Annual Load (6)"/>
      <sheetName val="Retro Bin Data (6)"/>
      <sheetName val="Retro Enthalpy (6)"/>
      <sheetName val="Retro Evap Rate (6)"/>
      <sheetName val="93 Pre Inputs (3)"/>
      <sheetName val="Pre Hourly Load (7)"/>
      <sheetName val="Pre Annual Load (7)"/>
      <sheetName val="Pre Bin Data (7)"/>
      <sheetName val="Pre Enthalpy (7)"/>
      <sheetName val="Pre Evap Rate (7)"/>
      <sheetName val="93 Retro Inputs (3)"/>
      <sheetName val="Retro  Hourly Load (6)"/>
      <sheetName val="Retro Annual Load (7)"/>
      <sheetName val="Retro Bin Data (7)"/>
      <sheetName val="Retro Enthalpy (7)"/>
      <sheetName val="Retro Evap Rate (7)"/>
      <sheetName val="94 Pre Inputs (4)"/>
      <sheetName val="Pre Hourly Load (8)"/>
      <sheetName val="Pre Annual Load (8)"/>
      <sheetName val="Pre Bin Data (8)"/>
      <sheetName val="Pre Enthalpy (8)"/>
      <sheetName val="Pre Evap Rate (8)"/>
      <sheetName val="94 Retro Inputs (5)"/>
      <sheetName val="Retro Hourly Load (5)"/>
      <sheetName val="Retro Annual Load (8)"/>
      <sheetName val="Retro Bin Data (8)"/>
      <sheetName val="Retro Enthalpy (8)"/>
      <sheetName val="Retro Evap Rate (8)"/>
      <sheetName val="192 Pre Inputs (3)"/>
      <sheetName val="Pre Hourly Load (9)"/>
      <sheetName val="Pre Annual Load (9)"/>
      <sheetName val="Pre Bin Data (9)"/>
      <sheetName val="Pre Enthalpy (9)"/>
      <sheetName val="Pre Evap Rate (9)"/>
      <sheetName val="192 Retro Inputs (3)"/>
      <sheetName val="Retro  Hourly Load (7)"/>
      <sheetName val="Retro Annual Load (9)"/>
      <sheetName val="Retro Bin Data (9)"/>
      <sheetName val="Retro Enthalpy (9)"/>
      <sheetName val="Retro Evap Rate (9)"/>
      <sheetName val="205 Pre Inputs (3)"/>
      <sheetName val="Pre Hourly Load (10)"/>
      <sheetName val="Pre Annual Load (10)"/>
      <sheetName val="Pre Bin Data (10)"/>
      <sheetName val="Pre Enthalpy (10)"/>
      <sheetName val="Pre Evap Rate (10)"/>
      <sheetName val="205 Retro Inputs (3)"/>
      <sheetName val="Retro  Hourly Load (8)"/>
      <sheetName val="Retro Annual Load (10)"/>
      <sheetName val="Retro Bin Data (10)"/>
      <sheetName val="Retro Enthalpy (10)"/>
      <sheetName val="Retro Evap Rate (10)"/>
      <sheetName val="304 Pre Inputs (4)"/>
      <sheetName val="Pre Hourly Load (11)"/>
      <sheetName val="Pre Annual Load (11)"/>
      <sheetName val="Pre Bin Data (11)"/>
      <sheetName val="Pre Enthalpy (11)"/>
      <sheetName val="Pre Evap Rate (11)"/>
      <sheetName val="304 Retro Inputs (4)"/>
      <sheetName val="Retro  Hourly Load (9)"/>
      <sheetName val="Retro Annual Load (11)"/>
      <sheetName val="Retro Bin Data (11)"/>
      <sheetName val="Retro Enthalpy (11)"/>
      <sheetName val="Retro Evap Rate (1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M Summary"/>
      <sheetName val="NYSERDA"/>
      <sheetName val="Summary"/>
      <sheetName val="Block Load Heating &amp; Cooling"/>
      <sheetName val="U values"/>
      <sheetName val="Wall Const"/>
      <sheetName val="Roof Const"/>
      <sheetName val="Walls, Doors &amp; Windows"/>
      <sheetName val="HVAC"/>
      <sheetName val="Lighting"/>
      <sheetName val="Reconcile Thermal"/>
      <sheetName val="HS ECM-1 Install Ice Harvesters"/>
      <sheetName val="HS ECM 1 Cost Est"/>
      <sheetName val="HS ECM-2 Boiler Rpl with HW Res"/>
      <sheetName val="HS ECM-2 Cost Est"/>
      <sheetName val="HS ECM-3 Wall Insulation"/>
      <sheetName val="HS ECM-3 Cost Est"/>
      <sheetName val="HS ECM-4 Door Seals"/>
      <sheetName val="HS ECM-4 Cost Est"/>
      <sheetName val="HS ECM-5 Windows"/>
      <sheetName val="HS ECM-5 Cost Est"/>
      <sheetName val="HS ECM-6 Pipe Insulation"/>
      <sheetName val="HS ECM-6 Cost Est"/>
      <sheetName val="HS ECM-7 VAV Conv."/>
      <sheetName val="HS ECM-7 Cost Est"/>
      <sheetName val="HS ECM-8 AHU Leak"/>
      <sheetName val="HS ECM-8 Cost Est"/>
      <sheetName val="HS ECM-9a DCV Auditorium"/>
      <sheetName val="HS ECM-9a Cost Est"/>
      <sheetName val="HS ECM-9b DCV Blue Gym"/>
      <sheetName val="HS ECM-9b Cost Est "/>
      <sheetName val="HS ECM-9c DCV Wood Gym"/>
      <sheetName val="HS ECM-9c Cost Est"/>
      <sheetName val="HS ECM-9d DCV Unit Vent CRooms "/>
      <sheetName val="HS ECM-9d Cost Est "/>
      <sheetName val="HS ECM 10 Lighitng Upgrades"/>
      <sheetName val="HS ECM 11 OS+DL"/>
      <sheetName val="HS ECM-12 UpgradeLighting andOS"/>
      <sheetName val="HS ECM-13 UV OS"/>
      <sheetName val="HS ECM-13 Cost Est"/>
      <sheetName val="HS ECM-14 Urinals"/>
      <sheetName val="HS ECM-15 Toilets"/>
      <sheetName val="HS ECM-16 Faucets"/>
      <sheetName val="Wattage Table"/>
      <sheetName val="Cost_Table "/>
      <sheetName val="UV Schedule"/>
      <sheetName val="Use This Est Sheet for Cost Est"/>
      <sheetName val="HS ECM-7 VFD ignore"/>
      <sheetName val="Cost_Table"/>
      <sheetName val="Revisions"/>
      <sheetName val="ECO-E6 Daylighting"/>
      <sheetName val="UV Heating and cooling"/>
      <sheetName val="E6 Lighting Bin Data"/>
      <sheetName val="ECO-M3 Door Seals"/>
      <sheetName val="ECO-M2 HW Reset "/>
      <sheetName val="Bin Weather_Ann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 here"/>
      <sheetName val="General"/>
      <sheetName val="Computers"/>
      <sheetName val="Printers"/>
      <sheetName val="Copiers"/>
      <sheetName val="Fax"/>
      <sheetName val="Terminals"/>
      <sheetName val="Task Lights"/>
      <sheetName val="Misc."/>
      <sheetName val="SUMMARY REPORT"/>
      <sheetName val="Assumptions"/>
      <sheetName val="Calculation"/>
      <sheetName val="Audit for Calc"/>
      <sheetName val="SF Base Audit"/>
      <sheetName val="Modified Audit"/>
      <sheetName val="Total New Audits"/>
      <sheetName val="First New Audit"/>
      <sheetName val="Add New Sites Before This Sheet"/>
      <sheetName val="Instruction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S-MS Summary"/>
      <sheetName val=" Pool Cover"/>
      <sheetName val="Lighting Retrofit"/>
      <sheetName val="New Gym Setback"/>
      <sheetName val="Orig. Gym Setback"/>
      <sheetName val="Cafeteria Setback"/>
      <sheetName val="Auditorium Setback"/>
      <sheetName val="Natatorium Setback"/>
      <sheetName val="Lockers Setback"/>
      <sheetName val="Acad Cool Setback"/>
      <sheetName val="Guidance Setback"/>
      <sheetName val="Admin,Teacher,Kitch Setback"/>
      <sheetName val="Acad Non-Cool Setback"/>
      <sheetName val="New HW Boilers"/>
      <sheetName val="HW Reset"/>
      <sheetName val="New RTU's"/>
      <sheetName val="Auditorium Unit"/>
      <sheetName val="Infiltration CFM"/>
      <sheetName val="High Eff. Motors"/>
      <sheetName val="Vending Miser"/>
      <sheetName val="Dish Booster Heater"/>
      <sheetName val="Microturbine"/>
      <sheetName val="Microturbine Eff."/>
      <sheetName val="New Gym U-Value"/>
      <sheetName val="Orig. Gym U-Value"/>
      <sheetName val="Cafe. U-Value"/>
      <sheetName val="Aud. U-Value"/>
      <sheetName val="Natat. U-Value"/>
      <sheetName val="Locker U-Value"/>
      <sheetName val="Acad. Cool U-Value"/>
      <sheetName val="Guidance U-Value"/>
      <sheetName val="Admin,Teacher,Kitch U-Value"/>
      <sheetName val="Non-Cool Acad U-Value"/>
      <sheetName val="Air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. Vol. Pump"/>
    </sheetNames>
    <sheetDataSet>
      <sheetData sheetId="0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O-E2"/>
      <sheetName val="ECO-E3"/>
      <sheetName val="ECO-E8"/>
      <sheetName val="Light_Table"/>
      <sheetName val="Cost_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O-E2"/>
      <sheetName val="ECO-E3"/>
      <sheetName val="ECO-E8"/>
      <sheetName val="Light_Table"/>
      <sheetName val="Cost_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TOC"/>
      <sheetName val="1Exec"/>
      <sheetName val="2Recomm"/>
      <sheetName val="3Elec"/>
      <sheetName val="3Gas"/>
      <sheetName val="3Rates"/>
      <sheetName val="3EndUse"/>
      <sheetName val="3Benchmark"/>
      <sheetName val="4FacDescr"/>
      <sheetName val="5Inv"/>
      <sheetName val="Light"/>
      <sheetName val="Mtr"/>
      <sheetName val="ElecNonMtr"/>
      <sheetName val="GasEqup"/>
      <sheetName val="6SaveCalc"/>
      <sheetName val="MH400disconn"/>
      <sheetName val="IncCFLCafe"/>
      <sheetName val="RedLiteUsePlaza"/>
      <sheetName val="OccSens"/>
      <sheetName val="VendMiser"/>
      <sheetName val="EMS"/>
      <sheetName val="MH400-T5"/>
      <sheetName val="IncMHDine"/>
      <sheetName val="RedLiteUseHQ"/>
      <sheetName val="PFC"/>
      <sheetName val="VacateFlr"/>
      <sheetName val="VSD-SF"/>
      <sheetName val="EXIT"/>
      <sheetName val="PEMtrs"/>
      <sheetName val="WtrChill"/>
      <sheetName val="MH400-250"/>
      <sheetName val="MH400-360"/>
      <sheetName val="IncCFLDine"/>
      <sheetName val="Finance"/>
      <sheetName val="8ProgNotes"/>
      <sheetName val="PNotes-DOE2"/>
      <sheetName val="PNotes-LiteDesign"/>
      <sheetName val="LiteCostBasis"/>
      <sheetName val="Overhead"/>
      <sheetName val="GasHistory"/>
      <sheetName val="ElecEquipLibr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tors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M Summary"/>
      <sheetName val="Project Estimates"/>
      <sheetName val="LANSING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S EST"/>
    </sheetNames>
    <sheetDataSet>
      <sheetData sheetId="0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Index"/>
      <sheetName val="Summary"/>
      <sheetName val="Schedul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it Ltgs"/>
      <sheetName val="GYM LTG"/>
      <sheetName val="Wall Insul"/>
      <sheetName val="AHUSUM"/>
      <sheetName val="AHUS"/>
      <sheetName val="BINHRS"/>
      <sheetName val="Valves"/>
      <sheetName val="NewBl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NHOSP"/>
      <sheetName val="LANHOSP.XLW"/>
    </sheetNames>
    <definedNames>
      <definedName name="PrintAB"/>
    </definedNames>
    <sheetDataSet>
      <sheetData sheetId="0" refreshError="1"/>
      <sheetData sheetId="1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GHTING"/>
      <sheetName val="LIGHTING.XLW"/>
    </sheetNames>
    <definedNames>
      <definedName name="PrintAll"/>
    </definedNames>
    <sheetDataSet>
      <sheetData sheetId="0" refreshError="1"/>
      <sheetData sheetId="1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GEHOSP"/>
      <sheetName val="EDGEHOSP.XLW"/>
    </sheetNames>
    <definedNames>
      <definedName name="PrintTable"/>
    </definedNames>
    <sheetDataSet>
      <sheetData sheetId="0" refreshError="1"/>
      <sheetData sheetId="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DBERG"/>
      <sheetName val="LINDBERG.XLW"/>
    </sheetNames>
    <definedNames>
      <definedName name="PrntLtg"/>
    </definedNames>
    <sheetDataSet>
      <sheetData sheetId="0" refreshError="1"/>
      <sheetData sheetId="1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vings"/>
    </sheetNames>
    <sheetDataSet>
      <sheetData sheetId="0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tro Summary"/>
      <sheetName val="Summary"/>
      <sheetName val="FIXTURES"/>
      <sheetName val="State House Annex"/>
      <sheetName val="Londergan"/>
      <sheetName val="Johnson"/>
      <sheetName val="Spaulding"/>
      <sheetName val="DoJ"/>
      <sheetName val="State Lib"/>
      <sheetName val="Storrs St"/>
      <sheetName val="Old Labor Bldg"/>
      <sheetName val="Rec &amp; Archives"/>
      <sheetName val="Monadn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tro Summary"/>
      <sheetName val="Summary"/>
      <sheetName val="FIXTURES"/>
      <sheetName val="State House Annex"/>
      <sheetName val="Londergan"/>
      <sheetName val="Johnson"/>
      <sheetName val="Spaulding"/>
      <sheetName val="DoJ"/>
      <sheetName val="State Lib"/>
      <sheetName val="Storrs St"/>
      <sheetName val="Old Labor Bldg"/>
      <sheetName val="Rec &amp; Archives"/>
      <sheetName val="Monadn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x By School"/>
      <sheetName val="All Savings"/>
      <sheetName val="Admin"/>
      <sheetName val="Bus"/>
      <sheetName val="HSMS"/>
      <sheetName val="JHE"/>
      <sheetName val="BCE"/>
      <sheetName val="SE"/>
      <sheetName val="KE"/>
      <sheetName val="LAN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SCOST"/>
      <sheetName val="Washington"/>
      <sheetName val="Sheet2"/>
      <sheetName val="Sheet3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. Profile"/>
      <sheetName val="Hour at Temp"/>
      <sheetName val="TMY2"/>
      <sheetName val="TMY2GO"/>
      <sheetName val="IFMA Data"/>
      <sheetName val="LPD"/>
      <sheetName val="Criteria"/>
      <sheetName val="End Use"/>
      <sheetName val="Monthly Profiles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ckinley Summary"/>
      <sheetName val="Lighting Retrofit"/>
      <sheetName val="Original Setback"/>
      <sheetName val="Addition Setback"/>
      <sheetName val="Mckinley Open Windows"/>
      <sheetName val="New Steam Boiler"/>
      <sheetName val="Cond Receiver Tank"/>
      <sheetName val="Steam Traps"/>
      <sheetName val="Pipe Insulation"/>
      <sheetName val="Vending Miser"/>
      <sheetName val="Infiltration CFM"/>
      <sheetName val="Original U-Value"/>
      <sheetName val="Addition U-Value"/>
      <sheetName val="Window CFM"/>
      <sheetName val="Air Data"/>
      <sheetName val="Window Lookup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5-year Lease"/>
      <sheetName val="Project Report"/>
      <sheetName val="SUM-COST"/>
      <sheetName val="ECM #1"/>
      <sheetName val="ECM #2"/>
      <sheetName val="ECM #3"/>
      <sheetName val="ECM #4"/>
      <sheetName val="ECM #5"/>
      <sheetName val="Module1"/>
      <sheetName val="SUM_COST"/>
      <sheetName val="Contents"/>
      <sheetName val="Var. Vol. Pu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M Summary"/>
      <sheetName val="Summary"/>
      <sheetName val="ROI "/>
      <sheetName val="Block Load Heating &amp; Cooling"/>
      <sheetName val="Walls, Doors &amp; Windows"/>
      <sheetName val="HVAC"/>
      <sheetName val="Lighting"/>
      <sheetName val="Reconcile Thermal"/>
      <sheetName val="ECM-1 Boiler Replacement "/>
      <sheetName val="ECM-1 Cost Est"/>
      <sheetName val="ECM-2 Hot Water Reset"/>
      <sheetName val="ECO-M19 Door Seals"/>
      <sheetName val="ECO-M19 Cost Est"/>
      <sheetName val="ECM-4 Light Replac"/>
      <sheetName val="ECM-5 Motion Sens."/>
      <sheetName val="ECM-2 Cost Est"/>
      <sheetName val="ECM-3 Prem Motors"/>
      <sheetName val="ECM-4 VSD"/>
      <sheetName val="ECM-3B HW Pump VFD "/>
      <sheetName val="ECM-4 Cost"/>
      <sheetName val="ECM-5 DCV"/>
      <sheetName val="ECM-5 Cost Est"/>
      <sheetName val="ECM-6 ERV"/>
      <sheetName val="ECM-6 Cost Est"/>
      <sheetName val="ECM-7 Chiller Load Sharing"/>
      <sheetName val="ECM-7 Cost Est"/>
      <sheetName val="ECM-7 Door Seals"/>
      <sheetName val="ECM-7 Door Seal Cost"/>
      <sheetName val="Light_Table"/>
      <sheetName val="Cost_Table"/>
      <sheetName val="ECM-8 Light Occupancy Sensors"/>
      <sheetName val="ECM-9 Occ Sensor VAV Control"/>
      <sheetName val="ECM-9 Cost Est"/>
      <sheetName val="Fan HP"/>
      <sheetName val="P4P Incentive"/>
      <sheetName val="Energy Star"/>
      <sheetName val="Existing Lighting"/>
      <sheetName val="lighting Operating Hours"/>
      <sheetName val="NYSERDA fixture codes"/>
      <sheetName val="Light Cost Table"/>
      <sheetName val="EPA Portfolio Manager"/>
      <sheetName val="Revisions"/>
      <sheetName val="Bin Weather_Annual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 refreshError="1"/>
      <sheetData sheetId="41" refreshError="1"/>
      <sheetData sheetId="42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ock Load Heating &amp; Cooling"/>
      <sheetName val="U values"/>
      <sheetName val="Wall Const"/>
      <sheetName val="Roof Const"/>
      <sheetName val="Walls, Doors &amp; Windows"/>
      <sheetName val="HVAC"/>
      <sheetName val="Lighting"/>
      <sheetName val="Reconcile Thermal"/>
      <sheetName val="M1 Setback"/>
      <sheetName val="M2 Night Shutdown"/>
      <sheetName val="M2 Cost"/>
      <sheetName val="M3A Boiler-Std"/>
      <sheetName val="M3B Boiler-Detailed"/>
      <sheetName val="M3 Cost"/>
      <sheetName val="M4A HW Pump VFD "/>
      <sheetName val="M4B CHW Pump VFD"/>
      <sheetName val="M4 Cost"/>
      <sheetName val="M5 VAV Conv."/>
      <sheetName val="M5 Cost"/>
      <sheetName val="M6 Fan VFD "/>
      <sheetName val="M6 Cost"/>
      <sheetName val="M7 Enthl Econ"/>
      <sheetName val="M7 Cost"/>
      <sheetName val="M8A DCV-Std"/>
      <sheetName val="8B DCV-Detail"/>
      <sheetName val="M8 Cost"/>
      <sheetName val="M9 VAV Fume Hood"/>
      <sheetName val="M9 Cost"/>
      <sheetName val="M10 Heat Ex"/>
      <sheetName val="M10 Cost"/>
      <sheetName val="M11 Heat Pipe"/>
      <sheetName val="M11 Cost"/>
      <sheetName val="M12 Heat Pipe Coil"/>
      <sheetName val="M12 Cost"/>
      <sheetName val="M13 Dishwasher Waste Heat"/>
      <sheetName val="M13 Cost"/>
      <sheetName val="M14A Gas DHW Heater"/>
      <sheetName val="M14B Elect DHW Heater"/>
      <sheetName val="M14 Cost"/>
      <sheetName val="M15 DHW Heat Pump"/>
      <sheetName val="M15 Cost"/>
      <sheetName val="M16 Pipe Insulation"/>
      <sheetName val="M16 Cost"/>
      <sheetName val="M17 Prem Motors"/>
      <sheetName val="ECO-M17 O&amp;M"/>
      <sheetName val="M18 Replace Window Units"/>
      <sheetName val="M18 Cost"/>
      <sheetName val="M19 Kitchen Hood"/>
      <sheetName val="M19 Cost Est"/>
      <sheetName val="M20 Infrared Htrs-Main"/>
      <sheetName val="M20 Cost"/>
      <sheetName val="M21 Blinds"/>
      <sheetName val="M21 Cost"/>
      <sheetName val="M22 Pool Cover"/>
      <sheetName val="M22 Cost"/>
      <sheetName val="M23 Windows"/>
      <sheetName val="M23 Cost"/>
      <sheetName val="M24A Door Seals"/>
      <sheetName val="M24B Door Seals"/>
      <sheetName val="M24 Cost"/>
      <sheetName val="M25 Wall Insul"/>
      <sheetName val="M25 Cost"/>
      <sheetName val="M26 Roof Insul"/>
      <sheetName val="M26 Cost"/>
      <sheetName val="W1 Urinals"/>
      <sheetName val="W2 Waterless Ur"/>
      <sheetName val="W3 Toilets"/>
      <sheetName val="W4 Toilets Dual Flsh"/>
      <sheetName val="W5 Faucets"/>
      <sheetName val="W6 Aerators"/>
      <sheetName val="E1 EFL Form"/>
      <sheetName val="E2 Light Replac"/>
      <sheetName val="E3 Exit signs"/>
      <sheetName val="E3 Cost"/>
      <sheetName val="E4 Delamp"/>
      <sheetName val="E4 Cost"/>
      <sheetName val="E5 Ext Light Replac"/>
      <sheetName val="E6 Motion Sens."/>
      <sheetName val="E7 Daylighting"/>
      <sheetName val="E7 Lighting Bin Data"/>
      <sheetName val="E8 Ext Motion"/>
      <sheetName val="E9 Ext Photo"/>
      <sheetName val="E10 O&amp;M"/>
      <sheetName val="Cost_Table"/>
      <sheetName val="Revisions"/>
      <sheetName val="Watt_Table - 2009"/>
      <sheetName val="Watt_Table - 2011"/>
      <sheetName val="Fixture Code Legend"/>
      <sheetName val="ECM-E11 Add Solar Panels"/>
      <sheetName val="Bin Weather_Annu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oiler Replacement "/>
      <sheetName val="Over-Heating and Night Setback"/>
      <sheetName val="Block Load Heating &amp; Cooling"/>
      <sheetName val="Walls, Doors &amp; Windows"/>
      <sheetName val="HVAC"/>
      <sheetName val="EMS Night Shutdown"/>
      <sheetName val="Replace Door Seal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"/>
      <sheetName val="Econ-Evap A"/>
      <sheetName val="Econ-Evap B"/>
      <sheetName val="Door Heater "/>
      <sheetName val="VendCooler "/>
      <sheetName val="Door Closer Estimator"/>
      <sheetName val="COST-ROI - Do Not Use "/>
      <sheetName val="35% - Large C&amp;I Sheet"/>
      <sheetName val="WMECO Small Biz Summary"/>
      <sheetName val="WMECO Summary-Do Not Send"/>
      <sheetName val="Job Info "/>
      <sheetName val="Summary - Do not Use"/>
      <sheetName val="NEES Evap Fans - Part II "/>
      <sheetName val="TempHours 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"/>
      <sheetName val="Econ-Evap A"/>
      <sheetName val="Econ-Evap B"/>
      <sheetName val="Door Heater "/>
      <sheetName val="VendCooler "/>
      <sheetName val="Door Closer Estimator"/>
      <sheetName val="COST-ROI - Do Not Use "/>
      <sheetName val="35% - Large C&amp;I Sheet"/>
      <sheetName val="WMECO Small Biz Summary"/>
      <sheetName val="WMECO Summary-Do Not Send"/>
      <sheetName val="Job Info "/>
      <sheetName val="Summary - Do not Use"/>
      <sheetName val="NEES Evap Fans - Part II "/>
      <sheetName val="TempHours 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ork Flr_Fans"/>
      <sheetName val="EMSSAV_AHU 6-7"/>
      <sheetName val="VAVSAV_AHU 6_7"/>
      <sheetName val="Infiltr_8x8"/>
      <sheetName val="Waste oil heater for VMF"/>
      <sheetName val="HVAC Eq.Schedule"/>
      <sheetName val="Annual_Weather"/>
      <sheetName val="Weather_Offices_Proposed"/>
      <sheetName val="Weather_Offices_Current"/>
      <sheetName val="Weather_VMF"/>
      <sheetName val="Utility Data"/>
      <sheetName val="Savings Sheet"/>
      <sheetName val="Weather_Office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s"/>
      <sheetName val="misc."/>
      <sheetName val="ANALYSIS"/>
      <sheetName val="TOOLS"/>
      <sheetName val="Summaries"/>
      <sheetName val="Air Costs"/>
      <sheetName val="vs Theory"/>
      <sheetName val="vs Theory2"/>
      <sheetName val="Cooling"/>
      <sheetName val="Combo Dryers"/>
      <sheetName val="Storage"/>
      <sheetName val="drain"/>
      <sheetName val="BlowoffData"/>
      <sheetName val="OptimizeStorage"/>
      <sheetName val="Unloading"/>
      <sheetName val="Press.Loss"/>
      <sheetName val="Centrifugal"/>
      <sheetName val="Press.Ctrl."/>
      <sheetName val="Pressure Check"/>
      <sheetName val="Macros"/>
      <sheetName val="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lock Load Heating &amp; Cooling"/>
      <sheetName val="HVAC"/>
      <sheetName val="Walls, Doors &amp; Windows"/>
      <sheetName val="Reconcile Thermal"/>
      <sheetName val="Lighting &amp; Controls"/>
      <sheetName val="Boiler Replacement "/>
      <sheetName val="EMS Over-Heating"/>
      <sheetName val="EMS Night Setback"/>
      <sheetName val="EMS Night Shutdown"/>
      <sheetName val="Replace Doors or Door Seals"/>
      <sheetName val="Demand Control Vent"/>
      <sheetName val="Hot Water Reset"/>
      <sheetName val="Window Replacement"/>
      <sheetName val="Vending Machines"/>
      <sheetName val="Kitchen Hoo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lock Load Heating &amp; Cooling"/>
      <sheetName val="HVAC"/>
      <sheetName val="Walls, Doors &amp; Windows"/>
      <sheetName val="Reconcile Thermal"/>
      <sheetName val="Lighting &amp; Controls"/>
      <sheetName val="Boiler Replacement "/>
      <sheetName val="EMS Over-Heating"/>
      <sheetName val="EMS Night Setback"/>
      <sheetName val="EMS Night Shutdown"/>
      <sheetName val="Replace Doors or Door Seals"/>
      <sheetName val="Demand Control Vent"/>
      <sheetName val="Hot Water Reset"/>
      <sheetName val="Window Replacement"/>
      <sheetName val="Vending Machines"/>
      <sheetName val="Kitchen Hoo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line"/>
      <sheetName val="Design Days"/>
      <sheetName val="Load Profiles"/>
      <sheetName val="Heating Profiles"/>
      <sheetName val="Cooling Profiles"/>
      <sheetName val="Hourly Load Profile (Chart)"/>
      <sheetName val="Phased Loads"/>
      <sheetName val="E - Midrise Apartment"/>
      <sheetName val="E - Retail"/>
      <sheetName val="E - Medium Office"/>
      <sheetName val="E - Classroom"/>
      <sheetName val="N - Midrise Apartment"/>
      <sheetName val="N - Retail"/>
      <sheetName val="Large Office"/>
      <sheetName val="Large Hotel"/>
      <sheetName val="Retail-Stripmall"/>
      <sheetName val="1MS"/>
      <sheetName val="Building Types"/>
    </sheetNames>
    <sheetDataSet>
      <sheetData sheetId="0"/>
      <sheetData sheetId="1"/>
      <sheetData sheetId="2"/>
      <sheetData sheetId="3">
        <row r="18">
          <cell r="BB18">
            <v>153.1267599458545</v>
          </cell>
        </row>
        <row r="19">
          <cell r="F19">
            <v>752.50616036051213</v>
          </cell>
          <cell r="M19">
            <v>1119.5078412751584</v>
          </cell>
          <cell r="O19">
            <v>1189.2120766056512</v>
          </cell>
          <cell r="R19">
            <v>1626.7412584263961</v>
          </cell>
          <cell r="V19">
            <v>903.42808484364286</v>
          </cell>
          <cell r="AA19">
            <v>1336.9322198138561</v>
          </cell>
        </row>
      </sheetData>
      <sheetData sheetId="4">
        <row r="18">
          <cell r="BB18">
            <v>12092.285495836893</v>
          </cell>
        </row>
        <row r="21">
          <cell r="F21">
            <v>638150.61182164354</v>
          </cell>
          <cell r="M21">
            <v>949380.4190341871</v>
          </cell>
          <cell r="O21">
            <v>109323.52575301127</v>
          </cell>
          <cell r="R21">
            <v>1379531.4696732562</v>
          </cell>
          <cell r="V21">
            <v>162228.26948712402</v>
          </cell>
          <cell r="AA21">
            <v>142148.93553957224</v>
          </cell>
        </row>
      </sheetData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line"/>
      <sheetName val="Design Days"/>
      <sheetName val="Load Profiles"/>
      <sheetName val="Heating Profiles"/>
      <sheetName val="Cooling Profiles"/>
      <sheetName val="Hourly Load Profile (Chart)"/>
      <sheetName val="E - Midrise Apartment"/>
      <sheetName val="E - Retail"/>
      <sheetName val="E - Medium Office"/>
      <sheetName val="E - Classroom"/>
      <sheetName val="N - Midrise Apartment"/>
      <sheetName val="N - Retail"/>
      <sheetName val="Large Office"/>
      <sheetName val="Large Hotel"/>
      <sheetName val="Retail-Stripmall"/>
      <sheetName val="1MS"/>
      <sheetName val="Building Types"/>
      <sheetName val="Load Profile"/>
    </sheetNames>
    <sheetDataSet>
      <sheetData sheetId="0" refreshError="1"/>
      <sheetData sheetId="1" refreshError="1"/>
      <sheetData sheetId="2" refreshError="1">
        <row r="6">
          <cell r="G6" t="str">
            <v>Barclay Damon</v>
          </cell>
        </row>
        <row r="7">
          <cell r="G7" t="str">
            <v>Barclay Damon</v>
          </cell>
          <cell r="H7" t="str">
            <v>One Clinton Square</v>
          </cell>
          <cell r="I7" t="str">
            <v>Atrium</v>
          </cell>
          <cell r="J7" t="str">
            <v>State Tower</v>
          </cell>
          <cell r="K7" t="str">
            <v>Courtyard Marriott</v>
          </cell>
          <cell r="L7" t="str">
            <v>US Social Security Admin</v>
          </cell>
          <cell r="M7" t="str">
            <v>M&amp;T Bank</v>
          </cell>
          <cell r="N7" t="str">
            <v>State Office Building</v>
          </cell>
          <cell r="O7" t="str">
            <v>SU-Warehouse</v>
          </cell>
          <cell r="P7" t="str">
            <v>300 S State St</v>
          </cell>
          <cell r="Q7" t="str">
            <v>Key Bank Building</v>
          </cell>
          <cell r="R7" t="str">
            <v>100 East Washington St</v>
          </cell>
          <cell r="S7" t="str">
            <v>Ramboll</v>
          </cell>
          <cell r="T7" t="str">
            <v>City Hall</v>
          </cell>
          <cell r="U7" t="str">
            <v>1 Lincoln Center</v>
          </cell>
          <cell r="V7" t="str">
            <v>SUNY Oswego MetroCenter</v>
          </cell>
          <cell r="W7" t="str">
            <v>217 Montgomery St</v>
          </cell>
          <cell r="X7" t="str">
            <v>City Hall Commons</v>
          </cell>
          <cell r="Y7" t="str">
            <v>Salinas Place</v>
          </cell>
          <cell r="Z7" t="str">
            <v>AXA Towers</v>
          </cell>
          <cell r="AA7" t="str">
            <v>Onondaga County DH&amp;C Plant</v>
          </cell>
          <cell r="AB7" t="str">
            <v>Hotel Syracuse</v>
          </cell>
          <cell r="AC7" t="str">
            <v>Tech Garden</v>
          </cell>
          <cell r="AD7" t="str">
            <v>Bank of America</v>
          </cell>
          <cell r="AE7" t="str">
            <v>Clinton Exchange</v>
          </cell>
          <cell r="AF7" t="str">
            <v>National Grid</v>
          </cell>
          <cell r="AG7" t="str">
            <v>Post Standard</v>
          </cell>
          <cell r="AH7" t="str">
            <v>Galleries of Syracuse</v>
          </cell>
          <cell r="AI7" t="str">
            <v>100 Clinton Sq</v>
          </cell>
          <cell r="AJ7" t="str">
            <v>City of Syr Criminal Court House</v>
          </cell>
          <cell r="AK7" t="str">
            <v>550 Harrison Building</v>
          </cell>
          <cell r="AL7" t="str">
            <v>Jefferson Clinton Hotel</v>
          </cell>
          <cell r="AM7" t="str">
            <v>Sky Armory</v>
          </cell>
          <cell r="AN7" t="str">
            <v>Clinton Plaza</v>
          </cell>
          <cell r="AO7" t="str">
            <v>MOST</v>
          </cell>
          <cell r="AP7" t="str">
            <v>600 Montgomery St</v>
          </cell>
          <cell r="AQ7" t="str">
            <v>SU-Peck Hall</v>
          </cell>
          <cell r="AR7" t="str">
            <v>Parcel 1</v>
          </cell>
          <cell r="AS7" t="str">
            <v>Parcel 2</v>
          </cell>
          <cell r="AT7" t="str">
            <v>Parcel 3</v>
          </cell>
          <cell r="AU7" t="str">
            <v>Parcel 4</v>
          </cell>
          <cell r="AV7" t="str">
            <v>Parcel 5</v>
          </cell>
          <cell r="AW7" t="str">
            <v>Parcel 6</v>
          </cell>
          <cell r="AX7" t="str">
            <v>Parcel 7</v>
          </cell>
          <cell r="AY7" t="str">
            <v>Parcel 8</v>
          </cell>
          <cell r="AZ7" t="str">
            <v>Parcel 9</v>
          </cell>
          <cell r="BA7" t="str">
            <v>Parcel 10</v>
          </cell>
          <cell r="BB7" t="str">
            <v>Parcel 11</v>
          </cell>
          <cell r="BC7" t="str">
            <v>Parcel 12</v>
          </cell>
          <cell r="BD7" t="str">
            <v>Medical Office Bldg</v>
          </cell>
        </row>
        <row r="8">
          <cell r="G8">
            <v>330000</v>
          </cell>
          <cell r="H8">
            <v>45000</v>
          </cell>
          <cell r="I8">
            <v>170000</v>
          </cell>
          <cell r="J8">
            <v>1200000</v>
          </cell>
          <cell r="K8">
            <v>40000</v>
          </cell>
          <cell r="L8">
            <v>287000</v>
          </cell>
          <cell r="M8">
            <v>365000</v>
          </cell>
          <cell r="N8">
            <v>360000</v>
          </cell>
          <cell r="O8">
            <v>72000</v>
          </cell>
          <cell r="P8">
            <v>252910</v>
          </cell>
          <cell r="Q8">
            <v>132000</v>
          </cell>
          <cell r="R8">
            <v>50000</v>
          </cell>
          <cell r="S8">
            <v>137000</v>
          </cell>
          <cell r="T8">
            <v>84555</v>
          </cell>
          <cell r="U8">
            <v>367500</v>
          </cell>
          <cell r="V8">
            <v>185530</v>
          </cell>
          <cell r="W8">
            <v>50000</v>
          </cell>
          <cell r="X8">
            <v>52957</v>
          </cell>
          <cell r="Y8">
            <v>50000</v>
          </cell>
          <cell r="Z8">
            <v>653177</v>
          </cell>
          <cell r="AA8">
            <v>2516392</v>
          </cell>
          <cell r="AB8">
            <v>720000</v>
          </cell>
          <cell r="AC8">
            <v>35550</v>
          </cell>
          <cell r="AD8">
            <v>40000</v>
          </cell>
          <cell r="AE8">
            <v>180000</v>
          </cell>
          <cell r="AF8">
            <v>511200</v>
          </cell>
          <cell r="AG8">
            <v>179000</v>
          </cell>
          <cell r="AH8">
            <v>219000</v>
          </cell>
          <cell r="AI8">
            <v>120000</v>
          </cell>
          <cell r="AJ8">
            <v>95977</v>
          </cell>
          <cell r="AK8">
            <v>252000</v>
          </cell>
          <cell r="AL8">
            <v>42204</v>
          </cell>
          <cell r="AM8">
            <v>40700</v>
          </cell>
          <cell r="AN8">
            <v>254690</v>
          </cell>
          <cell r="AO8">
            <v>40000</v>
          </cell>
          <cell r="AP8">
            <v>36684</v>
          </cell>
          <cell r="AQ8">
            <v>25920</v>
          </cell>
          <cell r="AR8">
            <v>180000</v>
          </cell>
          <cell r="AS8">
            <v>120000</v>
          </cell>
          <cell r="AT8">
            <v>45000</v>
          </cell>
          <cell r="AU8">
            <v>110000</v>
          </cell>
          <cell r="AV8">
            <v>30000</v>
          </cell>
          <cell r="AW8">
            <v>225000</v>
          </cell>
          <cell r="AX8">
            <v>320000</v>
          </cell>
          <cell r="AY8">
            <v>120000</v>
          </cell>
          <cell r="AZ8">
            <v>60000</v>
          </cell>
          <cell r="BA8">
            <v>160000</v>
          </cell>
          <cell r="BB8">
            <v>270000</v>
          </cell>
          <cell r="BC8">
            <v>85000</v>
          </cell>
          <cell r="BD8">
            <v>25056</v>
          </cell>
        </row>
        <row r="9">
          <cell r="G9" t="str">
            <v>Large Office</v>
          </cell>
          <cell r="H9" t="str">
            <v>Midrise Apartment</v>
          </cell>
          <cell r="I9" t="str">
            <v>Large Office</v>
          </cell>
          <cell r="J9" t="str">
            <v>Large Office</v>
          </cell>
          <cell r="K9" t="str">
            <v>Hotel</v>
          </cell>
          <cell r="L9" t="str">
            <v>Large Office</v>
          </cell>
          <cell r="M9" t="str">
            <v>Large Office</v>
          </cell>
          <cell r="N9" t="str">
            <v>Large Office</v>
          </cell>
          <cell r="O9" t="str">
            <v>Medium Office</v>
          </cell>
          <cell r="P9" t="str">
            <v>Large Office</v>
          </cell>
          <cell r="Q9" t="str">
            <v>Large Office</v>
          </cell>
          <cell r="R9" t="str">
            <v>Midrise Apartment</v>
          </cell>
          <cell r="S9" t="str">
            <v>Large Office</v>
          </cell>
          <cell r="T9" t="str">
            <v>Medium Office</v>
          </cell>
          <cell r="U9" t="str">
            <v>Large Office</v>
          </cell>
          <cell r="V9" t="str">
            <v>Large Office</v>
          </cell>
          <cell r="W9" t="str">
            <v>Medium Office</v>
          </cell>
          <cell r="X9" t="str">
            <v>Medium Office</v>
          </cell>
          <cell r="Y9" t="str">
            <v>Midrise Apartment</v>
          </cell>
          <cell r="Z9" t="str">
            <v>Large Office</v>
          </cell>
          <cell r="AA9" t="str">
            <v>Large Office</v>
          </cell>
          <cell r="AB9" t="str">
            <v>Hotel</v>
          </cell>
          <cell r="AC9" t="str">
            <v>Medium Office</v>
          </cell>
          <cell r="AD9" t="str">
            <v>Midrise Apartment</v>
          </cell>
          <cell r="AE9" t="str">
            <v>Large Office</v>
          </cell>
          <cell r="AF9" t="str">
            <v>Large Office</v>
          </cell>
          <cell r="AG9" t="str">
            <v>Large Office</v>
          </cell>
          <cell r="AH9" t="str">
            <v>Large Office</v>
          </cell>
          <cell r="AI9" t="str">
            <v>Large Office</v>
          </cell>
          <cell r="AJ9" t="str">
            <v>Medium Office</v>
          </cell>
          <cell r="AK9" t="str">
            <v>Retail</v>
          </cell>
          <cell r="AL9" t="str">
            <v>Hotel</v>
          </cell>
          <cell r="AM9" t="str">
            <v>Medium Office</v>
          </cell>
          <cell r="AN9" t="str">
            <v>Midrise Apartment</v>
          </cell>
          <cell r="AO9" t="str">
            <v>Medium Office</v>
          </cell>
          <cell r="AP9" t="str">
            <v>Medium Office</v>
          </cell>
          <cell r="AQ9" t="str">
            <v>Medium Office</v>
          </cell>
          <cell r="AR9" t="str">
            <v>Medium Office</v>
          </cell>
          <cell r="AS9" t="str">
            <v>Retail</v>
          </cell>
          <cell r="AT9" t="str">
            <v>Midrise Apartment</v>
          </cell>
          <cell r="AU9" t="str">
            <v>Retail</v>
          </cell>
          <cell r="AV9" t="str">
            <v>Midrise Apartment</v>
          </cell>
          <cell r="AW9" t="str">
            <v>Midrise Apartment</v>
          </cell>
          <cell r="AX9" t="str">
            <v>Retail</v>
          </cell>
          <cell r="AY9" t="str">
            <v>Midrise Apartment</v>
          </cell>
          <cell r="AZ9" t="str">
            <v>Midrise Apartment</v>
          </cell>
          <cell r="BA9" t="str">
            <v>Midrise Apartment</v>
          </cell>
          <cell r="BB9" t="str">
            <v>Retail</v>
          </cell>
          <cell r="BC9" t="str">
            <v>Classroom</v>
          </cell>
          <cell r="BD9" t="str">
            <v>Retail</v>
          </cell>
        </row>
      </sheetData>
      <sheetData sheetId="3" refreshError="1">
        <row r="17">
          <cell r="E17">
            <v>2.3880636687810664</v>
          </cell>
        </row>
        <row r="18">
          <cell r="E18">
            <v>973.8315016430156</v>
          </cell>
          <cell r="F18">
            <v>1876.1928423533268</v>
          </cell>
          <cell r="G18">
            <v>501.67077357367486</v>
          </cell>
          <cell r="H18">
            <v>3541.2054605200524</v>
          </cell>
          <cell r="I18">
            <v>1420.0590428715707</v>
          </cell>
          <cell r="J18">
            <v>846.93830597437852</v>
          </cell>
          <cell r="K18">
            <v>1077.1166609081836</v>
          </cell>
          <cell r="L18">
            <v>1062.3616381560157</v>
          </cell>
          <cell r="M18">
            <v>702.79371682440569</v>
          </cell>
          <cell r="N18">
            <v>746.33856085010507</v>
          </cell>
          <cell r="O18">
            <v>389.53260065720536</v>
          </cell>
          <cell r="P18">
            <v>2147.897627787042</v>
          </cell>
          <cell r="Q18">
            <v>404.2876234093726</v>
          </cell>
          <cell r="R18">
            <v>825.34337119565976</v>
          </cell>
          <cell r="S18">
            <v>1084.4941722842671</v>
          </cell>
          <cell r="T18">
            <v>547.49987424190431</v>
          </cell>
          <cell r="U18">
            <v>488.05119223916927</v>
          </cell>
          <cell r="V18">
            <v>516.91453974819456</v>
          </cell>
          <cell r="W18">
            <v>1611.3749618875681</v>
          </cell>
          <cell r="X18">
            <v>1927.5282992384205</v>
          </cell>
          <cell r="Y18">
            <v>7425.8842426741576</v>
          </cell>
          <cell r="Z18">
            <v>25561.062771688245</v>
          </cell>
          <cell r="AA18">
            <v>347.00439768204996</v>
          </cell>
          <cell r="AB18">
            <v>1752.0455230621615</v>
          </cell>
          <cell r="AC18">
            <v>531.18081907800786</v>
          </cell>
          <cell r="AD18">
            <v>1508.5535261815444</v>
          </cell>
          <cell r="AE18">
            <v>528.22981452757233</v>
          </cell>
          <cell r="AF18">
            <v>646.26999654490987</v>
          </cell>
          <cell r="AG18">
            <v>354.12054605200569</v>
          </cell>
          <cell r="AH18">
            <v>936.83378555077786</v>
          </cell>
          <cell r="AI18">
            <v>9975.4730390661898</v>
          </cell>
          <cell r="AJ18">
            <v>1498.3042961337962</v>
          </cell>
          <cell r="AK18">
            <v>397.27367048268582</v>
          </cell>
          <cell r="AL18">
            <v>11155.711856717237</v>
          </cell>
          <cell r="AM18">
            <v>390.44095379133711</v>
          </cell>
          <cell r="AN18">
            <v>358.07339872203443</v>
          </cell>
          <cell r="AO18">
            <v>253.00573805678576</v>
          </cell>
          <cell r="AP18">
            <v>3546.4354897231101</v>
          </cell>
          <cell r="AQ18">
            <v>3725.8948957527941</v>
          </cell>
          <cell r="AR18">
            <v>1907.8122993838629</v>
          </cell>
          <cell r="AS18">
            <v>3415.4036544400687</v>
          </cell>
          <cell r="AT18">
            <v>1271.8748662559433</v>
          </cell>
          <cell r="AU18">
            <v>9855.2560672241816</v>
          </cell>
          <cell r="AV18">
            <v>9935.7197220077269</v>
          </cell>
          <cell r="AW18">
            <v>5256.136569186232</v>
          </cell>
          <cell r="AX18">
            <v>2543.7497325118866</v>
          </cell>
          <cell r="AY18">
            <v>7008.1820922486459</v>
          </cell>
          <cell r="AZ18">
            <v>8383.2635154438231</v>
          </cell>
          <cell r="BA18">
            <v>1613.4141832960281</v>
          </cell>
          <cell r="BB18">
            <v>991.8470335985777</v>
          </cell>
        </row>
      </sheetData>
      <sheetData sheetId="4" refreshError="1">
        <row r="17">
          <cell r="E17">
            <v>309.74201782356636</v>
          </cell>
        </row>
        <row r="19">
          <cell r="E19">
            <v>4226.6591934511625</v>
          </cell>
          <cell r="F19">
            <v>485.01216806102047</v>
          </cell>
          <cell r="G19">
            <v>2177.3698875354476</v>
          </cell>
          <cell r="H19">
            <v>15369.669794367932</v>
          </cell>
          <cell r="I19">
            <v>632.77000837053902</v>
          </cell>
          <cell r="J19">
            <v>3675.9126924863263</v>
          </cell>
          <cell r="K19">
            <v>4674.9412291202343</v>
          </cell>
          <cell r="L19">
            <v>4610.9009383103521</v>
          </cell>
          <cell r="M19">
            <v>1610.7961069050662</v>
          </cell>
          <cell r="N19">
            <v>3239.2859897446465</v>
          </cell>
          <cell r="O19">
            <v>1690.6636773804696</v>
          </cell>
          <cell r="P19">
            <v>373.01186986927445</v>
          </cell>
          <cell r="Q19">
            <v>1754.7039681903398</v>
          </cell>
          <cell r="R19">
            <v>1891.6786780466346</v>
          </cell>
          <cell r="S19">
            <v>4706.9613745251499</v>
          </cell>
          <cell r="T19">
            <v>2376.2790307909022</v>
          </cell>
          <cell r="U19">
            <v>1118.6084075729582</v>
          </cell>
          <cell r="V19">
            <v>1184.7629087968262</v>
          </cell>
          <cell r="W19">
            <v>553.52285549006717</v>
          </cell>
          <cell r="X19">
            <v>8365.9290060632047</v>
          </cell>
          <cell r="Y19">
            <v>32230.095094324159</v>
          </cell>
          <cell r="Z19">
            <v>11389.860150669696</v>
          </cell>
          <cell r="AA19">
            <v>795.33057778437183</v>
          </cell>
          <cell r="AB19">
            <v>209.93454171546517</v>
          </cell>
          <cell r="AC19">
            <v>2305.4504691551761</v>
          </cell>
          <cell r="AD19">
            <v>6547.4793324007142</v>
          </cell>
          <cell r="AE19">
            <v>2292.6424109932036</v>
          </cell>
          <cell r="AF19">
            <v>2804.9647374721389</v>
          </cell>
          <cell r="AG19">
            <v>1536.9669794367921</v>
          </cell>
          <cell r="AH19">
            <v>2147.2135826726021</v>
          </cell>
          <cell r="AI19">
            <v>1580.2591842186334</v>
          </cell>
          <cell r="AJ19">
            <v>667.63563583175426</v>
          </cell>
          <cell r="AK19">
            <v>910.54724376438958</v>
          </cell>
          <cell r="AL19">
            <v>1336.7057107377987</v>
          </cell>
          <cell r="AM19">
            <v>894.88672605836632</v>
          </cell>
          <cell r="AN19">
            <v>820.70061646812803</v>
          </cell>
          <cell r="AO19">
            <v>579.88659848582347</v>
          </cell>
          <cell r="AP19">
            <v>3663.1241470979626</v>
          </cell>
          <cell r="AQ19">
            <v>1757.1305803890682</v>
          </cell>
          <cell r="AR19">
            <v>402.06689851731301</v>
          </cell>
          <cell r="AS19">
            <v>1610.703032023315</v>
          </cell>
          <cell r="AT19">
            <v>268.04459901154235</v>
          </cell>
          <cell r="AU19">
            <v>1180.8817971494891</v>
          </cell>
          <cell r="AV19">
            <v>4685.6815477042046</v>
          </cell>
          <cell r="AW19">
            <v>629.80362514639694</v>
          </cell>
          <cell r="AX19">
            <v>536.08919802308469</v>
          </cell>
          <cell r="AY19">
            <v>839.73816686186069</v>
          </cell>
          <cell r="AZ19">
            <v>3953.5438058754025</v>
          </cell>
          <cell r="BA19">
            <v>1133.8988082306882</v>
          </cell>
          <cell r="BB19">
            <v>157.12291317373848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STACKING 6.07"/>
      <sheetName val="STACKING TWEAKED"/>
      <sheetName val="Abatement "/>
      <sheetName val="Fire Alarm "/>
      <sheetName val="Multi-tenant"/>
      <sheetName val="Graph "/>
      <sheetName val="Macro"/>
    </sheetNames>
    <sheetDataSet>
      <sheetData sheetId="0"/>
      <sheetData sheetId="1"/>
      <sheetData sheetId="2" refreshError="1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x By School"/>
      <sheetName val="All Savings"/>
      <sheetName val="Admin"/>
      <sheetName val="Bus"/>
      <sheetName val="HSMS"/>
      <sheetName val="JHE"/>
      <sheetName val="BCE"/>
      <sheetName val="SE"/>
      <sheetName val="KE"/>
      <sheetName val="LAN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8AB11-F803-48ED-AFA4-ED819DC1AC1E}">
  <sheetPr>
    <tabColor rgb="FF00B050"/>
  </sheetPr>
  <dimension ref="A1:R80"/>
  <sheetViews>
    <sheetView tabSelected="1" view="pageBreakPreview" zoomScaleNormal="100" zoomScaleSheetLayoutView="100" workbookViewId="0">
      <selection activeCell="K26" sqref="K26"/>
    </sheetView>
  </sheetViews>
  <sheetFormatPr defaultRowHeight="15" x14ac:dyDescent="0.25"/>
  <cols>
    <col min="1" max="1" width="18.140625" bestFit="1" customWidth="1"/>
    <col min="2" max="2" width="28.28515625" style="310" bestFit="1" customWidth="1"/>
    <col min="3" max="3" width="12.7109375" bestFit="1" customWidth="1"/>
    <col min="4" max="4" width="17.28515625" bestFit="1" customWidth="1"/>
    <col min="5" max="5" width="12.28515625" bestFit="1" customWidth="1"/>
    <col min="6" max="6" width="13.7109375" bestFit="1" customWidth="1"/>
    <col min="7" max="7" width="15.7109375" bestFit="1" customWidth="1"/>
    <col min="8" max="8" width="13.42578125" bestFit="1" customWidth="1"/>
    <col min="9" max="9" width="11" bestFit="1" customWidth="1"/>
    <col min="10" max="10" width="13.7109375" bestFit="1" customWidth="1"/>
    <col min="12" max="12" width="12" bestFit="1" customWidth="1"/>
    <col min="13" max="13" width="11.28515625" bestFit="1" customWidth="1"/>
    <col min="16" max="16" width="11.28515625" bestFit="1" customWidth="1"/>
  </cols>
  <sheetData>
    <row r="1" spans="1:15" x14ac:dyDescent="0.25">
      <c r="A1" s="282" t="str">
        <f>'Comparison to Load Profile'!A1</f>
        <v>Syracuse District Energy</v>
      </c>
    </row>
    <row r="3" spans="1:15" x14ac:dyDescent="0.25">
      <c r="A3" s="282" t="s">
        <v>34</v>
      </c>
    </row>
    <row r="4" spans="1:15" ht="15.75" thickBot="1" x14ac:dyDescent="0.3"/>
    <row r="5" spans="1:15" ht="15.75" thickBot="1" x14ac:dyDescent="0.3">
      <c r="B5" s="497" t="s">
        <v>2</v>
      </c>
      <c r="C5" s="498"/>
      <c r="D5" s="498"/>
      <c r="E5" s="499"/>
    </row>
    <row r="6" spans="1:15" x14ac:dyDescent="0.25">
      <c r="B6" s="500" t="s">
        <v>3</v>
      </c>
      <c r="C6" s="295" t="s">
        <v>7</v>
      </c>
      <c r="D6" s="290" t="s">
        <v>35</v>
      </c>
      <c r="E6" s="291" t="s">
        <v>36</v>
      </c>
    </row>
    <row r="7" spans="1:15" ht="15.75" thickBot="1" x14ac:dyDescent="0.3">
      <c r="B7" s="501"/>
      <c r="C7" s="298" t="s">
        <v>9</v>
      </c>
      <c r="D7" s="299" t="s">
        <v>37</v>
      </c>
      <c r="E7" s="300" t="s">
        <v>38</v>
      </c>
      <c r="K7" s="373"/>
      <c r="M7" s="373"/>
      <c r="O7" s="373"/>
    </row>
    <row r="8" spans="1:15" x14ac:dyDescent="0.25">
      <c r="A8" s="424" t="s">
        <v>10</v>
      </c>
      <c r="B8" s="311" t="str">
        <f>'Salina Elec'!A2</f>
        <v>Salina</v>
      </c>
      <c r="C8" s="301">
        <f>'Salina Elec'!C23</f>
        <v>774000</v>
      </c>
      <c r="D8" s="304">
        <f>'Salina Elec'!K23</f>
        <v>71667.315000000002</v>
      </c>
      <c r="E8" s="372">
        <f>D8/C8</f>
        <v>9.2593430232558144E-2</v>
      </c>
      <c r="I8" s="287"/>
      <c r="K8" s="376"/>
      <c r="L8" s="375"/>
      <c r="M8" s="247"/>
      <c r="N8" s="247"/>
      <c r="O8" s="247"/>
    </row>
    <row r="9" spans="1:15" x14ac:dyDescent="0.25">
      <c r="A9" s="495" t="s">
        <v>12</v>
      </c>
      <c r="B9" s="370" t="str">
        <f>'224 Harrison Elec'!A2</f>
        <v>224 Harrison</v>
      </c>
      <c r="C9" s="302">
        <f>'224 Harrison Elec'!C24</f>
        <v>1312716.4000000001</v>
      </c>
      <c r="D9" s="289">
        <f>'224 Harrison Elec'!V24</f>
        <v>111403.005</v>
      </c>
      <c r="E9" s="292">
        <f t="shared" ref="E9:E14" si="0">D9/C9</f>
        <v>8.4864487866533847E-2</v>
      </c>
      <c r="I9" s="287"/>
      <c r="K9" s="376"/>
      <c r="L9" s="375"/>
      <c r="M9" s="247"/>
      <c r="N9" s="247"/>
      <c r="O9" s="247"/>
    </row>
    <row r="10" spans="1:15" x14ac:dyDescent="0.25">
      <c r="A10" s="424" t="s">
        <v>13</v>
      </c>
      <c r="B10" s="370" t="str">
        <f>'White Memorial Elec'!A2</f>
        <v>White Memorial</v>
      </c>
      <c r="C10" s="302">
        <f>'White Memorial Elec'!C23</f>
        <v>433500</v>
      </c>
      <c r="D10" s="289">
        <f>'White Memorial Elec'!K23</f>
        <v>37462.380000000005</v>
      </c>
      <c r="E10" s="292">
        <f t="shared" si="0"/>
        <v>8.6418408304498276E-2</v>
      </c>
      <c r="I10" s="287"/>
      <c r="K10" s="376"/>
      <c r="L10" s="375"/>
      <c r="M10" s="247"/>
      <c r="N10" s="247"/>
      <c r="O10" s="247"/>
    </row>
    <row r="11" spans="1:15" x14ac:dyDescent="0.25">
      <c r="A11" s="424" t="s">
        <v>14</v>
      </c>
      <c r="B11" s="370" t="str">
        <f>'1 Clinton Sq Elec'!A2</f>
        <v>One Clinton Square</v>
      </c>
      <c r="C11" s="302">
        <f>'1 Clinton Sq Elec'!C22</f>
        <v>740400</v>
      </c>
      <c r="D11" s="289">
        <f>'1 Clinton Sq Elec'!W22</f>
        <v>64748.540000000008</v>
      </c>
      <c r="E11" s="292">
        <f t="shared" si="0"/>
        <v>8.7450756347920058E-2</v>
      </c>
      <c r="I11" s="287"/>
      <c r="K11" s="376"/>
      <c r="L11" s="375"/>
      <c r="M11" s="247"/>
      <c r="N11" s="247"/>
      <c r="O11" s="247"/>
    </row>
    <row r="12" spans="1:15" x14ac:dyDescent="0.25">
      <c r="A12" s="424" t="s">
        <v>15</v>
      </c>
      <c r="B12" s="370" t="str">
        <f>'Atrium Elec'!A2</f>
        <v>Atrium</v>
      </c>
      <c r="C12" s="302">
        <f>'Atrium Elec'!C22</f>
        <v>3937901.2</v>
      </c>
      <c r="D12" s="289">
        <f>'Atrium Elec'!X22</f>
        <v>315609.70499999996</v>
      </c>
      <c r="E12" s="292">
        <f t="shared" si="0"/>
        <v>8.0146679403739221E-2</v>
      </c>
      <c r="I12" s="287"/>
      <c r="K12" s="376"/>
      <c r="L12" s="375"/>
      <c r="M12" s="247"/>
      <c r="N12" s="247"/>
      <c r="O12" s="247"/>
    </row>
    <row r="13" spans="1:15" x14ac:dyDescent="0.25">
      <c r="A13" s="424" t="s">
        <v>17</v>
      </c>
      <c r="B13" s="370" t="s">
        <v>18</v>
      </c>
      <c r="C13" s="302">
        <f>'One Lincoln Center Electric'!B19</f>
        <v>4776603</v>
      </c>
      <c r="D13" s="289">
        <f>'One Lincoln Center Electric'!C19</f>
        <v>364727.88</v>
      </c>
      <c r="E13" s="292">
        <f t="shared" si="0"/>
        <v>7.6357168473075956E-2</v>
      </c>
      <c r="I13" s="287"/>
      <c r="K13" s="376"/>
      <c r="L13" s="375"/>
      <c r="M13" s="247"/>
      <c r="N13" s="247"/>
      <c r="O13" s="247"/>
    </row>
    <row r="14" spans="1:15" ht="15.75" thickBot="1" x14ac:dyDescent="0.3">
      <c r="A14" s="424" t="s">
        <v>19</v>
      </c>
      <c r="B14" s="371" t="s">
        <v>20</v>
      </c>
      <c r="C14" s="303">
        <f>'One Park Place Electric'!B18</f>
        <v>2707187</v>
      </c>
      <c r="D14" s="293">
        <f>'One Park Place Electric'!C18</f>
        <v>239499.06000000003</v>
      </c>
      <c r="E14" s="294">
        <f t="shared" si="0"/>
        <v>8.8467867199421402E-2</v>
      </c>
      <c r="I14" s="287"/>
      <c r="K14" s="376"/>
      <c r="L14" s="375"/>
      <c r="M14" s="247"/>
      <c r="N14" s="247"/>
      <c r="O14" s="247"/>
    </row>
    <row r="15" spans="1:15" x14ac:dyDescent="0.25">
      <c r="A15" s="495"/>
      <c r="E15" s="378">
        <f>AVERAGE(E8:E14)</f>
        <v>8.5185542546820994E-2</v>
      </c>
    </row>
    <row r="16" spans="1:15" ht="15.75" thickBot="1" x14ac:dyDescent="0.3">
      <c r="A16" s="495"/>
    </row>
    <row r="17" spans="1:18" ht="15.75" thickBot="1" x14ac:dyDescent="0.3">
      <c r="A17" s="495"/>
      <c r="B17" s="497" t="s">
        <v>39</v>
      </c>
      <c r="C17" s="498"/>
      <c r="D17" s="498"/>
      <c r="E17" s="499"/>
    </row>
    <row r="18" spans="1:18" x14ac:dyDescent="0.25">
      <c r="A18" s="495"/>
      <c r="B18" s="500" t="s">
        <v>3</v>
      </c>
      <c r="C18" s="295" t="s">
        <v>7</v>
      </c>
      <c r="D18" s="290" t="s">
        <v>35</v>
      </c>
      <c r="E18" s="291" t="s">
        <v>40</v>
      </c>
      <c r="P18" s="373"/>
      <c r="R18" s="373"/>
    </row>
    <row r="19" spans="1:18" ht="15.75" thickBot="1" x14ac:dyDescent="0.3">
      <c r="A19" s="495"/>
      <c r="B19" s="501"/>
      <c r="C19" s="298" t="s">
        <v>24</v>
      </c>
      <c r="D19" s="299" t="s">
        <v>37</v>
      </c>
      <c r="E19" s="300" t="s">
        <v>41</v>
      </c>
      <c r="K19" s="377"/>
      <c r="L19" s="374"/>
      <c r="M19" s="308"/>
      <c r="N19" s="96"/>
      <c r="P19" s="96"/>
      <c r="Q19" s="96"/>
      <c r="R19" s="96"/>
    </row>
    <row r="20" spans="1:18" x14ac:dyDescent="0.25">
      <c r="A20" s="424" t="s">
        <v>10</v>
      </c>
      <c r="B20" s="311" t="str">
        <f>B8</f>
        <v>Salina</v>
      </c>
      <c r="C20" s="301">
        <f>'Salina Gas'!C23</f>
        <v>675.96</v>
      </c>
      <c r="D20" s="304">
        <f>'Salina Gas'!U23</f>
        <v>3753.0199999999995</v>
      </c>
      <c r="E20" s="107">
        <f>D20/C20</f>
        <v>5.5521332623232134</v>
      </c>
      <c r="K20" s="377"/>
      <c r="M20" s="308"/>
      <c r="N20" s="96"/>
      <c r="P20" s="96"/>
      <c r="Q20" s="96"/>
      <c r="R20" s="96"/>
    </row>
    <row r="21" spans="1:18" x14ac:dyDescent="0.25">
      <c r="A21" s="495" t="s">
        <v>12</v>
      </c>
      <c r="B21" s="370" t="str">
        <f>B9</f>
        <v>224 Harrison</v>
      </c>
      <c r="C21" s="302">
        <f>'224 Harrison Gas '!J22</f>
        <v>4586.8999999999996</v>
      </c>
      <c r="D21" s="289">
        <f>'224 Harrison Gas '!U22</f>
        <v>23617.16</v>
      </c>
      <c r="E21" s="109">
        <f t="shared" ref="E21:E26" si="1">D21/C21</f>
        <v>5.148828184612702</v>
      </c>
      <c r="K21" s="377"/>
      <c r="M21" s="308"/>
      <c r="N21" s="96"/>
      <c r="P21" s="96"/>
      <c r="Q21" s="96"/>
      <c r="R21" s="96"/>
    </row>
    <row r="22" spans="1:18" x14ac:dyDescent="0.25">
      <c r="A22" s="424" t="s">
        <v>13</v>
      </c>
      <c r="B22" s="370" t="str">
        <f>B10</f>
        <v>White Memorial</v>
      </c>
      <c r="C22" s="302">
        <f>'White Memorial Gas'!J22</f>
        <v>875.5</v>
      </c>
      <c r="D22" s="289">
        <f>'White Memorial Gas'!U22</f>
        <v>5393.07</v>
      </c>
      <c r="E22" s="109">
        <f t="shared" si="1"/>
        <v>6.1599885779554535</v>
      </c>
    </row>
    <row r="23" spans="1:18" x14ac:dyDescent="0.25">
      <c r="A23" s="424" t="s">
        <v>14</v>
      </c>
      <c r="B23" s="370" t="str">
        <f>B11</f>
        <v>One Clinton Square</v>
      </c>
      <c r="C23" s="302">
        <f>'1 Clinton Sq Gas'!C22</f>
        <v>3094.232</v>
      </c>
      <c r="D23" s="289">
        <f>'1 Clinton Sq Gas'!V22</f>
        <v>15985.775000000001</v>
      </c>
      <c r="E23" s="109">
        <f t="shared" si="1"/>
        <v>5.1663142905897175</v>
      </c>
    </row>
    <row r="24" spans="1:18" x14ac:dyDescent="0.25">
      <c r="A24" s="424" t="s">
        <v>15</v>
      </c>
      <c r="B24" s="370" t="str">
        <f>B12</f>
        <v>Atrium</v>
      </c>
      <c r="C24" s="302">
        <f>'Atrium Gas'!C22</f>
        <v>3674.4399999999996</v>
      </c>
      <c r="D24" s="289">
        <f>'Atrium Gas'!V22</f>
        <v>19210.289999999997</v>
      </c>
      <c r="E24" s="109">
        <f t="shared" si="1"/>
        <v>5.2280864567117709</v>
      </c>
    </row>
    <row r="25" spans="1:18" x14ac:dyDescent="0.25">
      <c r="A25" s="424" t="s">
        <v>17</v>
      </c>
      <c r="B25" s="370" t="s">
        <v>18</v>
      </c>
      <c r="C25" s="302">
        <f>'One Lincoln Center Gas'!B19</f>
        <v>13710.5</v>
      </c>
      <c r="D25" s="289">
        <f>'One Lincoln Center Gas'!C18</f>
        <v>85679.32</v>
      </c>
      <c r="E25" s="109">
        <f t="shared" si="1"/>
        <v>6.2491754494730323</v>
      </c>
    </row>
    <row r="26" spans="1:18" ht="15.75" thickBot="1" x14ac:dyDescent="0.3">
      <c r="A26" s="424" t="s">
        <v>19</v>
      </c>
      <c r="B26" s="371" t="s">
        <v>20</v>
      </c>
      <c r="C26" s="303">
        <f>'One Park Place Gas'!B19</f>
        <v>1725</v>
      </c>
      <c r="D26" s="293">
        <f>'One Park Place Gas'!C18</f>
        <v>10517.63</v>
      </c>
      <c r="E26" s="111">
        <f t="shared" si="1"/>
        <v>6.0971768115942027</v>
      </c>
    </row>
    <row r="27" spans="1:18" x14ac:dyDescent="0.25">
      <c r="A27" s="495"/>
      <c r="E27" s="247">
        <f>AVERAGE(E20:E26)</f>
        <v>5.6573861476085847</v>
      </c>
    </row>
    <row r="28" spans="1:18" x14ac:dyDescent="0.25">
      <c r="A28" s="459"/>
      <c r="B28" s="456"/>
      <c r="C28" s="455"/>
      <c r="D28" s="455"/>
      <c r="E28" s="457"/>
      <c r="F28" s="455"/>
      <c r="G28" s="455"/>
      <c r="H28" s="455"/>
      <c r="I28" s="455"/>
      <c r="J28" s="455"/>
      <c r="K28" s="455"/>
      <c r="L28" s="455"/>
    </row>
    <row r="29" spans="1:18" x14ac:dyDescent="0.25">
      <c r="A29" s="424" t="s">
        <v>25</v>
      </c>
      <c r="B29" s="458"/>
      <c r="C29" s="458"/>
      <c r="D29" s="458"/>
      <c r="E29" s="458"/>
      <c r="F29" s="458"/>
      <c r="G29" s="458"/>
      <c r="H29" s="458"/>
      <c r="I29" s="458"/>
      <c r="J29" s="458"/>
      <c r="K29" s="458"/>
      <c r="L29" s="458"/>
    </row>
    <row r="30" spans="1:18" x14ac:dyDescent="0.25">
      <c r="A30" s="455"/>
      <c r="B30" s="458"/>
      <c r="C30" s="458"/>
      <c r="D30" s="458"/>
      <c r="E30" s="455"/>
      <c r="F30" s="455"/>
      <c r="G30" s="455"/>
      <c r="H30" s="455"/>
      <c r="I30" s="455"/>
      <c r="J30" s="458"/>
      <c r="K30" s="458"/>
      <c r="L30" s="458"/>
    </row>
    <row r="31" spans="1:18" x14ac:dyDescent="0.25">
      <c r="A31" s="455"/>
      <c r="B31" s="458"/>
      <c r="C31" s="458"/>
      <c r="D31" s="458"/>
      <c r="E31" s="459"/>
      <c r="F31" s="459"/>
      <c r="G31" s="459"/>
      <c r="H31" s="459"/>
      <c r="I31" s="459"/>
      <c r="J31" s="459"/>
      <c r="K31" s="459"/>
      <c r="L31" s="459"/>
    </row>
    <row r="32" spans="1:18" x14ac:dyDescent="0.25">
      <c r="A32" s="455"/>
      <c r="B32" s="456"/>
      <c r="C32" s="460"/>
      <c r="D32" s="459"/>
      <c r="E32" s="460"/>
      <c r="F32" s="460"/>
      <c r="G32" s="461"/>
      <c r="H32" s="461"/>
      <c r="I32" s="462"/>
      <c r="J32" s="460"/>
      <c r="K32" s="460"/>
      <c r="L32" s="462"/>
      <c r="M32" s="419"/>
    </row>
    <row r="33" spans="1:13" x14ac:dyDescent="0.25">
      <c r="A33" s="455"/>
      <c r="B33" s="456"/>
      <c r="C33" s="460"/>
      <c r="D33" s="459"/>
      <c r="E33" s="460"/>
      <c r="F33" s="460"/>
      <c r="G33" s="461"/>
      <c r="H33" s="461"/>
      <c r="I33" s="462"/>
      <c r="J33" s="460"/>
      <c r="K33" s="460"/>
      <c r="L33" s="462"/>
      <c r="M33" s="419"/>
    </row>
    <row r="34" spans="1:13" x14ac:dyDescent="0.25">
      <c r="A34" s="455"/>
      <c r="B34" s="456"/>
      <c r="C34" s="460"/>
      <c r="D34" s="459"/>
      <c r="E34" s="460"/>
      <c r="F34" s="460"/>
      <c r="G34" s="461"/>
      <c r="H34" s="461"/>
      <c r="I34" s="462"/>
      <c r="J34" s="460"/>
      <c r="K34" s="460"/>
      <c r="L34" s="462"/>
      <c r="M34" s="419"/>
    </row>
    <row r="35" spans="1:13" x14ac:dyDescent="0.25">
      <c r="A35" s="455"/>
      <c r="B35" s="456"/>
      <c r="C35" s="460"/>
      <c r="D35" s="459"/>
      <c r="E35" s="460"/>
      <c r="F35" s="460"/>
      <c r="G35" s="461"/>
      <c r="H35" s="461"/>
      <c r="I35" s="462"/>
      <c r="J35" s="460"/>
      <c r="K35" s="460"/>
      <c r="L35" s="462"/>
      <c r="M35" s="419"/>
    </row>
    <row r="36" spans="1:13" x14ac:dyDescent="0.25">
      <c r="A36" s="455"/>
      <c r="B36" s="456"/>
      <c r="C36" s="460"/>
      <c r="D36" s="459"/>
      <c r="E36" s="460"/>
      <c r="F36" s="460"/>
      <c r="G36" s="461"/>
      <c r="H36" s="461"/>
      <c r="I36" s="462"/>
      <c r="J36" s="460"/>
      <c r="K36" s="460"/>
      <c r="L36" s="462"/>
      <c r="M36" s="419"/>
    </row>
    <row r="37" spans="1:13" x14ac:dyDescent="0.25">
      <c r="A37" s="455"/>
      <c r="B37" s="456"/>
      <c r="C37" s="460"/>
      <c r="D37" s="459"/>
      <c r="E37" s="460"/>
      <c r="F37" s="460"/>
      <c r="G37" s="461"/>
      <c r="H37" s="461"/>
      <c r="I37" s="462"/>
      <c r="J37" s="460"/>
      <c r="K37" s="460"/>
      <c r="L37" s="462"/>
      <c r="M37" s="419"/>
    </row>
    <row r="38" spans="1:13" x14ac:dyDescent="0.25">
      <c r="A38" s="455"/>
      <c r="B38" s="456"/>
      <c r="C38" s="460"/>
      <c r="D38" s="459"/>
      <c r="E38" s="460"/>
      <c r="F38" s="460"/>
      <c r="G38" s="461"/>
      <c r="H38" s="461"/>
      <c r="I38" s="462"/>
      <c r="J38" s="460"/>
      <c r="K38" s="460"/>
      <c r="L38" s="462"/>
      <c r="M38" s="419"/>
    </row>
    <row r="39" spans="1:13" x14ac:dyDescent="0.25">
      <c r="A39" s="455"/>
      <c r="B39" s="456"/>
      <c r="C39" s="460"/>
      <c r="D39" s="459"/>
      <c r="E39" s="460"/>
      <c r="F39" s="460"/>
      <c r="G39" s="461"/>
      <c r="H39" s="461"/>
      <c r="I39" s="462"/>
      <c r="J39" s="460"/>
      <c r="K39" s="460"/>
      <c r="L39" s="462"/>
      <c r="M39" s="419"/>
    </row>
    <row r="40" spans="1:13" x14ac:dyDescent="0.25">
      <c r="A40" s="455"/>
      <c r="B40" s="456"/>
      <c r="C40" s="460"/>
      <c r="D40" s="459"/>
      <c r="E40" s="460"/>
      <c r="F40" s="460"/>
      <c r="G40" s="461"/>
      <c r="H40" s="461"/>
      <c r="I40" s="462"/>
      <c r="J40" s="460"/>
      <c r="K40" s="460"/>
      <c r="L40" s="462"/>
      <c r="M40" s="419"/>
    </row>
    <row r="41" spans="1:13" x14ac:dyDescent="0.25">
      <c r="A41" s="455"/>
      <c r="B41" s="456"/>
      <c r="C41" s="460"/>
      <c r="D41" s="459"/>
      <c r="E41" s="460"/>
      <c r="F41" s="460"/>
      <c r="G41" s="461"/>
      <c r="H41" s="461"/>
      <c r="I41" s="462"/>
      <c r="J41" s="460"/>
      <c r="K41" s="460"/>
      <c r="L41" s="462"/>
      <c r="M41" s="419"/>
    </row>
    <row r="42" spans="1:13" x14ac:dyDescent="0.25">
      <c r="A42" s="455"/>
      <c r="B42" s="456"/>
      <c r="C42" s="460"/>
      <c r="D42" s="459"/>
      <c r="E42" s="460"/>
      <c r="F42" s="460"/>
      <c r="G42" s="461"/>
      <c r="H42" s="461"/>
      <c r="I42" s="462"/>
      <c r="J42" s="460"/>
      <c r="K42" s="460"/>
      <c r="L42" s="462"/>
      <c r="M42" s="419"/>
    </row>
    <row r="43" spans="1:13" x14ac:dyDescent="0.25">
      <c r="A43" s="455"/>
      <c r="B43" s="456"/>
      <c r="C43" s="460"/>
      <c r="D43" s="459"/>
      <c r="E43" s="460"/>
      <c r="F43" s="460"/>
      <c r="G43" s="461"/>
      <c r="H43" s="461"/>
      <c r="I43" s="462"/>
      <c r="J43" s="460"/>
      <c r="K43" s="460"/>
      <c r="L43" s="462"/>
      <c r="M43" s="419"/>
    </row>
    <row r="44" spans="1:13" x14ac:dyDescent="0.25">
      <c r="A44" s="455"/>
      <c r="B44" s="456"/>
      <c r="C44" s="460"/>
      <c r="D44" s="459"/>
      <c r="E44" s="460"/>
      <c r="F44" s="460"/>
      <c r="G44" s="461"/>
      <c r="H44" s="461"/>
      <c r="I44" s="462"/>
      <c r="J44" s="460"/>
      <c r="K44" s="460"/>
      <c r="L44" s="462"/>
      <c r="M44" s="419"/>
    </row>
    <row r="45" spans="1:13" x14ac:dyDescent="0.25">
      <c r="A45" s="455"/>
      <c r="B45" s="456"/>
      <c r="C45" s="460"/>
      <c r="D45" s="459"/>
      <c r="E45" s="460"/>
      <c r="F45" s="460"/>
      <c r="G45" s="461"/>
      <c r="H45" s="461"/>
      <c r="I45" s="462"/>
      <c r="J45" s="460"/>
      <c r="K45" s="460"/>
      <c r="L45" s="462"/>
      <c r="M45" s="419"/>
    </row>
    <row r="46" spans="1:13" x14ac:dyDescent="0.25">
      <c r="A46" s="455"/>
      <c r="B46" s="456"/>
      <c r="C46" s="460"/>
      <c r="D46" s="459"/>
      <c r="E46" s="460"/>
      <c r="F46" s="460"/>
      <c r="G46" s="461"/>
      <c r="H46" s="461"/>
      <c r="I46" s="462"/>
      <c r="J46" s="460"/>
      <c r="K46" s="460"/>
      <c r="L46" s="462"/>
      <c r="M46" s="419"/>
    </row>
    <row r="47" spans="1:13" x14ac:dyDescent="0.25">
      <c r="A47" s="455"/>
      <c r="B47" s="456"/>
      <c r="C47" s="460"/>
      <c r="D47" s="459"/>
      <c r="E47" s="460"/>
      <c r="F47" s="460"/>
      <c r="G47" s="461"/>
      <c r="H47" s="461"/>
      <c r="I47" s="462"/>
      <c r="J47" s="460"/>
      <c r="K47" s="460"/>
      <c r="L47" s="462"/>
      <c r="M47" s="419"/>
    </row>
    <row r="48" spans="1:13" x14ac:dyDescent="0.25">
      <c r="A48" s="455"/>
      <c r="B48" s="456"/>
      <c r="C48" s="460"/>
      <c r="D48" s="459"/>
      <c r="E48" s="460"/>
      <c r="F48" s="460"/>
      <c r="G48" s="461"/>
      <c r="H48" s="461"/>
      <c r="I48" s="462"/>
      <c r="J48" s="460"/>
      <c r="K48" s="460"/>
      <c r="L48" s="462"/>
      <c r="M48" s="419"/>
    </row>
    <row r="49" spans="1:13" x14ac:dyDescent="0.25">
      <c r="A49" s="455"/>
      <c r="B49" s="456"/>
      <c r="C49" s="460"/>
      <c r="D49" s="459"/>
      <c r="E49" s="460"/>
      <c r="F49" s="460"/>
      <c r="G49" s="461"/>
      <c r="H49" s="461"/>
      <c r="I49" s="462"/>
      <c r="J49" s="460"/>
      <c r="K49" s="460"/>
      <c r="L49" s="462"/>
      <c r="M49" s="419"/>
    </row>
    <row r="50" spans="1:13" x14ac:dyDescent="0.25">
      <c r="A50" s="455"/>
      <c r="B50" s="456"/>
      <c r="C50" s="460"/>
      <c r="D50" s="459"/>
      <c r="E50" s="460"/>
      <c r="F50" s="460"/>
      <c r="G50" s="461"/>
      <c r="H50" s="461"/>
      <c r="I50" s="462"/>
      <c r="J50" s="460"/>
      <c r="K50" s="460"/>
      <c r="L50" s="462"/>
      <c r="M50" s="419"/>
    </row>
    <row r="51" spans="1:13" x14ac:dyDescent="0.25">
      <c r="A51" s="455"/>
      <c r="B51" s="456"/>
      <c r="C51" s="460"/>
      <c r="D51" s="459"/>
      <c r="E51" s="460"/>
      <c r="F51" s="460"/>
      <c r="G51" s="461"/>
      <c r="H51" s="461"/>
      <c r="I51" s="462"/>
      <c r="J51" s="460"/>
      <c r="K51" s="460"/>
      <c r="L51" s="462"/>
      <c r="M51" s="419"/>
    </row>
    <row r="52" spans="1:13" x14ac:dyDescent="0.25">
      <c r="A52" s="455"/>
      <c r="B52" s="456"/>
      <c r="C52" s="460"/>
      <c r="D52" s="459"/>
      <c r="E52" s="460"/>
      <c r="F52" s="460"/>
      <c r="G52" s="461"/>
      <c r="H52" s="461"/>
      <c r="I52" s="462"/>
      <c r="J52" s="460"/>
      <c r="K52" s="460"/>
      <c r="L52" s="462"/>
      <c r="M52" s="419"/>
    </row>
    <row r="53" spans="1:13" x14ac:dyDescent="0.25">
      <c r="A53" s="455"/>
      <c r="B53" s="456"/>
      <c r="C53" s="460"/>
      <c r="D53" s="459"/>
      <c r="E53" s="460"/>
      <c r="F53" s="460"/>
      <c r="G53" s="461"/>
      <c r="H53" s="461"/>
      <c r="I53" s="462"/>
      <c r="J53" s="460"/>
      <c r="K53" s="460"/>
      <c r="L53" s="462"/>
      <c r="M53" s="419"/>
    </row>
    <row r="54" spans="1:13" x14ac:dyDescent="0.25">
      <c r="A54" s="455"/>
      <c r="B54" s="456"/>
      <c r="C54" s="460"/>
      <c r="D54" s="459"/>
      <c r="E54" s="460"/>
      <c r="F54" s="460"/>
      <c r="G54" s="461"/>
      <c r="H54" s="461"/>
      <c r="I54" s="462"/>
      <c r="J54" s="460"/>
      <c r="K54" s="460"/>
      <c r="L54" s="462"/>
      <c r="M54" s="419"/>
    </row>
    <row r="55" spans="1:13" x14ac:dyDescent="0.25">
      <c r="A55" s="455"/>
      <c r="B55" s="456"/>
      <c r="C55" s="460"/>
      <c r="D55" s="459"/>
      <c r="E55" s="460"/>
      <c r="F55" s="460"/>
      <c r="G55" s="461"/>
      <c r="H55" s="461"/>
      <c r="I55" s="462"/>
      <c r="J55" s="460"/>
      <c r="K55" s="460"/>
      <c r="L55" s="462"/>
      <c r="M55" s="419"/>
    </row>
    <row r="56" spans="1:13" x14ac:dyDescent="0.25">
      <c r="A56" s="455"/>
      <c r="B56" s="456"/>
      <c r="C56" s="460"/>
      <c r="D56" s="459"/>
      <c r="E56" s="460"/>
      <c r="F56" s="460"/>
      <c r="G56" s="461"/>
      <c r="H56" s="461"/>
      <c r="I56" s="462"/>
      <c r="J56" s="460"/>
      <c r="K56" s="460"/>
      <c r="L56" s="462"/>
      <c r="M56" s="419"/>
    </row>
    <row r="57" spans="1:13" x14ac:dyDescent="0.25">
      <c r="A57" s="455"/>
      <c r="B57" s="456"/>
      <c r="C57" s="460"/>
      <c r="D57" s="459"/>
      <c r="E57" s="460"/>
      <c r="F57" s="460"/>
      <c r="G57" s="461"/>
      <c r="H57" s="461"/>
      <c r="I57" s="462"/>
      <c r="J57" s="460"/>
      <c r="K57" s="460"/>
      <c r="L57" s="462"/>
      <c r="M57" s="419"/>
    </row>
    <row r="58" spans="1:13" x14ac:dyDescent="0.25">
      <c r="A58" s="455"/>
      <c r="B58" s="456"/>
      <c r="C58" s="460"/>
      <c r="D58" s="459"/>
      <c r="E58" s="460"/>
      <c r="F58" s="460"/>
      <c r="G58" s="461"/>
      <c r="H58" s="461"/>
      <c r="I58" s="462"/>
      <c r="J58" s="460"/>
      <c r="K58" s="460"/>
      <c r="L58" s="462"/>
      <c r="M58" s="419"/>
    </row>
    <row r="59" spans="1:13" x14ac:dyDescent="0.25">
      <c r="A59" s="455"/>
      <c r="B59" s="456"/>
      <c r="C59" s="460"/>
      <c r="D59" s="459"/>
      <c r="E59" s="460"/>
      <c r="F59" s="460"/>
      <c r="G59" s="461"/>
      <c r="H59" s="461"/>
      <c r="I59" s="462"/>
      <c r="J59" s="460"/>
      <c r="K59" s="460"/>
      <c r="L59" s="462"/>
      <c r="M59" s="419"/>
    </row>
    <row r="60" spans="1:13" x14ac:dyDescent="0.25">
      <c r="A60" s="455"/>
      <c r="B60" s="456"/>
      <c r="C60" s="460"/>
      <c r="D60" s="459"/>
      <c r="E60" s="460"/>
      <c r="F60" s="460"/>
      <c r="G60" s="461"/>
      <c r="H60" s="461"/>
      <c r="I60" s="462"/>
      <c r="J60" s="460"/>
      <c r="K60" s="460"/>
      <c r="L60" s="462"/>
      <c r="M60" s="419"/>
    </row>
    <row r="61" spans="1:13" x14ac:dyDescent="0.25">
      <c r="A61" s="455"/>
      <c r="B61" s="456"/>
      <c r="C61" s="460"/>
      <c r="D61" s="459"/>
      <c r="E61" s="460"/>
      <c r="F61" s="460"/>
      <c r="G61" s="461"/>
      <c r="H61" s="461"/>
      <c r="I61" s="462"/>
      <c r="J61" s="460"/>
      <c r="K61" s="460"/>
      <c r="L61" s="462"/>
      <c r="M61" s="419"/>
    </row>
    <row r="62" spans="1:13" x14ac:dyDescent="0.25">
      <c r="A62" s="455"/>
      <c r="B62" s="456"/>
      <c r="C62" s="460"/>
      <c r="D62" s="459"/>
      <c r="E62" s="460"/>
      <c r="F62" s="460"/>
      <c r="G62" s="461"/>
      <c r="H62" s="461"/>
      <c r="I62" s="462"/>
      <c r="J62" s="460"/>
      <c r="K62" s="460"/>
      <c r="L62" s="462"/>
      <c r="M62" s="419"/>
    </row>
    <row r="63" spans="1:13" x14ac:dyDescent="0.25">
      <c r="A63" s="455"/>
      <c r="B63" s="456"/>
      <c r="C63" s="460"/>
      <c r="D63" s="459"/>
      <c r="E63" s="460"/>
      <c r="F63" s="460"/>
      <c r="G63" s="461"/>
      <c r="H63" s="461"/>
      <c r="I63" s="462"/>
      <c r="J63" s="460"/>
      <c r="K63" s="460"/>
      <c r="L63" s="462"/>
      <c r="M63" s="419"/>
    </row>
    <row r="64" spans="1:13" x14ac:dyDescent="0.25">
      <c r="A64" s="455"/>
      <c r="B64" s="456"/>
      <c r="C64" s="460"/>
      <c r="D64" s="459"/>
      <c r="E64" s="460"/>
      <c r="F64" s="460"/>
      <c r="G64" s="461"/>
      <c r="H64" s="461"/>
      <c r="I64" s="462"/>
      <c r="J64" s="460"/>
      <c r="K64" s="460"/>
      <c r="L64" s="462"/>
      <c r="M64" s="419"/>
    </row>
    <row r="65" spans="1:13" x14ac:dyDescent="0.25">
      <c r="A65" s="455"/>
      <c r="B65" s="456"/>
      <c r="C65" s="460"/>
      <c r="D65" s="459"/>
      <c r="E65" s="460"/>
      <c r="F65" s="460"/>
      <c r="G65" s="461"/>
      <c r="H65" s="461"/>
      <c r="I65" s="462"/>
      <c r="J65" s="460"/>
      <c r="K65" s="460"/>
      <c r="L65" s="462"/>
      <c r="M65" s="419"/>
    </row>
    <row r="66" spans="1:13" x14ac:dyDescent="0.25">
      <c r="A66" s="455"/>
      <c r="B66" s="456"/>
      <c r="C66" s="460"/>
      <c r="D66" s="459"/>
      <c r="E66" s="460"/>
      <c r="F66" s="460"/>
      <c r="G66" s="461"/>
      <c r="H66" s="461"/>
      <c r="I66" s="462"/>
      <c r="J66" s="460"/>
      <c r="K66" s="460"/>
      <c r="L66" s="462"/>
      <c r="M66" s="419"/>
    </row>
    <row r="67" spans="1:13" x14ac:dyDescent="0.25">
      <c r="A67" s="455"/>
      <c r="B67" s="456"/>
      <c r="C67" s="460"/>
      <c r="D67" s="459"/>
      <c r="E67" s="460"/>
      <c r="F67" s="460"/>
      <c r="G67" s="461"/>
      <c r="H67" s="461"/>
      <c r="I67" s="462"/>
      <c r="J67" s="460"/>
      <c r="K67" s="460"/>
      <c r="L67" s="462"/>
      <c r="M67" s="419"/>
    </row>
    <row r="68" spans="1:13" x14ac:dyDescent="0.25">
      <c r="A68" s="455"/>
      <c r="B68" s="456"/>
      <c r="C68" s="460"/>
      <c r="D68" s="459"/>
      <c r="E68" s="460"/>
      <c r="F68" s="460"/>
      <c r="G68" s="461"/>
      <c r="H68" s="461"/>
      <c r="I68" s="462"/>
      <c r="J68" s="460"/>
      <c r="K68" s="460"/>
      <c r="L68" s="462"/>
      <c r="M68" s="419"/>
    </row>
    <row r="69" spans="1:13" x14ac:dyDescent="0.25">
      <c r="A69" s="455"/>
      <c r="B69" s="456"/>
      <c r="C69" s="460"/>
      <c r="D69" s="459"/>
      <c r="E69" s="460"/>
      <c r="F69" s="460"/>
      <c r="G69" s="461"/>
      <c r="H69" s="461"/>
      <c r="I69" s="462"/>
      <c r="J69" s="460"/>
      <c r="K69" s="460"/>
      <c r="L69" s="462"/>
      <c r="M69" s="419"/>
    </row>
    <row r="70" spans="1:13" x14ac:dyDescent="0.25">
      <c r="A70" s="455"/>
      <c r="B70" s="456"/>
      <c r="C70" s="460"/>
      <c r="D70" s="459"/>
      <c r="E70" s="460"/>
      <c r="F70" s="460"/>
      <c r="G70" s="461"/>
      <c r="H70" s="461"/>
      <c r="I70" s="462"/>
      <c r="J70" s="460"/>
      <c r="K70" s="460"/>
      <c r="L70" s="462"/>
      <c r="M70" s="419"/>
    </row>
    <row r="71" spans="1:13" x14ac:dyDescent="0.25">
      <c r="A71" s="455"/>
      <c r="B71" s="456"/>
      <c r="C71" s="460"/>
      <c r="D71" s="459"/>
      <c r="E71" s="460"/>
      <c r="F71" s="460"/>
      <c r="G71" s="461"/>
      <c r="H71" s="461"/>
      <c r="I71" s="462"/>
      <c r="J71" s="460"/>
      <c r="K71" s="460"/>
      <c r="L71" s="462"/>
      <c r="M71" s="419"/>
    </row>
    <row r="72" spans="1:13" x14ac:dyDescent="0.25">
      <c r="A72" s="455"/>
      <c r="B72" s="456"/>
      <c r="C72" s="460"/>
      <c r="D72" s="459"/>
      <c r="E72" s="460"/>
      <c r="F72" s="460"/>
      <c r="G72" s="461"/>
      <c r="H72" s="461"/>
      <c r="I72" s="462"/>
      <c r="J72" s="460"/>
      <c r="K72" s="460"/>
      <c r="L72" s="462"/>
      <c r="M72" s="419"/>
    </row>
    <row r="73" spans="1:13" x14ac:dyDescent="0.25">
      <c r="A73" s="455"/>
      <c r="B73" s="456"/>
      <c r="C73" s="460"/>
      <c r="D73" s="459"/>
      <c r="E73" s="460"/>
      <c r="F73" s="460"/>
      <c r="G73" s="461"/>
      <c r="H73" s="461"/>
      <c r="I73" s="462"/>
      <c r="J73" s="460"/>
      <c r="K73" s="460"/>
      <c r="L73" s="462"/>
      <c r="M73" s="419"/>
    </row>
    <row r="74" spans="1:13" x14ac:dyDescent="0.25">
      <c r="A74" s="455"/>
      <c r="B74" s="456"/>
      <c r="C74" s="460"/>
      <c r="D74" s="459"/>
      <c r="E74" s="460"/>
      <c r="F74" s="460"/>
      <c r="G74" s="461"/>
      <c r="H74" s="461"/>
      <c r="I74" s="462"/>
      <c r="J74" s="460"/>
      <c r="K74" s="460"/>
      <c r="L74" s="462"/>
      <c r="M74" s="419"/>
    </row>
    <row r="75" spans="1:13" x14ac:dyDescent="0.25">
      <c r="A75" s="455"/>
      <c r="B75" s="456"/>
      <c r="C75" s="460"/>
      <c r="D75" s="459"/>
      <c r="E75" s="460"/>
      <c r="F75" s="460"/>
      <c r="G75" s="461"/>
      <c r="H75" s="461"/>
      <c r="I75" s="462"/>
      <c r="J75" s="460"/>
      <c r="K75" s="460"/>
      <c r="L75" s="462"/>
      <c r="M75" s="419"/>
    </row>
    <row r="76" spans="1:13" x14ac:dyDescent="0.25">
      <c r="A76" s="455"/>
      <c r="B76" s="456"/>
      <c r="C76" s="460"/>
      <c r="D76" s="459"/>
      <c r="E76" s="460"/>
      <c r="F76" s="460"/>
      <c r="G76" s="461"/>
      <c r="H76" s="461"/>
      <c r="I76" s="462"/>
      <c r="J76" s="460"/>
      <c r="K76" s="460"/>
      <c r="L76" s="462"/>
      <c r="M76" s="419"/>
    </row>
    <row r="77" spans="1:13" x14ac:dyDescent="0.25">
      <c r="A77" s="455"/>
      <c r="B77" s="456"/>
      <c r="C77" s="460"/>
      <c r="D77" s="459"/>
      <c r="E77" s="460"/>
      <c r="F77" s="460"/>
      <c r="G77" s="461"/>
      <c r="H77" s="461"/>
      <c r="I77" s="462"/>
      <c r="J77" s="460"/>
      <c r="K77" s="460"/>
      <c r="L77" s="462"/>
      <c r="M77" s="419"/>
    </row>
    <row r="78" spans="1:13" x14ac:dyDescent="0.25">
      <c r="A78" s="455"/>
      <c r="B78" s="456"/>
      <c r="C78" s="460"/>
      <c r="D78" s="459"/>
      <c r="E78" s="460"/>
      <c r="F78" s="460"/>
      <c r="G78" s="461"/>
      <c r="H78" s="461"/>
      <c r="I78" s="462"/>
      <c r="J78" s="460"/>
      <c r="K78" s="460"/>
      <c r="L78" s="462"/>
      <c r="M78" s="419"/>
    </row>
    <row r="79" spans="1:13" x14ac:dyDescent="0.25">
      <c r="A79" s="455"/>
      <c r="B79" s="456"/>
      <c r="C79" s="460"/>
      <c r="D79" s="459"/>
      <c r="E79" s="460"/>
      <c r="F79" s="460"/>
      <c r="G79" s="461"/>
      <c r="H79" s="461"/>
      <c r="I79" s="462"/>
      <c r="J79" s="460"/>
      <c r="K79" s="460"/>
      <c r="L79" s="462"/>
      <c r="M79" s="419"/>
    </row>
    <row r="80" spans="1:13" x14ac:dyDescent="0.25">
      <c r="A80" s="455"/>
      <c r="B80" s="456"/>
      <c r="C80" s="460"/>
      <c r="D80" s="455"/>
      <c r="E80" s="460"/>
      <c r="F80" s="460"/>
      <c r="G80" s="463"/>
      <c r="H80" s="463"/>
      <c r="I80" s="463"/>
      <c r="J80" s="455"/>
      <c r="K80" s="455"/>
      <c r="L80" s="464"/>
      <c r="M80" s="419"/>
    </row>
  </sheetData>
  <sheetProtection algorithmName="SHA-512" hashValue="p2o7GemLIwFuUzC9CgFHtX7KcfLZ6GqCZIyCSMSEcfj7DGLiw9GRGYbXWyM4QlBAGHLlZWSJIFEkCxJGfVnm/g==" saltValue="Wf2d8N8ZBsvxfg51CUB+qA==" spinCount="100000" sheet="1" objects="1" scenarios="1"/>
  <mergeCells count="4">
    <mergeCell ref="B5:E5"/>
    <mergeCell ref="B17:E17"/>
    <mergeCell ref="B6:B7"/>
    <mergeCell ref="B18:B1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D9CE7-0BC5-47A2-A140-423665E05175}">
  <sheetPr>
    <pageSetUpPr fitToPage="1"/>
  </sheetPr>
  <dimension ref="A1:AP37"/>
  <sheetViews>
    <sheetView view="pageBreakPreview" zoomScaleNormal="100" zoomScaleSheetLayoutView="100" workbookViewId="0">
      <selection activeCell="A6" sqref="A6:B6"/>
    </sheetView>
  </sheetViews>
  <sheetFormatPr defaultColWidth="10" defaultRowHeight="15" x14ac:dyDescent="0.25"/>
  <cols>
    <col min="1" max="1" width="10" style="2"/>
    <col min="2" max="2" width="12.28515625" style="2" bestFit="1" customWidth="1"/>
    <col min="3" max="3" width="8.7109375" style="2" customWidth="1"/>
    <col min="4" max="4" width="7.7109375" style="2" customWidth="1"/>
    <col min="5" max="5" width="8.42578125" style="3" bestFit="1" customWidth="1"/>
    <col min="6" max="6" width="7.7109375" style="3" bestFit="1" customWidth="1"/>
    <col min="7" max="7" width="8.7109375" style="3" bestFit="1" customWidth="1"/>
    <col min="8" max="8" width="9.28515625" style="3" bestFit="1" customWidth="1"/>
    <col min="9" max="9" width="9.42578125" style="3" customWidth="1"/>
    <col min="10" max="10" width="11.28515625" style="3" customWidth="1"/>
    <col min="11" max="12" width="9.28515625" style="3" customWidth="1"/>
    <col min="13" max="15" width="12.28515625" style="3" customWidth="1"/>
    <col min="16" max="17" width="11.5703125" style="3" customWidth="1"/>
    <col min="18" max="19" width="10.42578125" style="4" customWidth="1"/>
    <col min="20" max="20" width="9.5703125" style="2" bestFit="1" customWidth="1"/>
    <col min="21" max="21" width="11.42578125" style="2" bestFit="1" customWidth="1"/>
    <col min="22" max="22" width="9.28515625" style="2" customWidth="1"/>
    <col min="23" max="23" width="9.5703125" style="2" customWidth="1"/>
    <col min="24" max="24" width="10.42578125" style="2" customWidth="1"/>
    <col min="25" max="25" width="8.5703125" style="2" bestFit="1" customWidth="1"/>
    <col min="26" max="26" width="8.7109375" style="2" bestFit="1" customWidth="1"/>
    <col min="27" max="27" width="8.28515625" style="2" customWidth="1"/>
    <col min="28" max="29" width="8.7109375" style="2" bestFit="1" customWidth="1"/>
    <col min="30" max="30" width="10.7109375" style="2" bestFit="1" customWidth="1"/>
    <col min="31" max="31" width="7.7109375" style="2" bestFit="1" customWidth="1"/>
    <col min="32" max="32" width="10.28515625" style="2" customWidth="1"/>
    <col min="33" max="34" width="11.28515625" style="2" customWidth="1"/>
    <col min="35" max="35" width="9.7109375" style="2" customWidth="1"/>
    <col min="36" max="36" width="13" style="2" bestFit="1" customWidth="1"/>
    <col min="37" max="37" width="10.42578125" style="2" customWidth="1"/>
    <col min="38" max="38" width="8.28515625" style="2" customWidth="1"/>
    <col min="39" max="39" width="8.7109375" style="2" customWidth="1"/>
    <col min="40" max="40" width="9.28515625" style="2" customWidth="1"/>
    <col min="41" max="42" width="11.42578125" style="2" bestFit="1" customWidth="1"/>
    <col min="43" max="16384" width="10" style="2"/>
  </cols>
  <sheetData>
    <row r="1" spans="1:36" x14ac:dyDescent="0.25">
      <c r="A1" s="1" t="s">
        <v>80</v>
      </c>
      <c r="B1" s="1"/>
      <c r="C1" s="1"/>
      <c r="D1" s="1"/>
      <c r="AF1" s="5"/>
      <c r="AG1" s="5"/>
      <c r="AH1" s="5"/>
      <c r="AI1" s="5"/>
      <c r="AJ1" s="5"/>
    </row>
    <row r="2" spans="1:36" x14ac:dyDescent="0.25">
      <c r="A2" s="1" t="s">
        <v>59</v>
      </c>
      <c r="B2" s="1"/>
      <c r="C2" s="1"/>
      <c r="D2" s="1"/>
      <c r="U2" s="6"/>
      <c r="AF2" s="5"/>
      <c r="AG2" s="5"/>
      <c r="AH2" s="5"/>
      <c r="AI2" s="5"/>
      <c r="AJ2" s="5"/>
    </row>
    <row r="3" spans="1:36" x14ac:dyDescent="0.25">
      <c r="A3" s="52" t="s">
        <v>82</v>
      </c>
      <c r="B3" s="1"/>
      <c r="C3" s="1"/>
      <c r="D3" s="1"/>
      <c r="U3" s="6"/>
      <c r="AF3" s="5"/>
      <c r="AG3" s="5"/>
      <c r="AH3" s="5"/>
      <c r="AI3" s="5"/>
      <c r="AJ3" s="5"/>
    </row>
    <row r="4" spans="1:36" x14ac:dyDescent="0.25">
      <c r="A4" s="52" t="s">
        <v>83</v>
      </c>
      <c r="B4" s="1"/>
      <c r="C4" s="1"/>
      <c r="D4" s="1"/>
      <c r="U4" s="6"/>
      <c r="AF4" s="5"/>
      <c r="AG4" s="5"/>
      <c r="AH4" s="5"/>
      <c r="AI4" s="5"/>
      <c r="AJ4" s="5"/>
    </row>
    <row r="5" spans="1:36" x14ac:dyDescent="0.25">
      <c r="A5" s="52"/>
      <c r="B5" s="1"/>
      <c r="C5" s="1"/>
      <c r="D5" s="1"/>
      <c r="U5" s="6"/>
      <c r="AF5" s="5"/>
      <c r="AG5" s="5"/>
      <c r="AH5" s="5"/>
      <c r="AI5" s="5"/>
      <c r="AJ5" s="5"/>
    </row>
    <row r="6" spans="1:36" x14ac:dyDescent="0.25">
      <c r="A6" s="496"/>
      <c r="B6" s="4" t="s">
        <v>193</v>
      </c>
      <c r="C6" s="1"/>
      <c r="D6" s="1"/>
      <c r="U6" s="6"/>
      <c r="AF6" s="5"/>
      <c r="AG6" s="5"/>
      <c r="AH6" s="5"/>
      <c r="AI6" s="5"/>
      <c r="AJ6" s="5"/>
    </row>
    <row r="7" spans="1:36" ht="15.75" thickBot="1" x14ac:dyDescent="0.3">
      <c r="A7" s="1"/>
      <c r="B7" s="1"/>
      <c r="C7" s="1"/>
      <c r="D7" s="7"/>
      <c r="U7" s="6"/>
      <c r="AF7" s="5"/>
      <c r="AG7" s="5"/>
      <c r="AH7" s="5"/>
      <c r="AI7" s="5"/>
      <c r="AJ7" s="5"/>
    </row>
    <row r="8" spans="1:36" ht="15.75" thickBot="1" x14ac:dyDescent="0.3">
      <c r="B8" s="8"/>
      <c r="C8" s="521"/>
      <c r="D8" s="534"/>
      <c r="E8" s="538" t="s">
        <v>84</v>
      </c>
      <c r="F8" s="539"/>
      <c r="G8" s="539"/>
      <c r="H8" s="539"/>
      <c r="I8" s="539"/>
      <c r="J8" s="539"/>
      <c r="K8" s="539"/>
      <c r="L8" s="539"/>
      <c r="M8" s="539"/>
      <c r="N8" s="540"/>
      <c r="O8" s="523" t="s">
        <v>85</v>
      </c>
      <c r="P8" s="524"/>
      <c r="Q8" s="524"/>
      <c r="R8" s="524"/>
      <c r="S8" s="525"/>
      <c r="T8" s="535" t="s">
        <v>87</v>
      </c>
      <c r="U8" s="536"/>
      <c r="V8" s="536"/>
      <c r="W8" s="536"/>
      <c r="X8" s="536"/>
      <c r="Y8" s="536"/>
      <c r="Z8" s="537"/>
    </row>
    <row r="9" spans="1:36" s="167" customFormat="1" ht="36.75" thickBot="1" x14ac:dyDescent="0.3">
      <c r="B9" s="10" t="s">
        <v>88</v>
      </c>
      <c r="C9" s="89" t="s">
        <v>89</v>
      </c>
      <c r="D9" s="168" t="s">
        <v>90</v>
      </c>
      <c r="E9" s="169" t="s">
        <v>127</v>
      </c>
      <c r="F9" s="170" t="s">
        <v>128</v>
      </c>
      <c r="G9" s="170" t="s">
        <v>115</v>
      </c>
      <c r="H9" s="170" t="s">
        <v>129</v>
      </c>
      <c r="I9" s="170" t="s">
        <v>130</v>
      </c>
      <c r="J9" s="170" t="s">
        <v>131</v>
      </c>
      <c r="K9" s="170" t="s">
        <v>116</v>
      </c>
      <c r="L9" s="171" t="s">
        <v>117</v>
      </c>
      <c r="M9" s="172" t="s">
        <v>91</v>
      </c>
      <c r="N9" s="173" t="s">
        <v>118</v>
      </c>
      <c r="O9" s="174" t="s">
        <v>92</v>
      </c>
      <c r="P9" s="175" t="s">
        <v>93</v>
      </c>
      <c r="Q9" s="175" t="s">
        <v>141</v>
      </c>
      <c r="R9" s="175" t="s">
        <v>94</v>
      </c>
      <c r="S9" s="10" t="s">
        <v>96</v>
      </c>
      <c r="T9" s="131" t="s">
        <v>132</v>
      </c>
      <c r="U9" s="132" t="s">
        <v>133</v>
      </c>
      <c r="V9" s="134" t="s">
        <v>134</v>
      </c>
      <c r="W9" s="10" t="s">
        <v>135</v>
      </c>
      <c r="X9" s="177" t="s">
        <v>136</v>
      </c>
      <c r="Y9" s="16" t="s">
        <v>137</v>
      </c>
      <c r="Z9" s="18" t="s">
        <v>98</v>
      </c>
    </row>
    <row r="10" spans="1:36" s="9" customFormat="1" x14ac:dyDescent="0.2">
      <c r="B10" s="86">
        <v>43435</v>
      </c>
      <c r="C10" s="129">
        <v>57900</v>
      </c>
      <c r="D10" s="21">
        <v>108</v>
      </c>
      <c r="E10" s="250"/>
      <c r="F10" s="251"/>
      <c r="G10" s="251"/>
      <c r="H10" s="251"/>
      <c r="I10" s="251"/>
      <c r="J10" s="251"/>
      <c r="K10" s="252"/>
      <c r="L10" s="253"/>
      <c r="M10" s="71">
        <v>1757.75</v>
      </c>
      <c r="N10" s="71">
        <v>0</v>
      </c>
      <c r="O10" s="63">
        <v>2518.65</v>
      </c>
      <c r="P10" s="24">
        <f>98.43+87.12</f>
        <v>185.55</v>
      </c>
      <c r="Q10" s="24">
        <v>68.64</v>
      </c>
      <c r="R10" s="24">
        <f>110.91*2</f>
        <v>221.82</v>
      </c>
      <c r="S10" s="71">
        <f t="shared" ref="S10:S21" si="0">SUM(O10:R10)</f>
        <v>2994.6600000000003</v>
      </c>
      <c r="T10" s="263"/>
      <c r="U10" s="264"/>
      <c r="V10" s="265"/>
      <c r="W10" s="254">
        <f>M10+S10+N10</f>
        <v>4752.41</v>
      </c>
      <c r="X10" s="266"/>
      <c r="Y10" s="267"/>
      <c r="Z10" s="268">
        <f t="shared" ref="Z10:Z21" si="1">W10/C10</f>
        <v>8.2079620034542305E-2</v>
      </c>
    </row>
    <row r="11" spans="1:36" s="9" customFormat="1" x14ac:dyDescent="0.2">
      <c r="A11" s="19"/>
      <c r="B11" s="86">
        <v>43466</v>
      </c>
      <c r="C11" s="87">
        <v>59100</v>
      </c>
      <c r="D11" s="153">
        <v>162</v>
      </c>
      <c r="E11" s="162">
        <v>325</v>
      </c>
      <c r="F11" s="23">
        <v>1659.56</v>
      </c>
      <c r="G11" s="23">
        <v>330.7</v>
      </c>
      <c r="H11" s="23">
        <v>71.510000000000005</v>
      </c>
      <c r="I11" s="23">
        <v>-25.92</v>
      </c>
      <c r="J11" s="23">
        <v>-163.12</v>
      </c>
      <c r="K11" s="23">
        <v>22.2</v>
      </c>
      <c r="L11" s="164">
        <v>0</v>
      </c>
      <c r="M11" s="71">
        <f>SUM(E11:L11)</f>
        <v>2219.9299999999998</v>
      </c>
      <c r="N11" s="71">
        <v>0</v>
      </c>
      <c r="O11" s="63">
        <v>2570.85</v>
      </c>
      <c r="P11" s="24">
        <f>120.24+85.41</f>
        <v>205.64999999999998</v>
      </c>
      <c r="Q11" s="24">
        <v>66.56</v>
      </c>
      <c r="R11" s="24">
        <f>113.72*2</f>
        <v>227.44</v>
      </c>
      <c r="S11" s="71">
        <f t="shared" si="0"/>
        <v>3070.5</v>
      </c>
      <c r="T11" s="258">
        <f t="shared" ref="T11:T21" si="2">F11+I11+Q11</f>
        <v>1700.1999999999998</v>
      </c>
      <c r="U11" s="257">
        <f t="shared" ref="U11:U21" si="3">G11+H11+J11+O11+P11</f>
        <v>3015.59</v>
      </c>
      <c r="V11" s="261">
        <f t="shared" ref="V11:V21" si="4">E11+K11+L11+N11+R11</f>
        <v>574.64</v>
      </c>
      <c r="W11" s="254">
        <f t="shared" ref="W11:W21" si="5">M11+S11+N11</f>
        <v>5290.43</v>
      </c>
      <c r="X11" s="181">
        <f t="shared" ref="X11:X21" si="6">T11/D11</f>
        <v>10.495061728395061</v>
      </c>
      <c r="Y11" s="182">
        <f t="shared" ref="Y11:Y22" si="7">U11/C11</f>
        <v>5.1025211505922166E-2</v>
      </c>
      <c r="Z11" s="151">
        <f t="shared" si="1"/>
        <v>8.9516582064297801E-2</v>
      </c>
      <c r="AB11" s="26">
        <f>T11+U11+V11</f>
        <v>5290.43</v>
      </c>
      <c r="AC11" s="26">
        <f>W11-AB11</f>
        <v>0</v>
      </c>
    </row>
    <row r="12" spans="1:36" s="9" customFormat="1" x14ac:dyDescent="0.2">
      <c r="A12" s="27"/>
      <c r="B12" s="86">
        <v>43497</v>
      </c>
      <c r="C12" s="87">
        <v>59400</v>
      </c>
      <c r="D12" s="30">
        <v>114</v>
      </c>
      <c r="E12" s="22">
        <v>325</v>
      </c>
      <c r="F12" s="23">
        <v>1167.3599999999999</v>
      </c>
      <c r="G12" s="23">
        <v>299.67</v>
      </c>
      <c r="H12" s="23">
        <v>98.07</v>
      </c>
      <c r="I12" s="23">
        <v>-45.6</v>
      </c>
      <c r="J12" s="23">
        <v>-171.67</v>
      </c>
      <c r="K12" s="23">
        <v>16.899999999999999</v>
      </c>
      <c r="L12" s="164">
        <v>0</v>
      </c>
      <c r="M12" s="71">
        <f t="shared" ref="M12:M20" si="8">SUM(E12:L12)</f>
        <v>1689.73</v>
      </c>
      <c r="N12" s="71">
        <v>0</v>
      </c>
      <c r="O12" s="213"/>
      <c r="P12" s="214"/>
      <c r="Q12" s="214"/>
      <c r="R12" s="214"/>
      <c r="S12" s="286">
        <f>AVERAGE(S10:S11)</f>
        <v>3032.58</v>
      </c>
      <c r="T12" s="258">
        <f t="shared" si="2"/>
        <v>1121.76</v>
      </c>
      <c r="U12" s="257">
        <f>G12+H12+J12+O12+P12</f>
        <v>226.07000000000002</v>
      </c>
      <c r="V12" s="261">
        <f>E12+K12+L12+N12+R12</f>
        <v>341.9</v>
      </c>
      <c r="W12" s="254">
        <f>M12+S12+N12</f>
        <v>4722.3099999999995</v>
      </c>
      <c r="X12" s="181">
        <f t="shared" si="6"/>
        <v>9.84</v>
      </c>
      <c r="Y12" s="182">
        <f t="shared" si="7"/>
        <v>3.8058922558922561E-3</v>
      </c>
      <c r="Z12" s="151">
        <f t="shared" si="1"/>
        <v>7.9500168350168335E-2</v>
      </c>
      <c r="AB12" s="26">
        <f t="shared" ref="AB12:AB21" si="9">T12+U12+V12</f>
        <v>1689.73</v>
      </c>
      <c r="AC12" s="26">
        <f>W12-AB12</f>
        <v>3032.5799999999995</v>
      </c>
    </row>
    <row r="13" spans="1:36" s="9" customFormat="1" x14ac:dyDescent="0.2">
      <c r="A13" s="19"/>
      <c r="B13" s="86">
        <v>43525</v>
      </c>
      <c r="C13" s="87">
        <v>54000</v>
      </c>
      <c r="D13" s="30">
        <v>99</v>
      </c>
      <c r="E13" s="31">
        <v>325</v>
      </c>
      <c r="F13" s="32">
        <v>1013.76</v>
      </c>
      <c r="G13" s="32">
        <v>272.43</v>
      </c>
      <c r="H13" s="32">
        <v>172.26</v>
      </c>
      <c r="I13" s="32">
        <v>-39.6</v>
      </c>
      <c r="J13" s="32">
        <v>-158.22</v>
      </c>
      <c r="K13" s="32">
        <v>16.02</v>
      </c>
      <c r="L13" s="164">
        <v>0</v>
      </c>
      <c r="M13" s="71">
        <f>SUM(E13:L13)</f>
        <v>1601.65</v>
      </c>
      <c r="N13" s="71">
        <v>0</v>
      </c>
      <c r="O13" s="213"/>
      <c r="P13" s="214"/>
      <c r="Q13" s="214"/>
      <c r="R13" s="214"/>
      <c r="S13" s="286">
        <f>AVERAGE(S14:S15)</f>
        <v>2898.65</v>
      </c>
      <c r="T13" s="258">
        <f>F13+I13+Q13</f>
        <v>974.16</v>
      </c>
      <c r="U13" s="257">
        <f t="shared" si="3"/>
        <v>286.47000000000003</v>
      </c>
      <c r="V13" s="261">
        <f>E13+K13+L13+N13+R13</f>
        <v>341.02</v>
      </c>
      <c r="W13" s="254">
        <f t="shared" si="5"/>
        <v>4500.3</v>
      </c>
      <c r="X13" s="181">
        <f t="shared" si="6"/>
        <v>9.84</v>
      </c>
      <c r="Y13" s="182">
        <f t="shared" si="7"/>
        <v>5.3050000000000007E-3</v>
      </c>
      <c r="Z13" s="151">
        <f t="shared" si="1"/>
        <v>8.3338888888888893E-2</v>
      </c>
      <c r="AB13" s="26">
        <f t="shared" si="9"/>
        <v>1601.65</v>
      </c>
      <c r="AC13" s="26">
        <f>W13-AB13</f>
        <v>2898.65</v>
      </c>
    </row>
    <row r="14" spans="1:36" s="9" customFormat="1" x14ac:dyDescent="0.2">
      <c r="A14" s="27"/>
      <c r="B14" s="86">
        <v>43556</v>
      </c>
      <c r="C14" s="87">
        <v>50100</v>
      </c>
      <c r="D14" s="153">
        <v>96</v>
      </c>
      <c r="E14" s="22">
        <v>365.34</v>
      </c>
      <c r="F14" s="23">
        <v>1014.62</v>
      </c>
      <c r="G14" s="23">
        <v>252.75</v>
      </c>
      <c r="H14" s="23">
        <v>225.9</v>
      </c>
      <c r="I14" s="23">
        <v>-10.59</v>
      </c>
      <c r="J14" s="23">
        <v>-148.80000000000001</v>
      </c>
      <c r="K14" s="23">
        <v>17.16</v>
      </c>
      <c r="L14" s="164">
        <v>0</v>
      </c>
      <c r="M14" s="71">
        <f t="shared" si="8"/>
        <v>1716.3800000000003</v>
      </c>
      <c r="N14" s="71">
        <v>0</v>
      </c>
      <c r="O14" s="65">
        <v>2179.35</v>
      </c>
      <c r="P14" s="28">
        <f>106.61+67.58</f>
        <v>174.19</v>
      </c>
      <c r="Q14" s="28">
        <v>62.4</v>
      </c>
      <c r="R14" s="28">
        <f>96.64*2</f>
        <v>193.28</v>
      </c>
      <c r="S14" s="71">
        <f t="shared" si="0"/>
        <v>2609.2200000000003</v>
      </c>
      <c r="T14" s="258">
        <f t="shared" si="2"/>
        <v>1066.43</v>
      </c>
      <c r="U14" s="257">
        <f t="shared" si="3"/>
        <v>2683.39</v>
      </c>
      <c r="V14" s="261">
        <f t="shared" si="4"/>
        <v>575.78</v>
      </c>
      <c r="W14" s="254">
        <f t="shared" si="5"/>
        <v>4325.6000000000004</v>
      </c>
      <c r="X14" s="181">
        <f t="shared" si="6"/>
        <v>11.108645833333334</v>
      </c>
      <c r="Y14" s="182">
        <f t="shared" si="7"/>
        <v>5.356067864271457E-2</v>
      </c>
      <c r="Z14" s="151">
        <f t="shared" si="1"/>
        <v>8.6339321357285434E-2</v>
      </c>
      <c r="AB14" s="26">
        <f t="shared" si="9"/>
        <v>4325.5999999999995</v>
      </c>
      <c r="AC14" s="26">
        <f>W14-AB14</f>
        <v>0</v>
      </c>
    </row>
    <row r="15" spans="1:36" s="9" customFormat="1" x14ac:dyDescent="0.2">
      <c r="A15" s="19"/>
      <c r="B15" s="86">
        <v>43586</v>
      </c>
      <c r="C15" s="87">
        <v>64200</v>
      </c>
      <c r="D15" s="30">
        <v>156</v>
      </c>
      <c r="E15" s="223"/>
      <c r="F15" s="224"/>
      <c r="G15" s="224"/>
      <c r="H15" s="224"/>
      <c r="I15" s="224"/>
      <c r="J15" s="224"/>
      <c r="K15" s="224"/>
      <c r="L15" s="211"/>
      <c r="M15" s="286">
        <f>AVERAGE(M14,M16)</f>
        <v>2123.7750000000001</v>
      </c>
      <c r="N15" s="71">
        <v>0</v>
      </c>
      <c r="O15" s="65">
        <v>2718.87</v>
      </c>
      <c r="P15" s="28">
        <f>141.24+91.81</f>
        <v>233.05</v>
      </c>
      <c r="Q15" s="28">
        <v>0</v>
      </c>
      <c r="R15" s="28">
        <f>118.08*2</f>
        <v>236.16</v>
      </c>
      <c r="S15" s="71">
        <f t="shared" si="0"/>
        <v>3188.08</v>
      </c>
      <c r="T15" s="258">
        <f t="shared" si="2"/>
        <v>0</v>
      </c>
      <c r="U15" s="257">
        <f t="shared" si="3"/>
        <v>2951.92</v>
      </c>
      <c r="V15" s="261">
        <f t="shared" si="4"/>
        <v>236.16</v>
      </c>
      <c r="W15" s="254">
        <f t="shared" si="5"/>
        <v>5311.8549999999996</v>
      </c>
      <c r="X15" s="181">
        <f t="shared" si="6"/>
        <v>0</v>
      </c>
      <c r="Y15" s="182">
        <f t="shared" si="7"/>
        <v>4.598006230529595E-2</v>
      </c>
      <c r="Z15" s="151">
        <f t="shared" si="1"/>
        <v>8.273917445482866E-2</v>
      </c>
      <c r="AB15" s="26">
        <f t="shared" si="9"/>
        <v>3188.08</v>
      </c>
      <c r="AC15" s="26">
        <f t="shared" ref="AC15:AC21" si="10">W15-AB15</f>
        <v>2123.7749999999996</v>
      </c>
    </row>
    <row r="16" spans="1:36" s="9" customFormat="1" x14ac:dyDescent="0.2">
      <c r="A16" s="27"/>
      <c r="B16" s="86">
        <v>43617</v>
      </c>
      <c r="C16" s="87">
        <v>62400</v>
      </c>
      <c r="D16" s="30">
        <v>147</v>
      </c>
      <c r="E16" s="31">
        <v>390</v>
      </c>
      <c r="F16" s="32">
        <v>1583.19</v>
      </c>
      <c r="G16" s="32">
        <v>314.81</v>
      </c>
      <c r="H16" s="32">
        <v>170.79</v>
      </c>
      <c r="I16" s="32">
        <v>41.16</v>
      </c>
      <c r="J16" s="32">
        <v>-179.71</v>
      </c>
      <c r="K16" s="32">
        <v>23.44</v>
      </c>
      <c r="L16" s="164">
        <v>187.49</v>
      </c>
      <c r="M16" s="71">
        <f t="shared" si="8"/>
        <v>2531.17</v>
      </c>
      <c r="N16" s="71">
        <v>0</v>
      </c>
      <c r="O16" s="65">
        <v>2642.64</v>
      </c>
      <c r="P16" s="28">
        <f>143.69+85.92</f>
        <v>229.61</v>
      </c>
      <c r="Q16" s="28">
        <v>0</v>
      </c>
      <c r="R16" s="28">
        <f>114.89*2</f>
        <v>229.78</v>
      </c>
      <c r="S16" s="71">
        <f t="shared" si="0"/>
        <v>3102.03</v>
      </c>
      <c r="T16" s="258">
        <f t="shared" si="2"/>
        <v>1624.3500000000001</v>
      </c>
      <c r="U16" s="257">
        <f t="shared" si="3"/>
        <v>3178.14</v>
      </c>
      <c r="V16" s="261">
        <f t="shared" si="4"/>
        <v>830.71</v>
      </c>
      <c r="W16" s="254">
        <f t="shared" si="5"/>
        <v>5633.2000000000007</v>
      </c>
      <c r="X16" s="181">
        <f t="shared" si="6"/>
        <v>11.05</v>
      </c>
      <c r="Y16" s="182">
        <f t="shared" si="7"/>
        <v>5.0931730769230764E-2</v>
      </c>
      <c r="Z16" s="151">
        <f t="shared" si="1"/>
        <v>9.0275641025641035E-2</v>
      </c>
      <c r="AB16" s="26">
        <f t="shared" si="9"/>
        <v>5633.2</v>
      </c>
      <c r="AC16" s="26">
        <f t="shared" si="10"/>
        <v>0</v>
      </c>
    </row>
    <row r="17" spans="1:36" s="9" customFormat="1" x14ac:dyDescent="0.2">
      <c r="A17" s="19"/>
      <c r="B17" s="86">
        <v>43647</v>
      </c>
      <c r="C17" s="87">
        <v>81000</v>
      </c>
      <c r="D17" s="30">
        <v>141</v>
      </c>
      <c r="E17" s="31">
        <v>390</v>
      </c>
      <c r="F17" s="32">
        <v>1518.57</v>
      </c>
      <c r="G17" s="32">
        <v>408.65</v>
      </c>
      <c r="H17" s="32">
        <v>206.55</v>
      </c>
      <c r="I17" s="32">
        <v>39.479999999999997</v>
      </c>
      <c r="J17" s="32">
        <v>29.16</v>
      </c>
      <c r="K17" s="32">
        <v>26.19</v>
      </c>
      <c r="L17" s="164">
        <v>209.49</v>
      </c>
      <c r="M17" s="71">
        <f t="shared" si="8"/>
        <v>2828.09</v>
      </c>
      <c r="N17" s="71">
        <v>36.840000000000003</v>
      </c>
      <c r="O17" s="65">
        <v>3430.35</v>
      </c>
      <c r="P17" s="28">
        <f>187.63+109.28</f>
        <v>296.90999999999997</v>
      </c>
      <c r="Q17" s="28">
        <v>0</v>
      </c>
      <c r="R17" s="28">
        <f>149.09*2</f>
        <v>298.18</v>
      </c>
      <c r="S17" s="71">
        <f t="shared" si="0"/>
        <v>4025.4399999999996</v>
      </c>
      <c r="T17" s="258">
        <f t="shared" si="2"/>
        <v>1558.05</v>
      </c>
      <c r="U17" s="257">
        <f t="shared" si="3"/>
        <v>4371.62</v>
      </c>
      <c r="V17" s="261">
        <f t="shared" si="4"/>
        <v>960.7</v>
      </c>
      <c r="W17" s="254">
        <f t="shared" si="5"/>
        <v>6890.37</v>
      </c>
      <c r="X17" s="181">
        <f t="shared" si="6"/>
        <v>11.049999999999999</v>
      </c>
      <c r="Y17" s="182">
        <f t="shared" si="7"/>
        <v>5.3970617283950618E-2</v>
      </c>
      <c r="Z17" s="151">
        <f t="shared" si="1"/>
        <v>8.5066296296296293E-2</v>
      </c>
      <c r="AB17" s="26">
        <f t="shared" si="9"/>
        <v>6890.37</v>
      </c>
      <c r="AC17" s="26">
        <f t="shared" si="10"/>
        <v>0</v>
      </c>
    </row>
    <row r="18" spans="1:36" s="9" customFormat="1" x14ac:dyDescent="0.2">
      <c r="A18" s="27"/>
      <c r="B18" s="86">
        <v>43678</v>
      </c>
      <c r="C18" s="87">
        <v>69900</v>
      </c>
      <c r="D18" s="30">
        <v>138</v>
      </c>
      <c r="E18" s="31">
        <v>390</v>
      </c>
      <c r="F18" s="32">
        <v>1486.26</v>
      </c>
      <c r="G18" s="32">
        <v>352.65</v>
      </c>
      <c r="H18" s="32">
        <v>168.88</v>
      </c>
      <c r="I18" s="32">
        <v>38.64</v>
      </c>
      <c r="J18" s="32">
        <v>97.16</v>
      </c>
      <c r="K18" s="32">
        <v>25.59</v>
      </c>
      <c r="L18" s="164">
        <v>204.73</v>
      </c>
      <c r="M18" s="71">
        <f t="shared" si="8"/>
        <v>2763.91</v>
      </c>
      <c r="N18" s="71">
        <v>0</v>
      </c>
      <c r="O18" s="65">
        <v>2960.27</v>
      </c>
      <c r="P18" s="28">
        <f>169.62+84.81</f>
        <v>254.43</v>
      </c>
      <c r="Q18" s="28">
        <v>0</v>
      </c>
      <c r="R18" s="28">
        <f>128.59*2</f>
        <v>257.18</v>
      </c>
      <c r="S18" s="71">
        <f t="shared" si="0"/>
        <v>3471.8799999999997</v>
      </c>
      <c r="T18" s="258">
        <f t="shared" si="2"/>
        <v>1524.9</v>
      </c>
      <c r="U18" s="257">
        <f t="shared" si="3"/>
        <v>3833.39</v>
      </c>
      <c r="V18" s="261">
        <f t="shared" si="4"/>
        <v>877.5</v>
      </c>
      <c r="W18" s="254">
        <f t="shared" si="5"/>
        <v>6235.7899999999991</v>
      </c>
      <c r="X18" s="181">
        <f t="shared" si="6"/>
        <v>11.05</v>
      </c>
      <c r="Y18" s="182">
        <f t="shared" si="7"/>
        <v>5.4841058655221743E-2</v>
      </c>
      <c r="Z18" s="151">
        <f t="shared" si="1"/>
        <v>8.9210157367668089E-2</v>
      </c>
      <c r="AB18" s="26">
        <f t="shared" si="9"/>
        <v>6235.79</v>
      </c>
      <c r="AC18" s="26">
        <f t="shared" si="10"/>
        <v>0</v>
      </c>
    </row>
    <row r="19" spans="1:36" s="9" customFormat="1" x14ac:dyDescent="0.2">
      <c r="A19" s="19"/>
      <c r="B19" s="86">
        <v>43709</v>
      </c>
      <c r="C19" s="87">
        <v>62100</v>
      </c>
      <c r="D19" s="30">
        <v>135</v>
      </c>
      <c r="E19" s="209"/>
      <c r="F19" s="210"/>
      <c r="G19" s="210"/>
      <c r="H19" s="210"/>
      <c r="I19" s="210"/>
      <c r="J19" s="210"/>
      <c r="K19" s="210"/>
      <c r="L19" s="211"/>
      <c r="M19" s="286">
        <f>AVERAGE(M18,M20)</f>
        <v>2637.895</v>
      </c>
      <c r="N19" s="71">
        <v>0</v>
      </c>
      <c r="O19" s="65">
        <v>2629.94</v>
      </c>
      <c r="P19" s="28">
        <f>140.3+85.74</f>
        <v>226.04000000000002</v>
      </c>
      <c r="Q19" s="28">
        <v>0</v>
      </c>
      <c r="R19" s="28">
        <f>114.24*2</f>
        <v>228.48</v>
      </c>
      <c r="S19" s="71">
        <f t="shared" si="0"/>
        <v>3084.46</v>
      </c>
      <c r="T19" s="258">
        <f t="shared" si="2"/>
        <v>0</v>
      </c>
      <c r="U19" s="257">
        <f t="shared" si="3"/>
        <v>2855.98</v>
      </c>
      <c r="V19" s="261">
        <f t="shared" si="4"/>
        <v>228.48</v>
      </c>
      <c r="W19" s="254">
        <f t="shared" si="5"/>
        <v>5722.3549999999996</v>
      </c>
      <c r="X19" s="181">
        <f t="shared" si="6"/>
        <v>0</v>
      </c>
      <c r="Y19" s="182">
        <f t="shared" si="7"/>
        <v>4.5990016103059583E-2</v>
      </c>
      <c r="Z19" s="151">
        <f t="shared" si="1"/>
        <v>9.214742351046698E-2</v>
      </c>
      <c r="AB19" s="26">
        <f t="shared" si="9"/>
        <v>3084.46</v>
      </c>
      <c r="AC19" s="26">
        <f t="shared" si="10"/>
        <v>2637.8949999999995</v>
      </c>
    </row>
    <row r="20" spans="1:36" s="9" customFormat="1" x14ac:dyDescent="0.2">
      <c r="A20" s="27"/>
      <c r="B20" s="86">
        <v>43739</v>
      </c>
      <c r="C20" s="87">
        <v>61500</v>
      </c>
      <c r="D20" s="30">
        <v>141</v>
      </c>
      <c r="E20" s="31">
        <v>390</v>
      </c>
      <c r="F20" s="32">
        <v>1518.57</v>
      </c>
      <c r="G20" s="32">
        <v>310.27</v>
      </c>
      <c r="H20" s="32">
        <v>100.18</v>
      </c>
      <c r="I20" s="32">
        <v>39.479999999999997</v>
      </c>
      <c r="J20" s="32">
        <v>-55.97</v>
      </c>
      <c r="K20" s="32">
        <v>23.29</v>
      </c>
      <c r="L20" s="164">
        <v>186.06</v>
      </c>
      <c r="M20" s="71">
        <f t="shared" si="8"/>
        <v>2511.88</v>
      </c>
      <c r="N20" s="71">
        <v>37.549999999999997</v>
      </c>
      <c r="O20" s="65">
        <v>2604.5300000000002</v>
      </c>
      <c r="P20" s="28">
        <f>131.23+92.63</f>
        <v>223.85999999999999</v>
      </c>
      <c r="Q20" s="28">
        <v>0</v>
      </c>
      <c r="R20" s="28">
        <f>113.14*2</f>
        <v>226.28</v>
      </c>
      <c r="S20" s="71">
        <f t="shared" si="0"/>
        <v>3054.6700000000005</v>
      </c>
      <c r="T20" s="258">
        <f t="shared" si="2"/>
        <v>1558.05</v>
      </c>
      <c r="U20" s="257">
        <f t="shared" si="3"/>
        <v>3182.8700000000003</v>
      </c>
      <c r="V20" s="261">
        <f t="shared" si="4"/>
        <v>863.18</v>
      </c>
      <c r="W20" s="254">
        <f t="shared" si="5"/>
        <v>5604.1000000000013</v>
      </c>
      <c r="X20" s="181">
        <f t="shared" si="6"/>
        <v>11.049999999999999</v>
      </c>
      <c r="Y20" s="182">
        <f t="shared" si="7"/>
        <v>5.1753983739837403E-2</v>
      </c>
      <c r="Z20" s="151">
        <f t="shared" si="1"/>
        <v>9.1123577235772385E-2</v>
      </c>
      <c r="AB20" s="26">
        <f t="shared" si="9"/>
        <v>5604.1</v>
      </c>
      <c r="AC20" s="26">
        <f t="shared" si="10"/>
        <v>0</v>
      </c>
    </row>
    <row r="21" spans="1:36" s="9" customFormat="1" ht="15.75" thickBot="1" x14ac:dyDescent="0.25">
      <c r="A21" s="19"/>
      <c r="B21" s="86">
        <v>43770</v>
      </c>
      <c r="C21" s="88">
        <v>58800</v>
      </c>
      <c r="D21" s="33">
        <v>156</v>
      </c>
      <c r="E21" s="31">
        <v>390</v>
      </c>
      <c r="F21" s="32">
        <v>1680.12</v>
      </c>
      <c r="G21" s="32">
        <v>296.64999999999998</v>
      </c>
      <c r="H21" s="32">
        <v>145.65</v>
      </c>
      <c r="I21" s="32">
        <v>108.14</v>
      </c>
      <c r="J21" s="32">
        <v>-17.64</v>
      </c>
      <c r="K21" s="32">
        <v>26.29</v>
      </c>
      <c r="L21" s="164">
        <v>210.34</v>
      </c>
      <c r="M21" s="71">
        <f>SUM(E21:L21)</f>
        <v>2839.55</v>
      </c>
      <c r="N21" s="71">
        <v>0</v>
      </c>
      <c r="O21" s="65">
        <v>2490.1799999999998</v>
      </c>
      <c r="P21" s="28">
        <f>117.11+96.66</f>
        <v>213.76999999999998</v>
      </c>
      <c r="Q21" s="28">
        <v>0</v>
      </c>
      <c r="R21" s="28">
        <f>108.16*2</f>
        <v>216.32</v>
      </c>
      <c r="S21" s="71">
        <f t="shared" si="0"/>
        <v>2920.27</v>
      </c>
      <c r="T21" s="259">
        <f t="shared" si="2"/>
        <v>1788.26</v>
      </c>
      <c r="U21" s="260">
        <f t="shared" si="3"/>
        <v>3128.6099999999997</v>
      </c>
      <c r="V21" s="262">
        <f t="shared" si="4"/>
        <v>842.95</v>
      </c>
      <c r="W21" s="254">
        <f t="shared" si="5"/>
        <v>5759.82</v>
      </c>
      <c r="X21" s="181">
        <f t="shared" si="6"/>
        <v>11.463205128205129</v>
      </c>
      <c r="Y21" s="182">
        <f t="shared" si="7"/>
        <v>5.3207653061224484E-2</v>
      </c>
      <c r="Z21" s="151">
        <f t="shared" si="1"/>
        <v>9.7956122448979582E-2</v>
      </c>
      <c r="AB21" s="26">
        <f t="shared" si="9"/>
        <v>5759.82</v>
      </c>
      <c r="AC21" s="26">
        <f t="shared" si="10"/>
        <v>0</v>
      </c>
    </row>
    <row r="22" spans="1:36" ht="15.75" thickBot="1" x14ac:dyDescent="0.3">
      <c r="B22" s="34" t="s">
        <v>99</v>
      </c>
      <c r="C22" s="152">
        <f>SUM(C10:C21)</f>
        <v>740400</v>
      </c>
      <c r="D22" s="36">
        <f>MAX(D10:D21)</f>
        <v>162</v>
      </c>
      <c r="E22" s="37"/>
      <c r="F22" s="38"/>
      <c r="G22" s="38"/>
      <c r="H22" s="38"/>
      <c r="I22" s="38"/>
      <c r="J22" s="38"/>
      <c r="K22" s="39"/>
      <c r="L22" s="165"/>
      <c r="M22" s="40">
        <f>SUM(M10:M21)</f>
        <v>27221.71</v>
      </c>
      <c r="N22" s="40"/>
      <c r="O22" s="41"/>
      <c r="P22" s="42"/>
      <c r="Q22" s="42"/>
      <c r="R22" s="38"/>
      <c r="S22" s="44">
        <f>SUM(S10:S21)</f>
        <v>37452.439999999995</v>
      </c>
      <c r="T22" s="255">
        <f>SUM(T10:T21)</f>
        <v>12916.16</v>
      </c>
      <c r="U22" s="256">
        <f>SUM(U10:U21)</f>
        <v>29714.05</v>
      </c>
      <c r="V22" s="256">
        <f>SUM(V10:V21)</f>
        <v>6673.0199999999995</v>
      </c>
      <c r="W22" s="44">
        <f>SUM(W10:W21)</f>
        <v>64748.540000000008</v>
      </c>
      <c r="X22" s="48">
        <f>AVERAGE(X11:X21)</f>
        <v>8.8133556990848643</v>
      </c>
      <c r="Y22" s="49">
        <f t="shared" si="7"/>
        <v>4.0132428417071854E-2</v>
      </c>
      <c r="Z22" s="50">
        <f>W22/C22</f>
        <v>8.7450756347920058E-2</v>
      </c>
      <c r="AB22" s="26"/>
      <c r="AC22" s="26"/>
    </row>
    <row r="23" spans="1:36" ht="15.75" x14ac:dyDescent="0.25">
      <c r="C23" s="51"/>
    </row>
    <row r="24" spans="1:36" x14ac:dyDescent="0.25">
      <c r="D24" s="52"/>
      <c r="AJ24" s="6"/>
    </row>
    <row r="26" spans="1:36" x14ac:dyDescent="0.25">
      <c r="R26" s="53"/>
    </row>
    <row r="33" spans="1:42" s="3" customFormat="1" x14ac:dyDescent="0.25">
      <c r="A33" s="2"/>
      <c r="B33" s="2"/>
      <c r="C33" s="2"/>
      <c r="D33" s="2"/>
      <c r="R33" s="4"/>
      <c r="S33" s="4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</row>
    <row r="34" spans="1:42" s="3" customFormat="1" x14ac:dyDescent="0.25">
      <c r="A34" s="2"/>
      <c r="B34" s="2"/>
      <c r="C34" s="2"/>
      <c r="D34" s="2"/>
      <c r="R34" s="4"/>
      <c r="S34" s="4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</row>
    <row r="35" spans="1:42" s="3" customFormat="1" x14ac:dyDescent="0.25">
      <c r="A35" s="2"/>
      <c r="B35" s="2"/>
      <c r="C35" s="2"/>
      <c r="D35" s="2"/>
      <c r="R35" s="4"/>
      <c r="S35" s="4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</row>
    <row r="36" spans="1:42" s="3" customFormat="1" x14ac:dyDescent="0.25">
      <c r="A36" s="2"/>
      <c r="B36" s="2"/>
      <c r="C36" s="2"/>
      <c r="D36" s="2"/>
      <c r="R36" s="4"/>
      <c r="S36" s="4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</row>
    <row r="37" spans="1:42" s="3" customFormat="1" x14ac:dyDescent="0.25">
      <c r="A37" s="2"/>
      <c r="B37" s="2"/>
      <c r="C37" s="2"/>
      <c r="D37" s="2"/>
      <c r="R37" s="4"/>
      <c r="S37" s="4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</row>
  </sheetData>
  <sheetProtection algorithmName="SHA-512" hashValue="iGmWmOFTIgAcUA8tUuHaCghDN9ho7DZ2FPcMs9/sHa5U8yvjRRXQIhxetdm5zohpRV61rQm3fBFiu0NOkG6/GQ==" saltValue="E2EmeiGiTqifLplScpcsFQ==" spinCount="100000" sheet="1" objects="1" scenarios="1"/>
  <mergeCells count="4">
    <mergeCell ref="C8:D8"/>
    <mergeCell ref="E8:N8"/>
    <mergeCell ref="O8:S8"/>
    <mergeCell ref="T8:Z8"/>
  </mergeCells>
  <pageMargins left="0.7" right="0.7" top="0.75" bottom="0.75" header="0.3" footer="0.3"/>
  <pageSetup scale="4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C66C-745D-4726-8AD5-46324CD0FE16}">
  <sheetPr>
    <pageSetUpPr fitToPage="1"/>
  </sheetPr>
  <dimension ref="A1:AQ37"/>
  <sheetViews>
    <sheetView view="pageBreakPreview" zoomScaleNormal="100" zoomScaleSheetLayoutView="100" workbookViewId="0">
      <selection activeCell="A6" sqref="A6:B6"/>
    </sheetView>
  </sheetViews>
  <sheetFormatPr defaultColWidth="10" defaultRowHeight="15" x14ac:dyDescent="0.25"/>
  <cols>
    <col min="1" max="1" width="10" style="2"/>
    <col min="2" max="2" width="12.28515625" style="2" bestFit="1" customWidth="1"/>
    <col min="3" max="3" width="8.7109375" style="2" customWidth="1"/>
    <col min="4" max="4" width="7.7109375" style="2" customWidth="1"/>
    <col min="5" max="5" width="8.42578125" style="3" bestFit="1" customWidth="1"/>
    <col min="6" max="6" width="7.7109375" style="3" bestFit="1" customWidth="1"/>
    <col min="7" max="7" width="7.7109375" style="3" customWidth="1"/>
    <col min="8" max="8" width="8.7109375" style="3" bestFit="1" customWidth="1"/>
    <col min="9" max="9" width="9.28515625" style="3" bestFit="1" customWidth="1"/>
    <col min="10" max="10" width="9.42578125" style="3" customWidth="1"/>
    <col min="11" max="11" width="11.28515625" style="3" customWidth="1"/>
    <col min="12" max="13" width="9.28515625" style="3" customWidth="1"/>
    <col min="14" max="16" width="12.28515625" style="3" customWidth="1"/>
    <col min="17" max="18" width="11.5703125" style="3" customWidth="1"/>
    <col min="19" max="20" width="10.42578125" style="4" customWidth="1"/>
    <col min="21" max="21" width="9.5703125" style="2" bestFit="1" customWidth="1"/>
    <col min="22" max="22" width="11.42578125" style="2" bestFit="1" customWidth="1"/>
    <col min="23" max="23" width="9.28515625" style="2" customWidth="1"/>
    <col min="24" max="24" width="9.5703125" style="2" customWidth="1"/>
    <col min="25" max="25" width="10.42578125" style="2" customWidth="1"/>
    <col min="26" max="26" width="8.5703125" style="2" bestFit="1" customWidth="1"/>
    <col min="27" max="27" width="8.7109375" style="2" bestFit="1" customWidth="1"/>
    <col min="28" max="28" width="8.28515625" style="2" customWidth="1"/>
    <col min="29" max="30" width="8.7109375" style="2" bestFit="1" customWidth="1"/>
    <col min="31" max="31" width="10.7109375" style="2" bestFit="1" customWidth="1"/>
    <col min="32" max="32" width="7.7109375" style="2" bestFit="1" customWidth="1"/>
    <col min="33" max="33" width="10.28515625" style="2" customWidth="1"/>
    <col min="34" max="35" width="11.28515625" style="2" customWidth="1"/>
    <col min="36" max="36" width="9.7109375" style="2" customWidth="1"/>
    <col min="37" max="37" width="13" style="2" bestFit="1" customWidth="1"/>
    <col min="38" max="38" width="10.42578125" style="2" customWidth="1"/>
    <col min="39" max="39" width="8.28515625" style="2" customWidth="1"/>
    <col min="40" max="40" width="8.7109375" style="2" customWidth="1"/>
    <col min="41" max="41" width="9.28515625" style="2" customWidth="1"/>
    <col min="42" max="43" width="11.42578125" style="2" bestFit="1" customWidth="1"/>
    <col min="44" max="16384" width="10" style="2"/>
  </cols>
  <sheetData>
    <row r="1" spans="1:37" x14ac:dyDescent="0.25">
      <c r="A1" s="1" t="s">
        <v>80</v>
      </c>
      <c r="B1" s="1"/>
      <c r="C1" s="1"/>
      <c r="D1" s="1"/>
      <c r="AG1" s="5"/>
      <c r="AH1" s="5"/>
      <c r="AI1" s="5"/>
      <c r="AJ1" s="5"/>
      <c r="AK1" s="5"/>
    </row>
    <row r="2" spans="1:37" x14ac:dyDescent="0.25">
      <c r="A2" s="1" t="s">
        <v>60</v>
      </c>
      <c r="B2" s="1"/>
      <c r="C2" s="1"/>
      <c r="D2" s="1"/>
      <c r="V2" s="6"/>
      <c r="AG2" s="5"/>
      <c r="AH2" s="5"/>
      <c r="AI2" s="5"/>
      <c r="AJ2" s="5"/>
      <c r="AK2" s="5"/>
    </row>
    <row r="3" spans="1:37" x14ac:dyDescent="0.25">
      <c r="A3" s="52" t="s">
        <v>82</v>
      </c>
      <c r="B3" s="1"/>
      <c r="C3" s="1"/>
      <c r="D3" s="1"/>
      <c r="V3" s="6"/>
      <c r="AG3" s="5"/>
      <c r="AH3" s="5"/>
      <c r="AI3" s="5"/>
      <c r="AJ3" s="5"/>
      <c r="AK3" s="5"/>
    </row>
    <row r="4" spans="1:37" x14ac:dyDescent="0.25">
      <c r="A4" s="52" t="s">
        <v>83</v>
      </c>
      <c r="B4" s="1"/>
      <c r="C4" s="1"/>
      <c r="D4" s="1"/>
      <c r="V4" s="6"/>
      <c r="AG4" s="5"/>
      <c r="AH4" s="5"/>
      <c r="AI4" s="5"/>
      <c r="AJ4" s="5"/>
      <c r="AK4" s="5"/>
    </row>
    <row r="5" spans="1:37" x14ac:dyDescent="0.25">
      <c r="A5" s="52"/>
      <c r="B5" s="1"/>
      <c r="C5" s="1"/>
      <c r="D5" s="1"/>
      <c r="V5" s="6"/>
      <c r="AG5" s="5"/>
      <c r="AH5" s="5"/>
      <c r="AI5" s="5"/>
      <c r="AJ5" s="5"/>
      <c r="AK5" s="5"/>
    </row>
    <row r="6" spans="1:37" x14ac:dyDescent="0.25">
      <c r="A6" s="496"/>
      <c r="B6" s="4" t="s">
        <v>193</v>
      </c>
      <c r="C6" s="1"/>
      <c r="D6" s="1"/>
      <c r="V6" s="6"/>
      <c r="AG6" s="5"/>
      <c r="AH6" s="5"/>
      <c r="AI6" s="5"/>
      <c r="AJ6" s="5"/>
      <c r="AK6" s="5"/>
    </row>
    <row r="7" spans="1:37" ht="15.75" thickBot="1" x14ac:dyDescent="0.3">
      <c r="A7" s="1"/>
      <c r="B7" s="1"/>
      <c r="C7" s="1"/>
      <c r="D7" s="7"/>
      <c r="V7" s="6"/>
      <c r="AG7" s="5"/>
      <c r="AH7" s="5"/>
      <c r="AI7" s="5"/>
      <c r="AJ7" s="5"/>
      <c r="AK7" s="5"/>
    </row>
    <row r="8" spans="1:37" ht="15.75" thickBot="1" x14ac:dyDescent="0.3">
      <c r="B8" s="8"/>
      <c r="C8" s="521"/>
      <c r="D8" s="534"/>
      <c r="E8" s="538" t="s">
        <v>84</v>
      </c>
      <c r="F8" s="539"/>
      <c r="G8" s="539"/>
      <c r="H8" s="539"/>
      <c r="I8" s="539"/>
      <c r="J8" s="539"/>
      <c r="K8" s="539"/>
      <c r="L8" s="539"/>
      <c r="M8" s="539"/>
      <c r="N8" s="539"/>
      <c r="O8" s="540"/>
      <c r="P8" s="523" t="s">
        <v>85</v>
      </c>
      <c r="Q8" s="524"/>
      <c r="R8" s="524"/>
      <c r="S8" s="524"/>
      <c r="T8" s="525"/>
      <c r="U8" s="535" t="s">
        <v>87</v>
      </c>
      <c r="V8" s="536"/>
      <c r="W8" s="536"/>
      <c r="X8" s="536"/>
      <c r="Y8" s="536"/>
      <c r="Z8" s="536"/>
      <c r="AA8" s="537"/>
    </row>
    <row r="9" spans="1:37" s="167" customFormat="1" ht="36.75" thickBot="1" x14ac:dyDescent="0.3">
      <c r="B9" s="10" t="s">
        <v>88</v>
      </c>
      <c r="C9" s="89" t="s">
        <v>89</v>
      </c>
      <c r="D9" s="168" t="s">
        <v>90</v>
      </c>
      <c r="E9" s="169" t="s">
        <v>127</v>
      </c>
      <c r="F9" s="170" t="s">
        <v>128</v>
      </c>
      <c r="G9" s="170" t="s">
        <v>142</v>
      </c>
      <c r="H9" s="170" t="s">
        <v>115</v>
      </c>
      <c r="I9" s="170" t="s">
        <v>129</v>
      </c>
      <c r="J9" s="170" t="s">
        <v>130</v>
      </c>
      <c r="K9" s="170" t="s">
        <v>131</v>
      </c>
      <c r="L9" s="170" t="s">
        <v>116</v>
      </c>
      <c r="M9" s="171" t="s">
        <v>117</v>
      </c>
      <c r="N9" s="172" t="s">
        <v>91</v>
      </c>
      <c r="O9" s="173" t="s">
        <v>118</v>
      </c>
      <c r="P9" s="174" t="s">
        <v>92</v>
      </c>
      <c r="Q9" s="175" t="s">
        <v>93</v>
      </c>
      <c r="R9" s="175" t="s">
        <v>141</v>
      </c>
      <c r="S9" s="175" t="s">
        <v>94</v>
      </c>
      <c r="T9" s="10" t="s">
        <v>96</v>
      </c>
      <c r="U9" s="131" t="s">
        <v>132</v>
      </c>
      <c r="V9" s="132" t="s">
        <v>133</v>
      </c>
      <c r="W9" s="134" t="s">
        <v>134</v>
      </c>
      <c r="X9" s="10" t="s">
        <v>135</v>
      </c>
      <c r="Y9" s="177" t="s">
        <v>136</v>
      </c>
      <c r="Z9" s="16" t="s">
        <v>137</v>
      </c>
      <c r="AA9" s="18" t="s">
        <v>98</v>
      </c>
    </row>
    <row r="10" spans="1:37" s="9" customFormat="1" x14ac:dyDescent="0.2">
      <c r="B10" s="86">
        <v>43435</v>
      </c>
      <c r="C10" s="129">
        <v>311744.40000000002</v>
      </c>
      <c r="D10" s="21">
        <v>542.4</v>
      </c>
      <c r="E10" s="250"/>
      <c r="F10" s="251"/>
      <c r="G10" s="251"/>
      <c r="H10" s="251"/>
      <c r="I10" s="251"/>
      <c r="J10" s="251"/>
      <c r="K10" s="251"/>
      <c r="L10" s="252"/>
      <c r="M10" s="253"/>
      <c r="N10" s="71">
        <v>7824.43</v>
      </c>
      <c r="O10" s="71">
        <v>0</v>
      </c>
      <c r="P10" s="63">
        <v>13320.84</v>
      </c>
      <c r="Q10" s="24">
        <f>928.78+69.01</f>
        <v>997.79</v>
      </c>
      <c r="R10" s="24">
        <v>0</v>
      </c>
      <c r="S10" s="24">
        <f>572.75+572.75</f>
        <v>1145.5</v>
      </c>
      <c r="T10" s="71">
        <f t="shared" ref="T10:T21" si="0">SUM(P10:S10)</f>
        <v>15464.130000000001</v>
      </c>
      <c r="U10" s="263"/>
      <c r="V10" s="264"/>
      <c r="W10" s="265"/>
      <c r="X10" s="254">
        <f>N10+T10+O10</f>
        <v>23288.560000000001</v>
      </c>
      <c r="Y10" s="266"/>
      <c r="Z10" s="267"/>
      <c r="AA10" s="268">
        <f t="shared" ref="AA10:AA21" si="1">X10/C10</f>
        <v>7.4704020344872266E-2</v>
      </c>
    </row>
    <row r="11" spans="1:37" s="9" customFormat="1" x14ac:dyDescent="0.2">
      <c r="A11" s="19"/>
      <c r="B11" s="86">
        <v>43466</v>
      </c>
      <c r="C11" s="87">
        <v>349291.6</v>
      </c>
      <c r="D11" s="153">
        <v>580.4</v>
      </c>
      <c r="E11" s="162">
        <v>368.46</v>
      </c>
      <c r="F11" s="23">
        <v>6128.17</v>
      </c>
      <c r="G11" s="23">
        <v>0</v>
      </c>
      <c r="H11" s="23">
        <v>1805.17</v>
      </c>
      <c r="I11" s="23">
        <v>422.64</v>
      </c>
      <c r="J11" s="23">
        <v>-216.17</v>
      </c>
      <c r="K11" s="23">
        <v>-964.05</v>
      </c>
      <c r="L11" s="23">
        <v>76.2</v>
      </c>
      <c r="M11" s="164">
        <v>0</v>
      </c>
      <c r="N11" s="71">
        <f>SUM(E11:M11)</f>
        <v>7620.4199999999983</v>
      </c>
      <c r="O11" s="71">
        <v>0</v>
      </c>
      <c r="P11" s="63">
        <v>14925.23</v>
      </c>
      <c r="Q11" s="24">
        <f>1170.46+108.17</f>
        <v>1278.6300000000001</v>
      </c>
      <c r="R11" s="24">
        <v>0</v>
      </c>
      <c r="S11" s="24">
        <f>648.15+648.15</f>
        <v>1296.3</v>
      </c>
      <c r="T11" s="71">
        <f t="shared" si="0"/>
        <v>17500.16</v>
      </c>
      <c r="U11" s="258">
        <f>F11+J11+R11</f>
        <v>5912</v>
      </c>
      <c r="V11" s="257">
        <f>H11+I11+K11+P11+Q11</f>
        <v>17467.62</v>
      </c>
      <c r="W11" s="261">
        <f t="shared" ref="W11:W21" si="2">E11+L11+M11+O11+S11</f>
        <v>1740.96</v>
      </c>
      <c r="X11" s="254">
        <f t="shared" ref="X11:X21" si="3">N11+T11+O11</f>
        <v>25120.579999999998</v>
      </c>
      <c r="Y11" s="181">
        <f t="shared" ref="Y11:Y21" si="4">U11/D11</f>
        <v>10.186078566505859</v>
      </c>
      <c r="Z11" s="182">
        <f t="shared" ref="Z11:Z22" si="5">V11/C11</f>
        <v>5.000870332982528E-2</v>
      </c>
      <c r="AA11" s="151">
        <f t="shared" si="1"/>
        <v>7.1918649059983117E-2</v>
      </c>
      <c r="AC11" s="26">
        <f>U11+V11+W11</f>
        <v>25120.579999999998</v>
      </c>
      <c r="AD11" s="26">
        <f>X11-AC11</f>
        <v>0</v>
      </c>
    </row>
    <row r="12" spans="1:37" s="9" customFormat="1" x14ac:dyDescent="0.2">
      <c r="A12" s="27"/>
      <c r="B12" s="86">
        <v>43497</v>
      </c>
      <c r="C12" s="87">
        <v>317122</v>
      </c>
      <c r="D12" s="30">
        <v>608.4</v>
      </c>
      <c r="E12" s="22">
        <v>368.46</v>
      </c>
      <c r="F12" s="23">
        <v>6356.99</v>
      </c>
      <c r="G12" s="23">
        <v>0</v>
      </c>
      <c r="H12" s="23">
        <v>1599.88</v>
      </c>
      <c r="I12" s="23">
        <v>523.57000000000005</v>
      </c>
      <c r="J12" s="23">
        <v>-248.32</v>
      </c>
      <c r="K12" s="23">
        <v>-916.48</v>
      </c>
      <c r="L12" s="23">
        <v>77.62</v>
      </c>
      <c r="M12" s="164">
        <v>0</v>
      </c>
      <c r="N12" s="71">
        <f t="shared" ref="N12:N20" si="6">SUM(E12:M12)</f>
        <v>7761.72</v>
      </c>
      <c r="O12" s="71">
        <v>0</v>
      </c>
      <c r="P12" s="65">
        <v>13550.62</v>
      </c>
      <c r="Q12" s="28">
        <f>959.97+84.04</f>
        <v>1044.01</v>
      </c>
      <c r="R12" s="28">
        <v>0</v>
      </c>
      <c r="S12" s="28">
        <f>583.79+583.79</f>
        <v>1167.58</v>
      </c>
      <c r="T12" s="71">
        <f t="shared" si="0"/>
        <v>15762.210000000001</v>
      </c>
      <c r="U12" s="258">
        <f>F12+J12+R12</f>
        <v>6108.67</v>
      </c>
      <c r="V12" s="257">
        <f>H12+I12+K12+P12+Q12</f>
        <v>15801.6</v>
      </c>
      <c r="W12" s="261">
        <f>E12+L12+M12+O12+S12</f>
        <v>1613.6599999999999</v>
      </c>
      <c r="X12" s="254">
        <f>N12+T12+O12</f>
        <v>23523.93</v>
      </c>
      <c r="Y12" s="181">
        <f t="shared" si="4"/>
        <v>10.040548980933597</v>
      </c>
      <c r="Z12" s="182">
        <f t="shared" si="5"/>
        <v>4.982814185077037E-2</v>
      </c>
      <c r="AA12" s="151">
        <f t="shared" si="1"/>
        <v>7.417943252123789E-2</v>
      </c>
      <c r="AC12" s="26">
        <f t="shared" ref="AC12:AC21" si="7">U12+V12+W12</f>
        <v>23523.93</v>
      </c>
      <c r="AD12" s="26">
        <f>X12-AC12</f>
        <v>0</v>
      </c>
    </row>
    <row r="13" spans="1:37" s="9" customFormat="1" x14ac:dyDescent="0.2">
      <c r="A13" s="19"/>
      <c r="B13" s="86">
        <v>43525</v>
      </c>
      <c r="C13" s="87">
        <v>307438</v>
      </c>
      <c r="D13" s="30">
        <v>586</v>
      </c>
      <c r="E13" s="31">
        <v>368.46</v>
      </c>
      <c r="F13" s="32">
        <v>6094.85</v>
      </c>
      <c r="G13" s="32">
        <v>0</v>
      </c>
      <c r="H13" s="32">
        <v>1551.02</v>
      </c>
      <c r="I13" s="32">
        <v>980.73</v>
      </c>
      <c r="J13" s="32">
        <v>-238.08</v>
      </c>
      <c r="K13" s="32">
        <v>-900.79</v>
      </c>
      <c r="L13" s="32">
        <v>79.36</v>
      </c>
      <c r="M13" s="164">
        <v>0</v>
      </c>
      <c r="N13" s="71">
        <f>SUM(E13:M13)</f>
        <v>7935.5499999999993</v>
      </c>
      <c r="O13" s="71">
        <v>0</v>
      </c>
      <c r="P13" s="65">
        <v>13136.83</v>
      </c>
      <c r="Q13" s="28">
        <f>966.45+35.79</f>
        <v>1002.24</v>
      </c>
      <c r="R13" s="28">
        <v>0</v>
      </c>
      <c r="S13" s="28">
        <f>565.56+565.56</f>
        <v>1131.1199999999999</v>
      </c>
      <c r="T13" s="71">
        <f t="shared" si="0"/>
        <v>15270.189999999999</v>
      </c>
      <c r="U13" s="258">
        <f>F13+J13+R13</f>
        <v>5856.77</v>
      </c>
      <c r="V13" s="257">
        <f t="shared" ref="V13:V21" si="8">H13+I13+K13+P13+Q13</f>
        <v>15770.03</v>
      </c>
      <c r="W13" s="261">
        <f>E13+L13+M13+O13+S13</f>
        <v>1578.9399999999998</v>
      </c>
      <c r="X13" s="254">
        <f t="shared" si="3"/>
        <v>23205.739999999998</v>
      </c>
      <c r="Y13" s="181">
        <f t="shared" si="4"/>
        <v>9.9944880546075101</v>
      </c>
      <c r="Z13" s="182">
        <f t="shared" si="5"/>
        <v>5.1294992811558755E-2</v>
      </c>
      <c r="AA13" s="151">
        <f t="shared" si="1"/>
        <v>7.5481040079625805E-2</v>
      </c>
      <c r="AC13" s="26">
        <f t="shared" si="7"/>
        <v>23205.74</v>
      </c>
      <c r="AD13" s="26">
        <f>X13-AC13</f>
        <v>0</v>
      </c>
    </row>
    <row r="14" spans="1:37" s="9" customFormat="1" x14ac:dyDescent="0.2">
      <c r="A14" s="27"/>
      <c r="B14" s="86">
        <v>43556</v>
      </c>
      <c r="C14" s="87">
        <v>330937.2</v>
      </c>
      <c r="D14" s="153">
        <v>653.6</v>
      </c>
      <c r="E14" s="22">
        <v>427.37</v>
      </c>
      <c r="F14" s="23">
        <v>7787.24</v>
      </c>
      <c r="G14" s="23">
        <v>56.7</v>
      </c>
      <c r="H14" s="23">
        <v>1669.58</v>
      </c>
      <c r="I14" s="23">
        <v>1492.19</v>
      </c>
      <c r="J14" s="23">
        <v>0</v>
      </c>
      <c r="K14" s="23">
        <v>-982.88</v>
      </c>
      <c r="L14" s="23">
        <v>105.56</v>
      </c>
      <c r="M14" s="164">
        <v>0</v>
      </c>
      <c r="N14" s="71">
        <f t="shared" si="6"/>
        <v>10555.760000000002</v>
      </c>
      <c r="O14" s="71">
        <v>0</v>
      </c>
      <c r="P14" s="65">
        <v>14140.95</v>
      </c>
      <c r="Q14" s="28">
        <f>1085.05+104.41</f>
        <v>1189.46</v>
      </c>
      <c r="R14" s="28">
        <v>0</v>
      </c>
      <c r="S14" s="28">
        <f>613.22+613.22</f>
        <v>1226.44</v>
      </c>
      <c r="T14" s="71">
        <f t="shared" si="0"/>
        <v>16556.849999999999</v>
      </c>
      <c r="U14" s="258">
        <f t="shared" ref="U14:U21" si="9">F14+J14+R14</f>
        <v>7787.24</v>
      </c>
      <c r="V14" s="257">
        <f t="shared" si="8"/>
        <v>17509.3</v>
      </c>
      <c r="W14" s="261">
        <f t="shared" si="2"/>
        <v>1759.3700000000001</v>
      </c>
      <c r="X14" s="254">
        <f t="shared" si="3"/>
        <v>27112.61</v>
      </c>
      <c r="Y14" s="181">
        <f t="shared" si="4"/>
        <v>11.91438188494492</v>
      </c>
      <c r="Z14" s="182">
        <f t="shared" si="5"/>
        <v>5.2908225488098641E-2</v>
      </c>
      <c r="AA14" s="151">
        <f t="shared" si="1"/>
        <v>8.1926752265988834E-2</v>
      </c>
      <c r="AC14" s="26">
        <f t="shared" si="7"/>
        <v>27055.91</v>
      </c>
      <c r="AD14" s="26">
        <f>X14-AC14</f>
        <v>56.700000000000728</v>
      </c>
    </row>
    <row r="15" spans="1:37" s="9" customFormat="1" x14ac:dyDescent="0.2">
      <c r="A15" s="19"/>
      <c r="B15" s="86">
        <v>43586</v>
      </c>
      <c r="C15" s="87">
        <v>353036.4</v>
      </c>
      <c r="D15" s="30">
        <v>656</v>
      </c>
      <c r="E15" s="22">
        <v>433.46</v>
      </c>
      <c r="F15" s="23">
        <v>7926.72</v>
      </c>
      <c r="G15" s="23">
        <v>55.34</v>
      </c>
      <c r="H15" s="23">
        <v>1781.07</v>
      </c>
      <c r="I15" s="23">
        <v>1090.8800000000001</v>
      </c>
      <c r="J15" s="23">
        <v>206.08</v>
      </c>
      <c r="K15" s="23">
        <v>-1044.99</v>
      </c>
      <c r="L15" s="23">
        <v>105.54</v>
      </c>
      <c r="M15" s="164">
        <v>0</v>
      </c>
      <c r="N15" s="71">
        <f t="shared" si="6"/>
        <v>10554.100000000002</v>
      </c>
      <c r="O15" s="71">
        <v>0</v>
      </c>
      <c r="P15" s="65">
        <v>14523.92</v>
      </c>
      <c r="Q15" s="28">
        <f>1238.8+42.72</f>
        <v>1281.52</v>
      </c>
      <c r="R15" s="28">
        <v>0</v>
      </c>
      <c r="S15" s="28">
        <f>632.22*2</f>
        <v>1264.44</v>
      </c>
      <c r="T15" s="71">
        <f t="shared" si="0"/>
        <v>17069.88</v>
      </c>
      <c r="U15" s="258">
        <f t="shared" si="9"/>
        <v>8132.8</v>
      </c>
      <c r="V15" s="257">
        <f t="shared" si="8"/>
        <v>17632.399999999998</v>
      </c>
      <c r="W15" s="261">
        <f t="shared" si="2"/>
        <v>1803.44</v>
      </c>
      <c r="X15" s="254">
        <f t="shared" si="3"/>
        <v>27623.980000000003</v>
      </c>
      <c r="Y15" s="181">
        <f t="shared" si="4"/>
        <v>12.397560975609757</v>
      </c>
      <c r="Z15" s="182">
        <f t="shared" si="5"/>
        <v>4.9944991507957809E-2</v>
      </c>
      <c r="AA15" s="151">
        <f t="shared" si="1"/>
        <v>7.8246832337968558E-2</v>
      </c>
      <c r="AC15" s="26">
        <f t="shared" si="7"/>
        <v>27568.639999999996</v>
      </c>
      <c r="AD15" s="26">
        <f t="shared" ref="AD15:AD21" si="10">X15-AC15</f>
        <v>55.340000000007421</v>
      </c>
    </row>
    <row r="16" spans="1:37" s="9" customFormat="1" x14ac:dyDescent="0.2">
      <c r="A16" s="27"/>
      <c r="B16" s="86">
        <v>43617</v>
      </c>
      <c r="C16" s="87">
        <v>330927.59999999998</v>
      </c>
      <c r="D16" s="30">
        <v>672.8</v>
      </c>
      <c r="E16" s="31">
        <v>433.46</v>
      </c>
      <c r="F16" s="32">
        <v>7340.83</v>
      </c>
      <c r="G16" s="32">
        <v>76.16</v>
      </c>
      <c r="H16" s="32">
        <v>1669.53</v>
      </c>
      <c r="I16" s="32">
        <v>905.75</v>
      </c>
      <c r="J16" s="32">
        <v>190.85</v>
      </c>
      <c r="K16" s="32">
        <v>-953.07</v>
      </c>
      <c r="L16" s="32">
        <v>97.61</v>
      </c>
      <c r="M16" s="164">
        <v>780.89</v>
      </c>
      <c r="N16" s="71">
        <f t="shared" si="6"/>
        <v>10542.01</v>
      </c>
      <c r="O16" s="71">
        <v>0</v>
      </c>
      <c r="P16" s="65">
        <v>13614.36</v>
      </c>
      <c r="Q16" s="28">
        <f>1182.27+44.49</f>
        <v>1226.76</v>
      </c>
      <c r="R16" s="28">
        <v>0</v>
      </c>
      <c r="S16" s="28">
        <f>593.64*2</f>
        <v>1187.28</v>
      </c>
      <c r="T16" s="71">
        <f t="shared" si="0"/>
        <v>16028.400000000001</v>
      </c>
      <c r="U16" s="258">
        <f t="shared" si="9"/>
        <v>7531.68</v>
      </c>
      <c r="V16" s="257">
        <f t="shared" si="8"/>
        <v>16463.329999999998</v>
      </c>
      <c r="W16" s="261">
        <f t="shared" si="2"/>
        <v>2499.2399999999998</v>
      </c>
      <c r="X16" s="254">
        <f t="shared" si="3"/>
        <v>26570.410000000003</v>
      </c>
      <c r="Y16" s="181">
        <f t="shared" si="4"/>
        <v>11.194530321046374</v>
      </c>
      <c r="Z16" s="182">
        <f t="shared" si="5"/>
        <v>4.9749038762557124E-2</v>
      </c>
      <c r="AA16" s="151">
        <f t="shared" si="1"/>
        <v>8.029070406940976E-2</v>
      </c>
      <c r="AC16" s="26">
        <f t="shared" si="7"/>
        <v>26494.25</v>
      </c>
      <c r="AD16" s="26">
        <f t="shared" si="10"/>
        <v>76.160000000003492</v>
      </c>
    </row>
    <row r="17" spans="1:37" s="9" customFormat="1" x14ac:dyDescent="0.2">
      <c r="A17" s="19"/>
      <c r="B17" s="86">
        <v>43647</v>
      </c>
      <c r="C17" s="87">
        <v>403627.2</v>
      </c>
      <c r="D17" s="30">
        <v>696</v>
      </c>
      <c r="E17" s="31">
        <v>433.46</v>
      </c>
      <c r="F17" s="32">
        <v>7685.47</v>
      </c>
      <c r="G17" s="32">
        <v>71.150000000000006</v>
      </c>
      <c r="H17" s="32">
        <v>2036.3</v>
      </c>
      <c r="I17" s="32">
        <v>1029.25</v>
      </c>
      <c r="J17" s="32">
        <v>199.81</v>
      </c>
      <c r="K17" s="32">
        <v>145.31</v>
      </c>
      <c r="L17" s="32">
        <v>117.18</v>
      </c>
      <c r="M17" s="164">
        <v>937.43</v>
      </c>
      <c r="N17" s="71">
        <f t="shared" si="6"/>
        <v>12655.359999999999</v>
      </c>
      <c r="O17" s="71">
        <v>0</v>
      </c>
      <c r="P17" s="65">
        <v>16605.22</v>
      </c>
      <c r="Q17" s="28">
        <f>1331.47+140.39</f>
        <v>1471.8600000000001</v>
      </c>
      <c r="R17" s="28">
        <v>0</v>
      </c>
      <c r="S17" s="28">
        <f>723.08*2</f>
        <v>1446.16</v>
      </c>
      <c r="T17" s="71">
        <f t="shared" si="0"/>
        <v>19523.240000000002</v>
      </c>
      <c r="U17" s="258">
        <f t="shared" si="9"/>
        <v>7885.2800000000007</v>
      </c>
      <c r="V17" s="257">
        <f t="shared" si="8"/>
        <v>21287.940000000002</v>
      </c>
      <c r="W17" s="261">
        <f t="shared" si="2"/>
        <v>2934.23</v>
      </c>
      <c r="X17" s="254">
        <f t="shared" si="3"/>
        <v>32178.6</v>
      </c>
      <c r="Y17" s="181">
        <f t="shared" si="4"/>
        <v>11.329425287356322</v>
      </c>
      <c r="Z17" s="182">
        <f t="shared" si="5"/>
        <v>5.2741589268513127E-2</v>
      </c>
      <c r="AA17" s="151">
        <f t="shared" si="1"/>
        <v>7.9723566697189871E-2</v>
      </c>
      <c r="AC17" s="26">
        <f t="shared" si="7"/>
        <v>32107.45</v>
      </c>
      <c r="AD17" s="26">
        <f t="shared" si="10"/>
        <v>71.149999999997817</v>
      </c>
    </row>
    <row r="18" spans="1:37" s="9" customFormat="1" x14ac:dyDescent="0.2">
      <c r="A18" s="27"/>
      <c r="B18" s="86">
        <v>43678</v>
      </c>
      <c r="C18" s="87">
        <v>349780.4</v>
      </c>
      <c r="D18" s="30">
        <v>684.8</v>
      </c>
      <c r="E18" s="31">
        <v>433.46</v>
      </c>
      <c r="F18" s="32">
        <v>7840.56</v>
      </c>
      <c r="G18" s="32">
        <v>60.27</v>
      </c>
      <c r="H18" s="32">
        <v>1764.64</v>
      </c>
      <c r="I18" s="32">
        <v>845.07</v>
      </c>
      <c r="J18" s="32">
        <v>203.84</v>
      </c>
      <c r="K18" s="32">
        <v>486.19</v>
      </c>
      <c r="L18" s="32">
        <v>117.52</v>
      </c>
      <c r="M18" s="164">
        <v>940.12</v>
      </c>
      <c r="N18" s="71">
        <f t="shared" si="6"/>
        <v>12691.670000000002</v>
      </c>
      <c r="O18" s="71">
        <v>0</v>
      </c>
      <c r="P18" s="65">
        <v>14389.97</v>
      </c>
      <c r="Q18" s="28">
        <f>1229.3+43.9</f>
        <v>1273.2</v>
      </c>
      <c r="R18" s="28">
        <v>0</v>
      </c>
      <c r="S18" s="28">
        <f>626.53*2</f>
        <v>1253.06</v>
      </c>
      <c r="T18" s="71">
        <f t="shared" si="0"/>
        <v>16916.23</v>
      </c>
      <c r="U18" s="258">
        <f t="shared" si="9"/>
        <v>8044.4000000000005</v>
      </c>
      <c r="V18" s="257">
        <f t="shared" si="8"/>
        <v>18759.07</v>
      </c>
      <c r="W18" s="261">
        <f t="shared" si="2"/>
        <v>2744.16</v>
      </c>
      <c r="X18" s="254">
        <f t="shared" si="3"/>
        <v>29607.9</v>
      </c>
      <c r="Y18" s="181">
        <f t="shared" si="4"/>
        <v>11.747079439252339</v>
      </c>
      <c r="Z18" s="182">
        <f t="shared" si="5"/>
        <v>5.3630992474135199E-2</v>
      </c>
      <c r="AA18" s="151">
        <f t="shared" si="1"/>
        <v>8.4647110015312457E-2</v>
      </c>
      <c r="AC18" s="26">
        <f t="shared" si="7"/>
        <v>29547.63</v>
      </c>
      <c r="AD18" s="26">
        <f t="shared" si="10"/>
        <v>60.270000000000437</v>
      </c>
    </row>
    <row r="19" spans="1:37" s="9" customFormat="1" x14ac:dyDescent="0.2">
      <c r="A19" s="19"/>
      <c r="B19" s="86">
        <v>43709</v>
      </c>
      <c r="C19" s="87">
        <v>321687.59999999998</v>
      </c>
      <c r="D19" s="30">
        <v>702.4</v>
      </c>
      <c r="E19" s="31">
        <v>433.46</v>
      </c>
      <c r="F19" s="32">
        <v>7909.49</v>
      </c>
      <c r="G19" s="32">
        <v>61.2</v>
      </c>
      <c r="H19" s="32">
        <v>1622.92</v>
      </c>
      <c r="I19" s="32">
        <v>349.35</v>
      </c>
      <c r="J19" s="32">
        <v>205.63</v>
      </c>
      <c r="K19" s="32">
        <v>48.25</v>
      </c>
      <c r="L19" s="32">
        <v>107.38</v>
      </c>
      <c r="M19" s="164">
        <v>859.01</v>
      </c>
      <c r="N19" s="71">
        <f t="shared" si="6"/>
        <v>11596.689999999999</v>
      </c>
      <c r="O19" s="71">
        <v>0</v>
      </c>
      <c r="P19" s="65">
        <v>13234.23</v>
      </c>
      <c r="Q19" s="28">
        <f>1087.3+83.64</f>
        <v>1170.94</v>
      </c>
      <c r="R19" s="28">
        <v>0</v>
      </c>
      <c r="S19" s="28">
        <f>576.21*2</f>
        <v>1152.42</v>
      </c>
      <c r="T19" s="71">
        <f t="shared" si="0"/>
        <v>15557.59</v>
      </c>
      <c r="U19" s="258">
        <f>F19+J19+R19</f>
        <v>8115.12</v>
      </c>
      <c r="V19" s="257">
        <f>H19+I19+K19+P19+Q19</f>
        <v>16425.689999999999</v>
      </c>
      <c r="W19" s="261">
        <f t="shared" si="2"/>
        <v>2552.27</v>
      </c>
      <c r="X19" s="254">
        <f t="shared" si="3"/>
        <v>27154.28</v>
      </c>
      <c r="Y19" s="181">
        <f t="shared" si="4"/>
        <v>11.553416856492028</v>
      </c>
      <c r="Z19" s="182">
        <f t="shared" si="5"/>
        <v>5.1060998310161781E-2</v>
      </c>
      <c r="AA19" s="151">
        <f t="shared" si="1"/>
        <v>8.4411957439453678E-2</v>
      </c>
      <c r="AC19" s="26">
        <f t="shared" si="7"/>
        <v>27093.079999999998</v>
      </c>
      <c r="AD19" s="26">
        <f t="shared" si="10"/>
        <v>61.200000000000728</v>
      </c>
    </row>
    <row r="20" spans="1:37" s="9" customFormat="1" x14ac:dyDescent="0.2">
      <c r="A20" s="27"/>
      <c r="B20" s="86">
        <v>43739</v>
      </c>
      <c r="C20" s="87">
        <v>285945</v>
      </c>
      <c r="D20" s="30">
        <v>700</v>
      </c>
      <c r="E20" s="31">
        <v>433.46</v>
      </c>
      <c r="F20" s="32">
        <v>7539</v>
      </c>
      <c r="G20" s="32">
        <v>62.82</v>
      </c>
      <c r="H20" s="32">
        <v>1442.59</v>
      </c>
      <c r="I20" s="32">
        <v>465.8</v>
      </c>
      <c r="J20" s="32">
        <v>196</v>
      </c>
      <c r="K20" s="32">
        <v>-260.20999999999998</v>
      </c>
      <c r="L20" s="32">
        <v>99.79</v>
      </c>
      <c r="M20" s="164">
        <v>798.34</v>
      </c>
      <c r="N20" s="71">
        <f t="shared" si="6"/>
        <v>10777.59</v>
      </c>
      <c r="O20" s="71">
        <v>0</v>
      </c>
      <c r="P20" s="213"/>
      <c r="Q20" s="214"/>
      <c r="R20" s="214"/>
      <c r="S20" s="214"/>
      <c r="T20" s="286">
        <f>AVERAGE(T19,T21)</f>
        <v>14460.535</v>
      </c>
      <c r="U20" s="258">
        <f t="shared" si="9"/>
        <v>7735</v>
      </c>
      <c r="V20" s="257">
        <f t="shared" si="8"/>
        <v>1648.1799999999998</v>
      </c>
      <c r="W20" s="261">
        <f t="shared" si="2"/>
        <v>1331.5900000000001</v>
      </c>
      <c r="X20" s="254">
        <f t="shared" si="3"/>
        <v>25238.125</v>
      </c>
      <c r="Y20" s="181">
        <f t="shared" si="4"/>
        <v>11.05</v>
      </c>
      <c r="Z20" s="182">
        <f t="shared" si="5"/>
        <v>5.7639755897113077E-3</v>
      </c>
      <c r="AA20" s="151">
        <f t="shared" si="1"/>
        <v>8.8262165801115594E-2</v>
      </c>
      <c r="AC20" s="26">
        <f t="shared" si="7"/>
        <v>10714.77</v>
      </c>
      <c r="AD20" s="26">
        <f t="shared" si="10"/>
        <v>14523.355</v>
      </c>
    </row>
    <row r="21" spans="1:37" s="9" customFormat="1" ht="15.75" thickBot="1" x14ac:dyDescent="0.25">
      <c r="A21" s="19"/>
      <c r="B21" s="86">
        <v>43770</v>
      </c>
      <c r="C21" s="88">
        <v>276363.8</v>
      </c>
      <c r="D21" s="33">
        <v>628.4</v>
      </c>
      <c r="E21" s="31">
        <v>433.46</v>
      </c>
      <c r="F21" s="32">
        <v>7547.62</v>
      </c>
      <c r="G21" s="32">
        <v>52.36</v>
      </c>
      <c r="H21" s="32">
        <v>1394.26</v>
      </c>
      <c r="I21" s="32">
        <v>684.55</v>
      </c>
      <c r="J21" s="32">
        <v>623.71</v>
      </c>
      <c r="K21" s="32">
        <v>-82.91</v>
      </c>
      <c r="L21" s="32">
        <v>107.61</v>
      </c>
      <c r="M21" s="164">
        <v>860.85</v>
      </c>
      <c r="N21" s="71">
        <f>SUM(E21:M21)</f>
        <v>11621.51</v>
      </c>
      <c r="O21" s="71">
        <v>0</v>
      </c>
      <c r="P21" s="65">
        <v>11369.61</v>
      </c>
      <c r="Q21" s="28">
        <f>896.21+107.78</f>
        <v>1003.99</v>
      </c>
      <c r="R21" s="28">
        <v>0</v>
      </c>
      <c r="S21" s="28">
        <f>494.94*2</f>
        <v>989.88</v>
      </c>
      <c r="T21" s="71">
        <f t="shared" si="0"/>
        <v>13363.48</v>
      </c>
      <c r="U21" s="259">
        <f t="shared" si="9"/>
        <v>8171.33</v>
      </c>
      <c r="V21" s="260">
        <f t="shared" si="8"/>
        <v>14369.5</v>
      </c>
      <c r="W21" s="262">
        <f t="shared" si="2"/>
        <v>2391.8000000000002</v>
      </c>
      <c r="X21" s="254">
        <f t="shared" si="3"/>
        <v>24984.989999999998</v>
      </c>
      <c r="Y21" s="181">
        <f t="shared" si="4"/>
        <v>13.003389560789307</v>
      </c>
      <c r="Z21" s="182">
        <f t="shared" si="5"/>
        <v>5.1994870529352977E-2</v>
      </c>
      <c r="AA21" s="151">
        <f t="shared" si="1"/>
        <v>9.040616028582614E-2</v>
      </c>
      <c r="AC21" s="26">
        <f t="shared" si="7"/>
        <v>24932.63</v>
      </c>
      <c r="AD21" s="26">
        <f t="shared" si="10"/>
        <v>52.359999999996944</v>
      </c>
    </row>
    <row r="22" spans="1:37" ht="15.75" thickBot="1" x14ac:dyDescent="0.3">
      <c r="B22" s="34" t="s">
        <v>99</v>
      </c>
      <c r="C22" s="152">
        <f>SUM(C10:C21)</f>
        <v>3937901.2</v>
      </c>
      <c r="D22" s="36">
        <f>MAX(D10:D21)</f>
        <v>702.4</v>
      </c>
      <c r="E22" s="37"/>
      <c r="F22" s="38"/>
      <c r="G22" s="38"/>
      <c r="H22" s="38"/>
      <c r="I22" s="38"/>
      <c r="J22" s="38"/>
      <c r="K22" s="38"/>
      <c r="L22" s="39"/>
      <c r="M22" s="165"/>
      <c r="N22" s="40">
        <f>SUM(N10:N21)</f>
        <v>122136.81</v>
      </c>
      <c r="O22" s="40"/>
      <c r="P22" s="41"/>
      <c r="Q22" s="42"/>
      <c r="R22" s="42"/>
      <c r="S22" s="38"/>
      <c r="T22" s="44">
        <f>SUM(T10:T21)</f>
        <v>193472.89500000002</v>
      </c>
      <c r="U22" s="255">
        <f>SUM(U10:U21)</f>
        <v>81280.290000000008</v>
      </c>
      <c r="V22" s="256">
        <f>SUM(V10:V21)</f>
        <v>173134.66</v>
      </c>
      <c r="W22" s="256">
        <f>SUM(W10:W21)</f>
        <v>22949.66</v>
      </c>
      <c r="X22" s="44">
        <f>SUM(X10:X21)</f>
        <v>315609.70499999996</v>
      </c>
      <c r="Y22" s="48">
        <f>AVERAGE(Y11:Y21)</f>
        <v>11.310081811594364</v>
      </c>
      <c r="Z22" s="49">
        <f t="shared" si="5"/>
        <v>4.3966227491944183E-2</v>
      </c>
      <c r="AA22" s="50">
        <f>X22/C22</f>
        <v>8.0146679403739221E-2</v>
      </c>
      <c r="AC22" s="26"/>
      <c r="AD22" s="26"/>
    </row>
    <row r="23" spans="1:37" ht="15.75" x14ac:dyDescent="0.25">
      <c r="C23" s="51"/>
    </row>
    <row r="24" spans="1:37" x14ac:dyDescent="0.25">
      <c r="D24" s="52"/>
      <c r="AK24" s="6"/>
    </row>
    <row r="26" spans="1:37" x14ac:dyDescent="0.25">
      <c r="S26" s="53"/>
    </row>
    <row r="33" spans="1:43" s="3" customFormat="1" x14ac:dyDescent="0.25">
      <c r="A33" s="2"/>
      <c r="B33" s="2"/>
      <c r="C33" s="2"/>
      <c r="D33" s="2"/>
      <c r="S33" s="4"/>
      <c r="T33" s="4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</row>
    <row r="34" spans="1:43" s="3" customFormat="1" x14ac:dyDescent="0.25">
      <c r="A34" s="2"/>
      <c r="B34" s="2"/>
      <c r="C34" s="2"/>
      <c r="D34" s="2"/>
      <c r="S34" s="4"/>
      <c r="T34" s="4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</row>
    <row r="35" spans="1:43" s="3" customFormat="1" x14ac:dyDescent="0.25">
      <c r="A35" s="2"/>
      <c r="B35" s="2"/>
      <c r="C35" s="2"/>
      <c r="D35" s="2"/>
      <c r="S35" s="4"/>
      <c r="T35" s="4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</row>
    <row r="36" spans="1:43" s="3" customFormat="1" x14ac:dyDescent="0.25">
      <c r="A36" s="2"/>
      <c r="B36" s="2"/>
      <c r="C36" s="2"/>
      <c r="D36" s="2"/>
      <c r="S36" s="4"/>
      <c r="T36" s="4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</row>
    <row r="37" spans="1:43" s="3" customFormat="1" x14ac:dyDescent="0.25">
      <c r="A37" s="2"/>
      <c r="B37" s="2"/>
      <c r="C37" s="2"/>
      <c r="D37" s="2"/>
      <c r="S37" s="4"/>
      <c r="T37" s="4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</row>
  </sheetData>
  <sheetProtection algorithmName="SHA-512" hashValue="IjYQNliu9y75++OEZcLsFvzIzmsF2NTGRsNNcIvW8JQoRcrOy4VDEbe63QBrxXRpAxByS5feLbWdHgMcWgt5QQ==" saltValue="rszjmLcuQMkLTUNn7QtO+Q==" spinCount="100000" sheet="1" objects="1" scenarios="1"/>
  <mergeCells count="4">
    <mergeCell ref="C8:D8"/>
    <mergeCell ref="E8:O8"/>
    <mergeCell ref="P8:T8"/>
    <mergeCell ref="U8:AA8"/>
  </mergeCells>
  <pageMargins left="0.7" right="0.7" top="0.75" bottom="0.75" header="0.3" footer="0.3"/>
  <pageSetup scale="4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43142-9D43-4C24-B1DC-6CD95D17AF1B}">
  <sheetPr>
    <pageSetUpPr fitToPage="1"/>
  </sheetPr>
  <dimension ref="A1:Y24"/>
  <sheetViews>
    <sheetView view="pageBreakPreview" zoomScaleNormal="100" zoomScaleSheetLayoutView="100" workbookViewId="0">
      <selection activeCell="U29" sqref="U29"/>
    </sheetView>
  </sheetViews>
  <sheetFormatPr defaultRowHeight="15" x14ac:dyDescent="0.25"/>
  <cols>
    <col min="4" max="4" width="10.5703125" customWidth="1"/>
    <col min="6" max="6" width="9.28515625" customWidth="1"/>
    <col min="8" max="8" width="10.5703125" customWidth="1"/>
    <col min="9" max="9" width="8" customWidth="1"/>
    <col min="11" max="11" width="10.28515625" customWidth="1"/>
    <col min="15" max="15" width="10" customWidth="1"/>
    <col min="19" max="19" width="9.5703125" customWidth="1"/>
    <col min="21" max="21" width="7.28515625" customWidth="1"/>
    <col min="22" max="23" width="10.28515625" customWidth="1"/>
    <col min="24" max="24" width="9.7109375" bestFit="1" customWidth="1"/>
    <col min="25" max="25" width="12.7109375" customWidth="1"/>
  </cols>
  <sheetData>
    <row r="1" spans="1:25" x14ac:dyDescent="0.25">
      <c r="A1" s="1" t="s">
        <v>100</v>
      </c>
    </row>
    <row r="2" spans="1:25" x14ac:dyDescent="0.25">
      <c r="A2" s="1" t="s">
        <v>59</v>
      </c>
    </row>
    <row r="3" spans="1:25" x14ac:dyDescent="0.25">
      <c r="A3" s="52" t="s">
        <v>82</v>
      </c>
    </row>
    <row r="4" spans="1:25" x14ac:dyDescent="0.25">
      <c r="A4" s="52" t="s">
        <v>83</v>
      </c>
    </row>
    <row r="5" spans="1:25" x14ac:dyDescent="0.25">
      <c r="A5" s="52"/>
    </row>
    <row r="6" spans="1:25" x14ac:dyDescent="0.25">
      <c r="A6" s="496"/>
      <c r="B6" s="4" t="s">
        <v>193</v>
      </c>
    </row>
    <row r="7" spans="1:25" ht="15.75" thickBot="1" x14ac:dyDescent="0.3"/>
    <row r="8" spans="1:25" ht="15.75" thickBot="1" x14ac:dyDescent="0.3">
      <c r="A8" s="242"/>
      <c r="B8" s="507" t="s">
        <v>101</v>
      </c>
      <c r="C8" s="508"/>
      <c r="D8" s="508"/>
      <c r="E8" s="508"/>
      <c r="F8" s="508"/>
      <c r="G8" s="508"/>
      <c r="H8" s="509"/>
      <c r="I8" s="507" t="s">
        <v>84</v>
      </c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9"/>
      <c r="U8" s="119"/>
      <c r="V8" s="507" t="s">
        <v>102</v>
      </c>
      <c r="W8" s="509"/>
      <c r="X8" s="526" t="s">
        <v>87</v>
      </c>
      <c r="Y8" s="527"/>
    </row>
    <row r="9" spans="1:25" ht="36.75" thickBot="1" x14ac:dyDescent="0.3">
      <c r="A9" s="89" t="s">
        <v>88</v>
      </c>
      <c r="B9" s="97" t="s">
        <v>103</v>
      </c>
      <c r="C9" s="98" t="s">
        <v>104</v>
      </c>
      <c r="D9" s="97" t="s">
        <v>105</v>
      </c>
      <c r="E9" s="104" t="s">
        <v>106</v>
      </c>
      <c r="F9" s="104" t="s">
        <v>107</v>
      </c>
      <c r="G9" s="98" t="s">
        <v>108</v>
      </c>
      <c r="H9" s="10" t="s">
        <v>109</v>
      </c>
      <c r="I9" s="90" t="s">
        <v>103</v>
      </c>
      <c r="J9" s="18" t="s">
        <v>104</v>
      </c>
      <c r="K9" s="90" t="s">
        <v>110</v>
      </c>
      <c r="L9" s="16" t="s">
        <v>111</v>
      </c>
      <c r="M9" s="16" t="s">
        <v>138</v>
      </c>
      <c r="N9" s="16" t="s">
        <v>112</v>
      </c>
      <c r="O9" s="16" t="s">
        <v>113</v>
      </c>
      <c r="P9" s="16" t="s">
        <v>114</v>
      </c>
      <c r="Q9" s="16" t="s">
        <v>115</v>
      </c>
      <c r="R9" s="16" t="s">
        <v>116</v>
      </c>
      <c r="S9" s="17" t="s">
        <v>117</v>
      </c>
      <c r="T9" s="10" t="s">
        <v>91</v>
      </c>
      <c r="U9" s="10" t="s">
        <v>118</v>
      </c>
      <c r="V9" s="243" t="s">
        <v>35</v>
      </c>
      <c r="W9" s="92" t="s">
        <v>139</v>
      </c>
      <c r="X9" s="279" t="s">
        <v>120</v>
      </c>
      <c r="Y9" s="92" t="s">
        <v>121</v>
      </c>
    </row>
    <row r="10" spans="1:25" x14ac:dyDescent="0.25">
      <c r="A10" s="86">
        <v>43435</v>
      </c>
      <c r="B10" s="93">
        <v>4843.6000000000004</v>
      </c>
      <c r="C10" s="101">
        <f>B10/10</f>
        <v>484.36</v>
      </c>
      <c r="D10" s="105">
        <v>1614.86</v>
      </c>
      <c r="E10" s="106">
        <v>50.86</v>
      </c>
      <c r="F10" s="106">
        <v>66.63</v>
      </c>
      <c r="G10" s="107">
        <v>66.63</v>
      </c>
      <c r="H10" s="138">
        <f>SUM(D10:G10)</f>
        <v>1798.98</v>
      </c>
      <c r="I10" s="129">
        <v>4770</v>
      </c>
      <c r="J10" s="130">
        <f>I10/10</f>
        <v>477</v>
      </c>
      <c r="K10" s="187">
        <v>24.27</v>
      </c>
      <c r="L10" s="188">
        <v>83.1</v>
      </c>
      <c r="M10" s="188">
        <v>0</v>
      </c>
      <c r="N10" s="188">
        <v>783.5</v>
      </c>
      <c r="O10" s="188">
        <v>-110.3</v>
      </c>
      <c r="P10" s="188">
        <v>-174.59</v>
      </c>
      <c r="Q10" s="188">
        <v>18.649999999999999</v>
      </c>
      <c r="R10" s="188">
        <v>6.31</v>
      </c>
      <c r="S10" s="189">
        <v>0</v>
      </c>
      <c r="T10" s="138">
        <f>SUM(K10:S10)</f>
        <v>630.93999999999994</v>
      </c>
      <c r="U10" s="144">
        <v>0</v>
      </c>
      <c r="V10" s="105">
        <f t="shared" ref="V10:V21" si="0">H10+T10+U10</f>
        <v>2429.92</v>
      </c>
      <c r="W10" s="245">
        <f>D10+E10+L10+M10+N10+P10+Q10</f>
        <v>2376.3799999999997</v>
      </c>
      <c r="X10" s="105">
        <f>W10/J10</f>
        <v>4.9819287211740031</v>
      </c>
      <c r="Y10" s="107">
        <f>V10/J10</f>
        <v>5.0941719077568139</v>
      </c>
    </row>
    <row r="11" spans="1:25" x14ac:dyDescent="0.25">
      <c r="A11" s="86">
        <v>43466</v>
      </c>
      <c r="B11" s="87">
        <v>5919</v>
      </c>
      <c r="C11" s="102">
        <f>B11/10</f>
        <v>591.9</v>
      </c>
      <c r="D11" s="108">
        <v>1973.39</v>
      </c>
      <c r="E11" s="99">
        <v>62.15</v>
      </c>
      <c r="F11" s="99">
        <v>81.41</v>
      </c>
      <c r="G11" s="109">
        <v>81.41</v>
      </c>
      <c r="H11" s="126">
        <f t="shared" ref="H11:H21" si="1">SUM(D11:G11)</f>
        <v>2198.36</v>
      </c>
      <c r="I11" s="129">
        <v>5829</v>
      </c>
      <c r="J11" s="130">
        <f>I11/10</f>
        <v>582.9</v>
      </c>
      <c r="K11" s="187">
        <v>24.27</v>
      </c>
      <c r="L11" s="188">
        <v>83.1</v>
      </c>
      <c r="M11" s="188">
        <v>823.64</v>
      </c>
      <c r="N11" s="188">
        <v>46.38</v>
      </c>
      <c r="O11" s="188">
        <v>32.6</v>
      </c>
      <c r="P11" s="188">
        <v>-213.39</v>
      </c>
      <c r="Q11" s="188">
        <v>10.14</v>
      </c>
      <c r="R11" s="188">
        <v>8.15</v>
      </c>
      <c r="S11" s="189">
        <v>0</v>
      </c>
      <c r="T11" s="138">
        <f>SUM(K11:S11)</f>
        <v>814.89</v>
      </c>
      <c r="U11" s="145">
        <v>0</v>
      </c>
      <c r="V11" s="108">
        <f t="shared" si="0"/>
        <v>3013.25</v>
      </c>
      <c r="W11" s="202">
        <f t="shared" ref="W11:W21" si="2">D11+E11+L11+M11+N11+P11+Q11</f>
        <v>2785.4100000000003</v>
      </c>
      <c r="X11" s="108">
        <f t="shared" ref="X11:X21" si="3">W11/J11</f>
        <v>4.7785383427689148</v>
      </c>
      <c r="Y11" s="109">
        <f t="shared" ref="Y11:Y21" si="4">V11/J11</f>
        <v>5.169411562875279</v>
      </c>
    </row>
    <row r="12" spans="1:25" x14ac:dyDescent="0.25">
      <c r="A12" s="86">
        <v>43497</v>
      </c>
      <c r="B12" s="87">
        <v>5909.8</v>
      </c>
      <c r="C12" s="102">
        <f t="shared" ref="C12:C21" si="5">B12/10</f>
        <v>590.98</v>
      </c>
      <c r="D12" s="108">
        <f>656.76+1230.04</f>
        <v>1886.8</v>
      </c>
      <c r="E12" s="99">
        <f>20.68+79.19</f>
        <v>99.87</v>
      </c>
      <c r="F12" s="99">
        <v>79.47</v>
      </c>
      <c r="G12" s="109">
        <v>79.47</v>
      </c>
      <c r="H12" s="126">
        <f t="shared" si="1"/>
        <v>2145.6099999999997</v>
      </c>
      <c r="I12" s="87">
        <v>5820</v>
      </c>
      <c r="J12" s="102">
        <f t="shared" ref="J12:J21" si="6">I12/10</f>
        <v>582</v>
      </c>
      <c r="K12" s="187">
        <v>24.27</v>
      </c>
      <c r="L12" s="99">
        <v>83.1</v>
      </c>
      <c r="M12" s="99">
        <v>823.64</v>
      </c>
      <c r="N12" s="99">
        <v>45.88</v>
      </c>
      <c r="O12" s="99">
        <v>-1.38</v>
      </c>
      <c r="P12" s="99">
        <v>-213.06</v>
      </c>
      <c r="Q12" s="99">
        <v>2.91</v>
      </c>
      <c r="R12" s="99">
        <v>7.73</v>
      </c>
      <c r="S12" s="109">
        <v>0</v>
      </c>
      <c r="T12" s="126">
        <v>302.45999999999998</v>
      </c>
      <c r="U12" s="146">
        <v>0</v>
      </c>
      <c r="V12" s="108">
        <f t="shared" si="0"/>
        <v>2448.0699999999997</v>
      </c>
      <c r="W12" s="202">
        <f t="shared" si="2"/>
        <v>2729.14</v>
      </c>
      <c r="X12" s="108">
        <f t="shared" si="3"/>
        <v>4.6892439862542954</v>
      </c>
      <c r="Y12" s="109">
        <f t="shared" si="4"/>
        <v>4.2063058419243982</v>
      </c>
    </row>
    <row r="13" spans="1:25" x14ac:dyDescent="0.25">
      <c r="A13" s="86">
        <v>43525</v>
      </c>
      <c r="B13" s="87">
        <v>4846.7</v>
      </c>
      <c r="C13" s="102">
        <f t="shared" si="5"/>
        <v>484.66999999999996</v>
      </c>
      <c r="D13" s="108">
        <v>1513.14</v>
      </c>
      <c r="E13" s="99">
        <v>97.42</v>
      </c>
      <c r="F13" s="99">
        <v>64.41</v>
      </c>
      <c r="G13" s="109">
        <v>64.41</v>
      </c>
      <c r="H13" s="126">
        <f t="shared" si="1"/>
        <v>1739.3800000000003</v>
      </c>
      <c r="I13" s="87">
        <v>4773</v>
      </c>
      <c r="J13" s="102">
        <f t="shared" si="6"/>
        <v>477.3</v>
      </c>
      <c r="K13" s="187">
        <v>24.27</v>
      </c>
      <c r="L13" s="99">
        <v>83.1</v>
      </c>
      <c r="M13" s="99">
        <v>0</v>
      </c>
      <c r="N13" s="99">
        <v>784.03</v>
      </c>
      <c r="O13" s="99">
        <v>-47.44</v>
      </c>
      <c r="P13" s="99">
        <v>-174.73</v>
      </c>
      <c r="Q13" s="99">
        <v>2.39</v>
      </c>
      <c r="R13" s="99">
        <v>6.78</v>
      </c>
      <c r="S13" s="109">
        <v>0</v>
      </c>
      <c r="T13" s="126">
        <f>SUM(K13:S13)</f>
        <v>678.4</v>
      </c>
      <c r="U13" s="146">
        <v>0</v>
      </c>
      <c r="V13" s="108">
        <f t="shared" si="0"/>
        <v>2417.7800000000002</v>
      </c>
      <c r="W13" s="202">
        <f t="shared" si="2"/>
        <v>2305.35</v>
      </c>
      <c r="X13" s="108">
        <f t="shared" si="3"/>
        <v>4.8299811439346323</v>
      </c>
      <c r="Y13" s="109">
        <f t="shared" si="4"/>
        <v>5.0655353027446051</v>
      </c>
    </row>
    <row r="14" spans="1:25" x14ac:dyDescent="0.25">
      <c r="A14" s="86">
        <v>43556</v>
      </c>
      <c r="B14" s="87">
        <v>2315.19</v>
      </c>
      <c r="C14" s="102">
        <f t="shared" si="5"/>
        <v>231.51900000000001</v>
      </c>
      <c r="D14" s="229">
        <v>722.8</v>
      </c>
      <c r="E14" s="230">
        <v>46.54</v>
      </c>
      <c r="F14" s="230">
        <v>30.77</v>
      </c>
      <c r="G14" s="231">
        <v>30.77</v>
      </c>
      <c r="H14" s="232">
        <f t="shared" si="1"/>
        <v>830.87999999999988</v>
      </c>
      <c r="I14" s="87">
        <v>2280</v>
      </c>
      <c r="J14" s="102">
        <f t="shared" si="6"/>
        <v>228</v>
      </c>
      <c r="K14" s="187">
        <v>24.27</v>
      </c>
      <c r="L14" s="99">
        <v>87.37</v>
      </c>
      <c r="M14" s="99">
        <v>0</v>
      </c>
      <c r="N14" s="99">
        <v>366.98</v>
      </c>
      <c r="O14" s="99">
        <v>22.56</v>
      </c>
      <c r="P14" s="99">
        <v>-83.47</v>
      </c>
      <c r="Q14" s="99">
        <v>1.1399999999999999</v>
      </c>
      <c r="R14" s="99">
        <v>4.2300000000000004</v>
      </c>
      <c r="S14" s="109">
        <v>0</v>
      </c>
      <c r="T14" s="126">
        <f>SUM(K14:S14)</f>
        <v>423.08000000000004</v>
      </c>
      <c r="U14" s="146">
        <v>0</v>
      </c>
      <c r="V14" s="108">
        <f t="shared" si="0"/>
        <v>1253.96</v>
      </c>
      <c r="W14" s="202">
        <f t="shared" si="2"/>
        <v>1141.3600000000001</v>
      </c>
      <c r="X14" s="108">
        <f t="shared" si="3"/>
        <v>5.0059649122807022</v>
      </c>
      <c r="Y14" s="109">
        <f t="shared" si="4"/>
        <v>5.4998245614035088</v>
      </c>
    </row>
    <row r="15" spans="1:25" x14ac:dyDescent="0.25">
      <c r="A15" s="86">
        <v>43586</v>
      </c>
      <c r="B15" s="87">
        <v>1077.3800000000001</v>
      </c>
      <c r="C15" s="102">
        <f t="shared" si="5"/>
        <v>107.73800000000001</v>
      </c>
      <c r="D15" s="108">
        <v>336.36</v>
      </c>
      <c r="E15" s="99">
        <v>21.66</v>
      </c>
      <c r="F15" s="99">
        <v>14.32</v>
      </c>
      <c r="G15" s="109">
        <v>14.32</v>
      </c>
      <c r="H15" s="126">
        <f t="shared" si="1"/>
        <v>386.66</v>
      </c>
      <c r="I15" s="87">
        <v>1061</v>
      </c>
      <c r="J15" s="102">
        <f t="shared" si="6"/>
        <v>106.1</v>
      </c>
      <c r="K15" s="187">
        <v>24.27</v>
      </c>
      <c r="L15" s="99">
        <v>89.84</v>
      </c>
      <c r="M15" s="99">
        <v>0</v>
      </c>
      <c r="N15" s="99">
        <v>147.38</v>
      </c>
      <c r="O15" s="99">
        <v>5.98</v>
      </c>
      <c r="P15" s="99">
        <v>-38.840000000000003</v>
      </c>
      <c r="Q15" s="99">
        <v>0.53</v>
      </c>
      <c r="R15" s="99">
        <v>2.31</v>
      </c>
      <c r="S15" s="109">
        <v>0</v>
      </c>
      <c r="T15" s="126">
        <f>SUM(K15:S15)</f>
        <v>231.47000000000003</v>
      </c>
      <c r="U15" s="146">
        <v>0</v>
      </c>
      <c r="V15" s="108">
        <f t="shared" si="0"/>
        <v>618.13000000000011</v>
      </c>
      <c r="W15" s="202">
        <f t="shared" si="2"/>
        <v>556.92999999999995</v>
      </c>
      <c r="X15" s="108">
        <f t="shared" si="3"/>
        <v>5.2491046182846368</v>
      </c>
      <c r="Y15" s="109">
        <f t="shared" si="4"/>
        <v>5.8259189443920842</v>
      </c>
    </row>
    <row r="16" spans="1:25" x14ac:dyDescent="0.25">
      <c r="A16" s="86">
        <v>43617</v>
      </c>
      <c r="B16" s="87">
        <v>396.02</v>
      </c>
      <c r="C16" s="102">
        <f t="shared" si="5"/>
        <v>39.601999999999997</v>
      </c>
      <c r="D16" s="229">
        <v>123.64</v>
      </c>
      <c r="E16" s="230">
        <v>7.96</v>
      </c>
      <c r="F16" s="230">
        <v>5.27</v>
      </c>
      <c r="G16" s="231">
        <v>5.27</v>
      </c>
      <c r="H16" s="232">
        <f t="shared" si="1"/>
        <v>142.14000000000001</v>
      </c>
      <c r="I16" s="87">
        <v>390</v>
      </c>
      <c r="J16" s="102">
        <f t="shared" si="6"/>
        <v>39</v>
      </c>
      <c r="K16" s="187">
        <v>24.27</v>
      </c>
      <c r="L16" s="99">
        <v>89.84</v>
      </c>
      <c r="M16" s="99">
        <v>0</v>
      </c>
      <c r="N16" s="99">
        <v>20.75</v>
      </c>
      <c r="O16" s="99">
        <v>-0.88</v>
      </c>
      <c r="P16" s="99">
        <v>-14.28</v>
      </c>
      <c r="Q16" s="99">
        <v>0.2</v>
      </c>
      <c r="R16" s="99">
        <v>1.21</v>
      </c>
      <c r="S16" s="109">
        <v>9.69</v>
      </c>
      <c r="T16" s="126">
        <f t="shared" ref="T16:T21" si="7">SUM(K16:S16)</f>
        <v>130.80000000000001</v>
      </c>
      <c r="U16" s="146">
        <v>0</v>
      </c>
      <c r="V16" s="108">
        <f t="shared" si="0"/>
        <v>272.94000000000005</v>
      </c>
      <c r="W16" s="202">
        <f t="shared" si="2"/>
        <v>228.10999999999999</v>
      </c>
      <c r="X16" s="108">
        <f t="shared" si="3"/>
        <v>5.8489743589743588</v>
      </c>
      <c r="Y16" s="109">
        <f t="shared" si="4"/>
        <v>6.9984615384615401</v>
      </c>
    </row>
    <row r="17" spans="1:25" x14ac:dyDescent="0.25">
      <c r="A17" s="86">
        <v>43647</v>
      </c>
      <c r="B17" s="87">
        <v>318.83999999999997</v>
      </c>
      <c r="C17" s="102">
        <f t="shared" si="5"/>
        <v>31.883999999999997</v>
      </c>
      <c r="D17" s="108">
        <v>99.54</v>
      </c>
      <c r="E17" s="99">
        <v>6.41</v>
      </c>
      <c r="F17" s="99">
        <v>4.24</v>
      </c>
      <c r="G17" s="109">
        <v>4.24</v>
      </c>
      <c r="H17" s="126">
        <f t="shared" si="1"/>
        <v>114.42999999999999</v>
      </c>
      <c r="I17" s="207"/>
      <c r="J17" s="237">
        <f t="shared" si="6"/>
        <v>0</v>
      </c>
      <c r="K17" s="269"/>
      <c r="L17" s="239"/>
      <c r="M17" s="239"/>
      <c r="N17" s="239"/>
      <c r="O17" s="239"/>
      <c r="P17" s="239"/>
      <c r="Q17" s="239"/>
      <c r="R17" s="239"/>
      <c r="S17" s="240"/>
      <c r="T17" s="186">
        <f>AVERAGE(T16,T18)</f>
        <v>126.25999999999999</v>
      </c>
      <c r="U17" s="146">
        <v>0</v>
      </c>
      <c r="V17" s="108">
        <f>H17+T17+U17</f>
        <v>240.69</v>
      </c>
      <c r="W17" s="202">
        <f t="shared" si="2"/>
        <v>105.95</v>
      </c>
      <c r="X17" s="238" t="e">
        <f t="shared" si="3"/>
        <v>#DIV/0!</v>
      </c>
      <c r="Y17" s="109" t="e">
        <f t="shared" si="4"/>
        <v>#DIV/0!</v>
      </c>
    </row>
    <row r="18" spans="1:25" x14ac:dyDescent="0.25">
      <c r="A18" s="86">
        <v>43678</v>
      </c>
      <c r="B18" s="87">
        <v>279.24</v>
      </c>
      <c r="C18" s="102">
        <f t="shared" si="5"/>
        <v>27.923999999999999</v>
      </c>
      <c r="D18" s="108">
        <v>87.18</v>
      </c>
      <c r="E18" s="99">
        <v>5.61</v>
      </c>
      <c r="F18" s="99">
        <v>3.72</v>
      </c>
      <c r="G18" s="109">
        <v>3.72</v>
      </c>
      <c r="H18" s="126">
        <f t="shared" si="1"/>
        <v>100.23</v>
      </c>
      <c r="I18" s="87">
        <v>275</v>
      </c>
      <c r="J18" s="102">
        <f t="shared" si="6"/>
        <v>27.5</v>
      </c>
      <c r="K18" s="187">
        <v>24.27</v>
      </c>
      <c r="L18" s="99">
        <v>0</v>
      </c>
      <c r="M18" s="99">
        <v>0</v>
      </c>
      <c r="N18" s="99">
        <v>88.22</v>
      </c>
      <c r="O18" s="99">
        <v>0</v>
      </c>
      <c r="P18" s="99">
        <v>-1.06</v>
      </c>
      <c r="Q18" s="99">
        <v>0.14000000000000001</v>
      </c>
      <c r="R18" s="99">
        <v>1.1299999999999999</v>
      </c>
      <c r="S18" s="109">
        <v>9.02</v>
      </c>
      <c r="T18" s="126">
        <f t="shared" si="7"/>
        <v>121.71999999999998</v>
      </c>
      <c r="U18" s="146">
        <v>1.9</v>
      </c>
      <c r="V18" s="108">
        <f t="shared" si="0"/>
        <v>223.85</v>
      </c>
      <c r="W18" s="202">
        <f t="shared" si="2"/>
        <v>180.08999999999997</v>
      </c>
      <c r="X18" s="108">
        <f t="shared" si="3"/>
        <v>6.5487272727272714</v>
      </c>
      <c r="Y18" s="109">
        <f t="shared" si="4"/>
        <v>8.14</v>
      </c>
    </row>
    <row r="19" spans="1:25" x14ac:dyDescent="0.25">
      <c r="A19" s="86">
        <v>43709</v>
      </c>
      <c r="B19" s="87">
        <v>286.35000000000002</v>
      </c>
      <c r="C19" s="102">
        <f t="shared" si="5"/>
        <v>28.635000000000002</v>
      </c>
      <c r="D19" s="183">
        <v>89.4</v>
      </c>
      <c r="E19" s="184">
        <v>5.7</v>
      </c>
      <c r="F19" s="184">
        <v>3.8</v>
      </c>
      <c r="G19" s="185">
        <v>3.8</v>
      </c>
      <c r="H19" s="126">
        <f t="shared" si="1"/>
        <v>102.7</v>
      </c>
      <c r="I19" s="207"/>
      <c r="J19" s="237">
        <f t="shared" si="6"/>
        <v>0</v>
      </c>
      <c r="K19" s="269">
        <v>24.27</v>
      </c>
      <c r="L19" s="239"/>
      <c r="M19" s="239"/>
      <c r="N19" s="239"/>
      <c r="O19" s="239"/>
      <c r="P19" s="239"/>
      <c r="Q19" s="239"/>
      <c r="R19" s="239"/>
      <c r="S19" s="240"/>
      <c r="T19" s="186">
        <f>AVERAGE(T18,T20)</f>
        <v>223.00499999999997</v>
      </c>
      <c r="U19" s="146">
        <v>0</v>
      </c>
      <c r="V19" s="108">
        <f t="shared" si="0"/>
        <v>325.70499999999998</v>
      </c>
      <c r="W19" s="202">
        <f t="shared" si="2"/>
        <v>95.100000000000009</v>
      </c>
      <c r="X19" s="238" t="e">
        <f t="shared" si="3"/>
        <v>#DIV/0!</v>
      </c>
      <c r="Y19" s="109" t="e">
        <f t="shared" si="4"/>
        <v>#DIV/0!</v>
      </c>
    </row>
    <row r="20" spans="1:25" x14ac:dyDescent="0.25">
      <c r="A20" s="86">
        <v>43739</v>
      </c>
      <c r="B20" s="87">
        <v>1273.3599999999999</v>
      </c>
      <c r="C20" s="102">
        <f t="shared" si="5"/>
        <v>127.33599999999998</v>
      </c>
      <c r="D20" s="183">
        <v>397.5</v>
      </c>
      <c r="E20" s="184">
        <v>25.5</v>
      </c>
      <c r="F20" s="184">
        <v>16.899999999999999</v>
      </c>
      <c r="G20" s="185">
        <v>16.899999999999999</v>
      </c>
      <c r="H20" s="126">
        <f t="shared" si="1"/>
        <v>456.79999999999995</v>
      </c>
      <c r="I20" s="87">
        <v>1254</v>
      </c>
      <c r="J20" s="102">
        <f t="shared" si="6"/>
        <v>125.4</v>
      </c>
      <c r="K20" s="187">
        <v>24.27</v>
      </c>
      <c r="L20" s="99">
        <v>89.84</v>
      </c>
      <c r="M20" s="99">
        <v>0</v>
      </c>
      <c r="N20" s="99">
        <v>183.79</v>
      </c>
      <c r="O20" s="99">
        <v>3.17</v>
      </c>
      <c r="P20" s="99">
        <v>-4.43</v>
      </c>
      <c r="Q20" s="99">
        <v>0.63</v>
      </c>
      <c r="R20" s="99">
        <v>3</v>
      </c>
      <c r="S20" s="109">
        <v>24.02</v>
      </c>
      <c r="T20" s="126">
        <f t="shared" si="7"/>
        <v>324.28999999999996</v>
      </c>
      <c r="U20" s="146">
        <v>0</v>
      </c>
      <c r="V20" s="108">
        <f t="shared" si="0"/>
        <v>781.08999999999992</v>
      </c>
      <c r="W20" s="202">
        <f t="shared" si="2"/>
        <v>692.83</v>
      </c>
      <c r="X20" s="108">
        <f t="shared" si="3"/>
        <v>5.5249601275917062</v>
      </c>
      <c r="Y20" s="109">
        <f t="shared" si="4"/>
        <v>6.2287878787878777</v>
      </c>
    </row>
    <row r="21" spans="1:25" ht="15.75" thickBot="1" x14ac:dyDescent="0.3">
      <c r="A21" s="194">
        <v>43770</v>
      </c>
      <c r="B21" s="113">
        <v>3476.84</v>
      </c>
      <c r="C21" s="102">
        <f t="shared" si="5"/>
        <v>347.68400000000003</v>
      </c>
      <c r="D21" s="233">
        <v>1085.47</v>
      </c>
      <c r="E21" s="234">
        <v>69.88</v>
      </c>
      <c r="F21" s="234">
        <v>46.21</v>
      </c>
      <c r="G21" s="235">
        <v>46.21</v>
      </c>
      <c r="H21" s="236">
        <f t="shared" si="1"/>
        <v>1247.77</v>
      </c>
      <c r="I21" s="113">
        <v>3424</v>
      </c>
      <c r="J21" s="114">
        <f t="shared" si="6"/>
        <v>342.4</v>
      </c>
      <c r="K21" s="187">
        <v>24.27</v>
      </c>
      <c r="L21" s="117">
        <v>89.84</v>
      </c>
      <c r="M21" s="117">
        <v>0</v>
      </c>
      <c r="N21" s="117">
        <v>593.27</v>
      </c>
      <c r="O21" s="117">
        <v>-43.77</v>
      </c>
      <c r="P21" s="117">
        <v>-12.09</v>
      </c>
      <c r="Q21" s="117">
        <v>1.71</v>
      </c>
      <c r="R21" s="117">
        <v>6.6</v>
      </c>
      <c r="S21" s="118">
        <v>52.79</v>
      </c>
      <c r="T21" s="199">
        <f t="shared" si="7"/>
        <v>712.62</v>
      </c>
      <c r="U21" s="228">
        <v>0</v>
      </c>
      <c r="V21" s="110">
        <f t="shared" si="0"/>
        <v>1960.3899999999999</v>
      </c>
      <c r="W21" s="246">
        <f t="shared" si="2"/>
        <v>1828.08</v>
      </c>
      <c r="X21" s="116">
        <f t="shared" si="3"/>
        <v>5.3390186915887856</v>
      </c>
      <c r="Y21" s="118">
        <f t="shared" si="4"/>
        <v>5.7254380841121497</v>
      </c>
    </row>
    <row r="22" spans="1:25" ht="15.75" thickBot="1" x14ac:dyDescent="0.3">
      <c r="A22" s="112" t="s">
        <v>99</v>
      </c>
      <c r="B22" s="115">
        <f>SUM(B10:B21)</f>
        <v>30942.320000000003</v>
      </c>
      <c r="C22" s="121">
        <f>SUM(C10:C21)</f>
        <v>3094.232</v>
      </c>
      <c r="D22" s="122"/>
      <c r="E22" s="124"/>
      <c r="F22" s="124"/>
      <c r="G22" s="125"/>
      <c r="H22" s="123">
        <f>SUM(H10:H21)</f>
        <v>11263.939999999999</v>
      </c>
      <c r="I22" s="115">
        <f>SUM(I10:I21)</f>
        <v>29876</v>
      </c>
      <c r="J22" s="121">
        <f>SUM(J10:J21)</f>
        <v>2987.6000000000004</v>
      </c>
      <c r="K22" s="122"/>
      <c r="L22" s="124"/>
      <c r="M22" s="124"/>
      <c r="N22" s="124"/>
      <c r="O22" s="124"/>
      <c r="P22" s="124"/>
      <c r="Q22" s="124"/>
      <c r="R22" s="133"/>
      <c r="S22" s="125"/>
      <c r="T22" s="200">
        <f>SUM(T10:T21)</f>
        <v>4719.9350000000004</v>
      </c>
      <c r="U22" s="120">
        <f>SUM(U10:U21)</f>
        <v>1.9</v>
      </c>
      <c r="V22" s="147">
        <f>SUM(V10:V21)</f>
        <v>15985.775000000001</v>
      </c>
      <c r="W22" s="276">
        <f>SUM(W10:W21)</f>
        <v>15024.730000000003</v>
      </c>
      <c r="X22" s="277">
        <f>W22/J22</f>
        <v>5.0290299906279294</v>
      </c>
      <c r="Y22" s="278">
        <f>V22/J22</f>
        <v>5.3507079260945236</v>
      </c>
    </row>
    <row r="23" spans="1:25" x14ac:dyDescent="0.25">
      <c r="V23" s="96"/>
    </row>
    <row r="24" spans="1:25" x14ac:dyDescent="0.25">
      <c r="X24" s="96"/>
    </row>
  </sheetData>
  <sheetProtection algorithmName="SHA-512" hashValue="xz3bhXIPWLEMdTbswVj3ep7X5oQwXCn9NVLWWR1ZA0fx9K+ED8xDvsMXUygBV/YUG7OlYxqHaPIQ620igfKlfw==" saltValue="QlmnQ54l/PxkY74SIDG3YQ==" spinCount="100000" sheet="1" objects="1" scenarios="1"/>
  <mergeCells count="4">
    <mergeCell ref="B8:H8"/>
    <mergeCell ref="I8:T8"/>
    <mergeCell ref="V8:W8"/>
    <mergeCell ref="X8:Y8"/>
  </mergeCells>
  <pageMargins left="0.7" right="0.7" top="0.75" bottom="0.75" header="0.3" footer="0.3"/>
  <pageSetup scale="5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1B6E7-3E13-4095-BC90-8DC1FFF1219E}">
  <sheetPr>
    <pageSetUpPr fitToPage="1"/>
  </sheetPr>
  <dimension ref="A1:Y24"/>
  <sheetViews>
    <sheetView view="pageBreakPreview" zoomScaleNormal="100" zoomScaleSheetLayoutView="100" workbookViewId="0">
      <selection activeCell="G7" sqref="G7"/>
    </sheetView>
  </sheetViews>
  <sheetFormatPr defaultRowHeight="15" x14ac:dyDescent="0.25"/>
  <cols>
    <col min="4" max="4" width="10.5703125" customWidth="1"/>
    <col min="6" max="6" width="9.28515625" customWidth="1"/>
    <col min="8" max="8" width="10.5703125" customWidth="1"/>
    <col min="9" max="9" width="8" customWidth="1"/>
    <col min="11" max="11" width="10.28515625" customWidth="1"/>
    <col min="15" max="15" width="10" customWidth="1"/>
    <col min="19" max="19" width="9.5703125" customWidth="1"/>
    <col min="21" max="21" width="7.28515625" customWidth="1"/>
    <col min="22" max="23" width="10.28515625" customWidth="1"/>
    <col min="24" max="24" width="9.7109375" bestFit="1" customWidth="1"/>
    <col min="25" max="25" width="10.7109375" customWidth="1"/>
  </cols>
  <sheetData>
    <row r="1" spans="1:25" x14ac:dyDescent="0.25">
      <c r="A1" s="1" t="s">
        <v>100</v>
      </c>
    </row>
    <row r="2" spans="1:25" x14ac:dyDescent="0.25">
      <c r="A2" s="1" t="s">
        <v>60</v>
      </c>
    </row>
    <row r="3" spans="1:25" x14ac:dyDescent="0.25">
      <c r="A3" s="52" t="s">
        <v>82</v>
      </c>
    </row>
    <row r="4" spans="1:25" x14ac:dyDescent="0.25">
      <c r="A4" s="52" t="s">
        <v>83</v>
      </c>
    </row>
    <row r="5" spans="1:25" x14ac:dyDescent="0.25">
      <c r="A5" s="52"/>
    </row>
    <row r="6" spans="1:25" x14ac:dyDescent="0.25">
      <c r="A6" s="496"/>
      <c r="B6" s="4" t="s">
        <v>193</v>
      </c>
    </row>
    <row r="7" spans="1:25" ht="15.75" thickBot="1" x14ac:dyDescent="0.3"/>
    <row r="8" spans="1:25" ht="15.75" thickBot="1" x14ac:dyDescent="0.3">
      <c r="A8" s="242"/>
      <c r="B8" s="507" t="s">
        <v>101</v>
      </c>
      <c r="C8" s="508"/>
      <c r="D8" s="508"/>
      <c r="E8" s="508"/>
      <c r="F8" s="508"/>
      <c r="G8" s="508"/>
      <c r="H8" s="509"/>
      <c r="I8" s="507" t="s">
        <v>84</v>
      </c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9"/>
      <c r="U8" s="119"/>
      <c r="V8" s="507" t="s">
        <v>102</v>
      </c>
      <c r="W8" s="509"/>
      <c r="X8" s="526" t="s">
        <v>87</v>
      </c>
      <c r="Y8" s="527"/>
    </row>
    <row r="9" spans="1:25" ht="36.75" thickBot="1" x14ac:dyDescent="0.3">
      <c r="A9" s="89" t="s">
        <v>88</v>
      </c>
      <c r="B9" s="97" t="s">
        <v>103</v>
      </c>
      <c r="C9" s="98" t="s">
        <v>104</v>
      </c>
      <c r="D9" s="97" t="s">
        <v>105</v>
      </c>
      <c r="E9" s="104" t="s">
        <v>106</v>
      </c>
      <c r="F9" s="104" t="s">
        <v>107</v>
      </c>
      <c r="G9" s="98" t="s">
        <v>108</v>
      </c>
      <c r="H9" s="10" t="s">
        <v>109</v>
      </c>
      <c r="I9" s="90" t="s">
        <v>103</v>
      </c>
      <c r="J9" s="18" t="s">
        <v>104</v>
      </c>
      <c r="K9" s="90" t="s">
        <v>110</v>
      </c>
      <c r="L9" s="16" t="s">
        <v>111</v>
      </c>
      <c r="M9" s="16" t="s">
        <v>138</v>
      </c>
      <c r="N9" s="16" t="s">
        <v>112</v>
      </c>
      <c r="O9" s="16" t="s">
        <v>113</v>
      </c>
      <c r="P9" s="16" t="s">
        <v>114</v>
      </c>
      <c r="Q9" s="16" t="s">
        <v>115</v>
      </c>
      <c r="R9" s="16" t="s">
        <v>116</v>
      </c>
      <c r="S9" s="17" t="s">
        <v>117</v>
      </c>
      <c r="T9" s="10" t="s">
        <v>91</v>
      </c>
      <c r="U9" s="10" t="s">
        <v>118</v>
      </c>
      <c r="V9" s="243" t="s">
        <v>35</v>
      </c>
      <c r="W9" s="134" t="s">
        <v>139</v>
      </c>
      <c r="X9" s="90" t="s">
        <v>120</v>
      </c>
      <c r="Y9" s="18" t="s">
        <v>121</v>
      </c>
    </row>
    <row r="10" spans="1:25" x14ac:dyDescent="0.25">
      <c r="A10" s="86">
        <v>43435</v>
      </c>
      <c r="B10" s="93">
        <f>C10*10</f>
        <v>6241.9000000000005</v>
      </c>
      <c r="C10" s="101">
        <v>624.19000000000005</v>
      </c>
      <c r="D10" s="270">
        <v>2107.89</v>
      </c>
      <c r="E10" s="271">
        <v>66.16</v>
      </c>
      <c r="F10" s="271">
        <v>86.95</v>
      </c>
      <c r="G10" s="272">
        <v>86.95</v>
      </c>
      <c r="H10" s="138">
        <f>SUM(D10:G10)</f>
        <v>2347.9499999999994</v>
      </c>
      <c r="I10" s="129">
        <v>6147</v>
      </c>
      <c r="J10" s="130">
        <f>I10/10</f>
        <v>614.70000000000005</v>
      </c>
      <c r="K10" s="187">
        <v>24.27</v>
      </c>
      <c r="L10" s="188">
        <v>83.1</v>
      </c>
      <c r="M10" s="188">
        <v>823.64</v>
      </c>
      <c r="N10" s="188">
        <v>64.180000000000007</v>
      </c>
      <c r="O10" s="188">
        <v>-19.52</v>
      </c>
      <c r="P10" s="188">
        <v>-224.99</v>
      </c>
      <c r="Q10" s="188">
        <v>24.03</v>
      </c>
      <c r="R10" s="188">
        <v>7.83</v>
      </c>
      <c r="S10" s="189">
        <v>0</v>
      </c>
      <c r="T10" s="138">
        <f>SUM(K10:S10)</f>
        <v>782.54000000000008</v>
      </c>
      <c r="U10" s="144">
        <v>0</v>
      </c>
      <c r="V10" s="105">
        <f>H10+T10+U10</f>
        <v>3130.4899999999993</v>
      </c>
      <c r="W10" s="245">
        <f>D10+E10+L10+M10+N10+P10+Q10</f>
        <v>2944.0099999999998</v>
      </c>
      <c r="X10" s="187">
        <f>W10/J10</f>
        <v>4.7893443956401489</v>
      </c>
      <c r="Y10" s="189">
        <f>V10/J10</f>
        <v>5.0927118919798264</v>
      </c>
    </row>
    <row r="11" spans="1:25" x14ac:dyDescent="0.25">
      <c r="A11" s="86">
        <v>43466</v>
      </c>
      <c r="B11" s="87">
        <f>C11*10</f>
        <v>7796.5</v>
      </c>
      <c r="C11" s="102">
        <v>779.65</v>
      </c>
      <c r="D11" s="229">
        <v>2632.88</v>
      </c>
      <c r="E11" s="230">
        <v>82.64</v>
      </c>
      <c r="F11" s="230">
        <v>108.61</v>
      </c>
      <c r="G11" s="231">
        <v>108.61</v>
      </c>
      <c r="H11" s="126">
        <f t="shared" ref="H11:H21" si="0">SUM(D11:G11)</f>
        <v>2932.7400000000002</v>
      </c>
      <c r="I11" s="129">
        <v>7678</v>
      </c>
      <c r="J11" s="130">
        <f>I11/10</f>
        <v>767.8</v>
      </c>
      <c r="K11" s="187">
        <v>24.27</v>
      </c>
      <c r="L11" s="188">
        <v>83.1</v>
      </c>
      <c r="M11" s="188">
        <v>823.64</v>
      </c>
      <c r="N11" s="188">
        <v>149.83000000000001</v>
      </c>
      <c r="O11" s="188">
        <v>22.19</v>
      </c>
      <c r="P11" s="188">
        <v>-281.08</v>
      </c>
      <c r="Q11" s="188">
        <v>8.1999999999999993</v>
      </c>
      <c r="R11" s="188">
        <v>8.39</v>
      </c>
      <c r="S11" s="189">
        <v>0</v>
      </c>
      <c r="T11" s="138">
        <f>SUM(K11:S11)</f>
        <v>838.54000000000008</v>
      </c>
      <c r="U11" s="145">
        <v>0</v>
      </c>
      <c r="V11" s="108">
        <f t="shared" ref="V11:V21" si="1">H11+T11+U11</f>
        <v>3771.28</v>
      </c>
      <c r="W11" s="202">
        <f t="shared" ref="W11:W21" si="2">D11+E11+L11+M11+N11+P11+Q11</f>
        <v>3499.2099999999996</v>
      </c>
      <c r="X11" s="108">
        <f t="shared" ref="X11:X21" si="3">W11/J11</f>
        <v>4.5574498567335242</v>
      </c>
      <c r="Y11" s="109">
        <f t="shared" ref="Y11:Y21" si="4">V11/J11</f>
        <v>4.9117999479031003</v>
      </c>
    </row>
    <row r="12" spans="1:25" x14ac:dyDescent="0.25">
      <c r="A12" s="86">
        <v>43497</v>
      </c>
      <c r="B12" s="87">
        <f t="shared" ref="B12:B21" si="5">C12*10</f>
        <v>6925.2999999999993</v>
      </c>
      <c r="C12" s="102">
        <v>692.53</v>
      </c>
      <c r="D12" s="229">
        <f>452+1812</f>
        <v>2264</v>
      </c>
      <c r="E12" s="230">
        <f>14+132</f>
        <v>146</v>
      </c>
      <c r="F12" s="230">
        <v>96</v>
      </c>
      <c r="G12" s="231">
        <v>96</v>
      </c>
      <c r="H12" s="126">
        <f>SUM(D12:G12)</f>
        <v>2602</v>
      </c>
      <c r="I12" s="87">
        <v>6820</v>
      </c>
      <c r="J12" s="102">
        <f t="shared" ref="J12:J21" si="6">I12/10</f>
        <v>682</v>
      </c>
      <c r="K12" s="269"/>
      <c r="L12" s="239"/>
      <c r="M12" s="239"/>
      <c r="N12" s="239"/>
      <c r="O12" s="239"/>
      <c r="P12" s="239"/>
      <c r="Q12" s="239"/>
      <c r="R12" s="239"/>
      <c r="S12" s="240"/>
      <c r="T12" s="138">
        <v>796.44</v>
      </c>
      <c r="U12" s="146">
        <v>0</v>
      </c>
      <c r="V12" s="108">
        <f>H12+T12+U12</f>
        <v>3398.44</v>
      </c>
      <c r="W12" s="202">
        <f t="shared" si="2"/>
        <v>2410</v>
      </c>
      <c r="X12" s="108">
        <f t="shared" si="3"/>
        <v>3.533724340175953</v>
      </c>
      <c r="Y12" s="109">
        <f t="shared" si="4"/>
        <v>4.9830498533724343</v>
      </c>
    </row>
    <row r="13" spans="1:25" x14ac:dyDescent="0.25">
      <c r="A13" s="86">
        <v>43525</v>
      </c>
      <c r="B13" s="87">
        <f t="shared" si="5"/>
        <v>5684.4000000000005</v>
      </c>
      <c r="C13" s="102">
        <v>568.44000000000005</v>
      </c>
      <c r="D13" s="229">
        <v>1844.59</v>
      </c>
      <c r="E13" s="230">
        <v>134.72</v>
      </c>
      <c r="F13" s="230">
        <v>79.17</v>
      </c>
      <c r="G13" s="231">
        <v>79.17</v>
      </c>
      <c r="H13" s="126">
        <f t="shared" si="0"/>
        <v>2137.65</v>
      </c>
      <c r="I13" s="87">
        <v>5598</v>
      </c>
      <c r="J13" s="102">
        <f t="shared" si="6"/>
        <v>559.79999999999995</v>
      </c>
      <c r="K13" s="187">
        <v>24.27</v>
      </c>
      <c r="L13" s="99">
        <v>83.1</v>
      </c>
      <c r="M13" s="99">
        <v>823.64</v>
      </c>
      <c r="N13" s="99">
        <v>33.46</v>
      </c>
      <c r="O13" s="99">
        <v>-18.87</v>
      </c>
      <c r="P13" s="99">
        <v>-204.94</v>
      </c>
      <c r="Q13" s="99">
        <v>2.8</v>
      </c>
      <c r="R13" s="99">
        <v>7.51</v>
      </c>
      <c r="S13" s="109">
        <v>0</v>
      </c>
      <c r="T13" s="126">
        <f>SUM(K13:S13)</f>
        <v>750.97</v>
      </c>
      <c r="U13" s="146">
        <v>0</v>
      </c>
      <c r="V13" s="108">
        <f t="shared" si="1"/>
        <v>2888.62</v>
      </c>
      <c r="W13" s="202">
        <f t="shared" si="2"/>
        <v>2717.37</v>
      </c>
      <c r="X13" s="108">
        <f t="shared" si="3"/>
        <v>4.8541800643086814</v>
      </c>
      <c r="Y13" s="109">
        <f t="shared" si="4"/>
        <v>5.160092890317971</v>
      </c>
    </row>
    <row r="14" spans="1:25" x14ac:dyDescent="0.25">
      <c r="A14" s="86">
        <v>43556</v>
      </c>
      <c r="B14" s="87">
        <f t="shared" si="5"/>
        <v>3194.5</v>
      </c>
      <c r="C14" s="102">
        <v>319.45</v>
      </c>
      <c r="D14" s="229">
        <v>1036.6199999999999</v>
      </c>
      <c r="E14" s="230">
        <v>75.709999999999994</v>
      </c>
      <c r="F14" s="230">
        <v>44.48</v>
      </c>
      <c r="G14" s="231">
        <v>44.48</v>
      </c>
      <c r="H14" s="232">
        <f t="shared" si="0"/>
        <v>1201.29</v>
      </c>
      <c r="I14" s="87">
        <v>3146</v>
      </c>
      <c r="J14" s="102">
        <f t="shared" si="6"/>
        <v>314.60000000000002</v>
      </c>
      <c r="K14" s="187">
        <v>24.27</v>
      </c>
      <c r="L14" s="99">
        <v>88.71</v>
      </c>
      <c r="M14" s="99">
        <v>0</v>
      </c>
      <c r="N14" s="99">
        <v>534.03</v>
      </c>
      <c r="O14" s="99">
        <v>108.68</v>
      </c>
      <c r="P14" s="99">
        <v>-115.16</v>
      </c>
      <c r="Q14" s="99">
        <v>1.57</v>
      </c>
      <c r="R14" s="99">
        <v>6.49</v>
      </c>
      <c r="S14" s="109">
        <v>0</v>
      </c>
      <c r="T14" s="126">
        <f>SUM(K14:S14)</f>
        <v>648.59000000000015</v>
      </c>
      <c r="U14" s="146">
        <v>0</v>
      </c>
      <c r="V14" s="108">
        <f t="shared" si="1"/>
        <v>1849.88</v>
      </c>
      <c r="W14" s="202">
        <f t="shared" si="2"/>
        <v>1621.4799999999998</v>
      </c>
      <c r="X14" s="108">
        <f t="shared" si="3"/>
        <v>5.1541004450095347</v>
      </c>
      <c r="Y14" s="109">
        <f t="shared" si="4"/>
        <v>5.8801017164653526</v>
      </c>
    </row>
    <row r="15" spans="1:25" x14ac:dyDescent="0.25">
      <c r="A15" s="86">
        <v>43586</v>
      </c>
      <c r="B15" s="87">
        <f t="shared" si="5"/>
        <v>813.3</v>
      </c>
      <c r="C15" s="102">
        <v>81.33</v>
      </c>
      <c r="D15" s="229">
        <v>263.92</v>
      </c>
      <c r="E15" s="230">
        <v>19.28</v>
      </c>
      <c r="F15" s="230">
        <v>11.33</v>
      </c>
      <c r="G15" s="231">
        <v>11.33</v>
      </c>
      <c r="H15" s="126">
        <f t="shared" si="0"/>
        <v>305.86</v>
      </c>
      <c r="I15" s="87">
        <v>801</v>
      </c>
      <c r="J15" s="102">
        <f t="shared" si="6"/>
        <v>80.099999999999994</v>
      </c>
      <c r="K15" s="187">
        <v>24.27</v>
      </c>
      <c r="L15" s="99">
        <v>89.84</v>
      </c>
      <c r="M15" s="99">
        <v>0</v>
      </c>
      <c r="N15" s="99">
        <v>98.31</v>
      </c>
      <c r="O15" s="99">
        <v>-12.51</v>
      </c>
      <c r="P15" s="99">
        <v>-29.34</v>
      </c>
      <c r="Q15" s="99">
        <v>0.4</v>
      </c>
      <c r="R15" s="99">
        <v>1.73</v>
      </c>
      <c r="S15" s="109">
        <v>0</v>
      </c>
      <c r="T15" s="126">
        <f>SUM(K15:S15)</f>
        <v>172.70000000000002</v>
      </c>
      <c r="U15" s="146">
        <v>0</v>
      </c>
      <c r="V15" s="108">
        <f t="shared" si="1"/>
        <v>478.56000000000006</v>
      </c>
      <c r="W15" s="202">
        <f t="shared" si="2"/>
        <v>442.41000000000008</v>
      </c>
      <c r="X15" s="108">
        <f t="shared" si="3"/>
        <v>5.5232209737827729</v>
      </c>
      <c r="Y15" s="109">
        <f t="shared" si="4"/>
        <v>5.974531835205994</v>
      </c>
    </row>
    <row r="16" spans="1:25" x14ac:dyDescent="0.25">
      <c r="A16" s="86">
        <v>43617</v>
      </c>
      <c r="B16" s="207">
        <f t="shared" si="5"/>
        <v>0</v>
      </c>
      <c r="C16" s="237"/>
      <c r="D16" s="273"/>
      <c r="E16" s="274"/>
      <c r="F16" s="274"/>
      <c r="G16" s="275"/>
      <c r="H16" s="232">
        <f t="shared" si="0"/>
        <v>0</v>
      </c>
      <c r="I16" s="87">
        <v>0</v>
      </c>
      <c r="J16" s="102">
        <f t="shared" si="6"/>
        <v>0</v>
      </c>
      <c r="K16" s="187">
        <v>24.27</v>
      </c>
      <c r="L16" s="99"/>
      <c r="M16" s="99"/>
      <c r="N16" s="99"/>
      <c r="O16" s="99"/>
      <c r="P16" s="99"/>
      <c r="Q16" s="99"/>
      <c r="R16" s="99">
        <v>0.25</v>
      </c>
      <c r="S16" s="109">
        <v>1.96</v>
      </c>
      <c r="T16" s="126">
        <f t="shared" ref="T16:T21" si="7">SUM(K16:S16)</f>
        <v>26.48</v>
      </c>
      <c r="U16" s="146">
        <v>0</v>
      </c>
      <c r="V16" s="108">
        <f t="shared" si="1"/>
        <v>26.48</v>
      </c>
      <c r="W16" s="202">
        <f t="shared" si="2"/>
        <v>0</v>
      </c>
      <c r="X16" s="108" t="e">
        <f t="shared" si="3"/>
        <v>#DIV/0!</v>
      </c>
      <c r="Y16" s="109" t="e">
        <f t="shared" si="4"/>
        <v>#DIV/0!</v>
      </c>
    </row>
    <row r="17" spans="1:25" x14ac:dyDescent="0.25">
      <c r="A17" s="86">
        <v>43647</v>
      </c>
      <c r="B17" s="207">
        <f t="shared" si="5"/>
        <v>0</v>
      </c>
      <c r="C17" s="237"/>
      <c r="D17" s="273"/>
      <c r="E17" s="274"/>
      <c r="F17" s="274"/>
      <c r="G17" s="275"/>
      <c r="H17" s="126">
        <f t="shared" si="0"/>
        <v>0</v>
      </c>
      <c r="I17" s="87">
        <v>0</v>
      </c>
      <c r="J17" s="102">
        <f t="shared" si="6"/>
        <v>0</v>
      </c>
      <c r="K17" s="187">
        <v>24.27</v>
      </c>
      <c r="L17" s="99"/>
      <c r="M17" s="99"/>
      <c r="N17" s="99"/>
      <c r="O17" s="99"/>
      <c r="P17" s="99"/>
      <c r="Q17" s="99"/>
      <c r="R17" s="99">
        <v>0.25</v>
      </c>
      <c r="S17" s="109">
        <v>1.96</v>
      </c>
      <c r="T17" s="126">
        <f t="shared" si="7"/>
        <v>26.48</v>
      </c>
      <c r="U17" s="146">
        <v>0</v>
      </c>
      <c r="V17" s="108">
        <f t="shared" si="1"/>
        <v>26.48</v>
      </c>
      <c r="W17" s="202">
        <f t="shared" si="2"/>
        <v>0</v>
      </c>
      <c r="X17" s="108" t="e">
        <f t="shared" si="3"/>
        <v>#DIV/0!</v>
      </c>
      <c r="Y17" s="109" t="e">
        <f t="shared" si="4"/>
        <v>#DIV/0!</v>
      </c>
    </row>
    <row r="18" spans="1:25" x14ac:dyDescent="0.25">
      <c r="A18" s="86">
        <v>43678</v>
      </c>
      <c r="B18" s="207">
        <f t="shared" si="5"/>
        <v>0</v>
      </c>
      <c r="C18" s="237"/>
      <c r="D18" s="273"/>
      <c r="E18" s="274"/>
      <c r="F18" s="274"/>
      <c r="G18" s="275"/>
      <c r="H18" s="126">
        <f t="shared" si="0"/>
        <v>0</v>
      </c>
      <c r="I18" s="87">
        <v>0</v>
      </c>
      <c r="J18" s="102">
        <f t="shared" si="6"/>
        <v>0</v>
      </c>
      <c r="K18" s="187">
        <v>24.27</v>
      </c>
      <c r="L18" s="99"/>
      <c r="M18" s="99"/>
      <c r="N18" s="99"/>
      <c r="O18" s="99"/>
      <c r="P18" s="99"/>
      <c r="Q18" s="99"/>
      <c r="R18" s="99">
        <v>0.25</v>
      </c>
      <c r="S18" s="109">
        <v>1.96</v>
      </c>
      <c r="T18" s="126">
        <f t="shared" si="7"/>
        <v>26.48</v>
      </c>
      <c r="U18" s="146">
        <v>0.4</v>
      </c>
      <c r="V18" s="108">
        <f t="shared" si="1"/>
        <v>26.88</v>
      </c>
      <c r="W18" s="202">
        <f t="shared" si="2"/>
        <v>0</v>
      </c>
      <c r="X18" s="108" t="e">
        <f t="shared" si="3"/>
        <v>#DIV/0!</v>
      </c>
      <c r="Y18" s="109" t="e">
        <f t="shared" si="4"/>
        <v>#DIV/0!</v>
      </c>
    </row>
    <row r="19" spans="1:25" x14ac:dyDescent="0.25">
      <c r="A19" s="86">
        <v>43709</v>
      </c>
      <c r="B19" s="87">
        <f t="shared" si="5"/>
        <v>2.1</v>
      </c>
      <c r="C19" s="102">
        <v>0.21</v>
      </c>
      <c r="D19" s="229">
        <v>0.68</v>
      </c>
      <c r="E19" s="230">
        <v>0.05</v>
      </c>
      <c r="F19" s="230">
        <v>0.02</v>
      </c>
      <c r="G19" s="231">
        <v>0.02</v>
      </c>
      <c r="H19" s="126">
        <f t="shared" si="0"/>
        <v>0.77000000000000013</v>
      </c>
      <c r="I19" s="87">
        <v>2</v>
      </c>
      <c r="J19" s="102">
        <f t="shared" si="6"/>
        <v>0.2</v>
      </c>
      <c r="K19" s="187">
        <v>24.27</v>
      </c>
      <c r="L19" s="99"/>
      <c r="M19" s="99"/>
      <c r="N19" s="99"/>
      <c r="O19" s="99"/>
      <c r="P19" s="99">
        <v>-0.01</v>
      </c>
      <c r="Q19" s="99"/>
      <c r="R19" s="99">
        <v>0.25</v>
      </c>
      <c r="S19" s="109">
        <v>1.96</v>
      </c>
      <c r="T19" s="126">
        <f t="shared" si="7"/>
        <v>26.47</v>
      </c>
      <c r="U19" s="146">
        <v>0</v>
      </c>
      <c r="V19" s="108">
        <f t="shared" si="1"/>
        <v>27.24</v>
      </c>
      <c r="W19" s="202">
        <f t="shared" si="2"/>
        <v>0.72000000000000008</v>
      </c>
      <c r="X19" s="108">
        <f t="shared" si="3"/>
        <v>3.6</v>
      </c>
      <c r="Y19" s="109">
        <f>V19/J19</f>
        <v>136.19999999999999</v>
      </c>
    </row>
    <row r="20" spans="1:25" x14ac:dyDescent="0.25">
      <c r="A20" s="86">
        <v>43739</v>
      </c>
      <c r="B20" s="87">
        <f t="shared" si="5"/>
        <v>824.5</v>
      </c>
      <c r="C20" s="102">
        <v>82.45</v>
      </c>
      <c r="D20" s="229">
        <v>267.55</v>
      </c>
      <c r="E20" s="230">
        <v>19.54</v>
      </c>
      <c r="F20" s="230">
        <v>11.48</v>
      </c>
      <c r="G20" s="231">
        <v>11.48</v>
      </c>
      <c r="H20" s="126">
        <f t="shared" si="0"/>
        <v>310.05000000000007</v>
      </c>
      <c r="I20" s="87">
        <v>812</v>
      </c>
      <c r="J20" s="102">
        <f t="shared" si="6"/>
        <v>81.2</v>
      </c>
      <c r="K20" s="187">
        <v>24.27</v>
      </c>
      <c r="L20" s="99">
        <v>89.84</v>
      </c>
      <c r="M20" s="99">
        <v>0</v>
      </c>
      <c r="N20" s="99">
        <v>100.39</v>
      </c>
      <c r="O20" s="99">
        <v>4.12</v>
      </c>
      <c r="P20" s="99">
        <v>-2.88</v>
      </c>
      <c r="Q20" s="99">
        <v>0.41</v>
      </c>
      <c r="R20" s="99">
        <v>2.1800000000000002</v>
      </c>
      <c r="S20" s="109">
        <v>17.47</v>
      </c>
      <c r="T20" s="126">
        <f t="shared" si="7"/>
        <v>235.8</v>
      </c>
      <c r="U20" s="146">
        <v>0</v>
      </c>
      <c r="V20" s="108">
        <f t="shared" si="1"/>
        <v>545.85000000000014</v>
      </c>
      <c r="W20" s="202">
        <f t="shared" si="2"/>
        <v>474.85000000000008</v>
      </c>
      <c r="X20" s="108">
        <f t="shared" si="3"/>
        <v>5.8479064039408879</v>
      </c>
      <c r="Y20" s="109">
        <f t="shared" si="4"/>
        <v>6.7222906403940899</v>
      </c>
    </row>
    <row r="21" spans="1:25" ht="15.75" thickBot="1" x14ac:dyDescent="0.3">
      <c r="A21" s="194">
        <v>43770</v>
      </c>
      <c r="B21" s="87">
        <f t="shared" si="5"/>
        <v>5261.9000000000005</v>
      </c>
      <c r="C21" s="102">
        <v>526.19000000000005</v>
      </c>
      <c r="D21" s="233">
        <v>1707.49</v>
      </c>
      <c r="E21" s="234">
        <v>124.71</v>
      </c>
      <c r="F21" s="234">
        <v>73.28</v>
      </c>
      <c r="G21" s="235">
        <v>73.28</v>
      </c>
      <c r="H21" s="236">
        <f t="shared" si="0"/>
        <v>1978.76</v>
      </c>
      <c r="I21" s="113">
        <v>5182</v>
      </c>
      <c r="J21" s="114">
        <f t="shared" si="6"/>
        <v>518.20000000000005</v>
      </c>
      <c r="K21" s="187">
        <v>24.27</v>
      </c>
      <c r="L21" s="117">
        <v>89.84</v>
      </c>
      <c r="M21" s="117">
        <v>890.66</v>
      </c>
      <c r="N21" s="117">
        <v>11.02</v>
      </c>
      <c r="O21" s="117">
        <v>-27.21</v>
      </c>
      <c r="P21" s="117">
        <v>-18.29</v>
      </c>
      <c r="Q21" s="117">
        <v>2.59</v>
      </c>
      <c r="R21" s="117">
        <v>9.83</v>
      </c>
      <c r="S21" s="118">
        <v>78.62</v>
      </c>
      <c r="T21" s="199">
        <f t="shared" si="7"/>
        <v>1061.33</v>
      </c>
      <c r="U21" s="228">
        <v>0</v>
      </c>
      <c r="V21" s="110">
        <f t="shared" si="1"/>
        <v>3040.09</v>
      </c>
      <c r="W21" s="246">
        <f t="shared" si="2"/>
        <v>2808.02</v>
      </c>
      <c r="X21" s="116">
        <f t="shared" si="3"/>
        <v>5.4187958317252019</v>
      </c>
      <c r="Y21" s="118">
        <f t="shared" si="4"/>
        <v>5.866634504052489</v>
      </c>
    </row>
    <row r="22" spans="1:25" ht="15.75" thickBot="1" x14ac:dyDescent="0.3">
      <c r="A22" s="112" t="s">
        <v>99</v>
      </c>
      <c r="B22" s="115">
        <f>SUM(B10:B21)</f>
        <v>36744.400000000001</v>
      </c>
      <c r="C22" s="121">
        <f>SUM(C10:C21)</f>
        <v>3674.4399999999996</v>
      </c>
      <c r="D22" s="122"/>
      <c r="E22" s="124"/>
      <c r="F22" s="124"/>
      <c r="G22" s="125"/>
      <c r="H22" s="123">
        <f>SUM(H10:H21)</f>
        <v>13817.070000000002</v>
      </c>
      <c r="I22" s="115">
        <f>SUM(I10:I21)</f>
        <v>36186</v>
      </c>
      <c r="J22" s="121">
        <f>SUM(J10:J21)</f>
        <v>3618.5999999999995</v>
      </c>
      <c r="K22" s="122"/>
      <c r="L22" s="124"/>
      <c r="M22" s="124"/>
      <c r="N22" s="124"/>
      <c r="O22" s="124"/>
      <c r="P22" s="124"/>
      <c r="Q22" s="124"/>
      <c r="R22" s="133"/>
      <c r="S22" s="125"/>
      <c r="T22" s="200">
        <f>SUM(T10:T21)</f>
        <v>5392.8200000000006</v>
      </c>
      <c r="U22" s="120">
        <f>SUM(U10:U21)</f>
        <v>0.4</v>
      </c>
      <c r="V22" s="147">
        <f>SUM(V10:V21)</f>
        <v>19210.289999999997</v>
      </c>
      <c r="W22" s="276">
        <f>SUM(W10:W21)</f>
        <v>16918.07</v>
      </c>
      <c r="X22" s="277">
        <f>W22/C22</f>
        <v>4.6042580638138064</v>
      </c>
      <c r="Y22" s="278">
        <f>V22/C22</f>
        <v>5.2280864567117709</v>
      </c>
    </row>
    <row r="23" spans="1:25" x14ac:dyDescent="0.25">
      <c r="V23" s="96"/>
      <c r="X23" s="247">
        <f>AVERAGE(X10:X15,X19:X21)</f>
        <v>4.8087469234796334</v>
      </c>
      <c r="Y23" s="247"/>
    </row>
    <row r="24" spans="1:25" x14ac:dyDescent="0.25">
      <c r="X24" s="96"/>
    </row>
  </sheetData>
  <sheetProtection algorithmName="SHA-512" hashValue="9m3ldRoJ/V3nAlXzxNTW7C0PlxXQCDJtWg129lU8F0tS8AyK0eJVe0e5B0RpgcaljYumav1DLR5iGxxm7tA/Iw==" saltValue="9PNWvQd+WI4KoayN1leCrg==" spinCount="100000" sheet="1" objects="1" scenarios="1"/>
  <mergeCells count="4">
    <mergeCell ref="B8:H8"/>
    <mergeCell ref="I8:T8"/>
    <mergeCell ref="V8:W8"/>
    <mergeCell ref="X8:Y8"/>
  </mergeCells>
  <pageMargins left="0.7" right="0.7" top="0.75" bottom="0.75" header="0.3" footer="0.3"/>
  <pageSetup scale="5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FFF1-B49A-487E-9E82-EB2B260165A0}">
  <dimension ref="A1:F26"/>
  <sheetViews>
    <sheetView view="pageBreakPreview" zoomScaleNormal="100" zoomScaleSheetLayoutView="100" workbookViewId="0">
      <selection activeCell="K23" sqref="K23"/>
    </sheetView>
  </sheetViews>
  <sheetFormatPr defaultRowHeight="17.25" x14ac:dyDescent="0.3"/>
  <cols>
    <col min="1" max="1" width="29" style="316" customWidth="1"/>
    <col min="2" max="2" width="15.5703125" style="317" customWidth="1"/>
    <col min="3" max="3" width="14.28515625" style="318" customWidth="1"/>
    <col min="4" max="4" width="16" style="319" customWidth="1"/>
    <col min="6" max="6" width="11.5703125" bestFit="1" customWidth="1"/>
  </cols>
  <sheetData>
    <row r="1" spans="1:6" x14ac:dyDescent="0.3">
      <c r="E1" s="319"/>
      <c r="F1" s="319"/>
    </row>
    <row r="2" spans="1:6" ht="17.25" customHeight="1" x14ac:dyDescent="0.3">
      <c r="A2" s="541" t="s">
        <v>143</v>
      </c>
      <c r="B2" s="542"/>
      <c r="C2" s="543"/>
      <c r="D2" s="320"/>
      <c r="E2" s="319"/>
      <c r="F2" s="319"/>
    </row>
    <row r="3" spans="1:6" ht="17.25" customHeight="1" x14ac:dyDescent="0.3">
      <c r="A3" s="544"/>
      <c r="B3" s="545"/>
      <c r="C3" s="546"/>
      <c r="D3" s="320"/>
      <c r="E3" s="319"/>
      <c r="F3" s="319"/>
    </row>
    <row r="4" spans="1:6" ht="18" thickBot="1" x14ac:dyDescent="0.35">
      <c r="A4" s="321"/>
      <c r="B4" s="322"/>
      <c r="C4" s="323"/>
      <c r="D4" s="324"/>
      <c r="E4" s="319"/>
      <c r="F4" s="319"/>
    </row>
    <row r="5" spans="1:6" ht="18" thickBot="1" x14ac:dyDescent="0.35">
      <c r="A5" s="341" t="s">
        <v>144</v>
      </c>
      <c r="B5" s="336" t="s">
        <v>145</v>
      </c>
      <c r="C5" s="335" t="s">
        <v>86</v>
      </c>
      <c r="D5" s="324"/>
      <c r="E5" s="319"/>
      <c r="F5" s="319"/>
    </row>
    <row r="6" spans="1:6" x14ac:dyDescent="0.3">
      <c r="A6" s="342" t="s">
        <v>146</v>
      </c>
      <c r="B6" s="337">
        <v>420694</v>
      </c>
      <c r="C6" s="331">
        <v>31164.09</v>
      </c>
      <c r="D6" s="324"/>
      <c r="E6" s="319"/>
      <c r="F6" s="319"/>
    </row>
    <row r="7" spans="1:6" x14ac:dyDescent="0.3">
      <c r="A7" s="343" t="s">
        <v>147</v>
      </c>
      <c r="B7" s="338">
        <v>416620</v>
      </c>
      <c r="C7" s="332">
        <v>34510.239999999998</v>
      </c>
      <c r="D7" s="324"/>
      <c r="E7" s="319"/>
      <c r="F7" s="319"/>
    </row>
    <row r="8" spans="1:6" x14ac:dyDescent="0.3">
      <c r="A8" s="343" t="s">
        <v>148</v>
      </c>
      <c r="B8" s="338">
        <v>438061</v>
      </c>
      <c r="C8" s="332">
        <v>31736.51</v>
      </c>
      <c r="D8" s="324"/>
      <c r="E8" s="319"/>
      <c r="F8" s="319"/>
    </row>
    <row r="9" spans="1:6" x14ac:dyDescent="0.3">
      <c r="A9" s="344" t="s">
        <v>149</v>
      </c>
      <c r="B9" s="339">
        <v>365217</v>
      </c>
      <c r="C9" s="333">
        <v>26719.42</v>
      </c>
      <c r="D9" s="324"/>
      <c r="E9" s="319"/>
      <c r="F9" s="319"/>
    </row>
    <row r="10" spans="1:6" x14ac:dyDescent="0.3">
      <c r="A10" s="343" t="s">
        <v>150</v>
      </c>
      <c r="B10" s="338">
        <v>341279</v>
      </c>
      <c r="C10" s="332">
        <v>28131.21</v>
      </c>
      <c r="D10" s="324"/>
      <c r="E10" s="319"/>
      <c r="F10" s="319"/>
    </row>
    <row r="11" spans="1:6" x14ac:dyDescent="0.3">
      <c r="A11" s="343" t="s">
        <v>151</v>
      </c>
      <c r="B11" s="338">
        <v>407611</v>
      </c>
      <c r="C11" s="332">
        <v>28726.720000000001</v>
      </c>
      <c r="D11" s="324"/>
      <c r="E11" s="319"/>
      <c r="F11" s="319"/>
    </row>
    <row r="12" spans="1:6" x14ac:dyDescent="0.3">
      <c r="A12" s="344" t="s">
        <v>152</v>
      </c>
      <c r="B12" s="339">
        <v>382381</v>
      </c>
      <c r="C12" s="333">
        <v>31535.59</v>
      </c>
      <c r="E12" s="319"/>
      <c r="F12" s="319"/>
    </row>
    <row r="13" spans="1:6" x14ac:dyDescent="0.3">
      <c r="A13" s="344" t="s">
        <v>153</v>
      </c>
      <c r="B13" s="339">
        <v>432983</v>
      </c>
      <c r="C13" s="333">
        <v>39114.550000000003</v>
      </c>
      <c r="E13" s="319"/>
      <c r="F13" s="319"/>
    </row>
    <row r="14" spans="1:6" x14ac:dyDescent="0.3">
      <c r="A14" s="344" t="s">
        <v>154</v>
      </c>
      <c r="B14" s="339">
        <v>419458</v>
      </c>
      <c r="C14" s="333">
        <v>30561.48</v>
      </c>
      <c r="E14" s="319"/>
      <c r="F14" s="319"/>
    </row>
    <row r="15" spans="1:6" x14ac:dyDescent="0.3">
      <c r="A15" s="344" t="s">
        <v>155</v>
      </c>
      <c r="B15" s="339">
        <v>355216</v>
      </c>
      <c r="C15" s="333">
        <v>29145.77</v>
      </c>
      <c r="E15" s="319"/>
      <c r="F15" s="319"/>
    </row>
    <row r="16" spans="1:6" x14ac:dyDescent="0.3">
      <c r="A16" s="344" t="s">
        <v>156</v>
      </c>
      <c r="B16" s="339">
        <v>339661</v>
      </c>
      <c r="C16" s="333">
        <v>25138.05</v>
      </c>
      <c r="E16" s="319"/>
      <c r="F16" s="319"/>
    </row>
    <row r="17" spans="1:6" x14ac:dyDescent="0.3">
      <c r="A17" s="344" t="s">
        <v>157</v>
      </c>
      <c r="B17" s="339">
        <v>446363</v>
      </c>
      <c r="C17" s="333">
        <v>30901.46</v>
      </c>
      <c r="E17" s="319"/>
      <c r="F17" s="319"/>
    </row>
    <row r="18" spans="1:6" ht="18" thickBot="1" x14ac:dyDescent="0.35">
      <c r="A18" s="345" t="s">
        <v>158</v>
      </c>
      <c r="B18" s="340">
        <v>431753</v>
      </c>
      <c r="C18" s="334">
        <v>28506.880000000001</v>
      </c>
      <c r="E18" s="319"/>
      <c r="F18" s="319"/>
    </row>
    <row r="19" spans="1:6" x14ac:dyDescent="0.3">
      <c r="B19" s="328">
        <f>SUM(B7:B18)</f>
        <v>4776603</v>
      </c>
      <c r="C19" s="318">
        <f>SUM(C7:C18)</f>
        <v>364727.88</v>
      </c>
      <c r="E19" s="319"/>
      <c r="F19" s="328"/>
    </row>
    <row r="20" spans="1:6" x14ac:dyDescent="0.3">
      <c r="E20" s="319"/>
      <c r="F20" s="319"/>
    </row>
    <row r="21" spans="1:6" x14ac:dyDescent="0.3">
      <c r="C21" s="368">
        <f>C19/B19</f>
        <v>7.6357168473075956E-2</v>
      </c>
      <c r="D21" s="319" t="s">
        <v>159</v>
      </c>
      <c r="E21" s="319"/>
      <c r="F21" s="319"/>
    </row>
    <row r="22" spans="1:6" x14ac:dyDescent="0.3">
      <c r="E22" s="319"/>
      <c r="F22" s="319"/>
    </row>
    <row r="23" spans="1:6" x14ac:dyDescent="0.3">
      <c r="E23" s="319"/>
      <c r="F23" s="319"/>
    </row>
    <row r="24" spans="1:6" x14ac:dyDescent="0.3">
      <c r="E24" s="319"/>
      <c r="F24" s="319"/>
    </row>
    <row r="25" spans="1:6" x14ac:dyDescent="0.3">
      <c r="E25" s="319"/>
      <c r="F25" s="319"/>
    </row>
    <row r="26" spans="1:6" x14ac:dyDescent="0.3">
      <c r="E26" s="319"/>
      <c r="F26" s="319"/>
    </row>
  </sheetData>
  <sheetProtection algorithmName="SHA-512" hashValue="hUKv5HNP8AYhwaKiODJSA48LMBKaGisbEIQRv3eSQS6VMVr/Inqq23yFyd7vWioKANvPgY+9ao39NgHS42GwxA==" saltValue="+Q5jzYDGyD2hbjcArzDdIQ==" spinCount="100000" sheet="1" objects="1" scenarios="1"/>
  <mergeCells count="1">
    <mergeCell ref="A2:C3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BB50-32C4-449F-ACF1-D1E9C25918CB}">
  <dimension ref="A1:F25"/>
  <sheetViews>
    <sheetView view="pageBreakPreview" zoomScaleNormal="100" zoomScaleSheetLayoutView="100" workbookViewId="0">
      <selection activeCell="I16" sqref="I16"/>
    </sheetView>
  </sheetViews>
  <sheetFormatPr defaultRowHeight="17.25" x14ac:dyDescent="0.3"/>
  <cols>
    <col min="1" max="1" width="29" style="316" customWidth="1"/>
    <col min="2" max="2" width="15.5703125" style="317" customWidth="1"/>
    <col min="3" max="3" width="14.28515625" style="318" customWidth="1"/>
    <col min="4" max="4" width="16" style="319" customWidth="1"/>
  </cols>
  <sheetData>
    <row r="1" spans="1:6" ht="17.25" customHeight="1" x14ac:dyDescent="0.3">
      <c r="A1" s="541" t="s">
        <v>160</v>
      </c>
      <c r="B1" s="542"/>
      <c r="C1" s="543"/>
      <c r="D1" s="320"/>
      <c r="E1" s="319"/>
      <c r="F1" s="319"/>
    </row>
    <row r="2" spans="1:6" ht="17.25" customHeight="1" x14ac:dyDescent="0.3">
      <c r="A2" s="544"/>
      <c r="B2" s="545"/>
      <c r="C2" s="546"/>
      <c r="D2" s="320"/>
      <c r="E2" s="319"/>
      <c r="F2" s="319"/>
    </row>
    <row r="3" spans="1:6" ht="18" thickBot="1" x14ac:dyDescent="0.35">
      <c r="A3" s="321"/>
      <c r="B3" s="322"/>
      <c r="C3" s="323"/>
      <c r="D3" s="324"/>
      <c r="E3" s="319"/>
      <c r="F3" s="319"/>
    </row>
    <row r="4" spans="1:6" ht="18" thickBot="1" x14ac:dyDescent="0.35">
      <c r="A4" s="341" t="s">
        <v>144</v>
      </c>
      <c r="B4" s="336" t="s">
        <v>161</v>
      </c>
      <c r="C4" s="335" t="s">
        <v>86</v>
      </c>
      <c r="D4" s="324"/>
      <c r="E4" s="319"/>
      <c r="F4" s="319"/>
    </row>
    <row r="5" spans="1:6" x14ac:dyDescent="0.3">
      <c r="A5" s="348" t="s">
        <v>162</v>
      </c>
      <c r="B5" s="347">
        <v>30475</v>
      </c>
      <c r="C5" s="346">
        <v>18210.18</v>
      </c>
      <c r="D5" s="324"/>
      <c r="E5" s="319"/>
      <c r="F5" s="319"/>
    </row>
    <row r="6" spans="1:6" x14ac:dyDescent="0.3">
      <c r="A6" s="343" t="s">
        <v>163</v>
      </c>
      <c r="B6" s="338">
        <v>29559</v>
      </c>
      <c r="C6" s="332">
        <v>13632.74</v>
      </c>
      <c r="D6" s="324"/>
      <c r="E6" s="319"/>
      <c r="F6" s="319"/>
    </row>
    <row r="7" spans="1:6" x14ac:dyDescent="0.3">
      <c r="A7" s="343" t="s">
        <v>164</v>
      </c>
      <c r="B7" s="338">
        <v>23656</v>
      </c>
      <c r="C7" s="332">
        <v>11006.23</v>
      </c>
      <c r="D7" s="324"/>
      <c r="E7" s="319"/>
      <c r="F7" s="319"/>
    </row>
    <row r="8" spans="1:6" x14ac:dyDescent="0.3">
      <c r="A8" s="344" t="s">
        <v>165</v>
      </c>
      <c r="B8" s="339">
        <v>9899</v>
      </c>
      <c r="C8" s="333">
        <v>4873.5600000000004</v>
      </c>
      <c r="D8" s="324"/>
      <c r="E8" s="319"/>
      <c r="F8" s="319"/>
    </row>
    <row r="9" spans="1:6" x14ac:dyDescent="0.3">
      <c r="A9" s="343" t="s">
        <v>166</v>
      </c>
      <c r="B9" s="338">
        <v>5664</v>
      </c>
      <c r="C9" s="332">
        <v>27869.45</v>
      </c>
      <c r="D9" s="324"/>
      <c r="E9" s="319"/>
      <c r="F9" s="319"/>
    </row>
    <row r="10" spans="1:6" x14ac:dyDescent="0.3">
      <c r="A10" s="343" t="s">
        <v>167</v>
      </c>
      <c r="B10" s="338">
        <v>343</v>
      </c>
      <c r="C10" s="332">
        <v>259.88</v>
      </c>
      <c r="D10" s="324"/>
      <c r="E10" s="319"/>
      <c r="F10" s="319"/>
    </row>
    <row r="11" spans="1:6" x14ac:dyDescent="0.3">
      <c r="A11" s="344" t="s">
        <v>168</v>
      </c>
      <c r="B11" s="339">
        <v>0</v>
      </c>
      <c r="C11" s="333">
        <v>26.48</v>
      </c>
      <c r="E11" s="319"/>
      <c r="F11" s="319"/>
    </row>
    <row r="12" spans="1:6" x14ac:dyDescent="0.3">
      <c r="A12" s="344" t="s">
        <v>169</v>
      </c>
      <c r="B12" s="339">
        <v>0</v>
      </c>
      <c r="C12" s="333">
        <v>27.03</v>
      </c>
      <c r="E12" s="319"/>
      <c r="F12" s="319"/>
    </row>
    <row r="13" spans="1:6" x14ac:dyDescent="0.3">
      <c r="A13" s="344" t="s">
        <v>170</v>
      </c>
      <c r="B13" s="339">
        <v>82</v>
      </c>
      <c r="C13" s="333">
        <v>76.05</v>
      </c>
      <c r="E13" s="319"/>
      <c r="F13" s="319"/>
    </row>
    <row r="14" spans="1:6" x14ac:dyDescent="0.3">
      <c r="A14" s="344" t="s">
        <v>171</v>
      </c>
      <c r="B14" s="339">
        <v>5301</v>
      </c>
      <c r="C14" s="333">
        <v>2109.15</v>
      </c>
      <c r="E14" s="319"/>
      <c r="F14" s="319"/>
    </row>
    <row r="15" spans="1:6" x14ac:dyDescent="0.3">
      <c r="A15" s="344" t="s">
        <v>172</v>
      </c>
      <c r="B15" s="339">
        <v>15602</v>
      </c>
      <c r="C15" s="333">
        <v>6157.56</v>
      </c>
      <c r="E15" s="319"/>
      <c r="F15" s="319"/>
    </row>
    <row r="16" spans="1:6" x14ac:dyDescent="0.3">
      <c r="A16" s="344" t="s">
        <v>173</v>
      </c>
      <c r="B16" s="339">
        <v>24394</v>
      </c>
      <c r="C16" s="333">
        <v>9913.39</v>
      </c>
      <c r="E16" s="319"/>
      <c r="F16" s="319"/>
    </row>
    <row r="17" spans="1:6" ht="18" thickBot="1" x14ac:dyDescent="0.35">
      <c r="A17" s="345" t="s">
        <v>174</v>
      </c>
      <c r="B17" s="340">
        <v>22605</v>
      </c>
      <c r="C17" s="334">
        <v>9727.7999999999993</v>
      </c>
      <c r="E17" s="319"/>
      <c r="F17" s="319"/>
    </row>
    <row r="18" spans="1:6" x14ac:dyDescent="0.3">
      <c r="B18" s="328">
        <f>SUM(B6:B17)</f>
        <v>137105</v>
      </c>
      <c r="C18" s="329">
        <f>SUM(C6:C17)</f>
        <v>85679.32</v>
      </c>
      <c r="E18" s="319"/>
      <c r="F18" s="319"/>
    </row>
    <row r="19" spans="1:6" x14ac:dyDescent="0.3">
      <c r="B19" s="328">
        <f>B18/10</f>
        <v>13710.5</v>
      </c>
      <c r="E19" s="319"/>
      <c r="F19" s="319"/>
    </row>
    <row r="20" spans="1:6" x14ac:dyDescent="0.3">
      <c r="C20" s="329">
        <f>C18/B18</f>
        <v>0.62491754494730323</v>
      </c>
      <c r="D20" s="319" t="s">
        <v>175</v>
      </c>
      <c r="E20" s="319"/>
      <c r="F20" s="319"/>
    </row>
    <row r="21" spans="1:6" x14ac:dyDescent="0.3">
      <c r="C21" s="329">
        <f>C18/B19</f>
        <v>6.2491754494730323</v>
      </c>
      <c r="D21" s="319" t="s">
        <v>176</v>
      </c>
      <c r="E21" s="319"/>
      <c r="F21" s="319"/>
    </row>
    <row r="22" spans="1:6" x14ac:dyDescent="0.3">
      <c r="E22" s="319"/>
      <c r="F22" s="319"/>
    </row>
    <row r="23" spans="1:6" x14ac:dyDescent="0.3">
      <c r="E23" s="319"/>
      <c r="F23" s="319"/>
    </row>
    <row r="24" spans="1:6" x14ac:dyDescent="0.3">
      <c r="E24" s="319"/>
      <c r="F24" s="319"/>
    </row>
    <row r="25" spans="1:6" x14ac:dyDescent="0.3">
      <c r="E25" s="319"/>
      <c r="F25" s="319"/>
    </row>
  </sheetData>
  <mergeCells count="1">
    <mergeCell ref="A1:C2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43FCD-A3F2-45CE-AF47-54BFDC62D7E4}">
  <dimension ref="A1:F28"/>
  <sheetViews>
    <sheetView view="pageBreakPreview" topLeftCell="A5" zoomScaleNormal="100" zoomScaleSheetLayoutView="100" workbookViewId="0">
      <selection activeCell="C36" sqref="C36"/>
    </sheetView>
  </sheetViews>
  <sheetFormatPr defaultRowHeight="17.25" x14ac:dyDescent="0.3"/>
  <cols>
    <col min="1" max="1" width="29" style="316" customWidth="1"/>
    <col min="2" max="2" width="15.5703125" style="317" customWidth="1"/>
    <col min="3" max="3" width="14.28515625" style="318" customWidth="1"/>
    <col min="4" max="4" width="16" style="319" customWidth="1"/>
  </cols>
  <sheetData>
    <row r="1" spans="1:6" x14ac:dyDescent="0.3">
      <c r="E1" s="319"/>
      <c r="F1" s="319"/>
    </row>
    <row r="2" spans="1:6" ht="17.25" customHeight="1" x14ac:dyDescent="0.3">
      <c r="A2" s="541" t="s">
        <v>177</v>
      </c>
      <c r="B2" s="542"/>
      <c r="C2" s="543"/>
      <c r="D2" s="320"/>
      <c r="E2" s="319"/>
      <c r="F2" s="319"/>
    </row>
    <row r="3" spans="1:6" ht="17.25" customHeight="1" x14ac:dyDescent="0.3">
      <c r="A3" s="544"/>
      <c r="B3" s="545"/>
      <c r="C3" s="546"/>
      <c r="D3" s="320"/>
      <c r="E3" s="319"/>
      <c r="F3" s="319"/>
    </row>
    <row r="4" spans="1:6" ht="18" thickBot="1" x14ac:dyDescent="0.35">
      <c r="A4" s="321"/>
      <c r="B4" s="322"/>
      <c r="C4" s="323"/>
      <c r="D4" s="324"/>
      <c r="E4" s="319"/>
      <c r="F4" s="319"/>
    </row>
    <row r="5" spans="1:6" ht="18" thickBot="1" x14ac:dyDescent="0.35">
      <c r="A5" s="341" t="s">
        <v>144</v>
      </c>
      <c r="B5" s="336" t="s">
        <v>145</v>
      </c>
      <c r="C5" s="335" t="s">
        <v>86</v>
      </c>
      <c r="D5" s="324"/>
      <c r="E5" s="319"/>
      <c r="F5" s="319"/>
    </row>
    <row r="6" spans="1:6" x14ac:dyDescent="0.3">
      <c r="A6" s="348" t="s">
        <v>178</v>
      </c>
      <c r="B6" s="347">
        <v>216923</v>
      </c>
      <c r="C6" s="346">
        <v>17236.78</v>
      </c>
      <c r="D6" s="324"/>
      <c r="E6" s="319"/>
      <c r="F6" s="319"/>
    </row>
    <row r="7" spans="1:6" x14ac:dyDescent="0.3">
      <c r="A7" s="343" t="s">
        <v>179</v>
      </c>
      <c r="B7" s="338">
        <v>195992</v>
      </c>
      <c r="C7" s="332">
        <v>14768.93</v>
      </c>
      <c r="D7" s="324"/>
      <c r="E7" s="319"/>
      <c r="F7" s="319"/>
    </row>
    <row r="8" spans="1:6" x14ac:dyDescent="0.3">
      <c r="A8" s="343" t="s">
        <v>180</v>
      </c>
      <c r="B8" s="338">
        <v>193121</v>
      </c>
      <c r="C8" s="332">
        <v>15452.49</v>
      </c>
      <c r="D8" s="324"/>
      <c r="E8" s="319"/>
      <c r="F8" s="319"/>
    </row>
    <row r="9" spans="1:6" x14ac:dyDescent="0.3">
      <c r="A9" s="343" t="s">
        <v>181</v>
      </c>
      <c r="B9" s="339">
        <v>204157</v>
      </c>
      <c r="C9" s="332">
        <v>13949.99</v>
      </c>
      <c r="D9" s="324"/>
      <c r="E9" s="319"/>
      <c r="F9" s="319"/>
    </row>
    <row r="10" spans="1:6" x14ac:dyDescent="0.3">
      <c r="A10" s="343" t="s">
        <v>182</v>
      </c>
      <c r="B10" s="338">
        <v>204244</v>
      </c>
      <c r="C10" s="332">
        <v>18362.349999999999</v>
      </c>
      <c r="D10" s="324"/>
      <c r="E10" s="319"/>
      <c r="F10" s="319"/>
    </row>
    <row r="11" spans="1:6" x14ac:dyDescent="0.3">
      <c r="A11" s="344" t="s">
        <v>183</v>
      </c>
      <c r="B11" s="338">
        <v>211451</v>
      </c>
      <c r="C11" s="333">
        <v>20362.66</v>
      </c>
      <c r="D11" s="324"/>
      <c r="E11" s="319"/>
      <c r="F11" s="319"/>
    </row>
    <row r="12" spans="1:6" x14ac:dyDescent="0.3">
      <c r="A12" s="343" t="s">
        <v>184</v>
      </c>
      <c r="B12" s="339">
        <v>295443</v>
      </c>
      <c r="C12" s="332">
        <v>29003.279999999999</v>
      </c>
      <c r="D12" s="324"/>
      <c r="E12" s="319"/>
      <c r="F12" s="319"/>
    </row>
    <row r="13" spans="1:6" x14ac:dyDescent="0.3">
      <c r="A13" s="343" t="s">
        <v>185</v>
      </c>
      <c r="B13" s="339">
        <v>265988</v>
      </c>
      <c r="C13" s="332">
        <v>26114.47</v>
      </c>
      <c r="D13" s="324"/>
      <c r="E13" s="319"/>
      <c r="F13" s="319"/>
    </row>
    <row r="14" spans="1:6" x14ac:dyDescent="0.3">
      <c r="A14" s="344" t="s">
        <v>186</v>
      </c>
      <c r="B14" s="339">
        <v>244275</v>
      </c>
      <c r="C14" s="333">
        <v>22643.59</v>
      </c>
      <c r="E14" s="319"/>
      <c r="F14" s="319"/>
    </row>
    <row r="15" spans="1:6" x14ac:dyDescent="0.3">
      <c r="A15" s="344" t="s">
        <v>187</v>
      </c>
      <c r="B15" s="339">
        <v>224518</v>
      </c>
      <c r="C15" s="333">
        <v>20437.189999999999</v>
      </c>
      <c r="E15" s="319"/>
      <c r="F15" s="319"/>
    </row>
    <row r="16" spans="1:6" x14ac:dyDescent="0.3">
      <c r="A16" s="344" t="s">
        <v>188</v>
      </c>
      <c r="B16" s="339">
        <v>213486</v>
      </c>
      <c r="C16" s="333">
        <v>18765.63</v>
      </c>
      <c r="E16" s="319"/>
      <c r="F16" s="319"/>
    </row>
    <row r="17" spans="1:6" ht="18" thickBot="1" x14ac:dyDescent="0.35">
      <c r="A17" s="345" t="s">
        <v>189</v>
      </c>
      <c r="B17" s="340">
        <v>237589</v>
      </c>
      <c r="C17" s="334">
        <v>22401.7</v>
      </c>
      <c r="E17" s="319"/>
      <c r="F17" s="319"/>
    </row>
    <row r="18" spans="1:6" x14ac:dyDescent="0.3">
      <c r="B18" s="328">
        <f>SUM(B6:B17)</f>
        <v>2707187</v>
      </c>
      <c r="C18" s="318">
        <f>SUM(C6:C17)</f>
        <v>239499.06000000003</v>
      </c>
      <c r="E18" s="319"/>
      <c r="F18" s="319"/>
    </row>
    <row r="19" spans="1:6" x14ac:dyDescent="0.3">
      <c r="E19" s="319"/>
      <c r="F19" s="319"/>
    </row>
    <row r="20" spans="1:6" x14ac:dyDescent="0.3">
      <c r="C20" s="368">
        <f>C18/B18</f>
        <v>8.8467867199421402E-2</v>
      </c>
      <c r="D20" s="319" t="s">
        <v>159</v>
      </c>
      <c r="E20" s="319"/>
      <c r="F20" s="319"/>
    </row>
    <row r="21" spans="1:6" x14ac:dyDescent="0.3">
      <c r="E21" s="319"/>
      <c r="F21" s="319"/>
    </row>
    <row r="22" spans="1:6" x14ac:dyDescent="0.3">
      <c r="E22" s="319"/>
      <c r="F22" s="319"/>
    </row>
    <row r="23" spans="1:6" x14ac:dyDescent="0.3">
      <c r="E23" s="319"/>
      <c r="F23" s="319"/>
    </row>
    <row r="24" spans="1:6" x14ac:dyDescent="0.3">
      <c r="E24" s="319"/>
      <c r="F24" s="319"/>
    </row>
    <row r="25" spans="1:6" x14ac:dyDescent="0.3">
      <c r="E25" s="319"/>
      <c r="F25" s="319"/>
    </row>
    <row r="26" spans="1:6" x14ac:dyDescent="0.3">
      <c r="E26" s="319"/>
      <c r="F26" s="319"/>
    </row>
    <row r="27" spans="1:6" x14ac:dyDescent="0.3">
      <c r="E27" s="319"/>
      <c r="F27" s="319"/>
    </row>
    <row r="28" spans="1:6" x14ac:dyDescent="0.3">
      <c r="E28" s="319"/>
      <c r="F28" s="319"/>
    </row>
  </sheetData>
  <mergeCells count="1">
    <mergeCell ref="A2:C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2828E-C1B2-48EA-B5DB-4CB767C93C51}">
  <dimension ref="A1:F25"/>
  <sheetViews>
    <sheetView view="pageBreakPreview" zoomScale="115" zoomScaleNormal="100" zoomScaleSheetLayoutView="115" workbookViewId="0">
      <selection activeCell="C36" sqref="C36"/>
    </sheetView>
  </sheetViews>
  <sheetFormatPr defaultRowHeight="17.25" x14ac:dyDescent="0.3"/>
  <cols>
    <col min="1" max="1" width="29" style="325" customWidth="1"/>
    <col min="2" max="2" width="15.5703125" style="326" customWidth="1"/>
    <col min="3" max="3" width="14.28515625" style="327" customWidth="1"/>
    <col min="4" max="4" width="16" style="319" customWidth="1"/>
  </cols>
  <sheetData>
    <row r="1" spans="1:6" ht="17.25" customHeight="1" x14ac:dyDescent="0.3">
      <c r="A1" s="547" t="s">
        <v>190</v>
      </c>
      <c r="B1" s="548"/>
      <c r="C1" s="549"/>
      <c r="D1" s="320"/>
      <c r="E1" s="319"/>
      <c r="F1" s="319"/>
    </row>
    <row r="2" spans="1:6" ht="17.25" customHeight="1" thickBot="1" x14ac:dyDescent="0.35">
      <c r="A2" s="550"/>
      <c r="B2" s="551"/>
      <c r="C2" s="552"/>
      <c r="D2" s="320"/>
      <c r="E2" s="319"/>
      <c r="F2" s="319"/>
    </row>
    <row r="3" spans="1:6" ht="18" thickBot="1" x14ac:dyDescent="0.35">
      <c r="A3" s="362"/>
      <c r="B3" s="363"/>
      <c r="C3" s="364"/>
      <c r="D3" s="324"/>
      <c r="E3" s="319"/>
      <c r="F3" s="319"/>
    </row>
    <row r="4" spans="1:6" ht="18" thickBot="1" x14ac:dyDescent="0.35">
      <c r="A4" s="365" t="s">
        <v>144</v>
      </c>
      <c r="B4" s="366" t="s">
        <v>161</v>
      </c>
      <c r="C4" s="367" t="s">
        <v>86</v>
      </c>
      <c r="D4" s="324"/>
      <c r="E4" s="319"/>
      <c r="F4" s="319"/>
    </row>
    <row r="5" spans="1:6" x14ac:dyDescent="0.3">
      <c r="A5" s="359" t="s">
        <v>162</v>
      </c>
      <c r="B5" s="360">
        <v>3863</v>
      </c>
      <c r="C5" s="361">
        <v>2825.69</v>
      </c>
      <c r="D5" s="324"/>
      <c r="E5" s="319"/>
      <c r="F5" s="319"/>
    </row>
    <row r="6" spans="1:6" x14ac:dyDescent="0.3">
      <c r="A6" s="355" t="s">
        <v>163</v>
      </c>
      <c r="B6" s="352">
        <v>4435</v>
      </c>
      <c r="C6" s="349">
        <v>2538.14</v>
      </c>
      <c r="D6" s="324"/>
      <c r="E6" s="319"/>
      <c r="F6" s="319"/>
    </row>
    <row r="7" spans="1:6" x14ac:dyDescent="0.3">
      <c r="A7" s="355" t="s">
        <v>164</v>
      </c>
      <c r="B7" s="352">
        <v>3187</v>
      </c>
      <c r="C7" s="349">
        <v>1811.95</v>
      </c>
      <c r="D7" s="324"/>
      <c r="E7" s="319"/>
      <c r="F7" s="319"/>
    </row>
    <row r="8" spans="1:6" x14ac:dyDescent="0.3">
      <c r="A8" s="356" t="s">
        <v>165</v>
      </c>
      <c r="B8" s="353">
        <v>728</v>
      </c>
      <c r="C8" s="350">
        <v>539.1</v>
      </c>
      <c r="D8" s="324"/>
      <c r="E8" s="319"/>
      <c r="F8" s="319"/>
    </row>
    <row r="9" spans="1:6" x14ac:dyDescent="0.3">
      <c r="A9" s="355" t="s">
        <v>166</v>
      </c>
      <c r="B9" s="352">
        <v>197</v>
      </c>
      <c r="C9" s="349">
        <v>153.24</v>
      </c>
      <c r="D9" s="324"/>
      <c r="E9" s="319"/>
      <c r="F9" s="319"/>
    </row>
    <row r="10" spans="1:6" x14ac:dyDescent="0.3">
      <c r="A10" s="355" t="s">
        <v>167</v>
      </c>
      <c r="B10" s="352">
        <v>0</v>
      </c>
      <c r="C10" s="349">
        <v>28.78</v>
      </c>
      <c r="D10" s="324"/>
      <c r="E10" s="319"/>
      <c r="F10" s="319"/>
    </row>
    <row r="11" spans="1:6" x14ac:dyDescent="0.3">
      <c r="A11" s="356" t="s">
        <v>168</v>
      </c>
      <c r="B11" s="353">
        <v>0</v>
      </c>
      <c r="C11" s="350">
        <v>29.21</v>
      </c>
      <c r="E11" s="319"/>
      <c r="F11" s="319"/>
    </row>
    <row r="12" spans="1:6" x14ac:dyDescent="0.3">
      <c r="A12" s="357" t="s">
        <v>169</v>
      </c>
      <c r="B12" s="353">
        <v>0</v>
      </c>
      <c r="C12" s="350">
        <v>26.92</v>
      </c>
      <c r="E12" s="319"/>
      <c r="F12" s="319"/>
    </row>
    <row r="13" spans="1:6" x14ac:dyDescent="0.3">
      <c r="A13" s="357" t="s">
        <v>170</v>
      </c>
      <c r="B13" s="353">
        <v>0</v>
      </c>
      <c r="C13" s="350">
        <v>27.33</v>
      </c>
      <c r="E13" s="319"/>
      <c r="F13" s="319"/>
    </row>
    <row r="14" spans="1:6" x14ac:dyDescent="0.3">
      <c r="A14" s="357" t="s">
        <v>171</v>
      </c>
      <c r="B14" s="353">
        <v>33</v>
      </c>
      <c r="C14" s="350">
        <v>44.82</v>
      </c>
      <c r="E14" s="319"/>
      <c r="F14" s="319"/>
    </row>
    <row r="15" spans="1:6" x14ac:dyDescent="0.3">
      <c r="A15" s="344" t="s">
        <v>172</v>
      </c>
      <c r="B15" s="353">
        <v>1741</v>
      </c>
      <c r="C15" s="350">
        <v>889.87</v>
      </c>
      <c r="E15" s="319"/>
      <c r="F15" s="319"/>
    </row>
    <row r="16" spans="1:6" x14ac:dyDescent="0.3">
      <c r="A16" s="357" t="s">
        <v>173</v>
      </c>
      <c r="B16" s="353">
        <v>3066</v>
      </c>
      <c r="C16" s="350">
        <v>1602.58</v>
      </c>
      <c r="E16" s="319"/>
      <c r="F16" s="319"/>
    </row>
    <row r="17" spans="1:6" ht="18" thickBot="1" x14ac:dyDescent="0.35">
      <c r="A17" s="358" t="s">
        <v>174</v>
      </c>
      <c r="B17" s="354">
        <v>2459</v>
      </c>
      <c r="C17" s="351">
        <v>1473.5</v>
      </c>
      <c r="E17" s="319"/>
      <c r="F17" s="319"/>
    </row>
    <row r="18" spans="1:6" x14ac:dyDescent="0.3">
      <c r="B18" s="330">
        <f>SUM(B5:B16)</f>
        <v>17250</v>
      </c>
      <c r="C18" s="327">
        <f>SUM(C5:C16)</f>
        <v>10517.63</v>
      </c>
      <c r="E18" s="319"/>
      <c r="F18" s="319"/>
    </row>
    <row r="19" spans="1:6" x14ac:dyDescent="0.3">
      <c r="B19" s="328">
        <f>B18/10</f>
        <v>1725</v>
      </c>
      <c r="C19" s="318"/>
      <c r="E19" s="319"/>
      <c r="F19" s="319"/>
    </row>
    <row r="20" spans="1:6" x14ac:dyDescent="0.3">
      <c r="B20" s="317"/>
      <c r="C20" s="329">
        <f>C18/B18</f>
        <v>0.60971768115942027</v>
      </c>
      <c r="D20" s="319" t="s">
        <v>175</v>
      </c>
      <c r="E20" s="319"/>
      <c r="F20" s="319"/>
    </row>
    <row r="21" spans="1:6" x14ac:dyDescent="0.3">
      <c r="B21" s="317"/>
      <c r="C21" s="329">
        <f>C18/B19</f>
        <v>6.0971768115942027</v>
      </c>
      <c r="D21" s="319" t="s">
        <v>176</v>
      </c>
      <c r="E21" s="319"/>
      <c r="F21" s="319"/>
    </row>
    <row r="22" spans="1:6" x14ac:dyDescent="0.3">
      <c r="E22" s="319"/>
      <c r="F22" s="319"/>
    </row>
    <row r="23" spans="1:6" x14ac:dyDescent="0.3">
      <c r="A23" s="325" t="s">
        <v>191</v>
      </c>
      <c r="B23" s="330">
        <f>B18*29.31</f>
        <v>505597.5</v>
      </c>
      <c r="C23" s="494">
        <f>B23*'One Park Place Electric'!C20</f>
        <v>44729.132486359464</v>
      </c>
      <c r="E23" s="319"/>
      <c r="F23" s="319"/>
    </row>
    <row r="24" spans="1:6" x14ac:dyDescent="0.3">
      <c r="C24" s="327">
        <f>C23-C18</f>
        <v>34211.502486359466</v>
      </c>
      <c r="D24" s="319" t="s">
        <v>192</v>
      </c>
      <c r="E24" s="319"/>
      <c r="F24" s="319"/>
    </row>
    <row r="25" spans="1:6" x14ac:dyDescent="0.3">
      <c r="E25" s="319"/>
      <c r="F25" s="319"/>
    </row>
  </sheetData>
  <mergeCells count="1">
    <mergeCell ref="A1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5622C-0ECC-4245-ACD1-9DEFDB96A8D9}">
  <sheetPr>
    <tabColor rgb="FF00B050"/>
  </sheetPr>
  <dimension ref="A1:P82"/>
  <sheetViews>
    <sheetView view="pageBreakPreview" zoomScaleNormal="100" zoomScaleSheetLayoutView="100" workbookViewId="0">
      <selection activeCell="H31" sqref="H31"/>
    </sheetView>
  </sheetViews>
  <sheetFormatPr defaultRowHeight="15" x14ac:dyDescent="0.25"/>
  <cols>
    <col min="1" max="1" width="18.140625" bestFit="1" customWidth="1"/>
    <col min="2" max="2" width="28.28515625" style="310" bestFit="1" customWidth="1"/>
    <col min="3" max="3" width="12.7109375" bestFit="1" customWidth="1"/>
    <col min="4" max="4" width="14.28515625" bestFit="1" customWidth="1"/>
    <col min="5" max="5" width="12.85546875" customWidth="1"/>
    <col min="6" max="6" width="13.42578125" bestFit="1" customWidth="1"/>
    <col min="7" max="7" width="15.28515625" bestFit="1" customWidth="1"/>
    <col min="8" max="8" width="13.7109375" bestFit="1" customWidth="1"/>
    <col min="10" max="10" width="12" bestFit="1" customWidth="1"/>
    <col min="11" max="11" width="11.28515625" bestFit="1" customWidth="1"/>
    <col min="14" max="14" width="11.28515625" bestFit="1" customWidth="1"/>
  </cols>
  <sheetData>
    <row r="1" spans="1:13" x14ac:dyDescent="0.25">
      <c r="A1" s="282" t="s">
        <v>0</v>
      </c>
    </row>
    <row r="2" spans="1:13" x14ac:dyDescent="0.25">
      <c r="A2" s="282"/>
    </row>
    <row r="3" spans="1:13" x14ac:dyDescent="0.25">
      <c r="A3" s="282" t="s">
        <v>1</v>
      </c>
    </row>
    <row r="4" spans="1:13" ht="15.75" thickBot="1" x14ac:dyDescent="0.3">
      <c r="A4" s="373"/>
    </row>
    <row r="5" spans="1:13" ht="15.75" thickBot="1" x14ac:dyDescent="0.3">
      <c r="B5" s="497" t="s">
        <v>2</v>
      </c>
      <c r="C5" s="498"/>
      <c r="D5" s="498"/>
      <c r="E5" s="499"/>
    </row>
    <row r="6" spans="1:13" ht="15.75" thickBot="1" x14ac:dyDescent="0.3">
      <c r="B6" s="502" t="s">
        <v>3</v>
      </c>
      <c r="C6" s="421" t="s">
        <v>4</v>
      </c>
      <c r="D6" s="315" t="s">
        <v>5</v>
      </c>
      <c r="E6" s="505" t="s">
        <v>6</v>
      </c>
    </row>
    <row r="7" spans="1:13" ht="14.45" customHeight="1" x14ac:dyDescent="0.25">
      <c r="B7" s="503"/>
      <c r="C7" s="468" t="s">
        <v>7</v>
      </c>
      <c r="D7" s="472" t="s">
        <v>8</v>
      </c>
      <c r="E7" s="506"/>
    </row>
    <row r="8" spans="1:13" ht="15.75" thickBot="1" x14ac:dyDescent="0.3">
      <c r="B8" s="504"/>
      <c r="C8" s="449" t="s">
        <v>9</v>
      </c>
      <c r="D8" s="473" t="s">
        <v>9</v>
      </c>
      <c r="E8" s="506"/>
      <c r="I8" s="373"/>
      <c r="K8" s="373"/>
      <c r="M8" s="373"/>
    </row>
    <row r="9" spans="1:13" x14ac:dyDescent="0.25">
      <c r="A9" s="424" t="s">
        <v>10</v>
      </c>
      <c r="B9" s="311" t="str">
        <f>'Salina Elec'!A2</f>
        <v>Salina</v>
      </c>
      <c r="C9" s="469">
        <f>'Salina Elec'!C23</f>
        <v>774000</v>
      </c>
      <c r="D9" s="469">
        <f>'[72]Cooling Profiles'!$V$21</f>
        <v>162228.26948712402</v>
      </c>
      <c r="E9" s="474">
        <f>(D9/C9)-1</f>
        <v>-0.79040275260061499</v>
      </c>
      <c r="G9" t="s">
        <v>11</v>
      </c>
      <c r="H9" s="487"/>
      <c r="I9" s="376"/>
      <c r="J9" s="375"/>
      <c r="K9" s="247"/>
      <c r="L9" s="247"/>
      <c r="M9" s="247"/>
    </row>
    <row r="10" spans="1:13" x14ac:dyDescent="0.25">
      <c r="A10" s="373" t="s">
        <v>12</v>
      </c>
      <c r="B10" s="370" t="str">
        <f>'224 Harrison Elec'!A2</f>
        <v>224 Harrison</v>
      </c>
      <c r="C10" s="470">
        <f>'224 Harrison Elec'!C24</f>
        <v>1312716.4000000001</v>
      </c>
      <c r="D10" s="448"/>
      <c r="E10" s="475"/>
      <c r="H10" s="487"/>
      <c r="I10" s="376"/>
      <c r="J10" s="375"/>
      <c r="K10" s="247"/>
      <c r="L10" s="247"/>
      <c r="M10" s="247"/>
    </row>
    <row r="11" spans="1:13" x14ac:dyDescent="0.25">
      <c r="A11" s="424" t="s">
        <v>13</v>
      </c>
      <c r="B11" s="370" t="str">
        <f>'White Memorial Elec'!A2</f>
        <v>White Memorial</v>
      </c>
      <c r="C11" s="470">
        <f>'White Memorial Elec'!C23</f>
        <v>433500</v>
      </c>
      <c r="D11" s="470">
        <f>'[72]Cooling Profiles'!$O$21</f>
        <v>109323.52575301127</v>
      </c>
      <c r="E11" s="475">
        <f t="shared" ref="E11:E14" si="0">(D11/C11)-1</f>
        <v>-0.74781193597921281</v>
      </c>
      <c r="G11" t="s">
        <v>11</v>
      </c>
      <c r="H11" s="487"/>
      <c r="I11" s="376"/>
      <c r="J11" s="375"/>
      <c r="K11" s="247"/>
      <c r="L11" s="247"/>
      <c r="M11" s="247"/>
    </row>
    <row r="12" spans="1:13" x14ac:dyDescent="0.25">
      <c r="A12" s="424" t="s">
        <v>14</v>
      </c>
      <c r="B12" s="370" t="str">
        <f>'1 Clinton Sq Elec'!A2</f>
        <v>One Clinton Square</v>
      </c>
      <c r="C12" s="470">
        <f>'1 Clinton Sq Elec'!C22</f>
        <v>740400</v>
      </c>
      <c r="D12" s="470">
        <f>'[72]Cooling Profiles'!$AA$21</f>
        <v>142148.93553957224</v>
      </c>
      <c r="E12" s="475">
        <f t="shared" si="0"/>
        <v>-0.80801062190765505</v>
      </c>
      <c r="G12" t="s">
        <v>11</v>
      </c>
      <c r="H12" s="487"/>
      <c r="I12" s="376"/>
      <c r="J12" s="375"/>
      <c r="K12" s="247"/>
      <c r="L12" s="247"/>
      <c r="M12" s="247"/>
    </row>
    <row r="13" spans="1:13" x14ac:dyDescent="0.25">
      <c r="A13" s="424" t="s">
        <v>15</v>
      </c>
      <c r="B13" s="370" t="str">
        <f>'Atrium Elec'!A2</f>
        <v>Atrium</v>
      </c>
      <c r="C13" s="470">
        <f>'Atrium Elec'!C22</f>
        <v>3937901.2</v>
      </c>
      <c r="D13" s="470">
        <f>'[72]Cooling Profiles'!$F$21</f>
        <v>638150.61182164354</v>
      </c>
      <c r="E13" s="475">
        <f t="shared" si="0"/>
        <v>-0.83794651531083519</v>
      </c>
      <c r="G13" t="s">
        <v>16</v>
      </c>
      <c r="H13" s="487"/>
      <c r="I13" s="376"/>
      <c r="J13" s="375"/>
      <c r="K13" s="247"/>
      <c r="L13" s="247"/>
      <c r="M13" s="247"/>
    </row>
    <row r="14" spans="1:13" x14ac:dyDescent="0.25">
      <c r="A14" s="424" t="s">
        <v>17</v>
      </c>
      <c r="B14" s="370" t="s">
        <v>18</v>
      </c>
      <c r="C14" s="470">
        <f>'One Lincoln Center Electric'!B19</f>
        <v>4776603</v>
      </c>
      <c r="D14" s="470">
        <f>'[72]Cooling Profiles'!$R$21</f>
        <v>1379531.4696732562</v>
      </c>
      <c r="E14" s="475">
        <f t="shared" si="0"/>
        <v>-0.71118984146824515</v>
      </c>
      <c r="G14" t="s">
        <v>16</v>
      </c>
      <c r="H14" s="487"/>
      <c r="I14" s="376"/>
      <c r="J14" s="375"/>
      <c r="K14" s="247"/>
      <c r="L14" s="247"/>
      <c r="M14" s="247"/>
    </row>
    <row r="15" spans="1:13" ht="15.75" thickBot="1" x14ac:dyDescent="0.3">
      <c r="A15" s="424" t="s">
        <v>19</v>
      </c>
      <c r="B15" s="371" t="s">
        <v>20</v>
      </c>
      <c r="C15" s="471">
        <f>'One Park Place Electric'!B18</f>
        <v>2707187</v>
      </c>
      <c r="D15" s="471">
        <f>'[72]Cooling Profiles'!$M$21</f>
        <v>949380.4190341871</v>
      </c>
      <c r="E15" s="476">
        <f>(D15/C15)-1</f>
        <v>-0.64931110446593188</v>
      </c>
      <c r="G15" t="s">
        <v>16</v>
      </c>
      <c r="H15" s="487"/>
      <c r="I15" s="376"/>
      <c r="J15" s="375"/>
      <c r="K15" s="247"/>
      <c r="L15" s="247"/>
      <c r="M15" s="247"/>
    </row>
    <row r="16" spans="1:13" x14ac:dyDescent="0.25">
      <c r="A16" s="373"/>
    </row>
    <row r="17" spans="1:16" ht="15.75" thickBot="1" x14ac:dyDescent="0.3">
      <c r="A17" s="373"/>
    </row>
    <row r="18" spans="1:16" ht="15.75" thickBot="1" x14ac:dyDescent="0.3">
      <c r="A18" s="373"/>
      <c r="B18" s="497" t="s">
        <v>21</v>
      </c>
      <c r="C18" s="498"/>
      <c r="D18" s="498"/>
      <c r="E18" s="499"/>
    </row>
    <row r="19" spans="1:16" ht="15.75" thickBot="1" x14ac:dyDescent="0.3">
      <c r="A19" s="373"/>
      <c r="B19" s="502" t="s">
        <v>3</v>
      </c>
      <c r="C19" s="420" t="s">
        <v>4</v>
      </c>
      <c r="D19" s="314" t="s">
        <v>5</v>
      </c>
      <c r="E19" s="505" t="s">
        <v>22</v>
      </c>
    </row>
    <row r="20" spans="1:16" x14ac:dyDescent="0.25">
      <c r="A20" s="373"/>
      <c r="B20" s="503"/>
      <c r="C20" s="465" t="s">
        <v>7</v>
      </c>
      <c r="D20" s="479" t="s">
        <v>23</v>
      </c>
      <c r="E20" s="506"/>
      <c r="N20" s="373"/>
      <c r="P20" s="373"/>
    </row>
    <row r="21" spans="1:16" ht="15.75" thickBot="1" x14ac:dyDescent="0.3">
      <c r="A21" s="373"/>
      <c r="B21" s="504"/>
      <c r="C21" s="466" t="s">
        <v>24</v>
      </c>
      <c r="D21" s="477" t="s">
        <v>24</v>
      </c>
      <c r="E21" s="506"/>
      <c r="I21" s="377"/>
      <c r="J21" s="374"/>
      <c r="K21" s="308"/>
      <c r="L21" s="96"/>
      <c r="N21" s="96"/>
      <c r="O21" s="96"/>
      <c r="P21" s="96"/>
    </row>
    <row r="22" spans="1:16" x14ac:dyDescent="0.25">
      <c r="A22" s="424" t="s">
        <v>10</v>
      </c>
      <c r="B22" s="311" t="str">
        <f>B9</f>
        <v>Salina</v>
      </c>
      <c r="C22" s="478">
        <f>'Salina Gas'!C23</f>
        <v>675.96</v>
      </c>
      <c r="D22" s="478">
        <f>'[72]Heating Profiles'!$V$19</f>
        <v>903.42808484364286</v>
      </c>
      <c r="E22" s="474">
        <f>(D22/C22)-1</f>
        <v>0.33651116167175998</v>
      </c>
      <c r="G22" s="373"/>
      <c r="I22" s="377"/>
      <c r="K22" s="308"/>
      <c r="L22" s="96"/>
      <c r="N22" s="96"/>
      <c r="O22" s="96"/>
      <c r="P22" s="96"/>
    </row>
    <row r="23" spans="1:16" x14ac:dyDescent="0.25">
      <c r="A23" s="373" t="s">
        <v>12</v>
      </c>
      <c r="B23" s="370" t="str">
        <f>B10</f>
        <v>224 Harrison</v>
      </c>
      <c r="C23" s="470">
        <f>'224 Harrison Gas '!J22</f>
        <v>4586.8999999999996</v>
      </c>
      <c r="D23" s="448"/>
      <c r="E23" s="475"/>
      <c r="G23" s="373"/>
      <c r="I23" s="377"/>
      <c r="K23" s="308"/>
      <c r="L23" s="96"/>
      <c r="N23" s="96"/>
      <c r="O23" s="96"/>
      <c r="P23" s="96"/>
    </row>
    <row r="24" spans="1:16" x14ac:dyDescent="0.25">
      <c r="A24" s="424" t="s">
        <v>13</v>
      </c>
      <c r="B24" s="370" t="str">
        <f>B11</f>
        <v>White Memorial</v>
      </c>
      <c r="C24" s="470">
        <f>'White Memorial Gas'!J22</f>
        <v>875.5</v>
      </c>
      <c r="D24" s="470">
        <f>'[72]Heating Profiles'!$O$19</f>
        <v>1189.2120766056512</v>
      </c>
      <c r="E24" s="475">
        <f t="shared" ref="E24:E28" si="1">(D24/C24)-1</f>
        <v>0.35832333135996719</v>
      </c>
      <c r="G24" s="373"/>
    </row>
    <row r="25" spans="1:16" x14ac:dyDescent="0.25">
      <c r="A25" s="424" t="s">
        <v>14</v>
      </c>
      <c r="B25" s="370" t="str">
        <f>B12</f>
        <v>One Clinton Square</v>
      </c>
      <c r="C25" s="470">
        <f>'1 Clinton Sq Gas'!C22</f>
        <v>3094.232</v>
      </c>
      <c r="D25" s="470">
        <f>'[72]Heating Profiles'!$AA$19</f>
        <v>1336.9322198138561</v>
      </c>
      <c r="E25" s="475">
        <f t="shared" si="1"/>
        <v>-0.56792760859112823</v>
      </c>
      <c r="G25" s="373"/>
    </row>
    <row r="26" spans="1:16" x14ac:dyDescent="0.25">
      <c r="A26" s="424" t="s">
        <v>15</v>
      </c>
      <c r="B26" s="370" t="str">
        <f>B13</f>
        <v>Atrium</v>
      </c>
      <c r="C26" s="470">
        <f>'Atrium Gas'!C22</f>
        <v>3674.4399999999996</v>
      </c>
      <c r="D26" s="470">
        <f>'[72]Heating Profiles'!$F$19</f>
        <v>752.50616036051213</v>
      </c>
      <c r="E26" s="475">
        <f t="shared" si="1"/>
        <v>-0.79520521212470141</v>
      </c>
      <c r="G26" s="373"/>
    </row>
    <row r="27" spans="1:16" x14ac:dyDescent="0.25">
      <c r="A27" s="424" t="s">
        <v>17</v>
      </c>
      <c r="B27" s="370" t="s">
        <v>18</v>
      </c>
      <c r="C27" s="470">
        <f>'One Lincoln Center Gas'!B19</f>
        <v>13710.5</v>
      </c>
      <c r="D27" s="470">
        <f>'[72]Heating Profiles'!$R$19</f>
        <v>1626.7412584263961</v>
      </c>
      <c r="E27" s="475">
        <f t="shared" si="1"/>
        <v>-0.88135069775526809</v>
      </c>
      <c r="G27" s="373"/>
    </row>
    <row r="28" spans="1:16" ht="15.75" thickBot="1" x14ac:dyDescent="0.3">
      <c r="A28" s="424" t="s">
        <v>19</v>
      </c>
      <c r="B28" s="371" t="s">
        <v>20</v>
      </c>
      <c r="C28" s="471">
        <f>'One Park Place Gas'!B19</f>
        <v>1725</v>
      </c>
      <c r="D28" s="471">
        <f>'[72]Heating Profiles'!$M$19</f>
        <v>1119.5078412751584</v>
      </c>
      <c r="E28" s="476">
        <f t="shared" si="1"/>
        <v>-0.35100994708686473</v>
      </c>
      <c r="G28" s="373"/>
    </row>
    <row r="30" spans="1:16" x14ac:dyDescent="0.25">
      <c r="A30" s="455"/>
      <c r="B30" s="456"/>
      <c r="C30" s="455"/>
      <c r="D30" s="455"/>
      <c r="E30" s="455"/>
      <c r="F30" s="455"/>
      <c r="G30" s="455"/>
      <c r="H30" s="455"/>
      <c r="I30" s="455"/>
      <c r="J30" s="455"/>
    </row>
    <row r="31" spans="1:16" x14ac:dyDescent="0.25">
      <c r="A31" s="424" t="s">
        <v>25</v>
      </c>
      <c r="B31" s="458"/>
      <c r="C31" s="458"/>
      <c r="D31" s="458"/>
      <c r="E31" s="458"/>
      <c r="F31" s="458"/>
      <c r="G31" s="458"/>
      <c r="H31" s="458"/>
      <c r="I31" s="458"/>
      <c r="J31" s="458"/>
    </row>
    <row r="32" spans="1:16" x14ac:dyDescent="0.25">
      <c r="A32" s="455"/>
      <c r="B32" s="458"/>
      <c r="C32" s="458"/>
      <c r="D32" s="455"/>
      <c r="E32" s="455"/>
      <c r="F32" s="455"/>
      <c r="G32" s="455"/>
      <c r="H32" s="458"/>
      <c r="I32" s="458"/>
      <c r="J32" s="458"/>
    </row>
    <row r="33" spans="1:11" x14ac:dyDescent="0.25">
      <c r="A33" s="455"/>
      <c r="B33" s="458"/>
      <c r="C33" s="458"/>
      <c r="D33" s="459"/>
      <c r="E33" s="459"/>
      <c r="F33" s="459"/>
      <c r="G33" s="459"/>
      <c r="H33" s="459"/>
      <c r="I33" s="459"/>
      <c r="J33" s="459"/>
    </row>
    <row r="34" spans="1:11" x14ac:dyDescent="0.25">
      <c r="A34" s="455"/>
      <c r="B34" s="456"/>
      <c r="C34" s="460"/>
      <c r="D34" s="460"/>
      <c r="E34" s="461"/>
      <c r="F34" s="461"/>
      <c r="G34" s="462"/>
      <c r="H34" s="460"/>
      <c r="I34" s="460"/>
      <c r="J34" s="462"/>
      <c r="K34" s="419"/>
    </row>
    <row r="35" spans="1:11" x14ac:dyDescent="0.25">
      <c r="A35" s="455"/>
      <c r="B35" s="456"/>
      <c r="C35" s="460"/>
      <c r="D35" s="460"/>
      <c r="E35" s="461"/>
      <c r="F35" s="461"/>
      <c r="G35" s="462"/>
      <c r="H35" s="460"/>
      <c r="I35" s="460"/>
      <c r="J35" s="462"/>
      <c r="K35" s="419"/>
    </row>
    <row r="36" spans="1:11" x14ac:dyDescent="0.25">
      <c r="A36" s="455"/>
      <c r="B36" s="456"/>
      <c r="C36" s="460"/>
      <c r="D36" s="460"/>
      <c r="E36" s="461"/>
      <c r="F36" s="461"/>
      <c r="G36" s="462"/>
      <c r="H36" s="460"/>
      <c r="I36" s="460"/>
      <c r="J36" s="462"/>
      <c r="K36" s="419"/>
    </row>
    <row r="37" spans="1:11" x14ac:dyDescent="0.25">
      <c r="A37" s="455"/>
      <c r="B37" s="456"/>
      <c r="C37" s="460"/>
      <c r="D37" s="460"/>
      <c r="E37" s="461"/>
      <c r="F37" s="461"/>
      <c r="G37" s="462"/>
      <c r="H37" s="460"/>
      <c r="I37" s="460"/>
      <c r="J37" s="462"/>
      <c r="K37" s="419"/>
    </row>
    <row r="38" spans="1:11" x14ac:dyDescent="0.25">
      <c r="A38" s="455"/>
      <c r="B38" s="456"/>
      <c r="C38" s="460"/>
      <c r="D38" s="460"/>
      <c r="E38" s="461"/>
      <c r="F38" s="461"/>
      <c r="G38" s="462"/>
      <c r="H38" s="460"/>
      <c r="I38" s="460"/>
      <c r="J38" s="462"/>
      <c r="K38" s="419"/>
    </row>
    <row r="39" spans="1:11" x14ac:dyDescent="0.25">
      <c r="A39" s="455"/>
      <c r="B39" s="456"/>
      <c r="C39" s="460"/>
      <c r="D39" s="460"/>
      <c r="E39" s="461"/>
      <c r="F39" s="461"/>
      <c r="G39" s="462"/>
      <c r="H39" s="460"/>
      <c r="I39" s="460"/>
      <c r="J39" s="462"/>
      <c r="K39" s="419"/>
    </row>
    <row r="40" spans="1:11" x14ac:dyDescent="0.25">
      <c r="A40" s="455"/>
      <c r="B40" s="456"/>
      <c r="C40" s="460">
        <v>86</v>
      </c>
      <c r="D40" s="489" t="s">
        <v>26</v>
      </c>
      <c r="E40" s="461"/>
      <c r="F40" s="461"/>
      <c r="G40" s="462"/>
      <c r="H40" s="460"/>
      <c r="I40" s="460"/>
      <c r="J40" s="462"/>
      <c r="K40" s="419"/>
    </row>
    <row r="41" spans="1:11" x14ac:dyDescent="0.25">
      <c r="A41" s="455"/>
      <c r="B41" s="456"/>
      <c r="C41" s="488">
        <v>1.1023100000000001E-6</v>
      </c>
      <c r="D41" s="489" t="s">
        <v>27</v>
      </c>
      <c r="E41" s="461"/>
      <c r="F41" s="461"/>
      <c r="G41" s="462"/>
      <c r="H41" s="460"/>
      <c r="I41" s="460"/>
      <c r="J41" s="462"/>
      <c r="K41" s="419"/>
    </row>
    <row r="42" spans="1:11" x14ac:dyDescent="0.25">
      <c r="A42" s="455"/>
      <c r="B42" s="456"/>
      <c r="C42" s="460"/>
      <c r="D42" s="489"/>
      <c r="E42" s="461"/>
      <c r="F42" s="461"/>
      <c r="G42" s="462"/>
      <c r="H42" s="460"/>
      <c r="I42" s="460"/>
      <c r="J42" s="462"/>
      <c r="K42" s="419"/>
    </row>
    <row r="43" spans="1:11" x14ac:dyDescent="0.25">
      <c r="A43" s="455"/>
      <c r="B43" s="456"/>
      <c r="C43" s="373">
        <v>0.9</v>
      </c>
      <c r="D43" s="490" t="s">
        <v>28</v>
      </c>
      <c r="E43" s="461"/>
      <c r="F43" s="461"/>
      <c r="G43" s="462"/>
      <c r="H43" s="460"/>
      <c r="I43" s="460"/>
      <c r="J43" s="462"/>
      <c r="K43" s="419"/>
    </row>
    <row r="44" spans="1:11" x14ac:dyDescent="0.25">
      <c r="A44" s="455"/>
      <c r="B44" s="456"/>
      <c r="C44" s="460">
        <v>947.81700000000001</v>
      </c>
      <c r="D44" s="489" t="s">
        <v>29</v>
      </c>
      <c r="E44" s="461"/>
      <c r="F44" s="461"/>
      <c r="G44" s="462"/>
      <c r="H44" s="460"/>
      <c r="I44" s="460"/>
      <c r="J44" s="462"/>
      <c r="K44" s="419"/>
    </row>
    <row r="45" spans="1:11" x14ac:dyDescent="0.25">
      <c r="A45" s="455"/>
      <c r="B45" s="456"/>
      <c r="C45" s="460"/>
      <c r="D45" s="489"/>
      <c r="E45" s="461"/>
      <c r="F45" s="461"/>
      <c r="G45" s="460">
        <f>141014*1000000</f>
        <v>141014000000</v>
      </c>
      <c r="H45" s="460" t="s">
        <v>30</v>
      </c>
      <c r="I45" s="460"/>
      <c r="J45" s="462"/>
      <c r="K45" s="419"/>
    </row>
    <row r="46" spans="1:11" x14ac:dyDescent="0.25">
      <c r="A46" s="455"/>
      <c r="B46" s="456"/>
      <c r="C46" s="460"/>
      <c r="D46" s="489"/>
      <c r="E46" s="461"/>
      <c r="F46" s="461"/>
      <c r="G46" s="460">
        <f>G45/C44</f>
        <v>148777664.88678721</v>
      </c>
      <c r="H46" s="460" t="s">
        <v>31</v>
      </c>
      <c r="I46" s="460"/>
      <c r="J46" s="462"/>
      <c r="K46" s="419"/>
    </row>
    <row r="47" spans="1:11" x14ac:dyDescent="0.25">
      <c r="A47" s="455"/>
      <c r="B47" s="456"/>
      <c r="C47" s="491">
        <v>77.400000000000006</v>
      </c>
      <c r="D47" s="489" t="s">
        <v>32</v>
      </c>
      <c r="E47" s="461"/>
      <c r="F47" s="461"/>
      <c r="G47" s="460"/>
      <c r="H47" s="460"/>
      <c r="I47" s="460"/>
      <c r="J47" s="462"/>
      <c r="K47" s="419"/>
    </row>
    <row r="48" spans="1:11" x14ac:dyDescent="0.25">
      <c r="A48" s="455"/>
      <c r="B48" s="456"/>
      <c r="C48" s="492">
        <f>(C47*C41*1000000)/C44</f>
        <v>9.0016104374578645E-2</v>
      </c>
      <c r="D48" s="493" t="s">
        <v>33</v>
      </c>
      <c r="E48" s="461"/>
      <c r="F48" s="461"/>
      <c r="H48" s="460"/>
      <c r="I48" s="460"/>
      <c r="J48" s="462"/>
      <c r="K48" s="419"/>
    </row>
    <row r="49" spans="1:11" x14ac:dyDescent="0.25">
      <c r="A49" s="455"/>
      <c r="B49" s="456"/>
      <c r="C49" s="460"/>
      <c r="D49" s="460"/>
      <c r="E49" s="461"/>
      <c r="F49" s="461"/>
      <c r="G49" s="460">
        <f>C47*G46</f>
        <v>11515391262.237331</v>
      </c>
      <c r="H49" s="460"/>
      <c r="I49" s="460"/>
      <c r="J49" s="462"/>
      <c r="K49" s="419"/>
    </row>
    <row r="50" spans="1:11" x14ac:dyDescent="0.25">
      <c r="A50" s="455"/>
      <c r="B50" s="456"/>
      <c r="C50" s="460"/>
      <c r="D50" s="460"/>
      <c r="E50" s="461"/>
      <c r="F50" s="461"/>
      <c r="G50" s="460">
        <f>G49*C41</f>
        <v>12693.530942276833</v>
      </c>
      <c r="H50" s="460"/>
      <c r="I50" s="460"/>
      <c r="J50" s="462"/>
      <c r="K50" s="419"/>
    </row>
    <row r="51" spans="1:11" x14ac:dyDescent="0.25">
      <c r="A51" s="455"/>
      <c r="B51" s="456"/>
      <c r="C51" s="460"/>
      <c r="D51" s="460"/>
      <c r="E51" s="461"/>
      <c r="F51" s="461"/>
      <c r="G51" s="462"/>
      <c r="H51" s="460"/>
      <c r="I51" s="460"/>
      <c r="J51" s="462"/>
      <c r="K51" s="419"/>
    </row>
    <row r="52" spans="1:11" x14ac:dyDescent="0.25">
      <c r="A52" s="455"/>
      <c r="B52" s="456"/>
      <c r="C52" s="460"/>
      <c r="D52" s="460"/>
      <c r="E52" s="461"/>
      <c r="F52" s="461"/>
      <c r="G52" s="462"/>
      <c r="H52" s="460"/>
      <c r="I52" s="460"/>
      <c r="J52" s="462"/>
      <c r="K52" s="419"/>
    </row>
    <row r="53" spans="1:11" x14ac:dyDescent="0.25">
      <c r="A53" s="455"/>
      <c r="B53" s="456"/>
      <c r="C53" s="460"/>
      <c r="D53" s="460"/>
      <c r="E53" s="461"/>
      <c r="F53" s="461"/>
      <c r="G53" s="462"/>
      <c r="H53" s="460"/>
      <c r="I53" s="460"/>
      <c r="J53" s="462"/>
      <c r="K53" s="419"/>
    </row>
    <row r="54" spans="1:11" x14ac:dyDescent="0.25">
      <c r="A54" s="455"/>
      <c r="B54" s="456"/>
      <c r="C54" s="460"/>
      <c r="D54" s="460"/>
      <c r="E54" s="461"/>
      <c r="F54" s="461"/>
      <c r="G54" s="462"/>
      <c r="H54" s="460"/>
      <c r="I54" s="460"/>
      <c r="J54" s="462"/>
      <c r="K54" s="419"/>
    </row>
    <row r="55" spans="1:11" x14ac:dyDescent="0.25">
      <c r="A55" s="455"/>
      <c r="B55" s="456"/>
      <c r="C55" s="460"/>
      <c r="D55" s="460"/>
      <c r="E55" s="461"/>
      <c r="F55" s="461"/>
      <c r="G55" s="462"/>
      <c r="H55" s="460"/>
      <c r="I55" s="460"/>
      <c r="J55" s="462"/>
      <c r="K55" s="419"/>
    </row>
    <row r="56" spans="1:11" x14ac:dyDescent="0.25">
      <c r="A56" s="455"/>
      <c r="B56" s="456"/>
      <c r="C56" s="460"/>
      <c r="D56" s="460"/>
      <c r="E56" s="461"/>
      <c r="F56" s="461"/>
      <c r="G56" s="462"/>
      <c r="H56" s="460"/>
      <c r="I56" s="460"/>
      <c r="J56" s="462"/>
      <c r="K56" s="419"/>
    </row>
    <row r="57" spans="1:11" x14ac:dyDescent="0.25">
      <c r="A57" s="455"/>
      <c r="B57" s="456"/>
      <c r="C57" s="460"/>
      <c r="D57" s="460"/>
      <c r="E57" s="461"/>
      <c r="F57" s="461"/>
      <c r="G57" s="462"/>
      <c r="H57" s="460"/>
      <c r="I57" s="460"/>
      <c r="J57" s="462"/>
      <c r="K57" s="419"/>
    </row>
    <row r="58" spans="1:11" x14ac:dyDescent="0.25">
      <c r="A58" s="455"/>
      <c r="B58" s="456"/>
      <c r="C58" s="460"/>
      <c r="D58" s="460"/>
      <c r="E58" s="461"/>
      <c r="F58" s="461"/>
      <c r="G58" s="462"/>
      <c r="H58" s="460"/>
      <c r="I58" s="460"/>
      <c r="J58" s="462"/>
      <c r="K58" s="419"/>
    </row>
    <row r="59" spans="1:11" x14ac:dyDescent="0.25">
      <c r="A59" s="455"/>
      <c r="B59" s="456"/>
      <c r="C59" s="460"/>
      <c r="D59" s="460"/>
      <c r="E59" s="461"/>
      <c r="F59" s="461"/>
      <c r="G59" s="462"/>
      <c r="H59" s="460"/>
      <c r="I59" s="460"/>
      <c r="J59" s="462"/>
      <c r="K59" s="419"/>
    </row>
    <row r="60" spans="1:11" x14ac:dyDescent="0.25">
      <c r="A60" s="455"/>
      <c r="B60" s="456"/>
      <c r="C60" s="460"/>
      <c r="D60" s="460"/>
      <c r="E60" s="461"/>
      <c r="F60" s="461"/>
      <c r="G60" s="462"/>
      <c r="H60" s="460"/>
      <c r="I60" s="460"/>
      <c r="J60" s="462"/>
      <c r="K60" s="419"/>
    </row>
    <row r="61" spans="1:11" x14ac:dyDescent="0.25">
      <c r="A61" s="455"/>
      <c r="B61" s="456"/>
      <c r="C61" s="460"/>
      <c r="D61" s="460"/>
      <c r="E61" s="461"/>
      <c r="F61" s="461"/>
      <c r="G61" s="462"/>
      <c r="H61" s="460"/>
      <c r="I61" s="460"/>
      <c r="J61" s="462"/>
      <c r="K61" s="419"/>
    </row>
    <row r="62" spans="1:11" x14ac:dyDescent="0.25">
      <c r="A62" s="455"/>
      <c r="B62" s="456"/>
      <c r="C62" s="460"/>
      <c r="D62" s="460"/>
      <c r="E62" s="461"/>
      <c r="F62" s="461"/>
      <c r="G62" s="462"/>
      <c r="H62" s="460"/>
      <c r="I62" s="460"/>
      <c r="J62" s="462"/>
      <c r="K62" s="419"/>
    </row>
    <row r="63" spans="1:11" x14ac:dyDescent="0.25">
      <c r="A63" s="455"/>
      <c r="B63" s="456"/>
      <c r="C63" s="460"/>
      <c r="D63" s="460"/>
      <c r="E63" s="461"/>
      <c r="F63" s="461"/>
      <c r="G63" s="462"/>
      <c r="H63" s="460"/>
      <c r="I63" s="460"/>
      <c r="J63" s="462"/>
      <c r="K63" s="419"/>
    </row>
    <row r="64" spans="1:11" x14ac:dyDescent="0.25">
      <c r="A64" s="455"/>
      <c r="B64" s="456"/>
      <c r="C64" s="460"/>
      <c r="D64" s="460"/>
      <c r="E64" s="461"/>
      <c r="F64" s="461"/>
      <c r="G64" s="462"/>
      <c r="H64" s="460"/>
      <c r="I64" s="460"/>
      <c r="J64" s="462"/>
      <c r="K64" s="419"/>
    </row>
    <row r="65" spans="1:11" x14ac:dyDescent="0.25">
      <c r="A65" s="455"/>
      <c r="B65" s="456"/>
      <c r="C65" s="460"/>
      <c r="D65" s="460"/>
      <c r="E65" s="461"/>
      <c r="F65" s="461"/>
      <c r="G65" s="462"/>
      <c r="H65" s="460"/>
      <c r="I65" s="460"/>
      <c r="J65" s="462"/>
      <c r="K65" s="419"/>
    </row>
    <row r="66" spans="1:11" x14ac:dyDescent="0.25">
      <c r="A66" s="455"/>
      <c r="B66" s="456"/>
      <c r="C66" s="460"/>
      <c r="D66" s="460"/>
      <c r="E66" s="461"/>
      <c r="F66" s="461"/>
      <c r="G66" s="462"/>
      <c r="H66" s="460"/>
      <c r="I66" s="460"/>
      <c r="J66" s="462"/>
      <c r="K66" s="419"/>
    </row>
    <row r="67" spans="1:11" x14ac:dyDescent="0.25">
      <c r="A67" s="455"/>
      <c r="B67" s="456"/>
      <c r="C67" s="460"/>
      <c r="D67" s="460"/>
      <c r="E67" s="461"/>
      <c r="F67" s="461"/>
      <c r="G67" s="462"/>
      <c r="H67" s="460"/>
      <c r="I67" s="460"/>
      <c r="J67" s="462"/>
      <c r="K67" s="419"/>
    </row>
    <row r="68" spans="1:11" x14ac:dyDescent="0.25">
      <c r="A68" s="455"/>
      <c r="B68" s="456"/>
      <c r="C68" s="460"/>
      <c r="D68" s="460"/>
      <c r="E68" s="461"/>
      <c r="F68" s="461"/>
      <c r="G68" s="462"/>
      <c r="H68" s="460"/>
      <c r="I68" s="460"/>
      <c r="J68" s="462"/>
      <c r="K68" s="419"/>
    </row>
    <row r="69" spans="1:11" x14ac:dyDescent="0.25">
      <c r="A69" s="455"/>
      <c r="B69" s="456"/>
      <c r="C69" s="460"/>
      <c r="D69" s="460"/>
      <c r="E69" s="461"/>
      <c r="F69" s="461"/>
      <c r="G69" s="462"/>
      <c r="H69" s="460"/>
      <c r="I69" s="460"/>
      <c r="J69" s="462"/>
      <c r="K69" s="419"/>
    </row>
    <row r="70" spans="1:11" x14ac:dyDescent="0.25">
      <c r="A70" s="455"/>
      <c r="B70" s="456"/>
      <c r="C70" s="460"/>
      <c r="D70" s="460"/>
      <c r="E70" s="461"/>
      <c r="F70" s="461"/>
      <c r="G70" s="462"/>
      <c r="H70" s="460"/>
      <c r="I70" s="460"/>
      <c r="J70" s="462"/>
      <c r="K70" s="419"/>
    </row>
    <row r="71" spans="1:11" x14ac:dyDescent="0.25">
      <c r="A71" s="455"/>
      <c r="B71" s="456"/>
      <c r="C71" s="460"/>
      <c r="D71" s="460"/>
      <c r="E71" s="461"/>
      <c r="F71" s="461"/>
      <c r="G71" s="462"/>
      <c r="H71" s="460"/>
      <c r="I71" s="460"/>
      <c r="J71" s="462"/>
      <c r="K71" s="419"/>
    </row>
    <row r="72" spans="1:11" x14ac:dyDescent="0.25">
      <c r="A72" s="455"/>
      <c r="B72" s="456"/>
      <c r="C72" s="460"/>
      <c r="D72" s="460"/>
      <c r="E72" s="461"/>
      <c r="F72" s="461"/>
      <c r="G72" s="462"/>
      <c r="H72" s="460"/>
      <c r="I72" s="460"/>
      <c r="J72" s="462"/>
      <c r="K72" s="419"/>
    </row>
    <row r="73" spans="1:11" x14ac:dyDescent="0.25">
      <c r="A73" s="455"/>
      <c r="B73" s="456"/>
      <c r="C73" s="460"/>
      <c r="D73" s="460"/>
      <c r="E73" s="461"/>
      <c r="F73" s="461"/>
      <c r="G73" s="462"/>
      <c r="H73" s="460"/>
      <c r="I73" s="460"/>
      <c r="J73" s="462"/>
      <c r="K73" s="419"/>
    </row>
    <row r="74" spans="1:11" x14ac:dyDescent="0.25">
      <c r="A74" s="455"/>
      <c r="B74" s="456"/>
      <c r="C74" s="460"/>
      <c r="D74" s="460"/>
      <c r="E74" s="461"/>
      <c r="F74" s="461"/>
      <c r="G74" s="462"/>
      <c r="H74" s="460"/>
      <c r="I74" s="460"/>
      <c r="J74" s="462"/>
      <c r="K74" s="419"/>
    </row>
    <row r="75" spans="1:11" x14ac:dyDescent="0.25">
      <c r="A75" s="455"/>
      <c r="B75" s="456"/>
      <c r="C75" s="460"/>
      <c r="D75" s="460"/>
      <c r="E75" s="461"/>
      <c r="F75" s="461"/>
      <c r="G75" s="462"/>
      <c r="H75" s="460"/>
      <c r="I75" s="460"/>
      <c r="J75" s="462"/>
      <c r="K75" s="419"/>
    </row>
    <row r="76" spans="1:11" x14ac:dyDescent="0.25">
      <c r="A76" s="455"/>
      <c r="B76" s="456"/>
      <c r="C76" s="460"/>
      <c r="D76" s="460"/>
      <c r="E76" s="461"/>
      <c r="F76" s="461"/>
      <c r="G76" s="462"/>
      <c r="H76" s="460"/>
      <c r="I76" s="460"/>
      <c r="J76" s="462"/>
      <c r="K76" s="419"/>
    </row>
    <row r="77" spans="1:11" x14ac:dyDescent="0.25">
      <c r="A77" s="455"/>
      <c r="B77" s="456"/>
      <c r="C77" s="460"/>
      <c r="D77" s="460"/>
      <c r="E77" s="461"/>
      <c r="F77" s="461"/>
      <c r="G77" s="462"/>
      <c r="H77" s="460"/>
      <c r="I77" s="460"/>
      <c r="J77" s="462"/>
      <c r="K77" s="419"/>
    </row>
    <row r="78" spans="1:11" x14ac:dyDescent="0.25">
      <c r="A78" s="455"/>
      <c r="B78" s="456"/>
      <c r="C78" s="460"/>
      <c r="D78" s="460"/>
      <c r="E78" s="461"/>
      <c r="F78" s="461"/>
      <c r="G78" s="462"/>
      <c r="H78" s="460"/>
      <c r="I78" s="460"/>
      <c r="J78" s="462"/>
      <c r="K78" s="419"/>
    </row>
    <row r="79" spans="1:11" x14ac:dyDescent="0.25">
      <c r="A79" s="455"/>
      <c r="B79" s="456"/>
      <c r="C79" s="460"/>
      <c r="D79" s="460"/>
      <c r="E79" s="461"/>
      <c r="F79" s="461"/>
      <c r="G79" s="462"/>
      <c r="H79" s="460"/>
      <c r="I79" s="460"/>
      <c r="J79" s="462"/>
      <c r="K79" s="419"/>
    </row>
    <row r="80" spans="1:11" x14ac:dyDescent="0.25">
      <c r="A80" s="455"/>
      <c r="B80" s="456"/>
      <c r="C80" s="460"/>
      <c r="D80" s="460"/>
      <c r="E80" s="461"/>
      <c r="F80" s="461"/>
      <c r="G80" s="462"/>
      <c r="H80" s="460"/>
      <c r="I80" s="460"/>
      <c r="J80" s="462"/>
      <c r="K80" s="419"/>
    </row>
    <row r="81" spans="1:11" x14ac:dyDescent="0.25">
      <c r="A81" s="455"/>
      <c r="B81" s="456"/>
      <c r="C81" s="460"/>
      <c r="D81" s="460"/>
      <c r="E81" s="461"/>
      <c r="F81" s="461"/>
      <c r="G81" s="462"/>
      <c r="H81" s="460"/>
      <c r="I81" s="460"/>
      <c r="J81" s="462"/>
      <c r="K81" s="419"/>
    </row>
    <row r="82" spans="1:11" x14ac:dyDescent="0.25">
      <c r="A82" s="455"/>
      <c r="B82" s="456"/>
      <c r="C82" s="460"/>
      <c r="D82" s="460"/>
      <c r="E82" s="463"/>
      <c r="F82" s="463"/>
      <c r="G82" s="463"/>
      <c r="H82" s="455"/>
      <c r="I82" s="455"/>
      <c r="J82" s="464"/>
      <c r="K82" s="419"/>
    </row>
  </sheetData>
  <sheetProtection algorithmName="SHA-512" hashValue="DXVunH3icdgtKjq3Cj5ivMhiTVvGLTvJLgzWg7UmDhQkXUJaHBs5kT5lh9AZ/sOa9DLev821jG6UaLsCu20y+A==" saltValue="PLp8k1JYKl7RMGIaSTRObQ==" spinCount="100000" sheet="1" objects="1" scenarios="1"/>
  <mergeCells count="6">
    <mergeCell ref="B6:B8"/>
    <mergeCell ref="E6:E8"/>
    <mergeCell ref="B5:E5"/>
    <mergeCell ref="E19:E21"/>
    <mergeCell ref="B19:B21"/>
    <mergeCell ref="B18:E1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A693D-51F8-4F73-8DAE-BF76F0AA677C}">
  <dimension ref="A1:Q81"/>
  <sheetViews>
    <sheetView topLeftCell="B4" workbookViewId="0">
      <selection activeCell="I6" sqref="I6:I12"/>
    </sheetView>
  </sheetViews>
  <sheetFormatPr defaultRowHeight="15" x14ac:dyDescent="0.25"/>
  <cols>
    <col min="1" max="1" width="18.140625" bestFit="1" customWidth="1"/>
    <col min="2" max="2" width="28.28515625" style="310" bestFit="1" customWidth="1"/>
    <col min="3" max="3" width="12.7109375" bestFit="1" customWidth="1"/>
    <col min="4" max="4" width="18.28515625" customWidth="1"/>
    <col min="5" max="5" width="12.28515625" bestFit="1" customWidth="1"/>
    <col min="6" max="6" width="14.85546875" customWidth="1"/>
    <col min="7" max="7" width="16.7109375" customWidth="1"/>
    <col min="8" max="8" width="18.85546875" customWidth="1"/>
    <col min="9" max="9" width="14.140625" customWidth="1"/>
    <col min="10" max="10" width="13.7109375" bestFit="1" customWidth="1"/>
    <col min="11" max="11" width="14.28515625" bestFit="1" customWidth="1"/>
    <col min="12" max="12" width="12.42578125" customWidth="1"/>
    <col min="13" max="13" width="11.28515625" bestFit="1" customWidth="1"/>
    <col min="14" max="14" width="9.7109375" customWidth="1"/>
    <col min="16" max="16" width="11.28515625" bestFit="1" customWidth="1"/>
  </cols>
  <sheetData>
    <row r="1" spans="1:17" x14ac:dyDescent="0.25">
      <c r="A1" s="369" t="s">
        <v>25</v>
      </c>
    </row>
    <row r="2" spans="1:17" ht="15.75" thickBot="1" x14ac:dyDescent="0.3"/>
    <row r="3" spans="1:17" ht="15.75" thickBot="1" x14ac:dyDescent="0.3">
      <c r="B3" s="497" t="s">
        <v>42</v>
      </c>
      <c r="C3" s="498"/>
      <c r="D3" s="498"/>
      <c r="E3" s="499"/>
    </row>
    <row r="4" spans="1:17" ht="15.75" thickBot="1" x14ac:dyDescent="0.3">
      <c r="B4" s="500" t="s">
        <v>3</v>
      </c>
      <c r="C4" s="295" t="s">
        <v>7</v>
      </c>
      <c r="D4" s="290" t="s">
        <v>35</v>
      </c>
      <c r="E4" s="291" t="s">
        <v>36</v>
      </c>
      <c r="G4" s="507" t="s">
        <v>43</v>
      </c>
      <c r="H4" s="508"/>
      <c r="I4" s="508"/>
      <c r="J4" s="509"/>
      <c r="K4" s="507" t="s">
        <v>44</v>
      </c>
      <c r="L4" s="509"/>
      <c r="M4" s="507" t="s">
        <v>45</v>
      </c>
      <c r="N4" s="508"/>
      <c r="O4" s="509"/>
    </row>
    <row r="5" spans="1:17" ht="15.75" thickBot="1" x14ac:dyDescent="0.3">
      <c r="B5" s="501"/>
      <c r="C5" s="298" t="s">
        <v>9</v>
      </c>
      <c r="D5" s="299" t="s">
        <v>37</v>
      </c>
      <c r="E5" s="300" t="s">
        <v>38</v>
      </c>
      <c r="G5" s="398" t="s">
        <v>46</v>
      </c>
      <c r="H5" s="313" t="s">
        <v>3</v>
      </c>
      <c r="I5" s="313" t="s">
        <v>47</v>
      </c>
      <c r="J5" s="433" t="s">
        <v>48</v>
      </c>
      <c r="K5" s="398" t="s">
        <v>49</v>
      </c>
      <c r="L5" s="314" t="s">
        <v>50</v>
      </c>
      <c r="M5" s="441" t="s">
        <v>51</v>
      </c>
      <c r="N5" s="313" t="s">
        <v>52</v>
      </c>
      <c r="O5" s="314" t="s">
        <v>53</v>
      </c>
    </row>
    <row r="6" spans="1:17" x14ac:dyDescent="0.25">
      <c r="A6" s="369" t="s">
        <v>10</v>
      </c>
      <c r="B6" s="311" t="str">
        <f>'Salina Elec'!A2</f>
        <v>Salina</v>
      </c>
      <c r="C6" s="301">
        <f>'Salina Elec'!C23</f>
        <v>774000</v>
      </c>
      <c r="D6" s="304">
        <f>'Salina Elec'!K23</f>
        <v>71667.315000000002</v>
      </c>
      <c r="E6" s="372">
        <f>D6/C6</f>
        <v>9.2593430232558144E-2</v>
      </c>
      <c r="G6" s="430" t="s">
        <v>10</v>
      </c>
      <c r="H6" s="431" t="s">
        <v>54</v>
      </c>
      <c r="I6" s="431" t="s">
        <v>55</v>
      </c>
      <c r="J6" s="434">
        <v>50000</v>
      </c>
      <c r="K6" s="440">
        <f t="shared" ref="K6:K12" si="0">C6/J6</f>
        <v>15.48</v>
      </c>
      <c r="L6" s="444">
        <f t="shared" ref="L6:L12" si="1">C18/J6</f>
        <v>1.35192E-2</v>
      </c>
      <c r="M6" s="442">
        <f t="shared" ref="M6:M12" si="2">D6/J6</f>
        <v>1.4333463</v>
      </c>
      <c r="N6" s="188">
        <f t="shared" ref="N6:N12" si="3">D18/J6</f>
        <v>7.5060399999999985E-2</v>
      </c>
      <c r="O6" s="189">
        <f t="shared" ref="O6:O12" si="4">(D6+D18)/J6</f>
        <v>1.5084067000000001</v>
      </c>
      <c r="Q6" s="287"/>
    </row>
    <row r="7" spans="1:17" x14ac:dyDescent="0.25">
      <c r="A7" t="s">
        <v>12</v>
      </c>
      <c r="B7" s="370" t="str">
        <f>'224 Harrison Elec'!A2</f>
        <v>224 Harrison</v>
      </c>
      <c r="C7" s="302">
        <f>'224 Harrison Elec'!C24</f>
        <v>1312716.4000000001</v>
      </c>
      <c r="D7" s="289">
        <f>'224 Harrison Elec'!V24</f>
        <v>111403.005</v>
      </c>
      <c r="E7" s="292">
        <f t="shared" ref="E7:E12" si="5">D7/C7</f>
        <v>8.4864487866533847E-2</v>
      </c>
      <c r="G7" s="427" t="s">
        <v>12</v>
      </c>
      <c r="H7" s="425" t="s">
        <v>12</v>
      </c>
      <c r="I7" s="425" t="s">
        <v>56</v>
      </c>
      <c r="J7" s="435">
        <v>110000</v>
      </c>
      <c r="K7" s="437">
        <f t="shared" si="0"/>
        <v>11.933785454545456</v>
      </c>
      <c r="L7" s="445">
        <f t="shared" si="1"/>
        <v>4.1699090909090908E-2</v>
      </c>
      <c r="M7" s="141">
        <f t="shared" si="2"/>
        <v>1.0127545909090909</v>
      </c>
      <c r="N7" s="99">
        <f t="shared" si="3"/>
        <v>0.21470145454545456</v>
      </c>
      <c r="O7" s="109">
        <f t="shared" si="4"/>
        <v>1.2274560454545456</v>
      </c>
      <c r="Q7" s="287"/>
    </row>
    <row r="8" spans="1:17" x14ac:dyDescent="0.25">
      <c r="A8" s="369" t="s">
        <v>13</v>
      </c>
      <c r="B8" s="370" t="str">
        <f>'White Memorial Elec'!A2</f>
        <v>White Memorial</v>
      </c>
      <c r="C8" s="302">
        <f>'White Memorial Elec'!C23</f>
        <v>433500</v>
      </c>
      <c r="D8" s="289">
        <f>'White Memorial Elec'!K23</f>
        <v>37462.380000000005</v>
      </c>
      <c r="E8" s="292">
        <f t="shared" si="5"/>
        <v>8.6418408304498276E-2</v>
      </c>
      <c r="G8" s="426" t="s">
        <v>13</v>
      </c>
      <c r="H8" s="425" t="s">
        <v>57</v>
      </c>
      <c r="I8" s="425" t="s">
        <v>58</v>
      </c>
      <c r="J8" s="435">
        <v>50000</v>
      </c>
      <c r="K8" s="437">
        <f t="shared" si="0"/>
        <v>8.67</v>
      </c>
      <c r="L8" s="445">
        <f t="shared" si="1"/>
        <v>1.7510000000000001E-2</v>
      </c>
      <c r="M8" s="141">
        <f t="shared" si="2"/>
        <v>0.74924760000000012</v>
      </c>
      <c r="N8" s="99">
        <f t="shared" si="3"/>
        <v>0.1078614</v>
      </c>
      <c r="O8" s="109">
        <f t="shared" si="4"/>
        <v>0.85710900000000012</v>
      </c>
      <c r="Q8" s="287"/>
    </row>
    <row r="9" spans="1:17" x14ac:dyDescent="0.25">
      <c r="A9" s="369" t="s">
        <v>14</v>
      </c>
      <c r="B9" s="370" t="str">
        <f>'1 Clinton Sq Elec'!A2</f>
        <v>One Clinton Square</v>
      </c>
      <c r="C9" s="302">
        <f>'1 Clinton Sq Elec'!C22</f>
        <v>740400</v>
      </c>
      <c r="D9" s="289">
        <f>'1 Clinton Sq Elec'!W22</f>
        <v>64748.540000000008</v>
      </c>
      <c r="E9" s="292">
        <f t="shared" si="5"/>
        <v>8.7450756347920058E-2</v>
      </c>
      <c r="G9" s="426" t="s">
        <v>14</v>
      </c>
      <c r="H9" s="425" t="s">
        <v>59</v>
      </c>
      <c r="I9" s="425" t="s">
        <v>55</v>
      </c>
      <c r="J9" s="435">
        <v>45000</v>
      </c>
      <c r="K9" s="437">
        <f t="shared" si="0"/>
        <v>16.453333333333333</v>
      </c>
      <c r="L9" s="445">
        <f t="shared" si="1"/>
        <v>6.8760711111111109E-2</v>
      </c>
      <c r="M9" s="141">
        <f t="shared" si="2"/>
        <v>1.4388564444444447</v>
      </c>
      <c r="N9" s="99">
        <f t="shared" si="3"/>
        <v>0.3552394444444445</v>
      </c>
      <c r="O9" s="109">
        <f t="shared" si="4"/>
        <v>1.7940958888888889</v>
      </c>
      <c r="Q9" s="287"/>
    </row>
    <row r="10" spans="1:17" x14ac:dyDescent="0.25">
      <c r="A10" s="369" t="s">
        <v>15</v>
      </c>
      <c r="B10" s="370" t="str">
        <f>'Atrium Elec'!A2</f>
        <v>Atrium</v>
      </c>
      <c r="C10" s="302">
        <f>'Atrium Elec'!C22</f>
        <v>3937901.2</v>
      </c>
      <c r="D10" s="289">
        <f>'Atrium Elec'!X22</f>
        <v>315609.70499999996</v>
      </c>
      <c r="E10" s="292">
        <f t="shared" si="5"/>
        <v>8.0146679403739221E-2</v>
      </c>
      <c r="G10" s="426" t="s">
        <v>15</v>
      </c>
      <c r="H10" s="425" t="s">
        <v>60</v>
      </c>
      <c r="I10" s="425" t="s">
        <v>61</v>
      </c>
      <c r="J10" s="435">
        <v>170000</v>
      </c>
      <c r="K10" s="437">
        <f t="shared" si="0"/>
        <v>23.164124705882355</v>
      </c>
      <c r="L10" s="445">
        <f t="shared" si="1"/>
        <v>2.161435294117647E-2</v>
      </c>
      <c r="M10" s="141">
        <f t="shared" si="2"/>
        <v>1.856527676470588</v>
      </c>
      <c r="N10" s="99">
        <f t="shared" si="3"/>
        <v>0.11300170588235292</v>
      </c>
      <c r="O10" s="109">
        <f t="shared" si="4"/>
        <v>1.9695293823529407</v>
      </c>
      <c r="Q10" s="287"/>
    </row>
    <row r="11" spans="1:17" x14ac:dyDescent="0.25">
      <c r="A11" s="369" t="s">
        <v>17</v>
      </c>
      <c r="B11" s="370" t="s">
        <v>18</v>
      </c>
      <c r="C11" s="302">
        <f>'One Lincoln Center Electric'!B19</f>
        <v>4776603</v>
      </c>
      <c r="D11" s="289">
        <f>'One Lincoln Center Electric'!C19</f>
        <v>364727.88</v>
      </c>
      <c r="E11" s="292">
        <f t="shared" si="5"/>
        <v>7.6357168473075956E-2</v>
      </c>
      <c r="G11" s="426" t="s">
        <v>17</v>
      </c>
      <c r="H11" s="425" t="s">
        <v>18</v>
      </c>
      <c r="I11" s="425" t="s">
        <v>61</v>
      </c>
      <c r="J11" s="435">
        <v>367500</v>
      </c>
      <c r="K11" s="437">
        <f t="shared" si="0"/>
        <v>12.99755918367347</v>
      </c>
      <c r="L11" s="445">
        <f t="shared" si="1"/>
        <v>3.7307482993197277E-2</v>
      </c>
      <c r="M11" s="141">
        <f t="shared" si="2"/>
        <v>0.9924568163265306</v>
      </c>
      <c r="N11" s="99">
        <f t="shared" si="3"/>
        <v>0.2331410068027211</v>
      </c>
      <c r="O11" s="109">
        <f t="shared" si="4"/>
        <v>1.2255978231292517</v>
      </c>
      <c r="Q11" s="287"/>
    </row>
    <row r="12" spans="1:17" ht="15.75" thickBot="1" x14ac:dyDescent="0.3">
      <c r="A12" s="369" t="s">
        <v>19</v>
      </c>
      <c r="B12" s="371" t="s">
        <v>20</v>
      </c>
      <c r="C12" s="303">
        <f>'One Park Place Electric'!B18</f>
        <v>2707187</v>
      </c>
      <c r="D12" s="293">
        <f>'One Park Place Electric'!C18</f>
        <v>239499.06000000003</v>
      </c>
      <c r="E12" s="294">
        <f t="shared" si="5"/>
        <v>8.8467867199421402E-2</v>
      </c>
      <c r="G12" s="428" t="s">
        <v>19</v>
      </c>
      <c r="H12" s="429" t="s">
        <v>20</v>
      </c>
      <c r="I12" s="429" t="s">
        <v>61</v>
      </c>
      <c r="J12" s="436">
        <v>252910</v>
      </c>
      <c r="K12" s="438">
        <f t="shared" si="0"/>
        <v>10.704151674508719</v>
      </c>
      <c r="L12" s="446">
        <f t="shared" si="1"/>
        <v>6.8206081214661346E-3</v>
      </c>
      <c r="M12" s="443">
        <f t="shared" si="2"/>
        <v>0.94697346882290157</v>
      </c>
      <c r="N12" s="439">
        <f t="shared" si="3"/>
        <v>4.1586453679174407E-2</v>
      </c>
      <c r="O12" s="111">
        <f t="shared" si="4"/>
        <v>0.98855992250207592</v>
      </c>
      <c r="Q12" s="287"/>
    </row>
    <row r="13" spans="1:17" x14ac:dyDescent="0.25">
      <c r="E13" s="378">
        <f>AVERAGE(E6:E12)</f>
        <v>8.5185542546820994E-2</v>
      </c>
    </row>
    <row r="14" spans="1:17" ht="15.75" thickBot="1" x14ac:dyDescent="0.3"/>
    <row r="15" spans="1:17" ht="15.75" thickBot="1" x14ac:dyDescent="0.3">
      <c r="B15" s="497" t="s">
        <v>62</v>
      </c>
      <c r="C15" s="498"/>
      <c r="D15" s="498"/>
      <c r="E15" s="499"/>
      <c r="G15" s="510" t="s">
        <v>47</v>
      </c>
      <c r="H15" s="507" t="s">
        <v>63</v>
      </c>
      <c r="I15" s="509"/>
      <c r="J15" s="507" t="s">
        <v>64</v>
      </c>
      <c r="K15" s="509"/>
      <c r="L15" s="508" t="s">
        <v>65</v>
      </c>
      <c r="M15" s="508"/>
      <c r="N15" s="509"/>
    </row>
    <row r="16" spans="1:17" ht="15.75" thickBot="1" x14ac:dyDescent="0.3">
      <c r="B16" s="500" t="s">
        <v>3</v>
      </c>
      <c r="C16" s="295" t="s">
        <v>7</v>
      </c>
      <c r="D16" s="290" t="s">
        <v>35</v>
      </c>
      <c r="E16" s="291" t="s">
        <v>40</v>
      </c>
      <c r="G16" s="511"/>
      <c r="H16" s="398" t="s">
        <v>49</v>
      </c>
      <c r="I16" s="314" t="s">
        <v>50</v>
      </c>
      <c r="J16" s="398" t="s">
        <v>66</v>
      </c>
      <c r="K16" s="314" t="s">
        <v>67</v>
      </c>
      <c r="L16" s="441" t="s">
        <v>51</v>
      </c>
      <c r="M16" s="313" t="s">
        <v>52</v>
      </c>
      <c r="N16" s="314" t="s">
        <v>53</v>
      </c>
    </row>
    <row r="17" spans="1:14" ht="15.75" thickBot="1" x14ac:dyDescent="0.3">
      <c r="B17" s="501"/>
      <c r="C17" s="298" t="s">
        <v>24</v>
      </c>
      <c r="D17" s="299" t="s">
        <v>37</v>
      </c>
      <c r="E17" s="300" t="s">
        <v>41</v>
      </c>
      <c r="G17" s="447" t="s">
        <v>56</v>
      </c>
      <c r="H17" s="481">
        <f>AVERAGE(K7,K10,K11,K12)</f>
        <v>14.699905254652499</v>
      </c>
      <c r="I17" s="484">
        <f>AVERAGE(L7,L10,L11,L12)</f>
        <v>2.6860383741232698E-2</v>
      </c>
      <c r="J17" s="450">
        <f>AVERAGE(E7,E10,E11,E12)</f>
        <v>8.245905073569261E-2</v>
      </c>
      <c r="K17" s="189">
        <f>AVERAGE(E19,E22,E23,E24)</f>
        <v>5.6808167255979267</v>
      </c>
      <c r="L17" s="442">
        <f>AVERAGE(M7,M10,M11,M12)</f>
        <v>1.2021781381322778</v>
      </c>
      <c r="M17" s="188">
        <f>AVERAGE(N7,N10,N11,N12)</f>
        <v>0.15060765522742575</v>
      </c>
      <c r="N17" s="189">
        <f>AVERAGE(O7,O10,O11,O12)</f>
        <v>1.3527857933597034</v>
      </c>
    </row>
    <row r="18" spans="1:14" x14ac:dyDescent="0.25">
      <c r="A18" s="369" t="s">
        <v>10</v>
      </c>
      <c r="B18" s="311" t="str">
        <f>B6</f>
        <v>Salina</v>
      </c>
      <c r="C18" s="301">
        <f>'Salina Gas'!C23</f>
        <v>675.96</v>
      </c>
      <c r="D18" s="304">
        <f>'Salina Gas'!U23</f>
        <v>3753.0199999999995</v>
      </c>
      <c r="E18" s="107">
        <f>D18/C18</f>
        <v>5.5521332623232134</v>
      </c>
      <c r="G18" s="448" t="s">
        <v>58</v>
      </c>
      <c r="H18" s="482">
        <f>K8</f>
        <v>8.67</v>
      </c>
      <c r="I18" s="453">
        <f>L8</f>
        <v>1.7510000000000001E-2</v>
      </c>
      <c r="J18" s="451">
        <f>AVERAGE(E8)</f>
        <v>8.6418408304498276E-2</v>
      </c>
      <c r="K18" s="109">
        <f>AVERAGE(E20)</f>
        <v>6.1599885779554535</v>
      </c>
      <c r="L18" s="141">
        <f t="shared" ref="L18:N19" si="6">AVERAGE(M8)</f>
        <v>0.74924760000000012</v>
      </c>
      <c r="M18" s="99">
        <f t="shared" si="6"/>
        <v>0.1078614</v>
      </c>
      <c r="N18" s="109">
        <f t="shared" si="6"/>
        <v>0.85710900000000012</v>
      </c>
    </row>
    <row r="19" spans="1:14" ht="15.75" thickBot="1" x14ac:dyDescent="0.3">
      <c r="A19" t="s">
        <v>12</v>
      </c>
      <c r="B19" s="370" t="str">
        <f>B7</f>
        <v>224 Harrison</v>
      </c>
      <c r="C19" s="302">
        <f>'224 Harrison Gas '!J22</f>
        <v>4586.8999999999996</v>
      </c>
      <c r="D19" s="289">
        <f>'224 Harrison Gas '!U22</f>
        <v>23617.16</v>
      </c>
      <c r="E19" s="109">
        <f t="shared" ref="E19:E24" si="7">D19/C19</f>
        <v>5.148828184612702</v>
      </c>
      <c r="G19" s="449" t="s">
        <v>68</v>
      </c>
      <c r="H19" s="483">
        <f>AVERAGE(K9)</f>
        <v>16.453333333333333</v>
      </c>
      <c r="I19" s="454">
        <f>AVERAGE(L9)</f>
        <v>6.8760711111111109E-2</v>
      </c>
      <c r="J19" s="452">
        <f>AVERAGE(E9)</f>
        <v>8.7450756347920058E-2</v>
      </c>
      <c r="K19" s="111">
        <f>AVERAGE(E21)</f>
        <v>5.1663142905897175</v>
      </c>
      <c r="L19" s="443">
        <f t="shared" si="6"/>
        <v>1.4388564444444447</v>
      </c>
      <c r="M19" s="439">
        <f t="shared" si="6"/>
        <v>0.3552394444444445</v>
      </c>
      <c r="N19" s="111">
        <f t="shared" si="6"/>
        <v>1.7940958888888889</v>
      </c>
    </row>
    <row r="20" spans="1:14" x14ac:dyDescent="0.25">
      <c r="A20" s="369" t="s">
        <v>13</v>
      </c>
      <c r="B20" s="370" t="str">
        <f>B8</f>
        <v>White Memorial</v>
      </c>
      <c r="C20" s="302">
        <f>'White Memorial Gas'!J22</f>
        <v>875.5</v>
      </c>
      <c r="D20" s="289">
        <f>'White Memorial Gas'!U22</f>
        <v>5393.07</v>
      </c>
      <c r="E20" s="109">
        <f t="shared" si="7"/>
        <v>6.1599885779554535</v>
      </c>
    </row>
    <row r="21" spans="1:14" x14ac:dyDescent="0.25">
      <c r="A21" s="369" t="s">
        <v>14</v>
      </c>
      <c r="B21" s="370" t="str">
        <f>B9</f>
        <v>One Clinton Square</v>
      </c>
      <c r="C21" s="302">
        <f>'1 Clinton Sq Gas'!C22</f>
        <v>3094.232</v>
      </c>
      <c r="D21" s="289">
        <f>'1 Clinton Sq Gas'!V22</f>
        <v>15985.775000000001</v>
      </c>
      <c r="E21" s="109">
        <f t="shared" si="7"/>
        <v>5.1663142905897175</v>
      </c>
    </row>
    <row r="22" spans="1:14" x14ac:dyDescent="0.25">
      <c r="A22" s="369" t="s">
        <v>15</v>
      </c>
      <c r="B22" s="370" t="str">
        <f>B10</f>
        <v>Atrium</v>
      </c>
      <c r="C22" s="302">
        <f>'Atrium Gas'!C22</f>
        <v>3674.4399999999996</v>
      </c>
      <c r="D22" s="289">
        <f>'Atrium Gas'!V22</f>
        <v>19210.289999999997</v>
      </c>
      <c r="E22" s="109">
        <f t="shared" si="7"/>
        <v>5.2280864567117709</v>
      </c>
    </row>
    <row r="23" spans="1:14" x14ac:dyDescent="0.25">
      <c r="A23" s="369" t="s">
        <v>17</v>
      </c>
      <c r="B23" s="370" t="s">
        <v>18</v>
      </c>
      <c r="C23" s="302">
        <f>'One Lincoln Center Gas'!B19</f>
        <v>13710.5</v>
      </c>
      <c r="D23" s="289">
        <f>'One Lincoln Center Gas'!C18</f>
        <v>85679.32</v>
      </c>
      <c r="E23" s="109">
        <f t="shared" si="7"/>
        <v>6.2491754494730323</v>
      </c>
    </row>
    <row r="24" spans="1:14" ht="15.75" thickBot="1" x14ac:dyDescent="0.3">
      <c r="A24" s="369" t="s">
        <v>19</v>
      </c>
      <c r="B24" s="371" t="s">
        <v>20</v>
      </c>
      <c r="C24" s="303">
        <f>'One Park Place Gas'!B19</f>
        <v>1725</v>
      </c>
      <c r="D24" s="293">
        <f>'One Park Place Gas'!C18</f>
        <v>10517.63</v>
      </c>
      <c r="E24" s="111">
        <f t="shared" si="7"/>
        <v>6.0971768115942027</v>
      </c>
    </row>
    <row r="25" spans="1:14" x14ac:dyDescent="0.25">
      <c r="E25" s="247">
        <f>AVERAGE(E18:E24)</f>
        <v>5.6573861476085847</v>
      </c>
    </row>
    <row r="26" spans="1:14" x14ac:dyDescent="0.25">
      <c r="E26" s="247"/>
    </row>
    <row r="27" spans="1:14" ht="15.75" thickBot="1" x14ac:dyDescent="0.3">
      <c r="E27" s="247"/>
    </row>
    <row r="28" spans="1:14" ht="15.75" thickBot="1" x14ac:dyDescent="0.3">
      <c r="B28" s="497" t="s">
        <v>69</v>
      </c>
      <c r="C28" s="498"/>
      <c r="D28" s="498"/>
      <c r="E28" s="498"/>
      <c r="F28" s="498"/>
      <c r="G28" s="498"/>
      <c r="H28" s="498"/>
      <c r="I28" s="498"/>
      <c r="J28" s="498"/>
      <c r="K28" s="498"/>
      <c r="L28" s="499"/>
    </row>
    <row r="29" spans="1:14" ht="15.75" thickBot="1" x14ac:dyDescent="0.3">
      <c r="B29" s="512"/>
      <c r="C29" s="514" t="s">
        <v>48</v>
      </c>
      <c r="D29" s="516" t="s">
        <v>70</v>
      </c>
      <c r="E29" s="507" t="s">
        <v>71</v>
      </c>
      <c r="F29" s="508"/>
      <c r="G29" s="508"/>
      <c r="H29" s="508"/>
      <c r="I29" s="509"/>
      <c r="J29" s="518" t="s">
        <v>72</v>
      </c>
      <c r="K29" s="519"/>
      <c r="L29" s="520"/>
    </row>
    <row r="30" spans="1:14" ht="15.75" thickBot="1" x14ac:dyDescent="0.3">
      <c r="B30" s="513"/>
      <c r="C30" s="515"/>
      <c r="D30" s="517"/>
      <c r="E30" s="391" t="s">
        <v>73</v>
      </c>
      <c r="F30" s="385" t="s">
        <v>74</v>
      </c>
      <c r="G30" s="398" t="s">
        <v>75</v>
      </c>
      <c r="H30" s="313" t="s">
        <v>76</v>
      </c>
      <c r="I30" s="314" t="s">
        <v>77</v>
      </c>
      <c r="J30" s="392" t="s">
        <v>78</v>
      </c>
      <c r="K30" s="393" t="s">
        <v>79</v>
      </c>
      <c r="L30" s="394" t="s">
        <v>77</v>
      </c>
    </row>
    <row r="31" spans="1:14" x14ac:dyDescent="0.25">
      <c r="B31" s="422" t="str">
        <f t="array" ref="B31:B80">TRANSPOSE('[73]Load Profiles'!$G$7:$BD$7)</f>
        <v>Barclay Damon</v>
      </c>
      <c r="C31" s="296">
        <f t="array" ref="C31:C80">TRANSPOSE('[73]Load Profiles'!$G$8:$BD$8)</f>
        <v>330000</v>
      </c>
      <c r="D31" s="379" t="str">
        <f t="array" ref="D31:D80">TRANSPOSE('[73]Load Profiles'!$G$9:$BD$9)</f>
        <v>Large Office</v>
      </c>
      <c r="E31" s="301">
        <f t="array" ref="E31:E80">TRANSPOSE('[73]Cooling Profiles'!$E$19:$BB$19)</f>
        <v>4226.6591934511625</v>
      </c>
      <c r="F31" s="408">
        <f t="array" ref="F31:F80">TRANSPOSE('[73]Heating Profiles'!$E$18:$BB$18)</f>
        <v>973.8315016430156</v>
      </c>
      <c r="G31" s="404">
        <f>VLOOKUP(D31,$G$17:$J$19,4)*E31</f>
        <v>348.52630487527102</v>
      </c>
      <c r="H31" s="397">
        <f>VLOOKUP(D31,$G$17:$K$19,5)*F31</f>
        <v>5532.1582824477882</v>
      </c>
      <c r="I31" s="413">
        <f>(VLOOKUP(D31,$G$17:$J$19,4)*E31)+(VLOOKUP(D31,$G$17:$K$19,5)*F31)</f>
        <v>5880.6845873230595</v>
      </c>
      <c r="J31" s="301">
        <f t="shared" ref="J31:J66" si="8">VLOOKUP(D31,$G$17:$H$19,2)*C31</f>
        <v>4850968.7340353252</v>
      </c>
      <c r="K31" s="417">
        <f t="shared" ref="K31:K66" si="9">VLOOKUP(D31,$G$17:$I$19,3)*C31</f>
        <v>8863.9266346067907</v>
      </c>
      <c r="L31" s="418">
        <f t="shared" ref="L31:L66" si="10">(VLOOKUP(D31,$G$17:$K$19,4)*J31)+(VLOOKUP(D31,$G$17:$K$19,5)*K31)</f>
        <v>450360.61963742465</v>
      </c>
      <c r="M31" s="419"/>
    </row>
    <row r="32" spans="1:14" x14ac:dyDescent="0.25">
      <c r="B32" s="309" t="str">
        <v>One Clinton Square</v>
      </c>
      <c r="C32" s="297">
        <v>45000</v>
      </c>
      <c r="D32" s="380" t="str">
        <v>Midrise Apartment</v>
      </c>
      <c r="E32" s="302">
        <v>485.01216806102047</v>
      </c>
      <c r="F32" s="409">
        <v>1876.1928423533268</v>
      </c>
      <c r="G32" s="405">
        <f>VLOOKUP(D32,$G$17:$J$19,4)*E32</f>
        <v>42.414680934880757</v>
      </c>
      <c r="H32" s="395">
        <f>VLOOKUP(D32,$G$17:$K$19,5)*F32</f>
        <v>9693.0018933521333</v>
      </c>
      <c r="I32" s="414">
        <f>(VLOOKUP(D32,$G$17:$J$19,4)*E32)+(VLOOKUP(D32,$G$17:$K$19,5)*F32)</f>
        <v>9735.4165742870136</v>
      </c>
      <c r="J32" s="302">
        <f t="shared" si="8"/>
        <v>740400</v>
      </c>
      <c r="K32" s="288">
        <f t="shared" si="9"/>
        <v>3094.232</v>
      </c>
      <c r="L32" s="312">
        <f t="shared" si="10"/>
        <v>80734.315000000017</v>
      </c>
      <c r="M32" s="419"/>
    </row>
    <row r="33" spans="2:13" x14ac:dyDescent="0.25">
      <c r="B33" s="309" t="str">
        <v>Atrium</v>
      </c>
      <c r="C33" s="297">
        <v>170000</v>
      </c>
      <c r="D33" s="380" t="str">
        <v>Large Office</v>
      </c>
      <c r="E33" s="302">
        <v>2177.3698875354476</v>
      </c>
      <c r="F33" s="409">
        <v>501.67077357367486</v>
      </c>
      <c r="G33" s="405">
        <f>VLOOKUP(D33,$G$17:$J$19,4)*E33</f>
        <v>179.54385402665477</v>
      </c>
      <c r="H33" s="395">
        <f>VLOOKUP(D33,$G$17:$K$19,5)*F33</f>
        <v>2849.8997212609825</v>
      </c>
      <c r="I33" s="414">
        <f>(VLOOKUP(D33,$G$17:$J$19,4)*E33)+(VLOOKUP(D33,$G$17:$K$19,5)*F33)</f>
        <v>3029.443575287637</v>
      </c>
      <c r="J33" s="302">
        <f t="shared" si="8"/>
        <v>2498983.8932909248</v>
      </c>
      <c r="K33" s="288">
        <f t="shared" si="9"/>
        <v>4566.265236009559</v>
      </c>
      <c r="L33" s="312">
        <f t="shared" si="10"/>
        <v>232003.9555707945</v>
      </c>
      <c r="M33" s="419"/>
    </row>
    <row r="34" spans="2:13" x14ac:dyDescent="0.25">
      <c r="B34" s="309" t="str">
        <v>State Tower</v>
      </c>
      <c r="C34" s="297">
        <v>1200000</v>
      </c>
      <c r="D34" s="380" t="str">
        <v>Large Office</v>
      </c>
      <c r="E34" s="302">
        <v>15369.669794367932</v>
      </c>
      <c r="F34" s="409">
        <v>3541.2054605200524</v>
      </c>
      <c r="G34" s="405">
        <f>VLOOKUP(D34,$G$17:$J$19,4)*E34</f>
        <v>1267.3683813646276</v>
      </c>
      <c r="H34" s="395">
        <f>VLOOKUP(D34,$G$17:$K$19,5)*F34</f>
        <v>20116.939208901022</v>
      </c>
      <c r="I34" s="414">
        <f>(VLOOKUP(D34,$G$17:$J$19,4)*E34)+(VLOOKUP(D34,$G$17:$K$19,5)*F34)</f>
        <v>21384.307590265649</v>
      </c>
      <c r="J34" s="302">
        <f t="shared" si="8"/>
        <v>17639886.305583</v>
      </c>
      <c r="K34" s="288">
        <f t="shared" si="9"/>
        <v>32232.460489479239</v>
      </c>
      <c r="L34" s="312">
        <f t="shared" si="10"/>
        <v>1637674.9804997258</v>
      </c>
      <c r="M34" s="419"/>
    </row>
    <row r="35" spans="2:13" x14ac:dyDescent="0.25">
      <c r="B35" s="309" t="str">
        <v>Courtyard Marriott</v>
      </c>
      <c r="C35" s="297">
        <v>40000</v>
      </c>
      <c r="D35" s="380" t="str">
        <v>Hotel</v>
      </c>
      <c r="E35" s="302">
        <v>632.77000837053902</v>
      </c>
      <c r="F35" s="409">
        <v>1420.0590428715707</v>
      </c>
      <c r="G35" s="406">
        <f>AVERAGE($J$17:$J$19)*E35</f>
        <v>54.065602332246769</v>
      </c>
      <c r="H35" s="396">
        <f>AVERAGE($K$17:$K$19)*F35</f>
        <v>8050.3713242870617</v>
      </c>
      <c r="I35" s="415">
        <f>(AVERAGE($J$17:$J$19)*E35)+(AVERAGE($K$17:$K$19)*F35)</f>
        <v>8104.4369266193089</v>
      </c>
      <c r="J35" s="302" t="e">
        <f t="shared" si="8"/>
        <v>#N/A</v>
      </c>
      <c r="K35" s="288" t="e">
        <f t="shared" si="9"/>
        <v>#N/A</v>
      </c>
      <c r="L35" s="312" t="e">
        <f t="shared" si="10"/>
        <v>#N/A</v>
      </c>
      <c r="M35" s="419"/>
    </row>
    <row r="36" spans="2:13" x14ac:dyDescent="0.25">
      <c r="B36" s="309" t="str">
        <v>US Social Security Admin</v>
      </c>
      <c r="C36" s="297">
        <v>287000</v>
      </c>
      <c r="D36" s="380" t="str">
        <v>Large Office</v>
      </c>
      <c r="E36" s="302">
        <v>3675.9126924863263</v>
      </c>
      <c r="F36" s="409">
        <v>846.93830597437852</v>
      </c>
      <c r="G36" s="405">
        <f t="shared" ref="G36:G51" si="11">VLOOKUP(D36,$G$17:$J$19,4)*E36</f>
        <v>303.11227120970642</v>
      </c>
      <c r="H36" s="395">
        <f t="shared" ref="H36:H51" si="12">VLOOKUP(D36,$G$17:$K$19,5)*F36</f>
        <v>4811.3012941288243</v>
      </c>
      <c r="I36" s="414">
        <f t="shared" ref="I36:I51" si="13">(VLOOKUP(D36,$G$17:$J$19,4)*E36)+(VLOOKUP(D36,$G$17:$K$19,5)*F36)</f>
        <v>5114.413565338531</v>
      </c>
      <c r="J36" s="302">
        <f t="shared" si="8"/>
        <v>4218872.8080852674</v>
      </c>
      <c r="K36" s="288">
        <f t="shared" si="9"/>
        <v>7708.9301337337847</v>
      </c>
      <c r="L36" s="312">
        <f t="shared" si="10"/>
        <v>391677.26616951777</v>
      </c>
      <c r="M36" s="419"/>
    </row>
    <row r="37" spans="2:13" x14ac:dyDescent="0.25">
      <c r="B37" s="309" t="str">
        <v>M&amp;T Bank</v>
      </c>
      <c r="C37" s="297">
        <v>365000</v>
      </c>
      <c r="D37" s="380" t="str">
        <v>Large Office</v>
      </c>
      <c r="E37" s="302">
        <v>4674.9412291202343</v>
      </c>
      <c r="F37" s="409">
        <v>1077.1166609081836</v>
      </c>
      <c r="G37" s="405">
        <f t="shared" si="11"/>
        <v>385.49121599840657</v>
      </c>
      <c r="H37" s="395">
        <f t="shared" si="12"/>
        <v>6118.9023427073998</v>
      </c>
      <c r="I37" s="414">
        <f t="shared" si="13"/>
        <v>6504.3935587058068</v>
      </c>
      <c r="J37" s="302">
        <f t="shared" si="8"/>
        <v>5365465.4179481622</v>
      </c>
      <c r="K37" s="288">
        <f t="shared" si="9"/>
        <v>9804.0400655499343</v>
      </c>
      <c r="L37" s="312">
        <f t="shared" si="10"/>
        <v>498126.13990199991</v>
      </c>
      <c r="M37" s="419"/>
    </row>
    <row r="38" spans="2:13" x14ac:dyDescent="0.25">
      <c r="B38" s="309" t="str">
        <v>State Office Building</v>
      </c>
      <c r="C38" s="297">
        <v>360000</v>
      </c>
      <c r="D38" s="380" t="str">
        <v>Large Office</v>
      </c>
      <c r="E38" s="302">
        <v>4610.9009383103521</v>
      </c>
      <c r="F38" s="409">
        <v>1062.3616381560157</v>
      </c>
      <c r="G38" s="405">
        <f t="shared" si="11"/>
        <v>380.21051440938601</v>
      </c>
      <c r="H38" s="395">
        <f t="shared" si="12"/>
        <v>6035.0817626703065</v>
      </c>
      <c r="I38" s="414">
        <f t="shared" si="13"/>
        <v>6415.2922770796922</v>
      </c>
      <c r="J38" s="302">
        <f t="shared" si="8"/>
        <v>5291965.8916748995</v>
      </c>
      <c r="K38" s="288">
        <f t="shared" si="9"/>
        <v>9669.7381468437707</v>
      </c>
      <c r="L38" s="312">
        <f t="shared" si="10"/>
        <v>491302.49414991768</v>
      </c>
      <c r="M38" s="419"/>
    </row>
    <row r="39" spans="2:13" x14ac:dyDescent="0.25">
      <c r="B39" s="309" t="str">
        <v>SU-Warehouse</v>
      </c>
      <c r="C39" s="297">
        <v>72000</v>
      </c>
      <c r="D39" s="380" t="str">
        <v>Medium Office</v>
      </c>
      <c r="E39" s="302">
        <v>1610.7961069050662</v>
      </c>
      <c r="F39" s="409">
        <v>702.79371682440569</v>
      </c>
      <c r="G39" s="405">
        <f t="shared" si="11"/>
        <v>139.20243566181827</v>
      </c>
      <c r="H39" s="395">
        <f t="shared" si="12"/>
        <v>4329.2012682971981</v>
      </c>
      <c r="I39" s="414">
        <f t="shared" si="13"/>
        <v>4468.4037039590166</v>
      </c>
      <c r="J39" s="302">
        <f t="shared" si="8"/>
        <v>624240</v>
      </c>
      <c r="K39" s="288">
        <f t="shared" si="9"/>
        <v>1260.72</v>
      </c>
      <c r="L39" s="312">
        <f t="shared" si="10"/>
        <v>61711.848000000005</v>
      </c>
      <c r="M39" s="419"/>
    </row>
    <row r="40" spans="2:13" x14ac:dyDescent="0.25">
      <c r="B40" s="309" t="str">
        <v>300 S State St</v>
      </c>
      <c r="C40" s="297">
        <v>252910</v>
      </c>
      <c r="D40" s="380" t="str">
        <v>Large Office</v>
      </c>
      <c r="E40" s="302">
        <v>3239.2859897446465</v>
      </c>
      <c r="F40" s="409">
        <v>746.33856085010507</v>
      </c>
      <c r="G40" s="405">
        <f t="shared" si="11"/>
        <v>267.10844777577205</v>
      </c>
      <c r="H40" s="395">
        <f t="shared" si="12"/>
        <v>4239.812579435963</v>
      </c>
      <c r="I40" s="414">
        <f t="shared" si="13"/>
        <v>4506.9210272117352</v>
      </c>
      <c r="J40" s="302">
        <f t="shared" si="8"/>
        <v>3717753.0379541637</v>
      </c>
      <c r="K40" s="288">
        <f t="shared" si="9"/>
        <v>6793.2596519951621</v>
      </c>
      <c r="L40" s="312">
        <f t="shared" si="10"/>
        <v>345153.64943182137</v>
      </c>
      <c r="M40" s="419"/>
    </row>
    <row r="41" spans="2:13" x14ac:dyDescent="0.25">
      <c r="B41" s="309" t="str">
        <v>Key Bank Building</v>
      </c>
      <c r="C41" s="297">
        <v>132000</v>
      </c>
      <c r="D41" s="380" t="str">
        <v>Large Office</v>
      </c>
      <c r="E41" s="302">
        <v>1690.6636773804696</v>
      </c>
      <c r="F41" s="409">
        <v>389.53260065720536</v>
      </c>
      <c r="G41" s="405">
        <f t="shared" si="11"/>
        <v>139.41052195010877</v>
      </c>
      <c r="H41" s="395">
        <f t="shared" si="12"/>
        <v>2212.8633129791101</v>
      </c>
      <c r="I41" s="414">
        <f t="shared" si="13"/>
        <v>2352.273834929219</v>
      </c>
      <c r="J41" s="302">
        <f t="shared" si="8"/>
        <v>1940387.49361413</v>
      </c>
      <c r="K41" s="288">
        <f t="shared" si="9"/>
        <v>3545.5706538427162</v>
      </c>
      <c r="L41" s="312">
        <f t="shared" si="10"/>
        <v>180144.24785496984</v>
      </c>
      <c r="M41" s="419"/>
    </row>
    <row r="42" spans="2:13" x14ac:dyDescent="0.25">
      <c r="B42" s="309" t="str">
        <v>100 East Washington St</v>
      </c>
      <c r="C42" s="297">
        <v>50000</v>
      </c>
      <c r="D42" s="380" t="str">
        <v>Midrise Apartment</v>
      </c>
      <c r="E42" s="302">
        <v>373.01186986927445</v>
      </c>
      <c r="F42" s="409">
        <v>2147.897627787042</v>
      </c>
      <c r="G42" s="405">
        <f t="shared" si="11"/>
        <v>32.62017014681998</v>
      </c>
      <c r="H42" s="395">
        <f t="shared" si="12"/>
        <v>11096.714209159949</v>
      </c>
      <c r="I42" s="414">
        <f t="shared" si="13"/>
        <v>11129.334379306769</v>
      </c>
      <c r="J42" s="302">
        <f t="shared" si="8"/>
        <v>822666.66666666663</v>
      </c>
      <c r="K42" s="288">
        <f t="shared" si="9"/>
        <v>3438.0355555555552</v>
      </c>
      <c r="L42" s="312">
        <f t="shared" si="10"/>
        <v>89704.794444444444</v>
      </c>
      <c r="M42" s="419"/>
    </row>
    <row r="43" spans="2:13" x14ac:dyDescent="0.25">
      <c r="B43" s="309" t="str">
        <v>Ramboll</v>
      </c>
      <c r="C43" s="297">
        <v>137000</v>
      </c>
      <c r="D43" s="380" t="str">
        <v>Large Office</v>
      </c>
      <c r="E43" s="302">
        <v>1754.7039681903398</v>
      </c>
      <c r="F43" s="409">
        <v>404.2876234093726</v>
      </c>
      <c r="G43" s="405">
        <f t="shared" si="11"/>
        <v>144.69122353912837</v>
      </c>
      <c r="H43" s="395">
        <f t="shared" si="12"/>
        <v>2296.6838930161998</v>
      </c>
      <c r="I43" s="414">
        <f t="shared" si="13"/>
        <v>2441.3751165553281</v>
      </c>
      <c r="J43" s="302">
        <f t="shared" si="8"/>
        <v>2013887.0198873924</v>
      </c>
      <c r="K43" s="288">
        <f t="shared" si="9"/>
        <v>3679.8725725488798</v>
      </c>
      <c r="L43" s="312">
        <f t="shared" si="10"/>
        <v>186967.89360705204</v>
      </c>
      <c r="M43" s="419"/>
    </row>
    <row r="44" spans="2:13" x14ac:dyDescent="0.25">
      <c r="B44" s="309" t="str">
        <v>City Hall</v>
      </c>
      <c r="C44" s="297">
        <v>84555</v>
      </c>
      <c r="D44" s="380" t="str">
        <v>Medium Office</v>
      </c>
      <c r="E44" s="302">
        <v>1891.6786780466346</v>
      </c>
      <c r="F44" s="409">
        <v>825.34337119565976</v>
      </c>
      <c r="G44" s="405">
        <f t="shared" si="11"/>
        <v>163.4758603803476</v>
      </c>
      <c r="H44" s="395">
        <f t="shared" si="12"/>
        <v>5084.1057394565123</v>
      </c>
      <c r="I44" s="414">
        <f t="shared" si="13"/>
        <v>5247.5815998368598</v>
      </c>
      <c r="J44" s="302">
        <f t="shared" si="8"/>
        <v>733091.85</v>
      </c>
      <c r="K44" s="288">
        <f t="shared" si="9"/>
        <v>1480.5580500000001</v>
      </c>
      <c r="L44" s="312">
        <f t="shared" si="10"/>
        <v>72472.85149500001</v>
      </c>
      <c r="M44" s="419"/>
    </row>
    <row r="45" spans="2:13" x14ac:dyDescent="0.25">
      <c r="B45" s="309" t="str">
        <v>1 Lincoln Center</v>
      </c>
      <c r="C45" s="297">
        <v>367500</v>
      </c>
      <c r="D45" s="380" t="str">
        <v>Large Office</v>
      </c>
      <c r="E45" s="302">
        <v>4706.9613745251499</v>
      </c>
      <c r="F45" s="409">
        <v>1084.4941722842671</v>
      </c>
      <c r="G45" s="405">
        <f t="shared" si="11"/>
        <v>388.13156679291478</v>
      </c>
      <c r="H45" s="395">
        <f t="shared" si="12"/>
        <v>6160.8126327259433</v>
      </c>
      <c r="I45" s="414">
        <f t="shared" si="13"/>
        <v>6548.9441995188581</v>
      </c>
      <c r="J45" s="302">
        <f t="shared" si="8"/>
        <v>5402215.1810847931</v>
      </c>
      <c r="K45" s="288">
        <f t="shared" si="9"/>
        <v>9871.191024903017</v>
      </c>
      <c r="L45" s="312">
        <f t="shared" si="10"/>
        <v>501537.96277804102</v>
      </c>
      <c r="M45" s="419"/>
    </row>
    <row r="46" spans="2:13" x14ac:dyDescent="0.25">
      <c r="B46" s="309" t="str">
        <v>SUNY Oswego MetroCenter</v>
      </c>
      <c r="C46" s="297">
        <v>185530</v>
      </c>
      <c r="D46" s="380" t="str">
        <v>Large Office</v>
      </c>
      <c r="E46" s="302">
        <v>2376.2790307909022</v>
      </c>
      <c r="F46" s="409">
        <v>547.49987424190431</v>
      </c>
      <c r="G46" s="405">
        <f t="shared" si="11"/>
        <v>195.94571316214947</v>
      </c>
      <c r="H46" s="395">
        <f t="shared" si="12"/>
        <v>3110.2464428561716</v>
      </c>
      <c r="I46" s="414">
        <f t="shared" si="13"/>
        <v>3306.1921560183209</v>
      </c>
      <c r="J46" s="302">
        <f t="shared" si="8"/>
        <v>2727273.4218956782</v>
      </c>
      <c r="K46" s="288">
        <f t="shared" si="9"/>
        <v>4983.4069955109026</v>
      </c>
      <c r="L46" s="312">
        <f t="shared" si="10"/>
        <v>253198.19927676176</v>
      </c>
      <c r="M46" s="419"/>
    </row>
    <row r="47" spans="2:13" x14ac:dyDescent="0.25">
      <c r="B47" s="309" t="str">
        <v>217 Montgomery St</v>
      </c>
      <c r="C47" s="297">
        <v>50000</v>
      </c>
      <c r="D47" s="380" t="str">
        <v>Medium Office</v>
      </c>
      <c r="E47" s="302">
        <v>1118.6084075729582</v>
      </c>
      <c r="F47" s="409">
        <v>488.05119223916927</v>
      </c>
      <c r="G47" s="405">
        <f t="shared" si="11"/>
        <v>96.668358098484518</v>
      </c>
      <c r="H47" s="395">
        <f t="shared" si="12"/>
        <v>3006.3897696508238</v>
      </c>
      <c r="I47" s="414">
        <f t="shared" si="13"/>
        <v>3103.0581277493084</v>
      </c>
      <c r="J47" s="302">
        <f t="shared" si="8"/>
        <v>433500</v>
      </c>
      <c r="K47" s="288">
        <f t="shared" si="9"/>
        <v>875.50000000000011</v>
      </c>
      <c r="L47" s="312">
        <f t="shared" si="10"/>
        <v>42855.450000000004</v>
      </c>
      <c r="M47" s="419"/>
    </row>
    <row r="48" spans="2:13" x14ac:dyDescent="0.25">
      <c r="B48" s="309" t="str">
        <v>City Hall Commons</v>
      </c>
      <c r="C48" s="297">
        <v>52957</v>
      </c>
      <c r="D48" s="380" t="str">
        <v>Medium Office</v>
      </c>
      <c r="E48" s="302">
        <v>1184.7629087968262</v>
      </c>
      <c r="F48" s="409">
        <v>516.91453974819456</v>
      </c>
      <c r="G48" s="405">
        <f t="shared" si="11"/>
        <v>102.38532479642917</v>
      </c>
      <c r="H48" s="395">
        <f t="shared" si="12"/>
        <v>3184.1876606279789</v>
      </c>
      <c r="I48" s="414">
        <f t="shared" si="13"/>
        <v>3286.5729854244082</v>
      </c>
      <c r="J48" s="302">
        <f t="shared" si="8"/>
        <v>459137.19</v>
      </c>
      <c r="K48" s="288">
        <f t="shared" si="9"/>
        <v>927.27707000000009</v>
      </c>
      <c r="L48" s="312">
        <f t="shared" si="10"/>
        <v>45389.921312999999</v>
      </c>
      <c r="M48" s="419"/>
    </row>
    <row r="49" spans="2:13" x14ac:dyDescent="0.25">
      <c r="B49" s="309" t="str">
        <v>Salinas Place</v>
      </c>
      <c r="C49" s="297">
        <v>50000</v>
      </c>
      <c r="D49" s="380" t="str">
        <v>Midrise Apartment</v>
      </c>
      <c r="E49" s="302">
        <v>553.52285549006717</v>
      </c>
      <c r="F49" s="409">
        <v>1611.3749618875681</v>
      </c>
      <c r="G49" s="405">
        <f t="shared" si="11"/>
        <v>48.405992368466826</v>
      </c>
      <c r="H49" s="395">
        <f t="shared" si="12"/>
        <v>8324.8694930982037</v>
      </c>
      <c r="I49" s="414">
        <f t="shared" si="13"/>
        <v>8373.2754854666709</v>
      </c>
      <c r="J49" s="302">
        <f t="shared" si="8"/>
        <v>822666.66666666663</v>
      </c>
      <c r="K49" s="288">
        <f t="shared" si="9"/>
        <v>3438.0355555555552</v>
      </c>
      <c r="L49" s="312">
        <f t="shared" si="10"/>
        <v>89704.794444444444</v>
      </c>
      <c r="M49" s="419"/>
    </row>
    <row r="50" spans="2:13" x14ac:dyDescent="0.25">
      <c r="B50" s="309" t="str">
        <v>AXA Towers</v>
      </c>
      <c r="C50" s="297">
        <v>653177</v>
      </c>
      <c r="D50" s="380" t="str">
        <v>Large Office</v>
      </c>
      <c r="E50" s="302">
        <v>8365.9290060632047</v>
      </c>
      <c r="F50" s="409">
        <v>1927.5282992384205</v>
      </c>
      <c r="G50" s="405">
        <f t="shared" si="11"/>
        <v>689.84656436216824</v>
      </c>
      <c r="H50" s="395">
        <f t="shared" si="12"/>
        <v>10949.935001376944</v>
      </c>
      <c r="I50" s="414">
        <f t="shared" si="13"/>
        <v>11639.781565739111</v>
      </c>
      <c r="J50" s="302">
        <f t="shared" si="8"/>
        <v>9601640.0145181548</v>
      </c>
      <c r="K50" s="288">
        <f t="shared" si="9"/>
        <v>17544.58487094715</v>
      </c>
      <c r="L50" s="312">
        <f t="shared" si="10"/>
        <v>891409.69228155771</v>
      </c>
      <c r="M50" s="419"/>
    </row>
    <row r="51" spans="2:13" x14ac:dyDescent="0.25">
      <c r="B51" s="309" t="str">
        <v>Onondaga County DH&amp;C Plant</v>
      </c>
      <c r="C51" s="297">
        <v>2516392</v>
      </c>
      <c r="D51" s="380" t="str">
        <v>Large Office</v>
      </c>
      <c r="E51" s="302">
        <v>32230.095094324159</v>
      </c>
      <c r="F51" s="409">
        <v>7425.8842426741576</v>
      </c>
      <c r="G51" s="405">
        <f t="shared" si="11"/>
        <v>2657.6630465990734</v>
      </c>
      <c r="H51" s="395">
        <f t="shared" si="12"/>
        <v>42185.08740813745</v>
      </c>
      <c r="I51" s="414">
        <f t="shared" si="13"/>
        <v>44842.750454736524</v>
      </c>
      <c r="J51" s="302">
        <f t="shared" si="8"/>
        <v>36990723.983565509</v>
      </c>
      <c r="K51" s="288">
        <f t="shared" si="9"/>
        <v>67591.254763368037</v>
      </c>
      <c r="L51" s="312">
        <f t="shared" si="10"/>
        <v>3434193.5162747218</v>
      </c>
      <c r="M51" s="419"/>
    </row>
    <row r="52" spans="2:13" x14ac:dyDescent="0.25">
      <c r="B52" s="309" t="str">
        <v>Hotel Syracuse</v>
      </c>
      <c r="C52" s="297">
        <v>720000</v>
      </c>
      <c r="D52" s="380" t="str">
        <v>Hotel</v>
      </c>
      <c r="E52" s="302">
        <v>11389.860150669696</v>
      </c>
      <c r="F52" s="409">
        <v>25561.062771688245</v>
      </c>
      <c r="G52" s="406">
        <f>AVERAGE($J$17:$J$19)*E52</f>
        <v>973.1808419804413</v>
      </c>
      <c r="H52" s="396">
        <f>AVERAGE($K$17:$K$19)*F52</f>
        <v>144906.68383716696</v>
      </c>
      <c r="I52" s="415">
        <f>(AVERAGE($J$17:$J$19)*E52)+(AVERAGE($K$17:$K$19)*F52)</f>
        <v>145879.8646791474</v>
      </c>
      <c r="J52" s="302" t="e">
        <f t="shared" si="8"/>
        <v>#N/A</v>
      </c>
      <c r="K52" s="288" t="e">
        <f t="shared" si="9"/>
        <v>#N/A</v>
      </c>
      <c r="L52" s="312" t="e">
        <f t="shared" si="10"/>
        <v>#N/A</v>
      </c>
      <c r="M52" s="419"/>
    </row>
    <row r="53" spans="2:13" x14ac:dyDescent="0.25">
      <c r="B53" s="309" t="str">
        <v>Tech Garden</v>
      </c>
      <c r="C53" s="297">
        <v>35550</v>
      </c>
      <c r="D53" s="380" t="str">
        <v>Medium Office</v>
      </c>
      <c r="E53" s="302">
        <v>795.33057778437183</v>
      </c>
      <c r="F53" s="409">
        <v>347.00439768204996</v>
      </c>
      <c r="G53" s="405">
        <f t="shared" ref="G53:G61" si="14">VLOOKUP(D53,$G$17:$J$19,4)*E53</f>
        <v>68.731202608022372</v>
      </c>
      <c r="H53" s="395">
        <f t="shared" ref="H53:H61" si="15">VLOOKUP(D53,$G$17:$K$19,5)*F53</f>
        <v>2137.5431262217394</v>
      </c>
      <c r="I53" s="414">
        <f t="shared" ref="I53:I61" si="16">(VLOOKUP(D53,$G$17:$J$19,4)*E53)+(VLOOKUP(D53,$G$17:$K$19,5)*F53)</f>
        <v>2206.2743288297615</v>
      </c>
      <c r="J53" s="302">
        <f t="shared" si="8"/>
        <v>308218.5</v>
      </c>
      <c r="K53" s="288">
        <f t="shared" si="9"/>
        <v>622.48050000000001</v>
      </c>
      <c r="L53" s="312">
        <f t="shared" si="10"/>
        <v>30470.224950000003</v>
      </c>
      <c r="M53" s="419"/>
    </row>
    <row r="54" spans="2:13" x14ac:dyDescent="0.25">
      <c r="B54" s="309" t="str">
        <v>Bank of America</v>
      </c>
      <c r="C54" s="297">
        <v>40000</v>
      </c>
      <c r="D54" s="380" t="str">
        <v>Midrise Apartment</v>
      </c>
      <c r="E54" s="302">
        <v>209.93454171546517</v>
      </c>
      <c r="F54" s="409">
        <v>1752.0455230621615</v>
      </c>
      <c r="G54" s="405">
        <f t="shared" si="14"/>
        <v>18.358934456571404</v>
      </c>
      <c r="H54" s="395">
        <f t="shared" si="15"/>
        <v>9051.6178235597818</v>
      </c>
      <c r="I54" s="414">
        <f t="shared" si="16"/>
        <v>9069.9767580163534</v>
      </c>
      <c r="J54" s="302">
        <f t="shared" si="8"/>
        <v>658133.33333333337</v>
      </c>
      <c r="K54" s="288">
        <f t="shared" si="9"/>
        <v>2750.4284444444443</v>
      </c>
      <c r="L54" s="312">
        <f t="shared" si="10"/>
        <v>71763.835555555575</v>
      </c>
      <c r="M54" s="419"/>
    </row>
    <row r="55" spans="2:13" x14ac:dyDescent="0.25">
      <c r="B55" s="309" t="str">
        <v>Clinton Exchange</v>
      </c>
      <c r="C55" s="297">
        <v>180000</v>
      </c>
      <c r="D55" s="380" t="str">
        <v>Large Office</v>
      </c>
      <c r="E55" s="302">
        <v>2305.4504691551761</v>
      </c>
      <c r="F55" s="409">
        <v>531.18081907800786</v>
      </c>
      <c r="G55" s="405">
        <f t="shared" si="14"/>
        <v>190.105257204693</v>
      </c>
      <c r="H55" s="395">
        <f t="shared" si="15"/>
        <v>3017.5408813351532</v>
      </c>
      <c r="I55" s="414">
        <f t="shared" si="16"/>
        <v>3207.6461385398461</v>
      </c>
      <c r="J55" s="302">
        <f t="shared" si="8"/>
        <v>2645982.9458374497</v>
      </c>
      <c r="K55" s="288">
        <f t="shared" si="9"/>
        <v>4834.8690734218853</v>
      </c>
      <c r="L55" s="312">
        <f t="shared" si="10"/>
        <v>245651.24707495884</v>
      </c>
      <c r="M55" s="419"/>
    </row>
    <row r="56" spans="2:13" x14ac:dyDescent="0.25">
      <c r="B56" s="309" t="str">
        <v>National Grid</v>
      </c>
      <c r="C56" s="297">
        <v>511200</v>
      </c>
      <c r="D56" s="380" t="str">
        <v>Large Office</v>
      </c>
      <c r="E56" s="302">
        <v>6547.4793324007142</v>
      </c>
      <c r="F56" s="409">
        <v>1508.5535261815444</v>
      </c>
      <c r="G56" s="405">
        <f t="shared" si="14"/>
        <v>539.89893046132931</v>
      </c>
      <c r="H56" s="395">
        <f t="shared" si="15"/>
        <v>8569.8161029918465</v>
      </c>
      <c r="I56" s="414">
        <f t="shared" si="16"/>
        <v>9109.7150334531761</v>
      </c>
      <c r="J56" s="302">
        <f t="shared" si="8"/>
        <v>7514591.5661783572</v>
      </c>
      <c r="K56" s="288">
        <f t="shared" si="9"/>
        <v>13731.028168518156</v>
      </c>
      <c r="L56" s="312">
        <f t="shared" si="10"/>
        <v>697649.54169288313</v>
      </c>
      <c r="M56" s="419"/>
    </row>
    <row r="57" spans="2:13" x14ac:dyDescent="0.25">
      <c r="B57" s="309" t="str">
        <v>Post Standard</v>
      </c>
      <c r="C57" s="297">
        <v>179000</v>
      </c>
      <c r="D57" s="380" t="str">
        <v>Large Office</v>
      </c>
      <c r="E57" s="302">
        <v>2292.6424109932036</v>
      </c>
      <c r="F57" s="409">
        <v>528.22981452757233</v>
      </c>
      <c r="G57" s="405">
        <f t="shared" si="14"/>
        <v>189.04911688688921</v>
      </c>
      <c r="H57" s="395">
        <f t="shared" si="15"/>
        <v>3000.7767653277238</v>
      </c>
      <c r="I57" s="414">
        <f t="shared" si="16"/>
        <v>3189.8258822146131</v>
      </c>
      <c r="J57" s="302">
        <f t="shared" si="8"/>
        <v>2631283.0405827975</v>
      </c>
      <c r="K57" s="288">
        <f t="shared" si="9"/>
        <v>4808.0086896806533</v>
      </c>
      <c r="L57" s="312">
        <f t="shared" si="10"/>
        <v>244286.51792454242</v>
      </c>
      <c r="M57" s="419"/>
    </row>
    <row r="58" spans="2:13" x14ac:dyDescent="0.25">
      <c r="B58" s="309" t="str">
        <v>Galleries of Syracuse</v>
      </c>
      <c r="C58" s="297">
        <v>219000</v>
      </c>
      <c r="D58" s="380" t="str">
        <v>Large Office</v>
      </c>
      <c r="E58" s="302">
        <v>2804.9647374721389</v>
      </c>
      <c r="F58" s="409">
        <v>646.26999654490987</v>
      </c>
      <c r="G58" s="405">
        <f t="shared" si="14"/>
        <v>231.29472959904382</v>
      </c>
      <c r="H58" s="395">
        <f t="shared" si="15"/>
        <v>3671.3414056244383</v>
      </c>
      <c r="I58" s="414">
        <f t="shared" si="16"/>
        <v>3902.6361352234821</v>
      </c>
      <c r="J58" s="302">
        <f t="shared" si="8"/>
        <v>3219279.2507688971</v>
      </c>
      <c r="K58" s="288">
        <f t="shared" si="9"/>
        <v>5882.4240393299606</v>
      </c>
      <c r="L58" s="312">
        <f t="shared" si="10"/>
        <v>298875.68394119997</v>
      </c>
      <c r="M58" s="419"/>
    </row>
    <row r="59" spans="2:13" x14ac:dyDescent="0.25">
      <c r="B59" s="309" t="str">
        <v>100 Clinton Sq</v>
      </c>
      <c r="C59" s="297">
        <v>120000</v>
      </c>
      <c r="D59" s="380" t="str">
        <v>Large Office</v>
      </c>
      <c r="E59" s="302">
        <v>1536.9669794367921</v>
      </c>
      <c r="F59" s="409">
        <v>354.12054605200569</v>
      </c>
      <c r="G59" s="405">
        <f t="shared" si="14"/>
        <v>126.73683813646267</v>
      </c>
      <c r="H59" s="395">
        <f t="shared" si="15"/>
        <v>2011.6939208901049</v>
      </c>
      <c r="I59" s="414">
        <f t="shared" si="16"/>
        <v>2138.4307590265676</v>
      </c>
      <c r="J59" s="302">
        <f t="shared" si="8"/>
        <v>1763988.6305582998</v>
      </c>
      <c r="K59" s="288">
        <f t="shared" si="9"/>
        <v>3223.246048947924</v>
      </c>
      <c r="L59" s="312">
        <f t="shared" si="10"/>
        <v>163767.49804997258</v>
      </c>
      <c r="M59" s="419"/>
    </row>
    <row r="60" spans="2:13" x14ac:dyDescent="0.25">
      <c r="B60" s="309" t="str">
        <v>City of Syr Criminal Court House</v>
      </c>
      <c r="C60" s="297">
        <v>95977</v>
      </c>
      <c r="D60" s="380" t="str">
        <v>Medium Office</v>
      </c>
      <c r="E60" s="302">
        <v>2147.2135826726021</v>
      </c>
      <c r="F60" s="409">
        <v>936.83378555077786</v>
      </c>
      <c r="G60" s="405">
        <f t="shared" si="14"/>
        <v>185.5587801043655</v>
      </c>
      <c r="H60" s="395">
        <f t="shared" si="15"/>
        <v>5770.8854184355605</v>
      </c>
      <c r="I60" s="414">
        <f t="shared" si="16"/>
        <v>5956.4441985399262</v>
      </c>
      <c r="J60" s="302">
        <f t="shared" si="8"/>
        <v>832120.59</v>
      </c>
      <c r="K60" s="288">
        <f t="shared" si="9"/>
        <v>1680.55727</v>
      </c>
      <c r="L60" s="312">
        <f t="shared" si="10"/>
        <v>82262.750493</v>
      </c>
      <c r="M60" s="419"/>
    </row>
    <row r="61" spans="2:13" x14ac:dyDescent="0.25">
      <c r="B61" s="309" t="str">
        <v>550 Harrison Building</v>
      </c>
      <c r="C61" s="297">
        <v>252000</v>
      </c>
      <c r="D61" s="380" t="str">
        <v>Retail</v>
      </c>
      <c r="E61" s="302">
        <v>1580.2591842186334</v>
      </c>
      <c r="F61" s="409">
        <v>9975.4730390661898</v>
      </c>
      <c r="G61" s="405">
        <f t="shared" si="14"/>
        <v>138.19486088566663</v>
      </c>
      <c r="H61" s="395">
        <f t="shared" si="15"/>
        <v>51536.428917120094</v>
      </c>
      <c r="I61" s="414">
        <f t="shared" si="16"/>
        <v>51674.623778005764</v>
      </c>
      <c r="J61" s="302">
        <f t="shared" si="8"/>
        <v>4146240</v>
      </c>
      <c r="K61" s="288">
        <f t="shared" si="9"/>
        <v>17327.699199999999</v>
      </c>
      <c r="L61" s="312">
        <f t="shared" si="10"/>
        <v>452112.16400000011</v>
      </c>
      <c r="M61" s="419"/>
    </row>
    <row r="62" spans="2:13" x14ac:dyDescent="0.25">
      <c r="B62" s="309" t="str">
        <v>Jefferson Clinton Hotel</v>
      </c>
      <c r="C62" s="297">
        <v>42204</v>
      </c>
      <c r="D62" s="380" t="str">
        <v>Hotel</v>
      </c>
      <c r="E62" s="302">
        <v>667.63563583175426</v>
      </c>
      <c r="F62" s="409">
        <v>1498.3042961337962</v>
      </c>
      <c r="G62" s="406">
        <f>AVERAGE($J$17:$J$19)*E62</f>
        <v>57.044617020753442</v>
      </c>
      <c r="H62" s="396">
        <f>AVERAGE($K$17:$K$19)*F62</f>
        <v>8493.9467842552895</v>
      </c>
      <c r="I62" s="415">
        <f>(AVERAGE($J$17:$J$19)*E62)+(AVERAGE($K$17:$K$19)*F62)</f>
        <v>8550.9914012760437</v>
      </c>
      <c r="J62" s="302" t="e">
        <f t="shared" si="8"/>
        <v>#N/A</v>
      </c>
      <c r="K62" s="288" t="e">
        <f t="shared" si="9"/>
        <v>#N/A</v>
      </c>
      <c r="L62" s="312" t="e">
        <f t="shared" si="10"/>
        <v>#N/A</v>
      </c>
      <c r="M62" s="419"/>
    </row>
    <row r="63" spans="2:13" x14ac:dyDescent="0.25">
      <c r="B63" s="309" t="str">
        <v>Sky Armory</v>
      </c>
      <c r="C63" s="297">
        <v>40700</v>
      </c>
      <c r="D63" s="380" t="str">
        <v>Medium Office</v>
      </c>
      <c r="E63" s="302">
        <v>910.54724376438958</v>
      </c>
      <c r="F63" s="409">
        <v>397.27367048268582</v>
      </c>
      <c r="G63" s="405">
        <f t="shared" ref="G63:G78" si="17">VLOOKUP(D63,$G$17:$J$19,4)*E63</f>
        <v>78.688043492166543</v>
      </c>
      <c r="H63" s="395">
        <f t="shared" ref="H63:H78" si="18">VLOOKUP(D63,$G$17:$K$19,5)*F63</f>
        <v>2447.2012724957831</v>
      </c>
      <c r="I63" s="414">
        <f t="shared" ref="I63:I78" si="19">(VLOOKUP(D63,$G$17:$J$19,4)*E63)+(VLOOKUP(D63,$G$17:$K$19,5)*F63)</f>
        <v>2525.8893159879494</v>
      </c>
      <c r="J63" s="302">
        <f t="shared" si="8"/>
        <v>352869</v>
      </c>
      <c r="K63" s="288">
        <f t="shared" si="9"/>
        <v>712.65700000000004</v>
      </c>
      <c r="L63" s="312">
        <f t="shared" si="10"/>
        <v>34884.336300000003</v>
      </c>
      <c r="M63" s="419"/>
    </row>
    <row r="64" spans="2:13" x14ac:dyDescent="0.25">
      <c r="B64" s="309" t="str">
        <v>Clinton Plaza</v>
      </c>
      <c r="C64" s="297">
        <v>254690</v>
      </c>
      <c r="D64" s="380" t="str">
        <v>Midrise Apartment</v>
      </c>
      <c r="E64" s="302">
        <v>1336.7057107377987</v>
      </c>
      <c r="F64" s="409">
        <v>11155.711856717237</v>
      </c>
      <c r="G64" s="405">
        <f t="shared" si="17"/>
        <v>116.89592541860453</v>
      </c>
      <c r="H64" s="395">
        <f t="shared" si="18"/>
        <v>57633.913587059411</v>
      </c>
      <c r="I64" s="414">
        <f t="shared" si="19"/>
        <v>57750.809512478016</v>
      </c>
      <c r="J64" s="302">
        <f t="shared" si="8"/>
        <v>4190499.4666666668</v>
      </c>
      <c r="K64" s="288">
        <f t="shared" si="9"/>
        <v>17512.665512888889</v>
      </c>
      <c r="L64" s="312">
        <f t="shared" si="10"/>
        <v>456938.2819411112</v>
      </c>
      <c r="M64" s="419"/>
    </row>
    <row r="65" spans="2:13" x14ac:dyDescent="0.25">
      <c r="B65" s="309" t="str">
        <v>MOST</v>
      </c>
      <c r="C65" s="297">
        <v>40000</v>
      </c>
      <c r="D65" s="380" t="str">
        <v>Medium Office</v>
      </c>
      <c r="E65" s="302">
        <v>894.88672605836632</v>
      </c>
      <c r="F65" s="409">
        <v>390.44095379133711</v>
      </c>
      <c r="G65" s="405">
        <f t="shared" si="17"/>
        <v>77.334686478787603</v>
      </c>
      <c r="H65" s="395">
        <f t="shared" si="18"/>
        <v>2405.1118157206697</v>
      </c>
      <c r="I65" s="414">
        <f t="shared" si="19"/>
        <v>2482.4465021994574</v>
      </c>
      <c r="J65" s="302">
        <f t="shared" si="8"/>
        <v>346800</v>
      </c>
      <c r="K65" s="288">
        <f t="shared" si="9"/>
        <v>700.40000000000009</v>
      </c>
      <c r="L65" s="312">
        <f t="shared" si="10"/>
        <v>34284.36</v>
      </c>
      <c r="M65" s="419"/>
    </row>
    <row r="66" spans="2:13" x14ac:dyDescent="0.25">
      <c r="B66" s="423" t="str">
        <v>600 Montgomery St</v>
      </c>
      <c r="C66" s="401">
        <v>36684</v>
      </c>
      <c r="D66" s="403" t="str">
        <v>Medium Office</v>
      </c>
      <c r="E66" s="381">
        <v>820.70061646812803</v>
      </c>
      <c r="F66" s="410">
        <v>358.07339872203443</v>
      </c>
      <c r="G66" s="407">
        <f t="shared" si="17"/>
        <v>70.923640969696123</v>
      </c>
      <c r="H66" s="399">
        <f t="shared" si="18"/>
        <v>2205.728046197421</v>
      </c>
      <c r="I66" s="416">
        <f t="shared" si="19"/>
        <v>2276.651687167117</v>
      </c>
      <c r="J66" s="381">
        <f t="shared" si="8"/>
        <v>318050.27999999997</v>
      </c>
      <c r="K66" s="382">
        <f t="shared" si="9"/>
        <v>642.33684000000005</v>
      </c>
      <c r="L66" s="383">
        <f t="shared" si="10"/>
        <v>31442.186556000001</v>
      </c>
      <c r="M66" s="419"/>
    </row>
    <row r="67" spans="2:13" x14ac:dyDescent="0.25">
      <c r="B67" s="309" t="str">
        <v>SU-Peck Hall</v>
      </c>
      <c r="C67" s="297">
        <v>25920</v>
      </c>
      <c r="D67" s="380" t="str">
        <v>Medium Office</v>
      </c>
      <c r="E67" s="302">
        <v>579.88659848582347</v>
      </c>
      <c r="F67" s="409">
        <v>253.00573805678576</v>
      </c>
      <c r="G67" s="407">
        <f t="shared" si="17"/>
        <v>50.112876838254543</v>
      </c>
      <c r="H67" s="399">
        <f t="shared" si="18"/>
        <v>1558.5124565869896</v>
      </c>
      <c r="I67" s="416">
        <f t="shared" si="19"/>
        <v>1608.6253334252442</v>
      </c>
      <c r="J67" s="381">
        <f t="shared" ref="J67:J80" si="20">VLOOKUP(D67,$G$17:$H$19,2)*C67</f>
        <v>224726.39999999999</v>
      </c>
      <c r="K67" s="382">
        <f t="shared" ref="K67:K80" si="21">VLOOKUP(D67,$G$17:$I$19,3)*C67</f>
        <v>453.85920000000004</v>
      </c>
      <c r="L67" s="383">
        <f t="shared" ref="L67:L80" si="22">(VLOOKUP(D67,$G$17:$K$19,4)*J67)+(VLOOKUP(D67,$G$17:$K$19,5)*K67)</f>
        <v>22216.265280000003</v>
      </c>
      <c r="M67" s="419"/>
    </row>
    <row r="68" spans="2:13" x14ac:dyDescent="0.25">
      <c r="B68" s="309" t="str">
        <v>Parcel 1</v>
      </c>
      <c r="C68" s="297">
        <v>180000</v>
      </c>
      <c r="D68" s="380" t="str">
        <v>Medium Office</v>
      </c>
      <c r="E68" s="302">
        <v>3663.1241470979626</v>
      </c>
      <c r="F68" s="409">
        <v>3546.4354897231101</v>
      </c>
      <c r="G68" s="407">
        <f t="shared" si="17"/>
        <v>316.56135821397874</v>
      </c>
      <c r="H68" s="399">
        <f t="shared" si="18"/>
        <v>21846.002109150213</v>
      </c>
      <c r="I68" s="416">
        <f t="shared" si="19"/>
        <v>22162.563467364191</v>
      </c>
      <c r="J68" s="381">
        <f t="shared" si="20"/>
        <v>1560600</v>
      </c>
      <c r="K68" s="382">
        <f t="shared" si="21"/>
        <v>3151.8</v>
      </c>
      <c r="L68" s="383">
        <f t="shared" si="22"/>
        <v>154279.62</v>
      </c>
      <c r="M68" s="419"/>
    </row>
    <row r="69" spans="2:13" x14ac:dyDescent="0.25">
      <c r="B69" s="309" t="str">
        <v>Parcel 2</v>
      </c>
      <c r="C69" s="297">
        <v>120000</v>
      </c>
      <c r="D69" s="380" t="str">
        <v>Retail</v>
      </c>
      <c r="E69" s="302">
        <v>1757.1305803890682</v>
      </c>
      <c r="F69" s="409">
        <v>3725.8948957527941</v>
      </c>
      <c r="G69" s="407">
        <f t="shared" si="17"/>
        <v>153.66239825708377</v>
      </c>
      <c r="H69" s="399">
        <f t="shared" si="18"/>
        <v>19249.144045162946</v>
      </c>
      <c r="I69" s="416">
        <f t="shared" si="19"/>
        <v>19402.806443420031</v>
      </c>
      <c r="J69" s="381">
        <f t="shared" si="20"/>
        <v>1974400</v>
      </c>
      <c r="K69" s="382">
        <f t="shared" si="21"/>
        <v>8251.2853333333333</v>
      </c>
      <c r="L69" s="383">
        <f t="shared" si="22"/>
        <v>215291.50666666671</v>
      </c>
      <c r="M69" s="419"/>
    </row>
    <row r="70" spans="2:13" x14ac:dyDescent="0.25">
      <c r="B70" s="309" t="str">
        <v>Parcel 3</v>
      </c>
      <c r="C70" s="297">
        <v>45000</v>
      </c>
      <c r="D70" s="380" t="str">
        <v>Midrise Apartment</v>
      </c>
      <c r="E70" s="302">
        <v>402.06689851731301</v>
      </c>
      <c r="F70" s="409">
        <v>1907.8122993838629</v>
      </c>
      <c r="G70" s="407">
        <f t="shared" si="17"/>
        <v>35.161054377801442</v>
      </c>
      <c r="H70" s="399">
        <f t="shared" si="18"/>
        <v>9856.3579460696783</v>
      </c>
      <c r="I70" s="416">
        <f t="shared" si="19"/>
        <v>9891.5190004474789</v>
      </c>
      <c r="J70" s="381">
        <f t="shared" si="20"/>
        <v>740400</v>
      </c>
      <c r="K70" s="382">
        <f t="shared" si="21"/>
        <v>3094.232</v>
      </c>
      <c r="L70" s="383">
        <f t="shared" si="22"/>
        <v>80734.315000000017</v>
      </c>
      <c r="M70" s="419"/>
    </row>
    <row r="71" spans="2:13" x14ac:dyDescent="0.25">
      <c r="B71" s="309" t="str">
        <v>Parcel 4</v>
      </c>
      <c r="C71" s="297">
        <v>110000</v>
      </c>
      <c r="D71" s="380" t="str">
        <v>Retail</v>
      </c>
      <c r="E71" s="302">
        <v>1610.703032023315</v>
      </c>
      <c r="F71" s="409">
        <v>3415.4036544400687</v>
      </c>
      <c r="G71" s="407">
        <f t="shared" si="17"/>
        <v>140.85719840232701</v>
      </c>
      <c r="H71" s="399">
        <f t="shared" si="18"/>
        <v>17645.048708066071</v>
      </c>
      <c r="I71" s="416">
        <f t="shared" si="19"/>
        <v>17785.905906468397</v>
      </c>
      <c r="J71" s="381">
        <f t="shared" si="20"/>
        <v>1809866.6666666667</v>
      </c>
      <c r="K71" s="382">
        <f t="shared" si="21"/>
        <v>7563.6782222222218</v>
      </c>
      <c r="L71" s="383">
        <f t="shared" si="22"/>
        <v>197350.5477777778</v>
      </c>
      <c r="M71" s="419"/>
    </row>
    <row r="72" spans="2:13" x14ac:dyDescent="0.25">
      <c r="B72" s="309" t="str">
        <v>Parcel 5</v>
      </c>
      <c r="C72" s="297">
        <v>30000</v>
      </c>
      <c r="D72" s="380" t="str">
        <v>Midrise Apartment</v>
      </c>
      <c r="E72" s="302">
        <v>268.04459901154235</v>
      </c>
      <c r="F72" s="409">
        <v>1271.8748662559433</v>
      </c>
      <c r="G72" s="407">
        <f t="shared" si="17"/>
        <v>23.440702918534324</v>
      </c>
      <c r="H72" s="399">
        <f t="shared" si="18"/>
        <v>6570.9052973799653</v>
      </c>
      <c r="I72" s="416">
        <f t="shared" si="19"/>
        <v>6594.3460002984993</v>
      </c>
      <c r="J72" s="381">
        <f t="shared" si="20"/>
        <v>493600</v>
      </c>
      <c r="K72" s="382">
        <f t="shared" si="21"/>
        <v>2062.8213333333333</v>
      </c>
      <c r="L72" s="383">
        <f t="shared" si="22"/>
        <v>53822.876666666678</v>
      </c>
      <c r="M72" s="419"/>
    </row>
    <row r="73" spans="2:13" x14ac:dyDescent="0.25">
      <c r="B73" s="309" t="str">
        <v>Parcel 6</v>
      </c>
      <c r="C73" s="297">
        <v>225000</v>
      </c>
      <c r="D73" s="380" t="str">
        <v>Midrise Apartment</v>
      </c>
      <c r="E73" s="302">
        <v>1180.8817971494891</v>
      </c>
      <c r="F73" s="409">
        <v>9855.2560672241816</v>
      </c>
      <c r="G73" s="407">
        <f t="shared" si="17"/>
        <v>103.26900631821393</v>
      </c>
      <c r="H73" s="399">
        <f t="shared" si="18"/>
        <v>50915.350257521306</v>
      </c>
      <c r="I73" s="416">
        <f t="shared" si="19"/>
        <v>51018.619263839522</v>
      </c>
      <c r="J73" s="381">
        <f>VLOOKUP(D73,$G$17:$H$19,2)*C73</f>
        <v>3702000</v>
      </c>
      <c r="K73" s="382">
        <f t="shared" si="21"/>
        <v>15471.16</v>
      </c>
      <c r="L73" s="383">
        <f t="shared" si="22"/>
        <v>403671.57500000007</v>
      </c>
      <c r="M73" s="419"/>
    </row>
    <row r="74" spans="2:13" x14ac:dyDescent="0.25">
      <c r="B74" s="309" t="str">
        <v>Parcel 7</v>
      </c>
      <c r="C74" s="297">
        <v>320000</v>
      </c>
      <c r="D74" s="380" t="str">
        <v>Retail</v>
      </c>
      <c r="E74" s="302">
        <v>4685.6815477042046</v>
      </c>
      <c r="F74" s="409">
        <v>9935.7197220077269</v>
      </c>
      <c r="G74" s="407">
        <f t="shared" si="17"/>
        <v>409.76639535222535</v>
      </c>
      <c r="H74" s="399">
        <f t="shared" si="18"/>
        <v>51331.050787102613</v>
      </c>
      <c r="I74" s="416">
        <f t="shared" si="19"/>
        <v>51740.817182454841</v>
      </c>
      <c r="J74" s="381">
        <f t="shared" si="20"/>
        <v>5265066.666666667</v>
      </c>
      <c r="K74" s="382">
        <f t="shared" si="21"/>
        <v>22003.427555555554</v>
      </c>
      <c r="L74" s="383">
        <f t="shared" si="22"/>
        <v>574110.6844444446</v>
      </c>
      <c r="M74" s="419"/>
    </row>
    <row r="75" spans="2:13" x14ac:dyDescent="0.25">
      <c r="B75" s="309" t="str">
        <v>Parcel 8</v>
      </c>
      <c r="C75" s="297">
        <v>120000</v>
      </c>
      <c r="D75" s="380" t="str">
        <v>Midrise Apartment</v>
      </c>
      <c r="E75" s="302">
        <v>629.80362514639694</v>
      </c>
      <c r="F75" s="409">
        <v>5256.136569186232</v>
      </c>
      <c r="G75" s="407">
        <f t="shared" si="17"/>
        <v>55.076803369714334</v>
      </c>
      <c r="H75" s="399">
        <f t="shared" si="18"/>
        <v>27154.853470678041</v>
      </c>
      <c r="I75" s="416">
        <f t="shared" si="19"/>
        <v>27209.930274047754</v>
      </c>
      <c r="J75" s="381">
        <f t="shared" si="20"/>
        <v>1974400</v>
      </c>
      <c r="K75" s="382">
        <f t="shared" si="21"/>
        <v>8251.2853333333333</v>
      </c>
      <c r="L75" s="383">
        <f t="shared" si="22"/>
        <v>215291.50666666671</v>
      </c>
      <c r="M75" s="419"/>
    </row>
    <row r="76" spans="2:13" x14ac:dyDescent="0.25">
      <c r="B76" s="309" t="str">
        <v>Parcel 9</v>
      </c>
      <c r="C76" s="297">
        <v>60000</v>
      </c>
      <c r="D76" s="380" t="str">
        <v>Midrise Apartment</v>
      </c>
      <c r="E76" s="302">
        <v>536.08919802308469</v>
      </c>
      <c r="F76" s="409">
        <v>2543.7497325118866</v>
      </c>
      <c r="G76" s="407">
        <f t="shared" si="17"/>
        <v>46.881405837068648</v>
      </c>
      <c r="H76" s="399">
        <f t="shared" si="18"/>
        <v>13141.810594759931</v>
      </c>
      <c r="I76" s="416">
        <f t="shared" si="19"/>
        <v>13188.692000596999</v>
      </c>
      <c r="J76" s="381">
        <f t="shared" si="20"/>
        <v>987200</v>
      </c>
      <c r="K76" s="382">
        <f t="shared" si="21"/>
        <v>4125.6426666666666</v>
      </c>
      <c r="L76" s="383">
        <f t="shared" si="22"/>
        <v>107645.75333333336</v>
      </c>
      <c r="M76" s="419"/>
    </row>
    <row r="77" spans="2:13" x14ac:dyDescent="0.25">
      <c r="B77" s="309" t="str">
        <v>Parcel 10</v>
      </c>
      <c r="C77" s="297">
        <v>160000</v>
      </c>
      <c r="D77" s="380" t="str">
        <v>Midrise Apartment</v>
      </c>
      <c r="E77" s="302">
        <v>839.73816686186069</v>
      </c>
      <c r="F77" s="409">
        <v>7008.1820922486459</v>
      </c>
      <c r="G77" s="407">
        <f t="shared" si="17"/>
        <v>73.435737826285617</v>
      </c>
      <c r="H77" s="399">
        <f t="shared" si="18"/>
        <v>36206.471294239127</v>
      </c>
      <c r="I77" s="416">
        <f t="shared" si="19"/>
        <v>36279.907032065414</v>
      </c>
      <c r="J77" s="381">
        <f t="shared" si="20"/>
        <v>2632533.3333333335</v>
      </c>
      <c r="K77" s="382">
        <f t="shared" si="21"/>
        <v>11001.713777777777</v>
      </c>
      <c r="L77" s="383">
        <f t="shared" si="22"/>
        <v>287055.3422222223</v>
      </c>
      <c r="M77" s="419"/>
    </row>
    <row r="78" spans="2:13" x14ac:dyDescent="0.25">
      <c r="B78" s="309" t="str">
        <v>Parcel 11</v>
      </c>
      <c r="C78" s="297">
        <v>270000</v>
      </c>
      <c r="D78" s="380" t="str">
        <v>Retail</v>
      </c>
      <c r="E78" s="302">
        <v>3953.5438058754025</v>
      </c>
      <c r="F78" s="409">
        <v>8383.2635154438231</v>
      </c>
      <c r="G78" s="405">
        <f t="shared" si="17"/>
        <v>345.74039607843838</v>
      </c>
      <c r="H78" s="395">
        <f t="shared" si="18"/>
        <v>43310.574101616818</v>
      </c>
      <c r="I78" s="414">
        <f t="shared" si="19"/>
        <v>43656.314497695254</v>
      </c>
      <c r="J78" s="381">
        <f t="shared" si="20"/>
        <v>4442400</v>
      </c>
      <c r="K78" s="382">
        <f t="shared" si="21"/>
        <v>18565.392</v>
      </c>
      <c r="L78" s="383">
        <f t="shared" si="22"/>
        <v>484405.89000000007</v>
      </c>
      <c r="M78" s="419"/>
    </row>
    <row r="79" spans="2:13" x14ac:dyDescent="0.25">
      <c r="B79" s="480" t="str">
        <v>Parcel 12</v>
      </c>
      <c r="C79" s="296">
        <v>85000</v>
      </c>
      <c r="D79" s="379" t="str">
        <v>Classroom</v>
      </c>
      <c r="E79" s="467">
        <v>1133.8988082306882</v>
      </c>
      <c r="F79" s="432">
        <v>1613.4141832960281</v>
      </c>
      <c r="G79" s="406">
        <f>AVERAGE($J$17:$J$19)*E79</f>
        <v>96.883419314826071</v>
      </c>
      <c r="H79" s="396">
        <f>AVERAGE($K$17:$K$19)*F79</f>
        <v>9146.5093234007545</v>
      </c>
      <c r="I79" s="415">
        <f>(AVERAGE($J$17:$J$19)*E79)+(AVERAGE($K$17:$K$19)*F79)</f>
        <v>9243.3927427155813</v>
      </c>
      <c r="J79" s="381" t="e">
        <f t="shared" si="20"/>
        <v>#N/A</v>
      </c>
      <c r="K79" s="382" t="e">
        <f t="shared" si="21"/>
        <v>#N/A</v>
      </c>
      <c r="L79" s="383" t="e">
        <f t="shared" si="22"/>
        <v>#N/A</v>
      </c>
      <c r="M79" s="419"/>
    </row>
    <row r="80" spans="2:13" ht="15.75" thickBot="1" x14ac:dyDescent="0.3">
      <c r="B80" s="402" t="str">
        <v>Medical Office Bldg</v>
      </c>
      <c r="C80" s="401">
        <v>25056</v>
      </c>
      <c r="D80" s="403" t="str">
        <v>Retail</v>
      </c>
      <c r="E80" s="411">
        <v>157.12291317373848</v>
      </c>
      <c r="F80" s="412">
        <v>991.8470335985777</v>
      </c>
      <c r="G80" s="405">
        <f t="shared" ref="G80" si="23">VLOOKUP(D80,$G$17:$J$19,4)*E80</f>
        <v>13.740517596632003</v>
      </c>
      <c r="H80" s="395">
        <f t="shared" ref="H80" si="24">VLOOKUP(D80,$G$17:$K$19,5)*F80</f>
        <v>5124.1935037593512</v>
      </c>
      <c r="I80" s="414">
        <f t="shared" ref="I80" si="25">(VLOOKUP(D80,$G$17:$J$19,4)*E80)+(VLOOKUP(D80,$G$17:$K$19,5)*F80)</f>
        <v>5137.9340213559835</v>
      </c>
      <c r="J80" s="381">
        <f t="shared" si="20"/>
        <v>412254.71999999997</v>
      </c>
      <c r="K80" s="382">
        <f t="shared" si="21"/>
        <v>1722.8683776</v>
      </c>
      <c r="L80" s="383">
        <f t="shared" si="22"/>
        <v>44952.866592000006</v>
      </c>
      <c r="M80" s="419"/>
    </row>
    <row r="81" spans="2:13" ht="15.75" thickBot="1" x14ac:dyDescent="0.3">
      <c r="B81" s="315"/>
      <c r="C81" s="384">
        <f>SUM(C31:C80)</f>
        <v>11944002</v>
      </c>
      <c r="D81" s="386"/>
      <c r="E81" s="384">
        <f>SUM(E31:E80)</f>
        <v>154587.8284964718</v>
      </c>
      <c r="F81" s="389">
        <f>SUM(F31:F80)</f>
        <v>145765.89126344791</v>
      </c>
      <c r="G81" s="485">
        <f>SUM(G31:G80)</f>
        <v>12952.873727189744</v>
      </c>
      <c r="H81" s="400">
        <f>SUM(H31:H80)</f>
        <v>789305.57884046994</v>
      </c>
      <c r="I81" s="486">
        <f>SUM(I31:I80)</f>
        <v>802258.45256765955</v>
      </c>
      <c r="J81" s="390"/>
      <c r="K81" s="387"/>
      <c r="L81" s="388"/>
      <c r="M81" s="419"/>
    </row>
  </sheetData>
  <mergeCells count="17">
    <mergeCell ref="B28:L28"/>
    <mergeCell ref="B29:B30"/>
    <mergeCell ref="C29:C30"/>
    <mergeCell ref="D29:D30"/>
    <mergeCell ref="E29:I29"/>
    <mergeCell ref="J29:L29"/>
    <mergeCell ref="B3:E3"/>
    <mergeCell ref="B15:E15"/>
    <mergeCell ref="M4:O4"/>
    <mergeCell ref="G4:J4"/>
    <mergeCell ref="H15:I15"/>
    <mergeCell ref="J15:K15"/>
    <mergeCell ref="L15:N15"/>
    <mergeCell ref="G15:G16"/>
    <mergeCell ref="B4:B5"/>
    <mergeCell ref="B16:B17"/>
    <mergeCell ref="K4:L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D6441-0692-4439-A883-8E8F6A714F90}">
  <sheetPr>
    <pageSetUpPr fitToPage="1"/>
  </sheetPr>
  <dimension ref="A1:AB38"/>
  <sheetViews>
    <sheetView view="pageBreakPreview" zoomScaleNormal="100" zoomScaleSheetLayoutView="100" workbookViewId="0">
      <selection activeCell="F5" sqref="F5"/>
    </sheetView>
  </sheetViews>
  <sheetFormatPr defaultColWidth="10" defaultRowHeight="15" x14ac:dyDescent="0.25"/>
  <cols>
    <col min="1" max="1" width="10" style="2"/>
    <col min="2" max="2" width="6.42578125" style="2" bestFit="1" customWidth="1"/>
    <col min="3" max="3" width="8.7109375" style="2" customWidth="1"/>
    <col min="4" max="4" width="7.7109375" style="2" customWidth="1"/>
    <col min="5" max="5" width="12.28515625" style="3" customWidth="1"/>
    <col min="6" max="6" width="9.42578125" style="3" bestFit="1" customWidth="1"/>
    <col min="7" max="7" width="11.5703125" style="3" customWidth="1"/>
    <col min="8" max="8" width="6.28515625" style="4" bestFit="1" customWidth="1"/>
    <col min="9" max="9" width="9.28515625" style="4" customWidth="1"/>
    <col min="10" max="11" width="10.42578125" style="4" customWidth="1"/>
    <col min="12" max="12" width="9.7109375" style="2" bestFit="1" customWidth="1"/>
    <col min="13" max="13" width="8.28515625" style="2" customWidth="1"/>
    <col min="14" max="15" width="8.7109375" style="2" bestFit="1" customWidth="1"/>
    <col min="16" max="16" width="10.7109375" style="2" bestFit="1" customWidth="1"/>
    <col min="17" max="17" width="7.7109375" style="2" bestFit="1" customWidth="1"/>
    <col min="18" max="18" width="10.28515625" style="2" customWidth="1"/>
    <col min="19" max="20" width="11.28515625" style="2" customWidth="1"/>
    <col min="21" max="21" width="9.7109375" style="2" customWidth="1"/>
    <col min="22" max="22" width="13" style="2" bestFit="1" customWidth="1"/>
    <col min="23" max="23" width="10.42578125" style="2" customWidth="1"/>
    <col min="24" max="24" width="8.28515625" style="2" customWidth="1"/>
    <col min="25" max="25" width="8.7109375" style="2" customWidth="1"/>
    <col min="26" max="26" width="9.28515625" style="2" customWidth="1"/>
    <col min="27" max="28" width="11.42578125" style="2" bestFit="1" customWidth="1"/>
    <col min="29" max="16384" width="10" style="2"/>
  </cols>
  <sheetData>
    <row r="1" spans="1:22" x14ac:dyDescent="0.25">
      <c r="A1" s="1" t="s">
        <v>80</v>
      </c>
    </row>
    <row r="2" spans="1:22" x14ac:dyDescent="0.25">
      <c r="A2" s="1" t="s">
        <v>81</v>
      </c>
    </row>
    <row r="3" spans="1:22" x14ac:dyDescent="0.25">
      <c r="A3" s="52" t="s">
        <v>82</v>
      </c>
    </row>
    <row r="4" spans="1:22" x14ac:dyDescent="0.25">
      <c r="A4" s="52" t="s">
        <v>83</v>
      </c>
    </row>
    <row r="5" spans="1:22" x14ac:dyDescent="0.25"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x14ac:dyDescent="0.25">
      <c r="A6" s="496"/>
      <c r="B6" s="4" t="s">
        <v>193</v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5.75" thickBot="1" x14ac:dyDescent="0.3">
      <c r="A7" s="1"/>
      <c r="B7" s="1"/>
      <c r="C7" s="1"/>
      <c r="D7" s="7"/>
      <c r="R7" s="5"/>
      <c r="S7" s="5"/>
      <c r="T7" s="5"/>
      <c r="U7" s="5"/>
      <c r="V7" s="5"/>
    </row>
    <row r="8" spans="1:22" ht="15.75" thickBot="1" x14ac:dyDescent="0.3">
      <c r="B8" s="8"/>
      <c r="C8" s="521"/>
      <c r="D8" s="522"/>
      <c r="E8" s="78" t="s">
        <v>84</v>
      </c>
      <c r="F8" s="523" t="s">
        <v>85</v>
      </c>
      <c r="G8" s="524"/>
      <c r="H8" s="524"/>
      <c r="I8" s="524"/>
      <c r="J8" s="525"/>
      <c r="K8" s="149" t="s">
        <v>86</v>
      </c>
      <c r="L8" s="150" t="s">
        <v>87</v>
      </c>
    </row>
    <row r="9" spans="1:22" s="9" customFormat="1" ht="36.75" thickBot="1" x14ac:dyDescent="0.3">
      <c r="B9" s="10" t="s">
        <v>88</v>
      </c>
      <c r="C9" s="11" t="s">
        <v>89</v>
      </c>
      <c r="D9" s="12" t="s">
        <v>90</v>
      </c>
      <c r="E9" s="77" t="s">
        <v>91</v>
      </c>
      <c r="F9" s="13" t="s">
        <v>92</v>
      </c>
      <c r="G9" s="14" t="s">
        <v>93</v>
      </c>
      <c r="H9" s="14" t="s">
        <v>94</v>
      </c>
      <c r="I9" s="15" t="s">
        <v>95</v>
      </c>
      <c r="J9" s="10" t="s">
        <v>96</v>
      </c>
      <c r="K9" s="10" t="s">
        <v>97</v>
      </c>
      <c r="L9" s="18" t="s">
        <v>98</v>
      </c>
    </row>
    <row r="10" spans="1:22" s="9" customFormat="1" x14ac:dyDescent="0.2">
      <c r="A10" s="19"/>
      <c r="B10" s="20">
        <v>43466</v>
      </c>
      <c r="C10" s="61">
        <v>67200</v>
      </c>
      <c r="D10" s="72">
        <v>168</v>
      </c>
      <c r="E10" s="64">
        <v>2264.5100000000002</v>
      </c>
      <c r="F10" s="63">
        <v>2941.34</v>
      </c>
      <c r="G10" s="24">
        <f>199.45+43.01</f>
        <v>242.45999999999998</v>
      </c>
      <c r="H10" s="24">
        <f>127.35*2</f>
        <v>254.7</v>
      </c>
      <c r="I10" s="25">
        <v>49.92</v>
      </c>
      <c r="J10" s="64">
        <f>SUM(F10:I10)</f>
        <v>3488.42</v>
      </c>
      <c r="K10" s="64">
        <f>E10+J10</f>
        <v>5752.93</v>
      </c>
      <c r="L10" s="151">
        <f>K10/C10</f>
        <v>8.5609077380952386E-2</v>
      </c>
      <c r="N10" s="26"/>
      <c r="O10" s="26"/>
    </row>
    <row r="11" spans="1:22" s="9" customFormat="1" x14ac:dyDescent="0.2">
      <c r="A11" s="27"/>
      <c r="B11" s="20">
        <v>43497</v>
      </c>
      <c r="C11" s="61">
        <v>69600</v>
      </c>
      <c r="D11" s="73">
        <v>168</v>
      </c>
      <c r="E11" s="64">
        <v>2265.6799999999998</v>
      </c>
      <c r="F11" s="65">
        <v>3046.39</v>
      </c>
      <c r="G11" s="28">
        <f>175.66+58.31</f>
        <v>233.97</v>
      </c>
      <c r="H11" s="28">
        <f>131.21*2</f>
        <v>262.42</v>
      </c>
      <c r="I11" s="29">
        <v>49.92</v>
      </c>
      <c r="J11" s="64">
        <f t="shared" ref="J11:J22" si="0">SUM(F11:I11)</f>
        <v>3592.7</v>
      </c>
      <c r="K11" s="64">
        <f t="shared" ref="K11:K22" si="1">E11+J11</f>
        <v>5858.3799999999992</v>
      </c>
      <c r="L11" s="151">
        <f t="shared" ref="L11:L22" si="2">K11/C11</f>
        <v>8.4172126436781597E-2</v>
      </c>
      <c r="N11" s="26"/>
      <c r="O11" s="26"/>
    </row>
    <row r="12" spans="1:22" s="9" customFormat="1" x14ac:dyDescent="0.2">
      <c r="A12" s="19"/>
      <c r="B12" s="20">
        <v>43525</v>
      </c>
      <c r="C12" s="62">
        <v>62400</v>
      </c>
      <c r="D12" s="74">
        <v>164</v>
      </c>
      <c r="E12" s="64">
        <v>2292.73</v>
      </c>
      <c r="F12" s="65">
        <v>2731.25</v>
      </c>
      <c r="G12" s="28">
        <f>175.37+28.06</f>
        <v>203.43</v>
      </c>
      <c r="H12" s="28">
        <f>117.39*2</f>
        <v>234.78</v>
      </c>
      <c r="I12" s="29">
        <v>0</v>
      </c>
      <c r="J12" s="64">
        <f t="shared" si="0"/>
        <v>3169.46</v>
      </c>
      <c r="K12" s="64">
        <f t="shared" si="1"/>
        <v>5462.1900000000005</v>
      </c>
      <c r="L12" s="151">
        <f t="shared" si="2"/>
        <v>8.7535096153846165E-2</v>
      </c>
      <c r="N12" s="26"/>
      <c r="O12" s="26"/>
    </row>
    <row r="13" spans="1:22" s="9" customFormat="1" x14ac:dyDescent="0.2">
      <c r="A13" s="27"/>
      <c r="B13" s="81">
        <v>43556</v>
      </c>
      <c r="C13" s="80">
        <v>56000</v>
      </c>
      <c r="D13" s="85"/>
      <c r="E13" s="79">
        <v>2391.34</v>
      </c>
      <c r="F13" s="82"/>
      <c r="G13" s="83"/>
      <c r="H13" s="83"/>
      <c r="I13" s="84"/>
      <c r="J13" s="283">
        <f>AVERAGE(J12,J14)</f>
        <v>3098.9050000000002</v>
      </c>
      <c r="K13" s="64">
        <f t="shared" si="1"/>
        <v>5490.2450000000008</v>
      </c>
      <c r="L13" s="151">
        <f t="shared" si="2"/>
        <v>9.8040089285714296E-2</v>
      </c>
      <c r="N13" s="26"/>
      <c r="O13" s="26"/>
    </row>
    <row r="14" spans="1:22" s="9" customFormat="1" x14ac:dyDescent="0.2">
      <c r="A14" s="19"/>
      <c r="B14" s="20">
        <v>43586</v>
      </c>
      <c r="C14" s="61">
        <v>61600</v>
      </c>
      <c r="D14" s="73">
        <v>168</v>
      </c>
      <c r="E14" s="64">
        <v>2585.3200000000002</v>
      </c>
      <c r="F14" s="65">
        <v>2580.42</v>
      </c>
      <c r="G14" s="28">
        <f>182.95+40.66</f>
        <v>223.60999999999999</v>
      </c>
      <c r="H14" s="28">
        <f>112.16*2</f>
        <v>224.32</v>
      </c>
      <c r="I14" s="29">
        <v>0</v>
      </c>
      <c r="J14" s="64">
        <f t="shared" si="0"/>
        <v>3028.3500000000004</v>
      </c>
      <c r="K14" s="64">
        <f t="shared" si="1"/>
        <v>5613.67</v>
      </c>
      <c r="L14" s="151">
        <f t="shared" si="2"/>
        <v>9.11310064935065E-2</v>
      </c>
      <c r="N14" s="26"/>
      <c r="O14" s="26"/>
    </row>
    <row r="15" spans="1:22" s="9" customFormat="1" x14ac:dyDescent="0.2">
      <c r="A15" s="27"/>
      <c r="B15" s="20">
        <v>43617</v>
      </c>
      <c r="C15" s="62">
        <v>60000</v>
      </c>
      <c r="D15" s="74">
        <v>172</v>
      </c>
      <c r="E15" s="64">
        <v>2819.7</v>
      </c>
      <c r="F15" s="65">
        <v>2513.4</v>
      </c>
      <c r="G15" s="28">
        <f>190.8+31.11</f>
        <v>221.91000000000003</v>
      </c>
      <c r="H15" s="28">
        <f>109.41*2</f>
        <v>218.82</v>
      </c>
      <c r="I15" s="29">
        <v>0</v>
      </c>
      <c r="J15" s="64">
        <f t="shared" si="0"/>
        <v>2954.13</v>
      </c>
      <c r="K15" s="64">
        <f t="shared" si="1"/>
        <v>5773.83</v>
      </c>
      <c r="L15" s="151">
        <f t="shared" si="2"/>
        <v>9.6230499999999997E-2</v>
      </c>
      <c r="N15" s="26"/>
      <c r="O15" s="26"/>
    </row>
    <row r="16" spans="1:22" s="9" customFormat="1" x14ac:dyDescent="0.2">
      <c r="A16" s="19"/>
      <c r="B16" s="20">
        <v>43647</v>
      </c>
      <c r="C16" s="62">
        <v>73600</v>
      </c>
      <c r="D16" s="74">
        <v>180</v>
      </c>
      <c r="E16" s="64">
        <v>3233.98</v>
      </c>
      <c r="F16" s="65">
        <v>3083.1</v>
      </c>
      <c r="G16" s="28">
        <f>216.05+52.85</f>
        <v>268.90000000000003</v>
      </c>
      <c r="H16" s="28">
        <f>134.08*2</f>
        <v>268.16000000000003</v>
      </c>
      <c r="I16" s="29">
        <v>0</v>
      </c>
      <c r="J16" s="64">
        <f t="shared" si="0"/>
        <v>3620.16</v>
      </c>
      <c r="K16" s="64">
        <f t="shared" si="1"/>
        <v>6854.1399999999994</v>
      </c>
      <c r="L16" s="151">
        <f t="shared" si="2"/>
        <v>9.3126902173913034E-2</v>
      </c>
      <c r="N16" s="26"/>
      <c r="O16" s="26"/>
    </row>
    <row r="17" spans="1:22" s="9" customFormat="1" x14ac:dyDescent="0.2">
      <c r="A17" s="27"/>
      <c r="B17" s="20">
        <v>43678</v>
      </c>
      <c r="C17" s="62">
        <v>70800</v>
      </c>
      <c r="D17" s="74">
        <v>168</v>
      </c>
      <c r="E17" s="64">
        <v>3134.24</v>
      </c>
      <c r="F17" s="65">
        <v>2965.81</v>
      </c>
      <c r="G17" s="28">
        <f>209.39+48.32</f>
        <v>257.70999999999998</v>
      </c>
      <c r="H17" s="28">
        <f>128.94*2</f>
        <v>257.88</v>
      </c>
      <c r="I17" s="29">
        <v>0</v>
      </c>
      <c r="J17" s="64">
        <f t="shared" si="0"/>
        <v>3481.4</v>
      </c>
      <c r="K17" s="64">
        <f t="shared" si="1"/>
        <v>6615.6399999999994</v>
      </c>
      <c r="L17" s="151">
        <f t="shared" si="2"/>
        <v>9.3441242937853095E-2</v>
      </c>
      <c r="N17" s="26"/>
      <c r="O17" s="26"/>
    </row>
    <row r="18" spans="1:22" s="9" customFormat="1" x14ac:dyDescent="0.2">
      <c r="A18" s="19"/>
      <c r="B18" s="20">
        <v>43709</v>
      </c>
      <c r="C18" s="62">
        <v>58000</v>
      </c>
      <c r="D18" s="74">
        <v>168</v>
      </c>
      <c r="E18" s="64">
        <v>2848.04</v>
      </c>
      <c r="F18" s="65">
        <v>2429.62</v>
      </c>
      <c r="G18" s="28">
        <f>174.72+36.4</f>
        <v>211.12</v>
      </c>
      <c r="H18" s="28">
        <f>105.63*2</f>
        <v>211.26</v>
      </c>
      <c r="I18" s="29">
        <v>0</v>
      </c>
      <c r="J18" s="64">
        <f t="shared" si="0"/>
        <v>2852</v>
      </c>
      <c r="K18" s="64">
        <f t="shared" si="1"/>
        <v>5700.04</v>
      </c>
      <c r="L18" s="151">
        <f t="shared" si="2"/>
        <v>9.8276551724137934E-2</v>
      </c>
      <c r="N18" s="26"/>
      <c r="O18" s="26"/>
    </row>
    <row r="19" spans="1:22" s="9" customFormat="1" x14ac:dyDescent="0.2">
      <c r="A19" s="27"/>
      <c r="B19" s="20">
        <v>43739</v>
      </c>
      <c r="C19" s="62">
        <v>52800</v>
      </c>
      <c r="D19" s="74">
        <v>152</v>
      </c>
      <c r="E19" s="64">
        <v>2589.75</v>
      </c>
      <c r="F19" s="65">
        <v>2211.79</v>
      </c>
      <c r="G19" s="28">
        <f>152.43+39.76</f>
        <v>192.19</v>
      </c>
      <c r="H19" s="28">
        <f>96.16*2</f>
        <v>192.32</v>
      </c>
      <c r="I19" s="29">
        <v>0</v>
      </c>
      <c r="J19" s="64">
        <f t="shared" si="0"/>
        <v>2596.3000000000002</v>
      </c>
      <c r="K19" s="64">
        <f t="shared" si="1"/>
        <v>5186.05</v>
      </c>
      <c r="L19" s="151">
        <f t="shared" si="2"/>
        <v>9.8220643939393948E-2</v>
      </c>
      <c r="N19" s="26"/>
      <c r="O19" s="26"/>
    </row>
    <row r="20" spans="1:22" s="9" customFormat="1" x14ac:dyDescent="0.2">
      <c r="A20" s="19"/>
      <c r="B20" s="20">
        <v>43770</v>
      </c>
      <c r="C20" s="62">
        <v>61600</v>
      </c>
      <c r="D20" s="74">
        <v>172</v>
      </c>
      <c r="E20" s="64">
        <v>3082.82</v>
      </c>
      <c r="F20" s="65">
        <v>2580.42</v>
      </c>
      <c r="G20" s="28">
        <f>162.01+61.85</f>
        <v>223.85999999999999</v>
      </c>
      <c r="H20" s="28">
        <f>112.17*2</f>
        <v>224.34</v>
      </c>
      <c r="I20" s="29">
        <v>0</v>
      </c>
      <c r="J20" s="64">
        <f t="shared" si="0"/>
        <v>3028.6200000000003</v>
      </c>
      <c r="K20" s="64">
        <f t="shared" si="1"/>
        <v>6111.4400000000005</v>
      </c>
      <c r="L20" s="151">
        <f t="shared" si="2"/>
        <v>9.921168831168832E-2</v>
      </c>
      <c r="N20" s="26"/>
      <c r="O20" s="26"/>
    </row>
    <row r="21" spans="1:22" s="9" customFormat="1" x14ac:dyDescent="0.2">
      <c r="A21" s="27"/>
      <c r="B21" s="20">
        <v>43800</v>
      </c>
      <c r="C21" s="62">
        <v>80400</v>
      </c>
      <c r="D21" s="74">
        <v>172</v>
      </c>
      <c r="E21" s="64">
        <v>3296.12</v>
      </c>
      <c r="F21" s="65">
        <v>3367.96</v>
      </c>
      <c r="G21" s="28">
        <f>214.6+77.3</f>
        <v>291.89999999999998</v>
      </c>
      <c r="H21" s="28">
        <f>146.39*2</f>
        <v>292.77999999999997</v>
      </c>
      <c r="I21" s="29">
        <v>0</v>
      </c>
      <c r="J21" s="70">
        <f t="shared" si="0"/>
        <v>3952.6400000000003</v>
      </c>
      <c r="K21" s="64">
        <f t="shared" si="1"/>
        <v>7248.76</v>
      </c>
      <c r="L21" s="151">
        <f t="shared" si="2"/>
        <v>9.0158706467661692E-2</v>
      </c>
      <c r="N21" s="26"/>
      <c r="O21" s="26"/>
    </row>
    <row r="22" spans="1:22" s="9" customFormat="1" ht="15.75" thickBot="1" x14ac:dyDescent="0.25">
      <c r="A22" s="27"/>
      <c r="B22" s="20">
        <v>43831</v>
      </c>
      <c r="C22" s="35">
        <v>81200</v>
      </c>
      <c r="D22" s="75">
        <v>172</v>
      </c>
      <c r="E22" s="69">
        <v>3285.07</v>
      </c>
      <c r="F22" s="66">
        <v>3401.47</v>
      </c>
      <c r="G22" s="67">
        <f>272.48+55.27</f>
        <v>327.75</v>
      </c>
      <c r="H22" s="67">
        <f>149.17*2</f>
        <v>298.33999999999997</v>
      </c>
      <c r="I22" s="68">
        <v>0</v>
      </c>
      <c r="J22" s="69">
        <f t="shared" si="0"/>
        <v>4027.56</v>
      </c>
      <c r="K22" s="64">
        <f t="shared" si="1"/>
        <v>7312.63</v>
      </c>
      <c r="L22" s="151">
        <f t="shared" si="2"/>
        <v>9.00570197044335E-2</v>
      </c>
      <c r="N22" s="26"/>
      <c r="O22" s="26"/>
    </row>
    <row r="23" spans="1:22" ht="15.75" thickBot="1" x14ac:dyDescent="0.3">
      <c r="B23" s="34" t="s">
        <v>99</v>
      </c>
      <c r="C23" s="35">
        <f>SUM(C10:C21)</f>
        <v>774000</v>
      </c>
      <c r="D23" s="76">
        <f>MAX(D10:D21)</f>
        <v>180</v>
      </c>
      <c r="E23" s="44">
        <f>SUM(E10:E21)</f>
        <v>32804.230000000003</v>
      </c>
      <c r="F23" s="41"/>
      <c r="G23" s="42"/>
      <c r="H23" s="38"/>
      <c r="I23" s="43"/>
      <c r="J23" s="44">
        <f>SUM(J10:J21)</f>
        <v>38863.084999999999</v>
      </c>
      <c r="K23" s="44">
        <f>SUM(K10:K21)</f>
        <v>71667.315000000002</v>
      </c>
      <c r="L23" s="50">
        <f>K23/C23</f>
        <v>9.2593430232558144E-2</v>
      </c>
      <c r="N23" s="26"/>
      <c r="O23" s="26"/>
    </row>
    <row r="24" spans="1:22" ht="15.75" x14ac:dyDescent="0.25">
      <c r="C24" s="51"/>
    </row>
    <row r="25" spans="1:22" x14ac:dyDescent="0.25">
      <c r="D25" s="52"/>
      <c r="V25" s="6"/>
    </row>
    <row r="27" spans="1:22" x14ac:dyDescent="0.25">
      <c r="H27" s="53"/>
    </row>
    <row r="34" spans="1:28" s="3" customFormat="1" x14ac:dyDescent="0.25">
      <c r="A34" s="2"/>
      <c r="B34" s="2"/>
      <c r="C34" s="2"/>
      <c r="D34" s="2"/>
      <c r="H34" s="4"/>
      <c r="I34" s="4"/>
      <c r="J34" s="4"/>
      <c r="K34" s="4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x14ac:dyDescent="0.25">
      <c r="A35" s="2"/>
      <c r="B35" s="2"/>
      <c r="C35" s="2"/>
      <c r="D35" s="2"/>
      <c r="H35" s="4"/>
      <c r="I35" s="4"/>
      <c r="J35" s="4"/>
      <c r="K35" s="4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x14ac:dyDescent="0.25">
      <c r="A36" s="2"/>
      <c r="B36" s="2"/>
      <c r="C36" s="2"/>
      <c r="D36" s="2"/>
      <c r="H36" s="4"/>
      <c r="I36" s="4"/>
      <c r="J36" s="4"/>
      <c r="K36" s="4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x14ac:dyDescent="0.25">
      <c r="A37" s="2"/>
      <c r="B37" s="2"/>
      <c r="C37" s="2"/>
      <c r="D37" s="2"/>
      <c r="H37" s="4"/>
      <c r="I37" s="4"/>
      <c r="J37" s="4"/>
      <c r="K37" s="4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x14ac:dyDescent="0.25">
      <c r="A38" s="2"/>
      <c r="B38" s="2"/>
      <c r="C38" s="2"/>
      <c r="D38" s="2"/>
      <c r="H38" s="4"/>
      <c r="I38" s="4"/>
      <c r="J38" s="4"/>
      <c r="K38" s="4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</sheetData>
  <sheetProtection algorithmName="SHA-512" hashValue="3zFbnHSUZNjYCVwkn8OpWPvqwN9+y4yzhuQCNY3uLUeh88AVAQIJr0S818tXanwdhV0Zcv9rPb0KxiFT5sGN2A==" saltValue="M/qMfRjUuvJvkfDURh2TFQ==" spinCount="100000" sheet="1" objects="1" scenarios="1"/>
  <mergeCells count="2">
    <mergeCell ref="C8:D8"/>
    <mergeCell ref="F8:J8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58E8-C7B6-4F0C-B0DA-F7E8EF16F0B9}">
  <sheetPr>
    <pageSetUpPr fitToPage="1"/>
  </sheetPr>
  <dimension ref="A1:X42"/>
  <sheetViews>
    <sheetView view="pageBreakPreview" zoomScale="85" zoomScaleNormal="100" zoomScaleSheetLayoutView="85" workbookViewId="0">
      <selection activeCell="AD28" sqref="AD28"/>
    </sheetView>
  </sheetViews>
  <sheetFormatPr defaultRowHeight="15" x14ac:dyDescent="0.25"/>
  <cols>
    <col min="4" max="4" width="9.5703125" customWidth="1"/>
    <col min="6" max="6" width="9.28515625" customWidth="1"/>
    <col min="8" max="8" width="10.5703125" customWidth="1"/>
    <col min="9" max="9" width="7.7109375" customWidth="1"/>
    <col min="11" max="11" width="10.28515625" customWidth="1"/>
    <col min="14" max="14" width="10" customWidth="1"/>
    <col min="18" max="18" width="9.5703125" customWidth="1"/>
    <col min="19" max="19" width="9.7109375" customWidth="1"/>
    <col min="20" max="20" width="9.5703125" customWidth="1"/>
    <col min="23" max="23" width="9.7109375" bestFit="1" customWidth="1"/>
  </cols>
  <sheetData>
    <row r="1" spans="1:24" x14ac:dyDescent="0.25">
      <c r="A1" s="1" t="s">
        <v>100</v>
      </c>
    </row>
    <row r="2" spans="1:24" x14ac:dyDescent="0.25">
      <c r="A2" s="282" t="s">
        <v>81</v>
      </c>
    </row>
    <row r="3" spans="1:24" x14ac:dyDescent="0.25">
      <c r="A3" s="52" t="s">
        <v>82</v>
      </c>
    </row>
    <row r="4" spans="1:24" x14ac:dyDescent="0.25">
      <c r="A4" s="52" t="s">
        <v>83</v>
      </c>
    </row>
    <row r="6" spans="1:24" x14ac:dyDescent="0.25">
      <c r="A6" s="496"/>
      <c r="B6" s="4" t="s">
        <v>193</v>
      </c>
    </row>
    <row r="7" spans="1:24" ht="15.75" thickBot="1" x14ac:dyDescent="0.3"/>
    <row r="8" spans="1:24" ht="15.75" thickBot="1" x14ac:dyDescent="0.3">
      <c r="A8" s="507" t="s">
        <v>10</v>
      </c>
      <c r="B8" s="508"/>
      <c r="C8" s="508"/>
      <c r="D8" s="508"/>
      <c r="E8" s="508"/>
      <c r="F8" s="508"/>
      <c r="G8" s="508"/>
      <c r="H8" s="508"/>
      <c r="I8" s="508"/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8"/>
      <c r="U8" s="508"/>
      <c r="V8" s="508"/>
      <c r="W8" s="508"/>
      <c r="X8" s="509"/>
    </row>
    <row r="9" spans="1:24" ht="15.75" thickBot="1" x14ac:dyDescent="0.3">
      <c r="A9" s="148"/>
      <c r="B9" s="530" t="s">
        <v>101</v>
      </c>
      <c r="C9" s="528"/>
      <c r="D9" s="528"/>
      <c r="E9" s="528"/>
      <c r="F9" s="528"/>
      <c r="G9" s="528"/>
      <c r="H9" s="529"/>
      <c r="I9" s="531" t="s">
        <v>84</v>
      </c>
      <c r="J9" s="532"/>
      <c r="K9" s="532"/>
      <c r="L9" s="532"/>
      <c r="M9" s="532"/>
      <c r="N9" s="532"/>
      <c r="O9" s="532"/>
      <c r="P9" s="532"/>
      <c r="Q9" s="532"/>
      <c r="R9" s="532"/>
      <c r="S9" s="533"/>
      <c r="T9" s="143"/>
      <c r="U9" s="507" t="s">
        <v>102</v>
      </c>
      <c r="V9" s="509"/>
      <c r="W9" s="526" t="s">
        <v>87</v>
      </c>
      <c r="X9" s="527"/>
    </row>
    <row r="10" spans="1:24" ht="48.75" thickBot="1" x14ac:dyDescent="0.3">
      <c r="A10" s="89" t="s">
        <v>88</v>
      </c>
      <c r="B10" s="97" t="s">
        <v>103</v>
      </c>
      <c r="C10" s="98" t="s">
        <v>104</v>
      </c>
      <c r="D10" s="97" t="s">
        <v>105</v>
      </c>
      <c r="E10" s="104" t="s">
        <v>106</v>
      </c>
      <c r="F10" s="104" t="s">
        <v>107</v>
      </c>
      <c r="G10" s="98" t="s">
        <v>108</v>
      </c>
      <c r="H10" s="10" t="s">
        <v>109</v>
      </c>
      <c r="I10" s="90" t="s">
        <v>103</v>
      </c>
      <c r="J10" s="18" t="s">
        <v>104</v>
      </c>
      <c r="K10" s="131" t="s">
        <v>110</v>
      </c>
      <c r="L10" s="132" t="s">
        <v>111</v>
      </c>
      <c r="M10" s="132" t="s">
        <v>112</v>
      </c>
      <c r="N10" s="132" t="s">
        <v>113</v>
      </c>
      <c r="O10" s="132" t="s">
        <v>114</v>
      </c>
      <c r="P10" s="132" t="s">
        <v>115</v>
      </c>
      <c r="Q10" s="132" t="s">
        <v>116</v>
      </c>
      <c r="R10" s="134" t="s">
        <v>117</v>
      </c>
      <c r="S10" s="92" t="s">
        <v>91</v>
      </c>
      <c r="T10" s="10" t="s">
        <v>118</v>
      </c>
      <c r="U10" s="243" t="s">
        <v>35</v>
      </c>
      <c r="V10" s="18" t="s">
        <v>119</v>
      </c>
      <c r="W10" s="279" t="s">
        <v>120</v>
      </c>
      <c r="X10" s="92" t="s">
        <v>121</v>
      </c>
    </row>
    <row r="11" spans="1:24" x14ac:dyDescent="0.25">
      <c r="A11" s="86">
        <v>43435</v>
      </c>
      <c r="B11" s="93">
        <f>C11*10</f>
        <v>1125.1000000000001</v>
      </c>
      <c r="C11" s="101">
        <v>112.51</v>
      </c>
      <c r="D11" s="105">
        <v>365.77</v>
      </c>
      <c r="E11" s="106">
        <v>16.09</v>
      </c>
      <c r="F11" s="106">
        <v>15.28</v>
      </c>
      <c r="G11" s="107">
        <v>15.28</v>
      </c>
      <c r="H11" s="138">
        <f>SUM(D11:G11)</f>
        <v>412.4199999999999</v>
      </c>
      <c r="I11" s="129"/>
      <c r="J11" s="130"/>
      <c r="K11" s="105"/>
      <c r="L11" s="106"/>
      <c r="M11" s="106"/>
      <c r="N11" s="106"/>
      <c r="O11" s="106"/>
      <c r="P11" s="106"/>
      <c r="Q11" s="106"/>
      <c r="R11" s="107"/>
      <c r="S11" s="135"/>
      <c r="T11" s="144">
        <v>0</v>
      </c>
      <c r="U11" s="105">
        <f>H11+S11+T11</f>
        <v>412.4199999999999</v>
      </c>
      <c r="V11" s="245">
        <f>D11+E11+L11+M11+O11+P11</f>
        <v>381.85999999999996</v>
      </c>
      <c r="W11" s="105"/>
      <c r="X11" s="281"/>
    </row>
    <row r="12" spans="1:24" x14ac:dyDescent="0.25">
      <c r="A12" s="86">
        <v>43466</v>
      </c>
      <c r="B12" s="87">
        <f>C12*10</f>
        <v>1642.8999999999999</v>
      </c>
      <c r="C12" s="102">
        <v>164.29</v>
      </c>
      <c r="D12" s="108">
        <v>534.11</v>
      </c>
      <c r="E12" s="99">
        <v>23.49</v>
      </c>
      <c r="F12" s="99">
        <v>22.3</v>
      </c>
      <c r="G12" s="109">
        <v>22.3</v>
      </c>
      <c r="H12" s="126">
        <f t="shared" ref="H12:H22" si="0">SUM(D12:G12)</f>
        <v>602.19999999999993</v>
      </c>
      <c r="I12" s="129">
        <f>1618</f>
        <v>1618</v>
      </c>
      <c r="J12" s="130">
        <f>I12/10</f>
        <v>161.80000000000001</v>
      </c>
      <c r="K12" s="108">
        <v>24.27</v>
      </c>
      <c r="L12" s="99">
        <v>83.1</v>
      </c>
      <c r="M12" s="99">
        <v>233.48</v>
      </c>
      <c r="N12" s="99">
        <v>14.58</v>
      </c>
      <c r="O12" s="99">
        <v>-59.23</v>
      </c>
      <c r="P12" s="99">
        <v>1.73</v>
      </c>
      <c r="Q12" s="99">
        <v>3.01</v>
      </c>
      <c r="R12" s="109"/>
      <c r="S12" s="138">
        <f>SUM(K12:Q12)</f>
        <v>300.93999999999994</v>
      </c>
      <c r="T12" s="145">
        <v>0</v>
      </c>
      <c r="U12" s="108">
        <f t="shared" ref="U12:U22" si="1">H12+S12+T12</f>
        <v>903.13999999999987</v>
      </c>
      <c r="V12" s="202">
        <f>D12+E12+L12+M12+O12+P12</f>
        <v>816.68000000000006</v>
      </c>
      <c r="W12" s="108">
        <f>V12/J12</f>
        <v>5.0474660074165634</v>
      </c>
      <c r="X12" s="109">
        <f>U12/J12</f>
        <v>5.581829419035846</v>
      </c>
    </row>
    <row r="13" spans="1:24" x14ac:dyDescent="0.25">
      <c r="A13" s="86">
        <v>43497</v>
      </c>
      <c r="B13" s="87">
        <f t="shared" ref="B13:B22" si="2">C13*10</f>
        <v>1805.3999999999999</v>
      </c>
      <c r="C13" s="102">
        <v>180.54</v>
      </c>
      <c r="D13" s="108">
        <f>113.59+465.92</f>
        <v>579.51</v>
      </c>
      <c r="E13" s="99">
        <f>5+32.47</f>
        <v>37.47</v>
      </c>
      <c r="F13" s="99">
        <v>24.68</v>
      </c>
      <c r="G13" s="109">
        <v>24.68</v>
      </c>
      <c r="H13" s="126">
        <f t="shared" si="0"/>
        <v>666.33999999999992</v>
      </c>
      <c r="I13" s="87">
        <v>1778</v>
      </c>
      <c r="J13" s="102">
        <f t="shared" ref="J13:J22" si="3">I13/10</f>
        <v>177.8</v>
      </c>
      <c r="K13" s="108">
        <v>24.27</v>
      </c>
      <c r="L13" s="99">
        <v>83.1</v>
      </c>
      <c r="M13" s="99">
        <v>261.39999999999998</v>
      </c>
      <c r="N13" s="99">
        <v>1.55</v>
      </c>
      <c r="O13" s="99">
        <v>-65.09</v>
      </c>
      <c r="P13" s="99">
        <v>0.89</v>
      </c>
      <c r="Q13" s="99">
        <v>3.09</v>
      </c>
      <c r="R13" s="109"/>
      <c r="S13" s="126">
        <f>SUM(K13:Q13)</f>
        <v>309.20999999999998</v>
      </c>
      <c r="T13" s="146">
        <v>0</v>
      </c>
      <c r="U13" s="108">
        <f t="shared" si="1"/>
        <v>975.55</v>
      </c>
      <c r="V13" s="202">
        <f t="shared" ref="V13:V22" si="4">D13+E13+L13+M13+O13+P13</f>
        <v>897.28</v>
      </c>
      <c r="W13" s="108">
        <f>V13/J13</f>
        <v>5.0465691788526428</v>
      </c>
      <c r="X13" s="109">
        <f t="shared" ref="X13:X23" si="5">U13/J13</f>
        <v>5.4867829021372323</v>
      </c>
    </row>
    <row r="14" spans="1:24" x14ac:dyDescent="0.25">
      <c r="A14" s="86">
        <v>43525</v>
      </c>
      <c r="B14" s="87">
        <f t="shared" si="2"/>
        <v>1478.4</v>
      </c>
      <c r="C14" s="102">
        <v>147.84</v>
      </c>
      <c r="D14" s="108">
        <v>473.09</v>
      </c>
      <c r="E14" s="99">
        <v>32.97</v>
      </c>
      <c r="F14" s="99">
        <v>20.25</v>
      </c>
      <c r="G14" s="109">
        <v>20.25</v>
      </c>
      <c r="H14" s="126">
        <f t="shared" si="0"/>
        <v>546.55999999999995</v>
      </c>
      <c r="I14" s="87">
        <v>1456</v>
      </c>
      <c r="J14" s="102">
        <f t="shared" si="3"/>
        <v>145.6</v>
      </c>
      <c r="K14" s="108">
        <v>24.27</v>
      </c>
      <c r="L14" s="99">
        <v>83.1</v>
      </c>
      <c r="M14" s="99">
        <v>205.21</v>
      </c>
      <c r="N14" s="99">
        <v>-15.31</v>
      </c>
      <c r="O14" s="99">
        <v>-53.31</v>
      </c>
      <c r="P14" s="99">
        <v>0.73</v>
      </c>
      <c r="Q14" s="99">
        <v>2.4700000000000002</v>
      </c>
      <c r="R14" s="109"/>
      <c r="S14" s="126">
        <f>SUM(K14:Q14)</f>
        <v>247.15999999999997</v>
      </c>
      <c r="T14" s="146">
        <v>0</v>
      </c>
      <c r="U14" s="108">
        <f t="shared" si="1"/>
        <v>793.71999999999991</v>
      </c>
      <c r="V14" s="202">
        <f t="shared" si="4"/>
        <v>741.79</v>
      </c>
      <c r="W14" s="108">
        <f t="shared" ref="W14:W22" si="6">V14/J14</f>
        <v>5.0947115384615387</v>
      </c>
      <c r="X14" s="109">
        <f t="shared" si="5"/>
        <v>5.4513736263736261</v>
      </c>
    </row>
    <row r="15" spans="1:24" x14ac:dyDescent="0.25">
      <c r="A15" s="86">
        <v>43556</v>
      </c>
      <c r="B15" s="87">
        <f t="shared" si="2"/>
        <v>207.10000000000002</v>
      </c>
      <c r="C15" s="102">
        <v>20.71</v>
      </c>
      <c r="D15" s="108">
        <v>66.27</v>
      </c>
      <c r="E15" s="99">
        <v>4.62</v>
      </c>
      <c r="F15" s="99">
        <v>2.83</v>
      </c>
      <c r="G15" s="109">
        <v>2.83</v>
      </c>
      <c r="H15" s="126">
        <f t="shared" si="0"/>
        <v>76.55</v>
      </c>
      <c r="I15" s="87">
        <v>204</v>
      </c>
      <c r="J15" s="102">
        <f t="shared" si="3"/>
        <v>20.399999999999999</v>
      </c>
      <c r="K15" s="108">
        <v>24.27</v>
      </c>
      <c r="L15" s="99">
        <v>0</v>
      </c>
      <c r="M15" s="99">
        <v>64.37</v>
      </c>
      <c r="N15" s="99">
        <v>12.11</v>
      </c>
      <c r="O15" s="99">
        <v>-7.47</v>
      </c>
      <c r="P15" s="99">
        <v>0.1</v>
      </c>
      <c r="Q15" s="99">
        <v>0.94</v>
      </c>
      <c r="R15" s="109"/>
      <c r="S15" s="126">
        <f>SUM(K15:Q15)</f>
        <v>94.32</v>
      </c>
      <c r="T15" s="146">
        <v>0</v>
      </c>
      <c r="U15" s="108">
        <f t="shared" si="1"/>
        <v>170.87</v>
      </c>
      <c r="V15" s="202">
        <f t="shared" si="4"/>
        <v>127.88999999999999</v>
      </c>
      <c r="W15" s="108">
        <f t="shared" si="6"/>
        <v>6.269117647058823</v>
      </c>
      <c r="X15" s="109">
        <f t="shared" si="5"/>
        <v>8.3759803921568636</v>
      </c>
    </row>
    <row r="16" spans="1:24" x14ac:dyDescent="0.25">
      <c r="A16" s="86">
        <v>43586</v>
      </c>
      <c r="B16" s="87">
        <f t="shared" si="2"/>
        <v>35.6</v>
      </c>
      <c r="C16" s="102">
        <v>3.56</v>
      </c>
      <c r="D16" s="108">
        <v>11.39</v>
      </c>
      <c r="E16" s="99">
        <v>0.79</v>
      </c>
      <c r="F16" s="99">
        <v>0.49</v>
      </c>
      <c r="G16" s="109">
        <v>0.49</v>
      </c>
      <c r="H16" s="126">
        <f t="shared" si="0"/>
        <v>13.16</v>
      </c>
      <c r="I16" s="87">
        <v>35</v>
      </c>
      <c r="J16" s="102">
        <f t="shared" si="3"/>
        <v>3.5</v>
      </c>
      <c r="K16" s="108">
        <v>24.27</v>
      </c>
      <c r="L16" s="99">
        <v>0</v>
      </c>
      <c r="M16" s="99">
        <v>10.38</v>
      </c>
      <c r="N16" s="99">
        <v>-0.94</v>
      </c>
      <c r="O16" s="99">
        <v>-1.29</v>
      </c>
      <c r="P16" s="99">
        <v>0.02</v>
      </c>
      <c r="Q16" s="99">
        <v>0.33</v>
      </c>
      <c r="R16" s="109"/>
      <c r="S16" s="126">
        <f>SUM(K16:Q16)</f>
        <v>32.770000000000003</v>
      </c>
      <c r="T16" s="146">
        <v>0</v>
      </c>
      <c r="U16" s="108">
        <f t="shared" si="1"/>
        <v>45.930000000000007</v>
      </c>
      <c r="V16" s="202">
        <f t="shared" si="4"/>
        <v>21.290000000000003</v>
      </c>
      <c r="W16" s="108">
        <f t="shared" si="6"/>
        <v>6.0828571428571436</v>
      </c>
      <c r="X16" s="109">
        <f t="shared" si="5"/>
        <v>13.122857142857145</v>
      </c>
    </row>
    <row r="17" spans="1:24" x14ac:dyDescent="0.25">
      <c r="A17" s="86">
        <v>43617</v>
      </c>
      <c r="B17" s="87">
        <f t="shared" si="2"/>
        <v>0</v>
      </c>
      <c r="C17" s="102"/>
      <c r="D17" s="238"/>
      <c r="E17" s="239"/>
      <c r="F17" s="239"/>
      <c r="G17" s="240"/>
      <c r="H17" s="126">
        <f t="shared" si="0"/>
        <v>0</v>
      </c>
      <c r="I17" s="87">
        <v>0</v>
      </c>
      <c r="J17" s="102">
        <f t="shared" si="3"/>
        <v>0</v>
      </c>
      <c r="K17" s="108">
        <v>24.27</v>
      </c>
      <c r="L17" s="99">
        <v>0</v>
      </c>
      <c r="M17" s="99">
        <v>0</v>
      </c>
      <c r="N17" s="99">
        <v>0</v>
      </c>
      <c r="O17" s="99">
        <v>0</v>
      </c>
      <c r="P17" s="99">
        <v>0</v>
      </c>
      <c r="Q17" s="99">
        <v>0.25</v>
      </c>
      <c r="R17" s="109">
        <v>1.96</v>
      </c>
      <c r="S17" s="126">
        <f t="shared" ref="S17:S22" si="7">SUM(K17:R17)</f>
        <v>26.48</v>
      </c>
      <c r="T17" s="146">
        <v>0</v>
      </c>
      <c r="U17" s="108">
        <f t="shared" si="1"/>
        <v>26.48</v>
      </c>
      <c r="V17" s="202">
        <f t="shared" si="4"/>
        <v>0</v>
      </c>
      <c r="W17" s="108"/>
      <c r="X17" s="109"/>
    </row>
    <row r="18" spans="1:24" x14ac:dyDescent="0.25">
      <c r="A18" s="86">
        <v>43647</v>
      </c>
      <c r="B18" s="87">
        <f t="shared" si="2"/>
        <v>0</v>
      </c>
      <c r="C18" s="102"/>
      <c r="D18" s="238"/>
      <c r="E18" s="239"/>
      <c r="F18" s="239"/>
      <c r="G18" s="240"/>
      <c r="H18" s="126">
        <f t="shared" si="0"/>
        <v>0</v>
      </c>
      <c r="I18" s="87">
        <v>0</v>
      </c>
      <c r="J18" s="102">
        <f t="shared" si="3"/>
        <v>0</v>
      </c>
      <c r="K18" s="108">
        <v>24.27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0.25</v>
      </c>
      <c r="R18" s="109">
        <v>1.96</v>
      </c>
      <c r="S18" s="126">
        <f t="shared" si="7"/>
        <v>26.48</v>
      </c>
      <c r="T18" s="146">
        <v>0</v>
      </c>
      <c r="U18" s="108">
        <f t="shared" si="1"/>
        <v>26.48</v>
      </c>
      <c r="V18" s="202">
        <f t="shared" si="4"/>
        <v>0</v>
      </c>
      <c r="W18" s="108"/>
      <c r="X18" s="109"/>
    </row>
    <row r="19" spans="1:24" x14ac:dyDescent="0.25">
      <c r="A19" s="86">
        <v>43678</v>
      </c>
      <c r="B19" s="87">
        <f t="shared" si="2"/>
        <v>0</v>
      </c>
      <c r="C19" s="102"/>
      <c r="D19" s="238"/>
      <c r="E19" s="239"/>
      <c r="F19" s="239"/>
      <c r="G19" s="240"/>
      <c r="H19" s="126">
        <f t="shared" si="0"/>
        <v>0</v>
      </c>
      <c r="I19" s="87">
        <v>0</v>
      </c>
      <c r="J19" s="102">
        <f t="shared" si="3"/>
        <v>0</v>
      </c>
      <c r="K19" s="108">
        <v>24.27</v>
      </c>
      <c r="L19" s="99">
        <v>0</v>
      </c>
      <c r="M19" s="99">
        <v>0</v>
      </c>
      <c r="N19" s="99">
        <v>0</v>
      </c>
      <c r="O19" s="99">
        <v>0</v>
      </c>
      <c r="P19" s="99">
        <v>0</v>
      </c>
      <c r="Q19" s="99">
        <v>0.25</v>
      </c>
      <c r="R19" s="109">
        <v>1.96</v>
      </c>
      <c r="S19" s="126">
        <f t="shared" si="7"/>
        <v>26.48</v>
      </c>
      <c r="T19" s="146">
        <v>0</v>
      </c>
      <c r="U19" s="108">
        <f t="shared" si="1"/>
        <v>26.48</v>
      </c>
      <c r="V19" s="202">
        <f t="shared" si="4"/>
        <v>0</v>
      </c>
      <c r="W19" s="108"/>
      <c r="X19" s="109"/>
    </row>
    <row r="20" spans="1:24" x14ac:dyDescent="0.25">
      <c r="A20" s="86">
        <v>43709</v>
      </c>
      <c r="B20" s="87">
        <f t="shared" si="2"/>
        <v>0</v>
      </c>
      <c r="C20" s="102">
        <v>0</v>
      </c>
      <c r="D20" s="108">
        <v>0</v>
      </c>
      <c r="E20" s="99">
        <v>0</v>
      </c>
      <c r="F20" s="99">
        <v>0</v>
      </c>
      <c r="G20" s="109">
        <v>0</v>
      </c>
      <c r="H20" s="126">
        <f t="shared" si="0"/>
        <v>0</v>
      </c>
      <c r="I20" s="87">
        <v>0</v>
      </c>
      <c r="J20" s="102">
        <f t="shared" si="3"/>
        <v>0</v>
      </c>
      <c r="K20" s="108">
        <v>24.27</v>
      </c>
      <c r="L20" s="99">
        <v>0</v>
      </c>
      <c r="M20" s="99">
        <v>0</v>
      </c>
      <c r="N20" s="99">
        <v>0</v>
      </c>
      <c r="O20" s="99">
        <v>0</v>
      </c>
      <c r="P20" s="99">
        <v>0</v>
      </c>
      <c r="Q20" s="99">
        <v>0.25</v>
      </c>
      <c r="R20" s="109">
        <v>1.96</v>
      </c>
      <c r="S20" s="126">
        <f t="shared" si="7"/>
        <v>26.48</v>
      </c>
      <c r="T20" s="146">
        <v>0</v>
      </c>
      <c r="U20" s="108">
        <f t="shared" si="1"/>
        <v>26.48</v>
      </c>
      <c r="V20" s="202">
        <f t="shared" si="4"/>
        <v>0</v>
      </c>
      <c r="W20" s="108"/>
      <c r="X20" s="109"/>
    </row>
    <row r="21" spans="1:24" x14ac:dyDescent="0.25">
      <c r="A21" s="86">
        <v>43739</v>
      </c>
      <c r="B21" s="87">
        <f t="shared" si="2"/>
        <v>0</v>
      </c>
      <c r="C21" s="102"/>
      <c r="D21" s="238"/>
      <c r="E21" s="239"/>
      <c r="F21" s="239"/>
      <c r="G21" s="240"/>
      <c r="H21" s="126">
        <f t="shared" si="0"/>
        <v>0</v>
      </c>
      <c r="I21" s="87">
        <v>2</v>
      </c>
      <c r="J21" s="102">
        <f t="shared" si="3"/>
        <v>0.2</v>
      </c>
      <c r="K21" s="108">
        <v>24.27</v>
      </c>
      <c r="L21" s="99">
        <v>0</v>
      </c>
      <c r="M21" s="99">
        <v>0</v>
      </c>
      <c r="N21" s="99">
        <v>0</v>
      </c>
      <c r="O21" s="99">
        <v>-0.01</v>
      </c>
      <c r="P21" s="99">
        <v>0</v>
      </c>
      <c r="Q21" s="99">
        <v>0.25</v>
      </c>
      <c r="R21" s="109">
        <v>1.96</v>
      </c>
      <c r="S21" s="126">
        <f t="shared" si="7"/>
        <v>26.47</v>
      </c>
      <c r="T21" s="146">
        <v>-4.3600000000000003</v>
      </c>
      <c r="U21" s="108">
        <f t="shared" si="1"/>
        <v>22.11</v>
      </c>
      <c r="V21" s="202">
        <f>D21+E21+L21+M21+O21+P21</f>
        <v>-0.01</v>
      </c>
      <c r="W21" s="108"/>
      <c r="X21" s="109"/>
    </row>
    <row r="22" spans="1:24" ht="15.75" thickBot="1" x14ac:dyDescent="0.3">
      <c r="A22" s="194">
        <v>43770</v>
      </c>
      <c r="B22" s="113">
        <f t="shared" si="2"/>
        <v>465.09999999999997</v>
      </c>
      <c r="C22" s="114">
        <v>46.51</v>
      </c>
      <c r="D22" s="116">
        <v>148.83000000000001</v>
      </c>
      <c r="E22" s="117">
        <v>10.37</v>
      </c>
      <c r="F22" s="117">
        <v>6.37</v>
      </c>
      <c r="G22" s="118">
        <v>6.37</v>
      </c>
      <c r="H22" s="199">
        <f t="shared" si="0"/>
        <v>171.94000000000003</v>
      </c>
      <c r="I22" s="113">
        <v>458</v>
      </c>
      <c r="J22" s="114">
        <f t="shared" si="3"/>
        <v>45.8</v>
      </c>
      <c r="K22" s="116">
        <v>24.27</v>
      </c>
      <c r="L22" s="117">
        <v>89.84</v>
      </c>
      <c r="M22" s="117">
        <v>33.590000000000003</v>
      </c>
      <c r="N22" s="117">
        <v>-7.5</v>
      </c>
      <c r="O22" s="117">
        <v>-1.63</v>
      </c>
      <c r="P22" s="117">
        <v>0.23</v>
      </c>
      <c r="Q22" s="117">
        <v>1.4</v>
      </c>
      <c r="R22" s="118">
        <v>11.22</v>
      </c>
      <c r="S22" s="199">
        <f t="shared" si="7"/>
        <v>151.41999999999999</v>
      </c>
      <c r="T22" s="228">
        <v>0</v>
      </c>
      <c r="U22" s="116">
        <f t="shared" si="1"/>
        <v>323.36</v>
      </c>
      <c r="V22" s="203">
        <f t="shared" si="4"/>
        <v>281.23</v>
      </c>
      <c r="W22" s="116">
        <f t="shared" si="6"/>
        <v>6.1403930131004376</v>
      </c>
      <c r="X22" s="118">
        <f t="shared" si="5"/>
        <v>7.0602620087336252</v>
      </c>
    </row>
    <row r="23" spans="1:24" ht="15.75" thickBot="1" x14ac:dyDescent="0.3">
      <c r="A23" s="112" t="s">
        <v>99</v>
      </c>
      <c r="B23" s="115">
        <f>SUM(B11:B22)</f>
        <v>6759.6</v>
      </c>
      <c r="C23" s="121">
        <f>SUM(C11:C22)</f>
        <v>675.96</v>
      </c>
      <c r="D23" s="122"/>
      <c r="E23" s="124"/>
      <c r="F23" s="124"/>
      <c r="G23" s="125"/>
      <c r="H23" s="123">
        <f>SUM(H11:H22)</f>
        <v>2489.1699999999996</v>
      </c>
      <c r="I23" s="115">
        <f>SUM(I11:I22)</f>
        <v>5551</v>
      </c>
      <c r="J23" s="121">
        <f>SUM(J11:J22)</f>
        <v>555.1</v>
      </c>
      <c r="K23" s="122"/>
      <c r="L23" s="124"/>
      <c r="M23" s="124"/>
      <c r="N23" s="124"/>
      <c r="O23" s="124"/>
      <c r="P23" s="124"/>
      <c r="Q23" s="133"/>
      <c r="R23" s="123"/>
      <c r="S23" s="200">
        <f>SUM(S11:S22)</f>
        <v>1268.21</v>
      </c>
      <c r="T23" s="120">
        <f>SUM(T11:T22)</f>
        <v>-4.3600000000000003</v>
      </c>
      <c r="U23" s="200">
        <f>SUM(U11:U22)</f>
        <v>3753.0199999999995</v>
      </c>
      <c r="V23" s="133">
        <f>SUM(V11:V22)</f>
        <v>3268.0099999999993</v>
      </c>
      <c r="W23" s="200">
        <f>V23/J23</f>
        <v>5.8872455413439004</v>
      </c>
      <c r="X23" s="125">
        <f t="shared" si="5"/>
        <v>6.7609800036029535</v>
      </c>
    </row>
    <row r="25" spans="1:24" ht="15.75" thickBot="1" x14ac:dyDescent="0.3">
      <c r="W25" s="96"/>
    </row>
    <row r="26" spans="1:24" ht="15.75" thickBot="1" x14ac:dyDescent="0.3">
      <c r="A26" s="507" t="s">
        <v>122</v>
      </c>
      <c r="B26" s="508"/>
      <c r="C26" s="508"/>
      <c r="D26" s="508"/>
      <c r="E26" s="508"/>
      <c r="F26" s="508"/>
      <c r="G26" s="508"/>
      <c r="H26" s="508"/>
      <c r="I26" s="508"/>
      <c r="J26" s="508"/>
      <c r="K26" s="508"/>
      <c r="L26" s="508"/>
      <c r="M26" s="508"/>
      <c r="N26" s="508"/>
      <c r="O26" s="508"/>
      <c r="P26" s="508"/>
      <c r="Q26" s="508"/>
      <c r="R26" s="508"/>
      <c r="S26" s="508"/>
      <c r="T26" s="509"/>
    </row>
    <row r="27" spans="1:24" ht="15.75" thickBot="1" x14ac:dyDescent="0.3">
      <c r="A27" s="143"/>
      <c r="B27" s="528" t="s">
        <v>123</v>
      </c>
      <c r="C27" s="529"/>
      <c r="D27" s="530" t="s">
        <v>101</v>
      </c>
      <c r="E27" s="528"/>
      <c r="F27" s="528"/>
      <c r="G27" s="528"/>
      <c r="H27" s="529"/>
      <c r="I27" s="530" t="s">
        <v>84</v>
      </c>
      <c r="J27" s="528"/>
      <c r="K27" s="528"/>
      <c r="L27" s="528"/>
      <c r="M27" s="528"/>
      <c r="N27" s="528"/>
      <c r="O27" s="528"/>
      <c r="P27" s="529"/>
      <c r="Q27" s="507" t="s">
        <v>102</v>
      </c>
      <c r="R27" s="509"/>
      <c r="S27" s="526" t="s">
        <v>87</v>
      </c>
      <c r="T27" s="527"/>
    </row>
    <row r="28" spans="1:24" ht="36.75" thickBot="1" x14ac:dyDescent="0.3">
      <c r="A28" s="89" t="s">
        <v>88</v>
      </c>
      <c r="B28" s="90" t="s">
        <v>103</v>
      </c>
      <c r="C28" s="18" t="s">
        <v>104</v>
      </c>
      <c r="D28" s="131" t="s">
        <v>124</v>
      </c>
      <c r="E28" s="132" t="s">
        <v>125</v>
      </c>
      <c r="F28" s="132" t="s">
        <v>126</v>
      </c>
      <c r="G28" s="132" t="s">
        <v>117</v>
      </c>
      <c r="H28" s="10" t="s">
        <v>109</v>
      </c>
      <c r="I28" s="131" t="s">
        <v>110</v>
      </c>
      <c r="J28" s="132" t="s">
        <v>112</v>
      </c>
      <c r="K28" s="132" t="s">
        <v>113</v>
      </c>
      <c r="L28" s="132" t="s">
        <v>114</v>
      </c>
      <c r="M28" s="132" t="s">
        <v>115</v>
      </c>
      <c r="N28" s="132" t="s">
        <v>116</v>
      </c>
      <c r="O28" s="134" t="s">
        <v>117</v>
      </c>
      <c r="P28" s="10" t="s">
        <v>91</v>
      </c>
      <c r="Q28" s="243" t="s">
        <v>35</v>
      </c>
      <c r="R28" s="92" t="s">
        <v>119</v>
      </c>
      <c r="S28" s="279" t="s">
        <v>120</v>
      </c>
      <c r="T28" s="92" t="s">
        <v>121</v>
      </c>
    </row>
    <row r="29" spans="1:24" x14ac:dyDescent="0.25">
      <c r="A29" s="86">
        <v>43466</v>
      </c>
      <c r="B29" s="93">
        <v>158</v>
      </c>
      <c r="C29" s="91">
        <f>B29/10</f>
        <v>15.8</v>
      </c>
      <c r="D29" s="105">
        <v>75.489999999999995</v>
      </c>
      <c r="E29" s="106">
        <v>1.93</v>
      </c>
      <c r="F29" s="106">
        <v>0.78</v>
      </c>
      <c r="G29" s="107">
        <v>6.26</v>
      </c>
      <c r="H29" s="136">
        <f>SUM(D29:G29)</f>
        <v>84.460000000000008</v>
      </c>
      <c r="I29" s="140">
        <v>24.27</v>
      </c>
      <c r="J29" s="106">
        <v>46.5</v>
      </c>
      <c r="K29" s="106">
        <v>2.4500000000000002</v>
      </c>
      <c r="L29" s="106">
        <v>-5.89</v>
      </c>
      <c r="M29" s="106">
        <v>0.17</v>
      </c>
      <c r="N29" s="106">
        <v>0.68</v>
      </c>
      <c r="O29" s="107">
        <v>5.45</v>
      </c>
      <c r="P29" s="135">
        <f>SUM(I29:O29)</f>
        <v>73.63000000000001</v>
      </c>
      <c r="Q29" s="105">
        <f>H29+P29</f>
        <v>158.09000000000003</v>
      </c>
      <c r="R29" s="245">
        <f>D29+E29+J29+L29+M29</f>
        <v>118.2</v>
      </c>
      <c r="S29" s="105">
        <f>R29/C29</f>
        <v>7.481012658227848</v>
      </c>
      <c r="T29" s="107">
        <f>Q29/C29</f>
        <v>10.005696202531647</v>
      </c>
    </row>
    <row r="30" spans="1:24" x14ac:dyDescent="0.25">
      <c r="A30" s="86">
        <v>43497</v>
      </c>
      <c r="B30" s="87">
        <v>188</v>
      </c>
      <c r="C30" s="94">
        <f t="shared" ref="C30:C40" si="8">B30/10</f>
        <v>18.8</v>
      </c>
      <c r="D30" s="108">
        <v>68.099999999999994</v>
      </c>
      <c r="E30" s="99">
        <v>2</v>
      </c>
      <c r="F30" s="99">
        <v>0.71</v>
      </c>
      <c r="G30" s="109">
        <v>5.66</v>
      </c>
      <c r="H30" s="103">
        <f>SUM(D30:G30)</f>
        <v>76.469999999999985</v>
      </c>
      <c r="I30" s="141">
        <v>24.27</v>
      </c>
      <c r="J30" s="99">
        <v>55.5</v>
      </c>
      <c r="K30" s="99">
        <v>0.28000000000000003</v>
      </c>
      <c r="L30" s="99">
        <v>-7.02</v>
      </c>
      <c r="M30" s="99">
        <v>0.09</v>
      </c>
      <c r="N30" s="99">
        <v>0.74</v>
      </c>
      <c r="O30" s="109">
        <v>5.91</v>
      </c>
      <c r="P30" s="126">
        <f>SUM(I30:O30)</f>
        <v>79.77</v>
      </c>
      <c r="Q30" s="108">
        <f t="shared" ref="Q30:Q40" si="9">H30+P30</f>
        <v>156.23999999999998</v>
      </c>
      <c r="R30" s="202">
        <f>D30+E30+J30+L30+M30</f>
        <v>118.67</v>
      </c>
      <c r="S30" s="108">
        <f t="shared" ref="S30:S39" si="10">R30/C30</f>
        <v>6.3122340425531913</v>
      </c>
      <c r="T30" s="109">
        <f t="shared" ref="T30:T41" si="11">Q30/C30</f>
        <v>8.3106382978723392</v>
      </c>
    </row>
    <row r="31" spans="1:24" x14ac:dyDescent="0.25">
      <c r="A31" s="86">
        <v>43525</v>
      </c>
      <c r="B31" s="87">
        <v>201</v>
      </c>
      <c r="C31" s="94">
        <f t="shared" si="8"/>
        <v>20.100000000000001</v>
      </c>
      <c r="D31" s="108">
        <v>71.19</v>
      </c>
      <c r="E31" s="99">
        <v>2.12</v>
      </c>
      <c r="F31" s="99">
        <v>0.74</v>
      </c>
      <c r="G31" s="109">
        <v>5.92</v>
      </c>
      <c r="H31" s="103">
        <f t="shared" ref="H31:H40" si="12">SUM(D31:G31)</f>
        <v>79.97</v>
      </c>
      <c r="I31" s="141">
        <v>24.27</v>
      </c>
      <c r="J31" s="99">
        <v>59.4</v>
      </c>
      <c r="K31" s="99">
        <v>-3.63</v>
      </c>
      <c r="L31" s="99">
        <v>-7.51</v>
      </c>
      <c r="M31" s="99">
        <v>0.1</v>
      </c>
      <c r="N31" s="99">
        <v>0.73</v>
      </c>
      <c r="O31" s="109">
        <v>5.87</v>
      </c>
      <c r="P31" s="126">
        <f>SUM(I31:O31)</f>
        <v>79.23</v>
      </c>
      <c r="Q31" s="108">
        <f t="shared" si="9"/>
        <v>159.19999999999999</v>
      </c>
      <c r="R31" s="202">
        <f t="shared" ref="R31:R40" si="13">D31+E31+J31+L31+M31</f>
        <v>125.3</v>
      </c>
      <c r="S31" s="108">
        <f t="shared" si="10"/>
        <v>6.233830845771144</v>
      </c>
      <c r="T31" s="109">
        <f t="shared" si="11"/>
        <v>7.9203980099502473</v>
      </c>
    </row>
    <row r="32" spans="1:24" x14ac:dyDescent="0.25">
      <c r="A32" s="86">
        <v>43556</v>
      </c>
      <c r="B32" s="87">
        <v>202</v>
      </c>
      <c r="C32" s="94">
        <f t="shared" si="8"/>
        <v>20.2</v>
      </c>
      <c r="D32" s="108">
        <v>65.02</v>
      </c>
      <c r="E32" s="99">
        <v>2.04</v>
      </c>
      <c r="F32" s="99">
        <v>0.68</v>
      </c>
      <c r="G32" s="109">
        <v>5.42</v>
      </c>
      <c r="H32" s="103">
        <f t="shared" si="12"/>
        <v>73.160000000000011</v>
      </c>
      <c r="I32" s="141">
        <v>24.27</v>
      </c>
      <c r="J32" s="99">
        <v>63.73</v>
      </c>
      <c r="K32" s="99">
        <v>11.99</v>
      </c>
      <c r="L32" s="99">
        <v>-7.55</v>
      </c>
      <c r="M32" s="99">
        <v>0.1</v>
      </c>
      <c r="N32" s="99">
        <v>0.93</v>
      </c>
      <c r="O32" s="109">
        <v>7.48</v>
      </c>
      <c r="P32" s="126">
        <f>SUM(I32:O32)</f>
        <v>100.95</v>
      </c>
      <c r="Q32" s="108">
        <f t="shared" si="9"/>
        <v>174.11</v>
      </c>
      <c r="R32" s="202">
        <f t="shared" si="13"/>
        <v>123.33999999999999</v>
      </c>
      <c r="S32" s="108">
        <f t="shared" si="10"/>
        <v>6.1059405940594056</v>
      </c>
      <c r="T32" s="109">
        <f t="shared" si="11"/>
        <v>8.619306930693071</v>
      </c>
    </row>
    <row r="33" spans="1:20" x14ac:dyDescent="0.25">
      <c r="A33" s="86">
        <v>43586</v>
      </c>
      <c r="B33" s="87">
        <v>184</v>
      </c>
      <c r="C33" s="94">
        <f t="shared" si="8"/>
        <v>18.399999999999999</v>
      </c>
      <c r="D33" s="108">
        <v>52.79</v>
      </c>
      <c r="E33" s="99">
        <v>1.77</v>
      </c>
      <c r="F33" s="99">
        <v>0.55000000000000004</v>
      </c>
      <c r="G33" s="109">
        <v>4.41</v>
      </c>
      <c r="H33" s="103">
        <f t="shared" si="12"/>
        <v>59.519999999999996</v>
      </c>
      <c r="I33" s="141">
        <v>24.27</v>
      </c>
      <c r="J33" s="99">
        <v>58.7</v>
      </c>
      <c r="K33" s="99">
        <v>-4.93</v>
      </c>
      <c r="L33" s="99">
        <v>-6.87</v>
      </c>
      <c r="M33" s="99">
        <v>0.09</v>
      </c>
      <c r="N33" s="99">
        <v>0.72</v>
      </c>
      <c r="O33" s="109">
        <v>5.76</v>
      </c>
      <c r="P33" s="126">
        <f>SUM(I33:O33)</f>
        <v>77.739999999999995</v>
      </c>
      <c r="Q33" s="108">
        <f t="shared" si="9"/>
        <v>137.26</v>
      </c>
      <c r="R33" s="202">
        <f t="shared" si="13"/>
        <v>106.48</v>
      </c>
      <c r="S33" s="108">
        <f t="shared" si="10"/>
        <v>5.786956521739131</v>
      </c>
      <c r="T33" s="109">
        <f t="shared" si="11"/>
        <v>7.4597826086956527</v>
      </c>
    </row>
    <row r="34" spans="1:20" x14ac:dyDescent="0.25">
      <c r="A34" s="86">
        <v>43617</v>
      </c>
      <c r="B34" s="87">
        <v>113</v>
      </c>
      <c r="C34" s="94">
        <f t="shared" si="8"/>
        <v>11.3</v>
      </c>
      <c r="D34" s="238"/>
      <c r="E34" s="239"/>
      <c r="F34" s="239"/>
      <c r="G34" s="240"/>
      <c r="H34" s="244">
        <v>31.19</v>
      </c>
      <c r="I34" s="248"/>
      <c r="J34" s="239"/>
      <c r="K34" s="239"/>
      <c r="L34" s="239"/>
      <c r="M34" s="239"/>
      <c r="N34" s="239"/>
      <c r="O34" s="240"/>
      <c r="P34" s="241">
        <v>60.69</v>
      </c>
      <c r="Q34" s="238">
        <f t="shared" si="9"/>
        <v>91.88</v>
      </c>
      <c r="R34" s="249">
        <f>D34+E34+J34+L34+M34</f>
        <v>0</v>
      </c>
      <c r="S34" s="238">
        <f t="shared" si="10"/>
        <v>0</v>
      </c>
      <c r="T34" s="109">
        <f t="shared" si="11"/>
        <v>8.1309734513274332</v>
      </c>
    </row>
    <row r="35" spans="1:20" x14ac:dyDescent="0.25">
      <c r="A35" s="86">
        <v>43647</v>
      </c>
      <c r="B35" s="87">
        <v>77</v>
      </c>
      <c r="C35" s="94">
        <f t="shared" si="8"/>
        <v>7.7</v>
      </c>
      <c r="D35" s="108">
        <v>13.43</v>
      </c>
      <c r="E35" s="99">
        <v>0.62</v>
      </c>
      <c r="F35" s="99">
        <v>0.14000000000000001</v>
      </c>
      <c r="G35" s="109">
        <v>1.1399999999999999</v>
      </c>
      <c r="H35" s="103">
        <f t="shared" si="12"/>
        <v>15.33</v>
      </c>
      <c r="I35" s="141">
        <v>24.27</v>
      </c>
      <c r="J35" s="99">
        <v>24</v>
      </c>
      <c r="K35" s="99">
        <v>0</v>
      </c>
      <c r="L35" s="99">
        <v>-0.81</v>
      </c>
      <c r="M35" s="99">
        <v>0.04</v>
      </c>
      <c r="N35" s="99">
        <v>0.48</v>
      </c>
      <c r="O35" s="109">
        <v>3.84</v>
      </c>
      <c r="P35" s="126">
        <f>SUM(I35:O35)</f>
        <v>51.819999999999993</v>
      </c>
      <c r="Q35" s="108">
        <f t="shared" si="9"/>
        <v>67.149999999999991</v>
      </c>
      <c r="R35" s="202">
        <f t="shared" si="13"/>
        <v>37.279999999999994</v>
      </c>
      <c r="S35" s="108">
        <f t="shared" si="10"/>
        <v>4.8415584415584405</v>
      </c>
      <c r="T35" s="109">
        <f t="shared" si="11"/>
        <v>8.7207792207792192</v>
      </c>
    </row>
    <row r="36" spans="1:20" x14ac:dyDescent="0.25">
      <c r="A36" s="86">
        <v>43678</v>
      </c>
      <c r="B36" s="87">
        <v>75</v>
      </c>
      <c r="C36" s="94">
        <f t="shared" si="8"/>
        <v>7.5</v>
      </c>
      <c r="D36" s="108">
        <v>17.75</v>
      </c>
      <c r="E36" s="99">
        <v>0.67</v>
      </c>
      <c r="F36" s="99">
        <v>0.19</v>
      </c>
      <c r="G36" s="109">
        <v>1.49</v>
      </c>
      <c r="H36" s="103">
        <f t="shared" si="12"/>
        <v>20.100000000000001</v>
      </c>
      <c r="I36" s="141">
        <v>24.27</v>
      </c>
      <c r="J36" s="99">
        <v>23.35</v>
      </c>
      <c r="K36" s="99">
        <v>0</v>
      </c>
      <c r="L36" s="99">
        <v>-0.33</v>
      </c>
      <c r="M36" s="99">
        <v>0.04</v>
      </c>
      <c r="N36" s="99">
        <v>0.48</v>
      </c>
      <c r="O36" s="109">
        <v>3.82</v>
      </c>
      <c r="P36" s="126">
        <f>SUM(I36:O36)</f>
        <v>51.63</v>
      </c>
      <c r="Q36" s="108">
        <f t="shared" si="9"/>
        <v>71.73</v>
      </c>
      <c r="R36" s="202">
        <f t="shared" si="13"/>
        <v>41.480000000000004</v>
      </c>
      <c r="S36" s="108">
        <f t="shared" si="10"/>
        <v>5.5306666666666668</v>
      </c>
      <c r="T36" s="109">
        <f t="shared" si="11"/>
        <v>9.5640000000000001</v>
      </c>
    </row>
    <row r="37" spans="1:20" x14ac:dyDescent="0.25">
      <c r="A37" s="86">
        <v>43709</v>
      </c>
      <c r="B37" s="87">
        <v>77</v>
      </c>
      <c r="C37" s="94">
        <f t="shared" si="8"/>
        <v>7.7</v>
      </c>
      <c r="D37" s="108">
        <v>17.399999999999999</v>
      </c>
      <c r="E37" s="99">
        <v>0.67</v>
      </c>
      <c r="F37" s="99">
        <v>0.18</v>
      </c>
      <c r="G37" s="109">
        <v>1.46</v>
      </c>
      <c r="H37" s="103">
        <f t="shared" si="12"/>
        <v>19.71</v>
      </c>
      <c r="I37" s="141">
        <v>24.27</v>
      </c>
      <c r="J37" s="99">
        <v>24</v>
      </c>
      <c r="K37" s="99">
        <v>0</v>
      </c>
      <c r="L37" s="99">
        <v>-0.33</v>
      </c>
      <c r="M37" s="99">
        <v>0.04</v>
      </c>
      <c r="N37" s="99">
        <v>0.48</v>
      </c>
      <c r="O37" s="109">
        <v>3.88</v>
      </c>
      <c r="P37" s="126">
        <f>SUM(I37:O37)</f>
        <v>52.339999999999996</v>
      </c>
      <c r="Q37" s="108">
        <f t="shared" si="9"/>
        <v>72.05</v>
      </c>
      <c r="R37" s="202">
        <f t="shared" si="13"/>
        <v>41.78</v>
      </c>
      <c r="S37" s="108">
        <f t="shared" si="10"/>
        <v>5.4259740259740257</v>
      </c>
      <c r="T37" s="109">
        <f t="shared" si="11"/>
        <v>9.3571428571428559</v>
      </c>
    </row>
    <row r="38" spans="1:20" x14ac:dyDescent="0.25">
      <c r="A38" s="86">
        <v>43739</v>
      </c>
      <c r="B38" s="87">
        <v>82</v>
      </c>
      <c r="C38" s="94">
        <f t="shared" si="8"/>
        <v>8.1999999999999993</v>
      </c>
      <c r="D38" s="108">
        <v>16.45</v>
      </c>
      <c r="E38" s="99">
        <v>0.69</v>
      </c>
      <c r="F38" s="99">
        <v>0.17</v>
      </c>
      <c r="G38" s="109">
        <v>1.38</v>
      </c>
      <c r="H38" s="103">
        <f t="shared" si="12"/>
        <v>18.690000000000001</v>
      </c>
      <c r="I38" s="141">
        <v>24.27</v>
      </c>
      <c r="J38" s="99">
        <v>25.62</v>
      </c>
      <c r="K38" s="99">
        <v>0.74</v>
      </c>
      <c r="L38" s="99">
        <v>-0.36</v>
      </c>
      <c r="M38" s="99">
        <v>0.04</v>
      </c>
      <c r="N38" s="99">
        <v>0.51</v>
      </c>
      <c r="O38" s="109">
        <v>4.07</v>
      </c>
      <c r="P38" s="126">
        <f>SUM(I38:O38)</f>
        <v>54.89</v>
      </c>
      <c r="Q38" s="108">
        <f t="shared" si="9"/>
        <v>73.58</v>
      </c>
      <c r="R38" s="202">
        <f t="shared" si="13"/>
        <v>42.440000000000005</v>
      </c>
      <c r="S38" s="108">
        <f t="shared" si="10"/>
        <v>5.175609756097562</v>
      </c>
      <c r="T38" s="109">
        <f t="shared" si="11"/>
        <v>8.9731707317073184</v>
      </c>
    </row>
    <row r="39" spans="1:20" x14ac:dyDescent="0.25">
      <c r="A39" s="86">
        <v>43770</v>
      </c>
      <c r="B39" s="87">
        <v>84</v>
      </c>
      <c r="C39" s="94">
        <f t="shared" si="8"/>
        <v>8.4</v>
      </c>
      <c r="D39" s="108">
        <v>21.53</v>
      </c>
      <c r="E39" s="99">
        <v>0.76</v>
      </c>
      <c r="F39" s="99">
        <v>0.23</v>
      </c>
      <c r="G39" s="109">
        <v>1.8</v>
      </c>
      <c r="H39" s="103">
        <f t="shared" ref="H39" si="14">SUM(D39:G39)</f>
        <v>24.320000000000004</v>
      </c>
      <c r="I39" s="141">
        <v>24.27</v>
      </c>
      <c r="J39" s="99">
        <v>26.27</v>
      </c>
      <c r="K39" s="99">
        <v>-2.4700000000000002</v>
      </c>
      <c r="L39" s="99">
        <v>-0.36</v>
      </c>
      <c r="M39" s="99">
        <v>0.04</v>
      </c>
      <c r="N39" s="99">
        <v>0.48</v>
      </c>
      <c r="O39" s="109">
        <v>3.86</v>
      </c>
      <c r="P39" s="126">
        <f>SUM(I39:O39)</f>
        <v>52.089999999999996</v>
      </c>
      <c r="Q39" s="108">
        <f t="shared" si="9"/>
        <v>76.41</v>
      </c>
      <c r="R39" s="202">
        <f t="shared" si="13"/>
        <v>48.24</v>
      </c>
      <c r="S39" s="108">
        <f t="shared" si="10"/>
        <v>5.7428571428571429</v>
      </c>
      <c r="T39" s="109">
        <f t="shared" si="11"/>
        <v>9.0964285714285698</v>
      </c>
    </row>
    <row r="40" spans="1:20" ht="15.75" thickBot="1" x14ac:dyDescent="0.3">
      <c r="A40" s="86">
        <v>43800</v>
      </c>
      <c r="B40" s="88"/>
      <c r="C40" s="95">
        <f t="shared" si="8"/>
        <v>0</v>
      </c>
      <c r="D40" s="108"/>
      <c r="E40" s="99"/>
      <c r="F40" s="99"/>
      <c r="G40" s="109"/>
      <c r="H40" s="103">
        <f t="shared" si="12"/>
        <v>0</v>
      </c>
      <c r="I40" s="141"/>
      <c r="J40" s="99"/>
      <c r="K40" s="99"/>
      <c r="L40" s="99"/>
      <c r="M40" s="99"/>
      <c r="N40" s="99"/>
      <c r="O40" s="109"/>
      <c r="P40" s="126">
        <f>SUM(I40:N40)</f>
        <v>0</v>
      </c>
      <c r="Q40" s="110">
        <f t="shared" si="9"/>
        <v>0</v>
      </c>
      <c r="R40" s="246">
        <f t="shared" si="13"/>
        <v>0</v>
      </c>
      <c r="S40" s="116"/>
      <c r="T40" s="118"/>
    </row>
    <row r="41" spans="1:20" ht="15.75" thickBot="1" x14ac:dyDescent="0.3">
      <c r="A41" s="112" t="s">
        <v>99</v>
      </c>
      <c r="B41" s="127">
        <f>SUM(B29:B40)</f>
        <v>1441</v>
      </c>
      <c r="C41" s="128">
        <f>SUM(C29:C40)</f>
        <v>144.10000000000002</v>
      </c>
      <c r="D41" s="122"/>
      <c r="E41" s="124"/>
      <c r="F41" s="124"/>
      <c r="G41" s="125"/>
      <c r="H41" s="123">
        <f>SUM(H29:H40)</f>
        <v>502.91999999999996</v>
      </c>
      <c r="I41" s="142"/>
      <c r="J41" s="124"/>
      <c r="K41" s="124"/>
      <c r="L41" s="124"/>
      <c r="M41" s="124"/>
      <c r="N41" s="133"/>
      <c r="O41" s="125"/>
      <c r="P41" s="204">
        <f>SUM(P29:P40)</f>
        <v>734.78</v>
      </c>
      <c r="Q41" s="137">
        <f>H41+P41</f>
        <v>1237.6999999999998</v>
      </c>
      <c r="R41" s="276">
        <f>SUM(R29:R40)</f>
        <v>803.21</v>
      </c>
      <c r="S41" s="122">
        <f>R41/C41</f>
        <v>5.5739764052741148</v>
      </c>
      <c r="T41" s="125">
        <f t="shared" si="11"/>
        <v>8.5891741845940288</v>
      </c>
    </row>
    <row r="42" spans="1:20" x14ac:dyDescent="0.25">
      <c r="S42" s="247">
        <f>AVERAGE(S29:S33,S35:S39)</f>
        <v>5.863664069550456</v>
      </c>
      <c r="T42" s="247"/>
    </row>
  </sheetData>
  <sheetProtection algorithmName="SHA-512" hashValue="zwK9y3H3ypxfZGeoci1JunqIkEfTpp++W0X0JoGY3MHSBY5ys2JUGN4ZZNL32FmfB+/D+zbykwRopTzWUh4Qkw==" saltValue="mJEG5mPMfpASdu8slZR2BQ==" spinCount="100000" sheet="1" objects="1" scenarios="1"/>
  <mergeCells count="11">
    <mergeCell ref="U9:V9"/>
    <mergeCell ref="Q27:R27"/>
    <mergeCell ref="W9:X9"/>
    <mergeCell ref="A8:X8"/>
    <mergeCell ref="S27:T27"/>
    <mergeCell ref="A26:T26"/>
    <mergeCell ref="B27:C27"/>
    <mergeCell ref="D27:H27"/>
    <mergeCell ref="I27:P27"/>
    <mergeCell ref="B9:H9"/>
    <mergeCell ref="I9:S9"/>
  </mergeCells>
  <pageMargins left="0.7" right="0.7" top="0.75" bottom="0.75" header="0.3" footer="0.3"/>
  <pageSetup scale="5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A901A-7375-4B3B-82B4-C14B1C5DECEE}">
  <sheetPr>
    <pageSetUpPr fitToPage="1"/>
  </sheetPr>
  <dimension ref="A1:AO39"/>
  <sheetViews>
    <sheetView view="pageBreakPreview" zoomScaleNormal="100" zoomScaleSheetLayoutView="100" workbookViewId="0">
      <selection activeCell="A6" sqref="A6:B6"/>
    </sheetView>
  </sheetViews>
  <sheetFormatPr defaultColWidth="10" defaultRowHeight="15" x14ac:dyDescent="0.25"/>
  <cols>
    <col min="1" max="1" width="10" style="2"/>
    <col min="2" max="2" width="12.28515625" style="2" bestFit="1" customWidth="1"/>
    <col min="3" max="3" width="8.7109375" style="2" customWidth="1"/>
    <col min="4" max="4" width="7.7109375" style="2" customWidth="1"/>
    <col min="5" max="5" width="8.42578125" style="3" bestFit="1" customWidth="1"/>
    <col min="6" max="6" width="7.7109375" style="3" bestFit="1" customWidth="1"/>
    <col min="7" max="7" width="8.7109375" style="3" bestFit="1" customWidth="1"/>
    <col min="8" max="8" width="9.28515625" style="3" bestFit="1" customWidth="1"/>
    <col min="9" max="9" width="9.42578125" style="3" customWidth="1"/>
    <col min="10" max="10" width="11.28515625" style="3" customWidth="1"/>
    <col min="11" max="12" width="9.28515625" style="3" customWidth="1"/>
    <col min="13" max="15" width="12.28515625" style="3" customWidth="1"/>
    <col min="16" max="16" width="11.5703125" style="3" customWidth="1"/>
    <col min="17" max="18" width="10.42578125" style="4" customWidth="1"/>
    <col min="19" max="19" width="9.5703125" style="2" bestFit="1" customWidth="1"/>
    <col min="20" max="20" width="11.42578125" style="2" bestFit="1" customWidth="1"/>
    <col min="21" max="21" width="9.28515625" style="2" customWidth="1"/>
    <col min="22" max="22" width="9.5703125" style="2" customWidth="1"/>
    <col min="23" max="23" width="10.42578125" style="2" customWidth="1"/>
    <col min="24" max="24" width="8.5703125" style="2" bestFit="1" customWidth="1"/>
    <col min="25" max="25" width="8.7109375" style="2" bestFit="1" customWidth="1"/>
    <col min="26" max="26" width="8.28515625" style="2" customWidth="1"/>
    <col min="27" max="28" width="8.7109375" style="2" bestFit="1" customWidth="1"/>
    <col min="29" max="29" width="10.7109375" style="2" bestFit="1" customWidth="1"/>
    <col min="30" max="30" width="7.7109375" style="2" bestFit="1" customWidth="1"/>
    <col min="31" max="31" width="10.28515625" style="2" customWidth="1"/>
    <col min="32" max="33" width="11.28515625" style="2" customWidth="1"/>
    <col min="34" max="34" width="9.7109375" style="2" customWidth="1"/>
    <col min="35" max="35" width="13" style="2" bestFit="1" customWidth="1"/>
    <col min="36" max="36" width="10.42578125" style="2" customWidth="1"/>
    <col min="37" max="37" width="8.28515625" style="2" customWidth="1"/>
    <col min="38" max="38" width="8.7109375" style="2" customWidth="1"/>
    <col min="39" max="39" width="9.28515625" style="2" customWidth="1"/>
    <col min="40" max="41" width="11.42578125" style="2" bestFit="1" customWidth="1"/>
    <col min="42" max="16384" width="10" style="2"/>
  </cols>
  <sheetData>
    <row r="1" spans="1:35" x14ac:dyDescent="0.25">
      <c r="A1" s="1" t="s">
        <v>80</v>
      </c>
    </row>
    <row r="2" spans="1:35" x14ac:dyDescent="0.25">
      <c r="A2" s="1" t="s">
        <v>12</v>
      </c>
    </row>
    <row r="3" spans="1:35" x14ac:dyDescent="0.25">
      <c r="A3" s="52" t="s">
        <v>82</v>
      </c>
    </row>
    <row r="4" spans="1:35" x14ac:dyDescent="0.25">
      <c r="A4" s="52" t="s">
        <v>83</v>
      </c>
    </row>
    <row r="5" spans="1:35" x14ac:dyDescent="0.25"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</row>
    <row r="6" spans="1:35" x14ac:dyDescent="0.25">
      <c r="A6" s="496"/>
      <c r="B6" s="4" t="s">
        <v>193</v>
      </c>
      <c r="C6" s="1"/>
      <c r="D6" s="1"/>
      <c r="AE6" s="5"/>
      <c r="AF6" s="5"/>
      <c r="AG6" s="5"/>
      <c r="AH6" s="5"/>
      <c r="AI6" s="5"/>
    </row>
    <row r="7" spans="1:35" x14ac:dyDescent="0.25">
      <c r="B7" s="1"/>
      <c r="C7" s="1"/>
      <c r="D7" s="1"/>
      <c r="T7" s="6"/>
      <c r="AE7" s="5"/>
      <c r="AF7" s="5"/>
      <c r="AG7" s="5"/>
      <c r="AH7" s="5"/>
      <c r="AI7" s="5"/>
    </row>
    <row r="8" spans="1:35" x14ac:dyDescent="0.25">
      <c r="B8" s="1"/>
      <c r="C8" s="1"/>
      <c r="D8" s="1"/>
      <c r="T8" s="6"/>
      <c r="AE8" s="5"/>
      <c r="AF8" s="5"/>
      <c r="AG8" s="5"/>
      <c r="AH8" s="5"/>
      <c r="AI8" s="5"/>
    </row>
    <row r="9" spans="1:35" ht="15.75" thickBot="1" x14ac:dyDescent="0.3">
      <c r="A9" s="1"/>
      <c r="B9" s="1"/>
      <c r="C9" s="1"/>
      <c r="D9" s="7"/>
      <c r="T9" s="6"/>
      <c r="AE9" s="5"/>
      <c r="AF9" s="5"/>
      <c r="AG9" s="5"/>
      <c r="AH9" s="5"/>
      <c r="AI9" s="5"/>
    </row>
    <row r="10" spans="1:35" ht="15.75" thickBot="1" x14ac:dyDescent="0.3">
      <c r="B10" s="8"/>
      <c r="C10" s="521"/>
      <c r="D10" s="534"/>
      <c r="E10" s="538" t="s">
        <v>84</v>
      </c>
      <c r="F10" s="539"/>
      <c r="G10" s="539"/>
      <c r="H10" s="539"/>
      <c r="I10" s="539"/>
      <c r="J10" s="539"/>
      <c r="K10" s="539"/>
      <c r="L10" s="539"/>
      <c r="M10" s="539"/>
      <c r="N10" s="540"/>
      <c r="O10" s="523" t="s">
        <v>85</v>
      </c>
      <c r="P10" s="524"/>
      <c r="Q10" s="524"/>
      <c r="R10" s="525"/>
      <c r="S10" s="535" t="s">
        <v>87</v>
      </c>
      <c r="T10" s="536"/>
      <c r="U10" s="536"/>
      <c r="V10" s="536"/>
      <c r="W10" s="536"/>
      <c r="X10" s="536"/>
      <c r="Y10" s="537"/>
    </row>
    <row r="11" spans="1:35" s="167" customFormat="1" ht="36.75" thickBot="1" x14ac:dyDescent="0.3">
      <c r="B11" s="10" t="s">
        <v>88</v>
      </c>
      <c r="C11" s="89" t="s">
        <v>89</v>
      </c>
      <c r="D11" s="168" t="s">
        <v>90</v>
      </c>
      <c r="E11" s="169" t="s">
        <v>127</v>
      </c>
      <c r="F11" s="170" t="s">
        <v>128</v>
      </c>
      <c r="G11" s="170" t="s">
        <v>115</v>
      </c>
      <c r="H11" s="170" t="s">
        <v>129</v>
      </c>
      <c r="I11" s="170" t="s">
        <v>130</v>
      </c>
      <c r="J11" s="170" t="s">
        <v>131</v>
      </c>
      <c r="K11" s="170" t="s">
        <v>116</v>
      </c>
      <c r="L11" s="171" t="s">
        <v>117</v>
      </c>
      <c r="M11" s="172" t="s">
        <v>91</v>
      </c>
      <c r="N11" s="173" t="s">
        <v>118</v>
      </c>
      <c r="O11" s="174" t="s">
        <v>92</v>
      </c>
      <c r="P11" s="175" t="s">
        <v>93</v>
      </c>
      <c r="Q11" s="175" t="s">
        <v>94</v>
      </c>
      <c r="R11" s="10" t="s">
        <v>96</v>
      </c>
      <c r="S11" s="176" t="s">
        <v>132</v>
      </c>
      <c r="T11" s="16" t="s">
        <v>133</v>
      </c>
      <c r="U11" s="17" t="s">
        <v>134</v>
      </c>
      <c r="V11" s="10" t="s">
        <v>135</v>
      </c>
      <c r="W11" s="177" t="s">
        <v>136</v>
      </c>
      <c r="X11" s="16" t="s">
        <v>137</v>
      </c>
      <c r="Y11" s="18" t="s">
        <v>98</v>
      </c>
    </row>
    <row r="12" spans="1:35" s="9" customFormat="1" x14ac:dyDescent="0.2">
      <c r="B12" s="86">
        <v>43435</v>
      </c>
      <c r="C12" s="129">
        <v>86352.35</v>
      </c>
      <c r="D12" s="21">
        <v>183.57</v>
      </c>
      <c r="E12" s="160"/>
      <c r="F12" s="161"/>
      <c r="G12" s="161"/>
      <c r="H12" s="161"/>
      <c r="I12" s="161"/>
      <c r="J12" s="161"/>
      <c r="K12" s="166"/>
      <c r="L12" s="163"/>
      <c r="M12" s="71">
        <v>2793.09</v>
      </c>
      <c r="N12" s="71"/>
      <c r="O12" s="63">
        <v>3786.55</v>
      </c>
      <c r="P12" s="24">
        <f>257.27+19.12</f>
        <v>276.39</v>
      </c>
      <c r="Q12" s="24">
        <f>162.52*2</f>
        <v>325.04000000000002</v>
      </c>
      <c r="R12" s="64">
        <f t="shared" ref="R12:R23" si="0">SUM(O12:Q12)</f>
        <v>4387.9800000000005</v>
      </c>
      <c r="S12" s="154"/>
      <c r="T12" s="155"/>
      <c r="U12" s="156"/>
      <c r="V12" s="285">
        <f>M12+R12</f>
        <v>7181.0700000000006</v>
      </c>
      <c r="W12" s="157"/>
      <c r="X12" s="155"/>
      <c r="Y12" s="158"/>
    </row>
    <row r="13" spans="1:35" s="9" customFormat="1" x14ac:dyDescent="0.2">
      <c r="A13" s="19"/>
      <c r="B13" s="86">
        <v>43466</v>
      </c>
      <c r="C13" s="87">
        <v>92643.32</v>
      </c>
      <c r="D13" s="153">
        <v>196.65</v>
      </c>
      <c r="E13" s="162">
        <v>368.46</v>
      </c>
      <c r="F13" s="23">
        <v>2048.19</v>
      </c>
      <c r="G13" s="23">
        <v>478.78</v>
      </c>
      <c r="H13" s="23">
        <v>112.1</v>
      </c>
      <c r="I13" s="23">
        <v>-72.25</v>
      </c>
      <c r="J13" s="23">
        <v>-255.69</v>
      </c>
      <c r="K13" s="23">
        <v>27.07</v>
      </c>
      <c r="L13" s="164">
        <v>0</v>
      </c>
      <c r="M13" s="71">
        <f>SUM(E13:L13)</f>
        <v>2706.6600000000003</v>
      </c>
      <c r="N13" s="71">
        <v>0</v>
      </c>
      <c r="O13" s="63">
        <v>4062.41</v>
      </c>
      <c r="P13" s="24">
        <f>310.44+28.69</f>
        <v>339.13</v>
      </c>
      <c r="Q13" s="24">
        <f>176.06*2</f>
        <v>352.12</v>
      </c>
      <c r="R13" s="64">
        <f t="shared" si="0"/>
        <v>4753.66</v>
      </c>
      <c r="S13" s="178">
        <f>F13+I13</f>
        <v>1975.94</v>
      </c>
      <c r="T13" s="179">
        <f>G13+H13+J13+O13+P13</f>
        <v>4736.7299999999996</v>
      </c>
      <c r="U13" s="180">
        <f>E13+K13+L13+N13+Q13</f>
        <v>747.65</v>
      </c>
      <c r="V13" s="64">
        <f t="shared" ref="V13:V23" si="1">M13+R13</f>
        <v>7460.32</v>
      </c>
      <c r="W13" s="181">
        <f t="shared" ref="W13:W23" si="2">S13/D13</f>
        <v>10.048004068141369</v>
      </c>
      <c r="X13" s="182">
        <f t="shared" ref="X13:X24" si="3">T13/C13</f>
        <v>5.112867284980719E-2</v>
      </c>
      <c r="Y13" s="151">
        <f t="shared" ref="Y13:Y24" si="4">V13/C13</f>
        <v>8.0527338614376068E-2</v>
      </c>
      <c r="AA13" s="26">
        <f>S13+T13+U13</f>
        <v>7460.32</v>
      </c>
      <c r="AB13" s="26">
        <f>V13-AA13</f>
        <v>0</v>
      </c>
    </row>
    <row r="14" spans="1:35" s="9" customFormat="1" x14ac:dyDescent="0.2">
      <c r="A14" s="27"/>
      <c r="B14" s="86">
        <v>43497</v>
      </c>
      <c r="C14" s="87">
        <v>85934.26</v>
      </c>
      <c r="D14" s="30">
        <v>201.08</v>
      </c>
      <c r="E14" s="22">
        <v>368.46</v>
      </c>
      <c r="F14" s="23">
        <v>2080.77</v>
      </c>
      <c r="G14" s="23">
        <v>433.53</v>
      </c>
      <c r="H14" s="23">
        <v>141.88</v>
      </c>
      <c r="I14" s="23">
        <v>-81.28</v>
      </c>
      <c r="J14" s="23">
        <v>-248.35</v>
      </c>
      <c r="K14" s="23">
        <v>27.22</v>
      </c>
      <c r="L14" s="164">
        <v>0</v>
      </c>
      <c r="M14" s="71">
        <f t="shared" ref="M14:M23" si="5">SUM(E14:L14)</f>
        <v>2722.23</v>
      </c>
      <c r="N14" s="71">
        <v>0</v>
      </c>
      <c r="O14" s="65">
        <v>3768.22</v>
      </c>
      <c r="P14" s="28">
        <f>260.14+22.77</f>
        <v>282.90999999999997</v>
      </c>
      <c r="Q14" s="28">
        <f>162.05*2</f>
        <v>324.10000000000002</v>
      </c>
      <c r="R14" s="64">
        <f t="shared" si="0"/>
        <v>4375.2299999999996</v>
      </c>
      <c r="S14" s="178">
        <f t="shared" ref="S14:S23" si="6">F14+I14</f>
        <v>1999.49</v>
      </c>
      <c r="T14" s="179">
        <f t="shared" ref="T14:T23" si="7">G14+H14+J14+O14+P14</f>
        <v>4378.1899999999996</v>
      </c>
      <c r="U14" s="180">
        <f t="shared" ref="U14:U23" si="8">E14+K14+L14+N14+Q14</f>
        <v>719.78</v>
      </c>
      <c r="V14" s="64">
        <f t="shared" si="1"/>
        <v>7097.4599999999991</v>
      </c>
      <c r="W14" s="181">
        <f t="shared" si="2"/>
        <v>9.9437537298587628</v>
      </c>
      <c r="X14" s="182">
        <f t="shared" si="3"/>
        <v>5.094813174629071E-2</v>
      </c>
      <c r="Y14" s="151">
        <f t="shared" si="4"/>
        <v>8.2591739313284354E-2</v>
      </c>
      <c r="AA14" s="26">
        <f t="shared" ref="AA14:AA23" si="9">S14+T14+U14</f>
        <v>7097.4599999999991</v>
      </c>
      <c r="AB14" s="26">
        <f>V14-AA14</f>
        <v>0</v>
      </c>
    </row>
    <row r="15" spans="1:35" s="9" customFormat="1" x14ac:dyDescent="0.2">
      <c r="A15" s="19"/>
      <c r="B15" s="86">
        <v>43525</v>
      </c>
      <c r="C15" s="87">
        <v>85879.55</v>
      </c>
      <c r="D15" s="30">
        <v>182.9</v>
      </c>
      <c r="E15" s="31">
        <v>368.46</v>
      </c>
      <c r="F15" s="32">
        <v>1899.53</v>
      </c>
      <c r="G15" s="32">
        <v>433.25</v>
      </c>
      <c r="H15" s="32">
        <v>273.95</v>
      </c>
      <c r="I15" s="32">
        <v>-74.2</v>
      </c>
      <c r="J15" s="32">
        <v>-251.62</v>
      </c>
      <c r="K15" s="32">
        <v>26.76</v>
      </c>
      <c r="L15" s="164">
        <v>0</v>
      </c>
      <c r="M15" s="71">
        <f t="shared" si="5"/>
        <v>2676.13</v>
      </c>
      <c r="N15" s="71">
        <v>0</v>
      </c>
      <c r="O15" s="65">
        <v>3765.82</v>
      </c>
      <c r="P15" s="28">
        <f>269.97+10</f>
        <v>279.97000000000003</v>
      </c>
      <c r="Q15" s="28">
        <f>161.83*2</f>
        <v>323.66000000000003</v>
      </c>
      <c r="R15" s="64">
        <f t="shared" si="0"/>
        <v>4369.45</v>
      </c>
      <c r="S15" s="178">
        <f t="shared" si="6"/>
        <v>1825.33</v>
      </c>
      <c r="T15" s="179">
        <f t="shared" si="7"/>
        <v>4501.3700000000008</v>
      </c>
      <c r="U15" s="180">
        <f t="shared" si="8"/>
        <v>718.88</v>
      </c>
      <c r="V15" s="64">
        <f t="shared" si="1"/>
        <v>7045.58</v>
      </c>
      <c r="W15" s="181">
        <f t="shared" si="2"/>
        <v>9.9799343903772542</v>
      </c>
      <c r="X15" s="182">
        <f t="shared" si="3"/>
        <v>5.2414922993890868E-2</v>
      </c>
      <c r="Y15" s="151">
        <f t="shared" si="4"/>
        <v>8.2040252889075446E-2</v>
      </c>
      <c r="AA15" s="26">
        <f t="shared" si="9"/>
        <v>7045.5800000000008</v>
      </c>
      <c r="AB15" s="26">
        <f>V15-AA15</f>
        <v>0</v>
      </c>
    </row>
    <row r="16" spans="1:35" s="9" customFormat="1" x14ac:dyDescent="0.2">
      <c r="A16" s="27"/>
      <c r="B16" s="86">
        <v>43556</v>
      </c>
      <c r="C16" s="87">
        <v>99834.48</v>
      </c>
      <c r="D16" s="153">
        <v>196.77</v>
      </c>
      <c r="E16" s="22">
        <v>427.37</v>
      </c>
      <c r="F16" s="23">
        <v>2137.63</v>
      </c>
      <c r="G16" s="23">
        <v>503.66</v>
      </c>
      <c r="H16" s="23">
        <v>450.15</v>
      </c>
      <c r="I16" s="23">
        <v>0</v>
      </c>
      <c r="J16" s="23">
        <v>-296.5</v>
      </c>
      <c r="K16" s="23">
        <v>32.549999999999997</v>
      </c>
      <c r="L16" s="164">
        <v>0</v>
      </c>
      <c r="M16" s="71">
        <f t="shared" si="5"/>
        <v>3254.86</v>
      </c>
      <c r="N16" s="71">
        <v>0</v>
      </c>
      <c r="O16" s="65">
        <v>4377.74</v>
      </c>
      <c r="P16" s="28">
        <f>327.33+31.5</f>
        <v>358.83</v>
      </c>
      <c r="Q16" s="28">
        <f>189.46*2</f>
        <v>378.92</v>
      </c>
      <c r="R16" s="64">
        <f t="shared" si="0"/>
        <v>5115.49</v>
      </c>
      <c r="S16" s="178">
        <f t="shared" si="6"/>
        <v>2137.63</v>
      </c>
      <c r="T16" s="179">
        <f t="shared" si="7"/>
        <v>5393.8799999999992</v>
      </c>
      <c r="U16" s="180">
        <f t="shared" si="8"/>
        <v>838.84</v>
      </c>
      <c r="V16" s="64">
        <f t="shared" si="1"/>
        <v>8370.35</v>
      </c>
      <c r="W16" s="181">
        <f t="shared" si="2"/>
        <v>10.863597093052803</v>
      </c>
      <c r="X16" s="182">
        <f t="shared" si="3"/>
        <v>5.402822752219473E-2</v>
      </c>
      <c r="Y16" s="151">
        <f t="shared" si="4"/>
        <v>8.3842275734796246E-2</v>
      </c>
      <c r="AA16" s="26">
        <f t="shared" si="9"/>
        <v>8370.3499999999985</v>
      </c>
      <c r="AB16" s="26">
        <f>V16-AA16</f>
        <v>0</v>
      </c>
    </row>
    <row r="17" spans="1:35" s="9" customFormat="1" x14ac:dyDescent="0.2">
      <c r="A17" s="19"/>
      <c r="B17" s="86">
        <v>43586</v>
      </c>
      <c r="C17" s="87">
        <v>110368.37</v>
      </c>
      <c r="D17" s="30">
        <v>260.89999999999998</v>
      </c>
      <c r="E17" s="22">
        <v>433.46</v>
      </c>
      <c r="F17" s="23">
        <v>2893.89</v>
      </c>
      <c r="G17" s="23">
        <v>556.79999999999995</v>
      </c>
      <c r="H17" s="23">
        <v>341.03</v>
      </c>
      <c r="I17" s="23">
        <v>75.239999999999995</v>
      </c>
      <c r="J17" s="23">
        <v>-326.68</v>
      </c>
      <c r="K17" s="23">
        <v>40.14</v>
      </c>
      <c r="L17" s="164">
        <v>0</v>
      </c>
      <c r="M17" s="71">
        <f t="shared" si="5"/>
        <v>4013.8799999999992</v>
      </c>
      <c r="N17" s="71">
        <v>0</v>
      </c>
      <c r="O17" s="65">
        <v>4839.6499999999996</v>
      </c>
      <c r="P17" s="28">
        <f>387.28+13.35</f>
        <v>400.63</v>
      </c>
      <c r="Q17" s="28">
        <f>209.61*2</f>
        <v>419.22</v>
      </c>
      <c r="R17" s="64">
        <f t="shared" si="0"/>
        <v>5659.5</v>
      </c>
      <c r="S17" s="178">
        <f t="shared" si="6"/>
        <v>2969.1299999999997</v>
      </c>
      <c r="T17" s="179">
        <f t="shared" si="7"/>
        <v>5811.4299999999994</v>
      </c>
      <c r="U17" s="180">
        <f t="shared" si="8"/>
        <v>892.81999999999994</v>
      </c>
      <c r="V17" s="64">
        <f t="shared" si="1"/>
        <v>9673.3799999999992</v>
      </c>
      <c r="W17" s="181">
        <f t="shared" si="2"/>
        <v>11.380337293982368</v>
      </c>
      <c r="X17" s="182">
        <f t="shared" si="3"/>
        <v>5.2654850298142479E-2</v>
      </c>
      <c r="Y17" s="151">
        <f t="shared" si="4"/>
        <v>8.7646306636584376E-2</v>
      </c>
      <c r="AA17" s="26">
        <f t="shared" si="9"/>
        <v>9673.3799999999992</v>
      </c>
      <c r="AB17" s="26">
        <f t="shared" ref="AB17:AB23" si="10">V17-AA17</f>
        <v>0</v>
      </c>
    </row>
    <row r="18" spans="1:35" s="9" customFormat="1" x14ac:dyDescent="0.2">
      <c r="A18" s="27"/>
      <c r="B18" s="86">
        <v>43617</v>
      </c>
      <c r="C18" s="87">
        <v>124197.05</v>
      </c>
      <c r="D18" s="30">
        <v>259.95</v>
      </c>
      <c r="E18" s="31">
        <v>433.46</v>
      </c>
      <c r="F18" s="32">
        <v>2870.21</v>
      </c>
      <c r="G18" s="32">
        <v>626.55999999999995</v>
      </c>
      <c r="H18" s="32">
        <v>339.92</v>
      </c>
      <c r="I18" s="32">
        <v>74.62</v>
      </c>
      <c r="J18" s="32">
        <v>-357.68</v>
      </c>
      <c r="K18" s="32">
        <v>40.270000000000003</v>
      </c>
      <c r="L18" s="164">
        <v>322.19</v>
      </c>
      <c r="M18" s="71">
        <f t="shared" si="5"/>
        <v>4349.5499999999993</v>
      </c>
      <c r="N18" s="71">
        <v>0</v>
      </c>
      <c r="O18" s="65">
        <v>5154.18</v>
      </c>
      <c r="P18" s="28">
        <f>443.71+16.7</f>
        <v>460.40999999999997</v>
      </c>
      <c r="Q18" s="28">
        <f>224.58*2</f>
        <v>449.16</v>
      </c>
      <c r="R18" s="64">
        <f t="shared" si="0"/>
        <v>6063.75</v>
      </c>
      <c r="S18" s="178">
        <f t="shared" si="6"/>
        <v>2944.83</v>
      </c>
      <c r="T18" s="179">
        <f t="shared" si="7"/>
        <v>6223.39</v>
      </c>
      <c r="U18" s="180">
        <f t="shared" si="8"/>
        <v>1245.08</v>
      </c>
      <c r="V18" s="64">
        <f t="shared" si="1"/>
        <v>10413.299999999999</v>
      </c>
      <c r="W18" s="181">
        <f t="shared" si="2"/>
        <v>11.328447778418926</v>
      </c>
      <c r="X18" s="182">
        <f t="shared" si="3"/>
        <v>5.0109000173514592E-2</v>
      </c>
      <c r="Y18" s="151">
        <f t="shared" si="4"/>
        <v>8.38449866562853E-2</v>
      </c>
      <c r="AA18" s="26">
        <f t="shared" si="9"/>
        <v>10413.300000000001</v>
      </c>
      <c r="AB18" s="26">
        <f t="shared" si="10"/>
        <v>0</v>
      </c>
    </row>
    <row r="19" spans="1:35" s="9" customFormat="1" x14ac:dyDescent="0.2">
      <c r="A19" s="19"/>
      <c r="B19" s="86">
        <v>43647</v>
      </c>
      <c r="C19" s="87">
        <v>163168.25</v>
      </c>
      <c r="D19" s="30">
        <v>284.16000000000003</v>
      </c>
      <c r="E19" s="31">
        <v>433.46</v>
      </c>
      <c r="F19" s="32">
        <v>3141.6</v>
      </c>
      <c r="G19" s="32">
        <v>823.17</v>
      </c>
      <c r="H19" s="32">
        <v>416.07</v>
      </c>
      <c r="I19" s="32">
        <v>81.680000000000007</v>
      </c>
      <c r="J19" s="32">
        <v>58.74</v>
      </c>
      <c r="K19" s="32">
        <v>50.05</v>
      </c>
      <c r="L19" s="164">
        <v>400.38</v>
      </c>
      <c r="M19" s="71">
        <f t="shared" si="5"/>
        <v>5405.15</v>
      </c>
      <c r="N19" s="71">
        <v>0</v>
      </c>
      <c r="O19" s="65">
        <v>6771.48</v>
      </c>
      <c r="P19" s="28">
        <f>538.25+56.75</f>
        <v>595</v>
      </c>
      <c r="Q19" s="28">
        <f>294.66*2</f>
        <v>589.32000000000005</v>
      </c>
      <c r="R19" s="64">
        <f t="shared" si="0"/>
        <v>7955.7999999999993</v>
      </c>
      <c r="S19" s="178">
        <f t="shared" si="6"/>
        <v>3223.2799999999997</v>
      </c>
      <c r="T19" s="179">
        <f t="shared" si="7"/>
        <v>8664.4599999999991</v>
      </c>
      <c r="U19" s="180">
        <f t="shared" si="8"/>
        <v>1473.21</v>
      </c>
      <c r="V19" s="64">
        <f t="shared" si="1"/>
        <v>13360.949999999999</v>
      </c>
      <c r="W19" s="181">
        <f t="shared" si="2"/>
        <v>11.343186936936934</v>
      </c>
      <c r="X19" s="182">
        <f t="shared" si="3"/>
        <v>5.3101384613734592E-2</v>
      </c>
      <c r="Y19" s="151">
        <f t="shared" si="4"/>
        <v>8.1884496524293165E-2</v>
      </c>
      <c r="AA19" s="26">
        <f t="shared" si="9"/>
        <v>13360.949999999997</v>
      </c>
      <c r="AB19" s="26">
        <f t="shared" si="10"/>
        <v>0</v>
      </c>
    </row>
    <row r="20" spans="1:35" s="9" customFormat="1" x14ac:dyDescent="0.2">
      <c r="A20" s="27"/>
      <c r="B20" s="206">
        <v>43678</v>
      </c>
      <c r="C20" s="207">
        <v>142696.21</v>
      </c>
      <c r="D20" s="208">
        <v>286.62</v>
      </c>
      <c r="E20" s="209"/>
      <c r="F20" s="210"/>
      <c r="G20" s="210"/>
      <c r="H20" s="210"/>
      <c r="I20" s="210"/>
      <c r="J20" s="210"/>
      <c r="K20" s="210"/>
      <c r="L20" s="211"/>
      <c r="M20" s="284">
        <f>AVERAGE(M19,M21)</f>
        <v>5071.7950000000001</v>
      </c>
      <c r="N20" s="212"/>
      <c r="O20" s="213">
        <v>5921.89</v>
      </c>
      <c r="P20" s="214">
        <f>501.5+17.91</f>
        <v>519.41</v>
      </c>
      <c r="Q20" s="214">
        <f>257.65*2</f>
        <v>515.29999999999995</v>
      </c>
      <c r="R20" s="54">
        <f>SUM(O20:Q20)</f>
        <v>6956.6</v>
      </c>
      <c r="S20" s="55">
        <f t="shared" si="6"/>
        <v>0</v>
      </c>
      <c r="T20" s="56">
        <f>G20+H20+J20+O20+P20</f>
        <v>6441.3</v>
      </c>
      <c r="U20" s="57">
        <f t="shared" si="8"/>
        <v>515.29999999999995</v>
      </c>
      <c r="V20" s="54">
        <f>M20+R20</f>
        <v>12028.395</v>
      </c>
      <c r="W20" s="58">
        <f t="shared" si="2"/>
        <v>0</v>
      </c>
      <c r="X20" s="59">
        <f t="shared" si="3"/>
        <v>4.5139951509574082E-2</v>
      </c>
      <c r="Y20" s="60">
        <f>V20/C20</f>
        <v>8.4293724409358881E-2</v>
      </c>
      <c r="AA20" s="26">
        <f t="shared" si="9"/>
        <v>6956.6</v>
      </c>
      <c r="AB20" s="26">
        <f t="shared" si="10"/>
        <v>5071.7950000000001</v>
      </c>
    </row>
    <row r="21" spans="1:35" s="9" customFormat="1" x14ac:dyDescent="0.2">
      <c r="A21" s="19"/>
      <c r="B21" s="86">
        <v>43709</v>
      </c>
      <c r="C21" s="87">
        <v>127646.68</v>
      </c>
      <c r="D21" s="30">
        <v>277.35000000000002</v>
      </c>
      <c r="E21" s="31">
        <v>433.46</v>
      </c>
      <c r="F21" s="32">
        <v>3029.61</v>
      </c>
      <c r="G21" s="32">
        <v>643.97</v>
      </c>
      <c r="H21" s="32">
        <v>138.62</v>
      </c>
      <c r="I21" s="32">
        <v>78.760000000000005</v>
      </c>
      <c r="J21" s="32">
        <v>19.149999999999999</v>
      </c>
      <c r="K21" s="32">
        <v>43.87</v>
      </c>
      <c r="L21" s="164">
        <v>351</v>
      </c>
      <c r="M21" s="71">
        <f t="shared" si="5"/>
        <v>4738.4399999999996</v>
      </c>
      <c r="N21" s="71">
        <v>0</v>
      </c>
      <c r="O21" s="65">
        <v>5297.34</v>
      </c>
      <c r="P21" s="28">
        <f>431.45+33.19</f>
        <v>464.64</v>
      </c>
      <c r="Q21" s="28">
        <f>230.48*2</f>
        <v>460.96</v>
      </c>
      <c r="R21" s="64">
        <f t="shared" si="0"/>
        <v>6222.9400000000005</v>
      </c>
      <c r="S21" s="178">
        <f t="shared" si="6"/>
        <v>3108.3700000000003</v>
      </c>
      <c r="T21" s="179">
        <f t="shared" si="7"/>
        <v>6563.72</v>
      </c>
      <c r="U21" s="180">
        <f t="shared" si="8"/>
        <v>1289.29</v>
      </c>
      <c r="V21" s="64">
        <f t="shared" si="1"/>
        <v>10961.380000000001</v>
      </c>
      <c r="W21" s="181">
        <f t="shared" si="2"/>
        <v>11.207391382729403</v>
      </c>
      <c r="X21" s="182">
        <f t="shared" si="3"/>
        <v>5.1421000530526922E-2</v>
      </c>
      <c r="Y21" s="151">
        <f t="shared" si="4"/>
        <v>8.5872817060341888E-2</v>
      </c>
      <c r="AA21" s="26">
        <f t="shared" si="9"/>
        <v>10961.380000000001</v>
      </c>
      <c r="AB21" s="26">
        <f t="shared" si="10"/>
        <v>0</v>
      </c>
    </row>
    <row r="22" spans="1:35" s="9" customFormat="1" x14ac:dyDescent="0.2">
      <c r="A22" s="27"/>
      <c r="B22" s="86">
        <v>43739</v>
      </c>
      <c r="C22" s="87">
        <v>102461.54</v>
      </c>
      <c r="D22" s="30">
        <v>242.16</v>
      </c>
      <c r="E22" s="31">
        <v>433.46</v>
      </c>
      <c r="F22" s="32">
        <v>2638.65</v>
      </c>
      <c r="G22" s="32">
        <v>516.91</v>
      </c>
      <c r="H22" s="32">
        <v>166.91</v>
      </c>
      <c r="I22" s="32">
        <v>68.599999999999994</v>
      </c>
      <c r="J22" s="32">
        <v>-93.24</v>
      </c>
      <c r="K22" s="32">
        <v>37.69</v>
      </c>
      <c r="L22" s="164">
        <v>301.52</v>
      </c>
      <c r="M22" s="71">
        <f t="shared" si="5"/>
        <v>4070.5</v>
      </c>
      <c r="N22" s="71">
        <v>160.13999999999999</v>
      </c>
      <c r="O22" s="65">
        <v>4252.1499999999996</v>
      </c>
      <c r="P22" s="28">
        <f>329.93+43.03</f>
        <v>372.96000000000004</v>
      </c>
      <c r="Q22" s="28">
        <f>185*2</f>
        <v>370</v>
      </c>
      <c r="R22" s="64">
        <f t="shared" si="0"/>
        <v>4995.1099999999997</v>
      </c>
      <c r="S22" s="178">
        <f t="shared" si="6"/>
        <v>2707.25</v>
      </c>
      <c r="T22" s="179">
        <f t="shared" si="7"/>
        <v>5215.6899999999996</v>
      </c>
      <c r="U22" s="180">
        <f t="shared" si="8"/>
        <v>1302.81</v>
      </c>
      <c r="V22" s="64">
        <f t="shared" si="1"/>
        <v>9065.61</v>
      </c>
      <c r="W22" s="181">
        <f t="shared" si="2"/>
        <v>11.179592005285762</v>
      </c>
      <c r="X22" s="182">
        <f t="shared" si="3"/>
        <v>5.0903880617058847E-2</v>
      </c>
      <c r="Y22" s="151">
        <f t="shared" si="4"/>
        <v>8.8478174347174574E-2</v>
      </c>
      <c r="AA22" s="26">
        <f t="shared" si="9"/>
        <v>9225.75</v>
      </c>
      <c r="AB22" s="26">
        <f t="shared" si="10"/>
        <v>-160.13999999999942</v>
      </c>
    </row>
    <row r="23" spans="1:35" s="9" customFormat="1" ht="15.75" thickBot="1" x14ac:dyDescent="0.25">
      <c r="A23" s="19"/>
      <c r="B23" s="86">
        <v>43770</v>
      </c>
      <c r="C23" s="88">
        <v>91534.34</v>
      </c>
      <c r="D23" s="33">
        <v>237.33</v>
      </c>
      <c r="E23" s="31">
        <v>433.46</v>
      </c>
      <c r="F23" s="32">
        <v>2634.34</v>
      </c>
      <c r="G23" s="32">
        <v>461.83</v>
      </c>
      <c r="H23" s="32">
        <v>226.75</v>
      </c>
      <c r="I23" s="32">
        <v>197.12</v>
      </c>
      <c r="J23" s="32">
        <v>-27.46</v>
      </c>
      <c r="K23" s="32">
        <v>39.659999999999997</v>
      </c>
      <c r="L23" s="164">
        <v>317.26</v>
      </c>
      <c r="M23" s="71">
        <f t="shared" si="5"/>
        <v>4282.96</v>
      </c>
      <c r="N23" s="71">
        <v>80.87</v>
      </c>
      <c r="O23" s="65">
        <v>3799.05</v>
      </c>
      <c r="P23" s="28">
        <f>249.36+83.3</f>
        <v>332.66</v>
      </c>
      <c r="Q23" s="28">
        <f>165.27*2</f>
        <v>330.54</v>
      </c>
      <c r="R23" s="64">
        <f t="shared" si="0"/>
        <v>4462.25</v>
      </c>
      <c r="S23" s="178">
        <f t="shared" si="6"/>
        <v>2831.46</v>
      </c>
      <c r="T23" s="179">
        <f t="shared" si="7"/>
        <v>4792.83</v>
      </c>
      <c r="U23" s="180">
        <f t="shared" si="8"/>
        <v>1201.79</v>
      </c>
      <c r="V23" s="64">
        <f t="shared" si="1"/>
        <v>8745.2099999999991</v>
      </c>
      <c r="W23" s="181">
        <f t="shared" si="2"/>
        <v>11.930476551636961</v>
      </c>
      <c r="X23" s="182">
        <f t="shared" si="3"/>
        <v>5.2361004624056941E-2</v>
      </c>
      <c r="Y23" s="151">
        <f t="shared" si="4"/>
        <v>9.5540209281019556E-2</v>
      </c>
      <c r="AA23" s="26">
        <f t="shared" si="9"/>
        <v>8826.08</v>
      </c>
      <c r="AB23" s="26">
        <f t="shared" si="10"/>
        <v>-80.8700000000008</v>
      </c>
    </row>
    <row r="24" spans="1:35" ht="15.75" thickBot="1" x14ac:dyDescent="0.3">
      <c r="B24" s="34" t="s">
        <v>99</v>
      </c>
      <c r="C24" s="152">
        <f>SUM(C12:C23)</f>
        <v>1312716.4000000001</v>
      </c>
      <c r="D24" s="36">
        <f>MAX(D12:D23)</f>
        <v>286.62</v>
      </c>
      <c r="E24" s="37"/>
      <c r="F24" s="38"/>
      <c r="G24" s="38"/>
      <c r="H24" s="38"/>
      <c r="I24" s="38"/>
      <c r="J24" s="38"/>
      <c r="K24" s="39"/>
      <c r="L24" s="165"/>
      <c r="M24" s="40">
        <f>SUM(M12:M23)</f>
        <v>46085.244999999995</v>
      </c>
      <c r="N24" s="40"/>
      <c r="O24" s="41"/>
      <c r="P24" s="42"/>
      <c r="Q24" s="38"/>
      <c r="R24" s="44">
        <f>SUM(R12:R23)</f>
        <v>65317.760000000002</v>
      </c>
      <c r="S24" s="45"/>
      <c r="T24" s="46">
        <f>SUM(T13:T23)</f>
        <v>62722.990000000005</v>
      </c>
      <c r="U24" s="47"/>
      <c r="V24" s="44">
        <f>SUM(V12:V23)</f>
        <v>111403.005</v>
      </c>
      <c r="W24" s="48">
        <f>AVERAGE(W13:W23)</f>
        <v>9.9277019300382321</v>
      </c>
      <c r="X24" s="49">
        <f t="shared" si="3"/>
        <v>4.7781066801633618E-2</v>
      </c>
      <c r="Y24" s="50">
        <f t="shared" si="4"/>
        <v>8.4864487866533847E-2</v>
      </c>
      <c r="AA24" s="26"/>
      <c r="AB24" s="26"/>
    </row>
    <row r="25" spans="1:35" ht="15.75" x14ac:dyDescent="0.25">
      <c r="C25" s="51"/>
    </row>
    <row r="26" spans="1:35" x14ac:dyDescent="0.25">
      <c r="D26" s="52"/>
      <c r="AI26" s="6"/>
    </row>
    <row r="28" spans="1:35" x14ac:dyDescent="0.25">
      <c r="Q28" s="53"/>
    </row>
    <row r="35" spans="1:41" s="3" customFormat="1" x14ac:dyDescent="0.25">
      <c r="A35" s="2"/>
      <c r="B35" s="2"/>
      <c r="C35" s="2"/>
      <c r="D35" s="2"/>
      <c r="Q35" s="4"/>
      <c r="R35" s="4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s="3" customFormat="1" x14ac:dyDescent="0.25">
      <c r="A36" s="2"/>
      <c r="B36" s="2"/>
      <c r="C36" s="2"/>
      <c r="D36" s="2"/>
      <c r="Q36" s="4"/>
      <c r="R36" s="4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s="3" customFormat="1" x14ac:dyDescent="0.25">
      <c r="A37" s="2"/>
      <c r="B37" s="2"/>
      <c r="C37" s="2"/>
      <c r="D37" s="2"/>
      <c r="Q37" s="4"/>
      <c r="R37" s="4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s="3" customFormat="1" x14ac:dyDescent="0.25">
      <c r="A38" s="2"/>
      <c r="B38" s="2"/>
      <c r="C38" s="2"/>
      <c r="D38" s="2"/>
      <c r="Q38" s="4"/>
      <c r="R38" s="4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s="3" customFormat="1" x14ac:dyDescent="0.25">
      <c r="A39" s="2"/>
      <c r="B39" s="2"/>
      <c r="C39" s="2"/>
      <c r="D39" s="2"/>
      <c r="Q39" s="4"/>
      <c r="R39" s="4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</sheetData>
  <sheetProtection algorithmName="SHA-512" hashValue="GhP90jgDztXklSq+kxKuYwvbZZgtIHE3Cx3t/pk2Ii5WIVbC8rhYrGvyKYPvmS1g+UMHo3ALa3Pr0IGX4S4G1w==" saltValue="/aAiFsazRJnxjAiY0/fC7Q==" spinCount="100000" sheet="1" objects="1" scenarios="1"/>
  <mergeCells count="4">
    <mergeCell ref="C10:D10"/>
    <mergeCell ref="O10:R10"/>
    <mergeCell ref="S10:Y10"/>
    <mergeCell ref="E10:N10"/>
  </mergeCells>
  <pageMargins left="0.7" right="0.7" top="0.75" bottom="0.75" header="0.3" footer="0.3"/>
  <pageSetup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F5553-FE08-4820-8156-2C80087DA94F}">
  <sheetPr>
    <pageSetUpPr fitToPage="1"/>
  </sheetPr>
  <dimension ref="A1:X26"/>
  <sheetViews>
    <sheetView view="pageBreakPreview" zoomScaleNormal="100" zoomScaleSheetLayoutView="100" workbookViewId="0">
      <selection activeCell="O25" sqref="O25"/>
    </sheetView>
  </sheetViews>
  <sheetFormatPr defaultRowHeight="15" x14ac:dyDescent="0.25"/>
  <cols>
    <col min="4" max="4" width="10.5703125" customWidth="1"/>
    <col min="6" max="6" width="9.28515625" customWidth="1"/>
    <col min="8" max="8" width="10.5703125" customWidth="1"/>
    <col min="9" max="9" width="8" customWidth="1"/>
    <col min="11" max="11" width="10.28515625" customWidth="1"/>
    <col min="15" max="15" width="10" customWidth="1"/>
    <col min="19" max="19" width="9.5703125" customWidth="1"/>
    <col min="21" max="22" width="10.28515625" customWidth="1"/>
    <col min="23" max="23" width="9.7109375" bestFit="1" customWidth="1"/>
    <col min="24" max="24" width="12.42578125" customWidth="1"/>
  </cols>
  <sheetData>
    <row r="1" spans="1:24" x14ac:dyDescent="0.25">
      <c r="A1" s="1" t="s">
        <v>100</v>
      </c>
    </row>
    <row r="2" spans="1:24" x14ac:dyDescent="0.25">
      <c r="A2" s="1" t="s">
        <v>12</v>
      </c>
    </row>
    <row r="3" spans="1:24" x14ac:dyDescent="0.25">
      <c r="A3" s="52" t="s">
        <v>82</v>
      </c>
    </row>
    <row r="4" spans="1:24" x14ac:dyDescent="0.25">
      <c r="A4" s="52" t="s">
        <v>83</v>
      </c>
    </row>
    <row r="6" spans="1:24" x14ac:dyDescent="0.25">
      <c r="A6" s="496"/>
      <c r="B6" s="4" t="s">
        <v>193</v>
      </c>
    </row>
    <row r="7" spans="1:24" ht="15.75" thickBot="1" x14ac:dyDescent="0.3">
      <c r="A7" s="191"/>
      <c r="B7" s="192"/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</row>
    <row r="8" spans="1:24" ht="15.75" thickBot="1" x14ac:dyDescent="0.3">
      <c r="A8" s="148"/>
      <c r="B8" s="530" t="s">
        <v>101</v>
      </c>
      <c r="C8" s="528"/>
      <c r="D8" s="528"/>
      <c r="E8" s="528"/>
      <c r="F8" s="528"/>
      <c r="G8" s="528"/>
      <c r="H8" s="529"/>
      <c r="I8" s="531" t="s">
        <v>84</v>
      </c>
      <c r="J8" s="532"/>
      <c r="K8" s="532"/>
      <c r="L8" s="532"/>
      <c r="M8" s="532"/>
      <c r="N8" s="532"/>
      <c r="O8" s="532"/>
      <c r="P8" s="532"/>
      <c r="Q8" s="532"/>
      <c r="R8" s="532"/>
      <c r="S8" s="532"/>
      <c r="T8" s="533"/>
      <c r="U8" s="507" t="s">
        <v>102</v>
      </c>
      <c r="V8" s="509"/>
      <c r="W8" s="526" t="s">
        <v>87</v>
      </c>
      <c r="X8" s="527"/>
    </row>
    <row r="9" spans="1:24" ht="36.75" thickBot="1" x14ac:dyDescent="0.3">
      <c r="A9" s="89" t="s">
        <v>88</v>
      </c>
      <c r="B9" s="97" t="s">
        <v>103</v>
      </c>
      <c r="C9" s="98" t="s">
        <v>104</v>
      </c>
      <c r="D9" s="97" t="s">
        <v>105</v>
      </c>
      <c r="E9" s="104" t="s">
        <v>106</v>
      </c>
      <c r="F9" s="104" t="s">
        <v>107</v>
      </c>
      <c r="G9" s="98" t="s">
        <v>108</v>
      </c>
      <c r="H9" s="10" t="s">
        <v>109</v>
      </c>
      <c r="I9" s="90" t="s">
        <v>103</v>
      </c>
      <c r="J9" s="18" t="s">
        <v>104</v>
      </c>
      <c r="K9" s="90" t="s">
        <v>110</v>
      </c>
      <c r="L9" s="16" t="s">
        <v>111</v>
      </c>
      <c r="M9" s="16" t="s">
        <v>138</v>
      </c>
      <c r="N9" s="16" t="s">
        <v>112</v>
      </c>
      <c r="O9" s="16" t="s">
        <v>113</v>
      </c>
      <c r="P9" s="16" t="s">
        <v>114</v>
      </c>
      <c r="Q9" s="16" t="s">
        <v>115</v>
      </c>
      <c r="R9" s="16" t="s">
        <v>116</v>
      </c>
      <c r="S9" s="17" t="s">
        <v>117</v>
      </c>
      <c r="T9" s="10" t="s">
        <v>91</v>
      </c>
      <c r="U9" s="89" t="s">
        <v>35</v>
      </c>
      <c r="V9" s="18" t="s">
        <v>139</v>
      </c>
      <c r="W9" s="279" t="s">
        <v>120</v>
      </c>
      <c r="X9" s="92" t="s">
        <v>121</v>
      </c>
    </row>
    <row r="10" spans="1:24" x14ac:dyDescent="0.25">
      <c r="A10" s="86">
        <v>43435</v>
      </c>
      <c r="B10" s="93">
        <f>C10*10</f>
        <v>7992.5</v>
      </c>
      <c r="C10" s="101">
        <v>799.25</v>
      </c>
      <c r="D10" s="105">
        <v>2702.26</v>
      </c>
      <c r="E10" s="106">
        <v>87.12</v>
      </c>
      <c r="F10" s="106">
        <v>111.57</v>
      </c>
      <c r="G10" s="107">
        <v>111.57</v>
      </c>
      <c r="H10" s="138">
        <f>SUM(D10:G10)</f>
        <v>3012.5200000000004</v>
      </c>
      <c r="I10" s="129">
        <v>7871</v>
      </c>
      <c r="J10" s="130">
        <f>I10/10</f>
        <v>787.1</v>
      </c>
      <c r="K10" s="187">
        <v>24.27</v>
      </c>
      <c r="L10" s="188">
        <v>83.1</v>
      </c>
      <c r="M10" s="188">
        <v>823.64</v>
      </c>
      <c r="N10" s="188">
        <v>160.63999999999999</v>
      </c>
      <c r="O10" s="188">
        <v>-24.99</v>
      </c>
      <c r="P10" s="188">
        <v>-288.08999999999997</v>
      </c>
      <c r="Q10" s="188">
        <v>30.78</v>
      </c>
      <c r="R10" s="188">
        <v>8.18</v>
      </c>
      <c r="S10" s="201">
        <v>0</v>
      </c>
      <c r="T10" s="139">
        <f>SUM(K10:R10)</f>
        <v>817.53000000000009</v>
      </c>
      <c r="U10" s="144">
        <f>H10+T10</f>
        <v>3830.0500000000006</v>
      </c>
      <c r="V10" s="245">
        <f>D10+E10+L10+M10+N10+P10+Q10</f>
        <v>3599.45</v>
      </c>
      <c r="W10" s="105">
        <f>V10/J10</f>
        <v>4.5730529792910684</v>
      </c>
      <c r="X10" s="107">
        <f>U10/J10</f>
        <v>4.8660271884131632</v>
      </c>
    </row>
    <row r="11" spans="1:24" x14ac:dyDescent="0.25">
      <c r="A11" s="86">
        <v>43466</v>
      </c>
      <c r="B11" s="87">
        <f>C11*10</f>
        <v>8614.9</v>
      </c>
      <c r="C11" s="102">
        <v>861.49</v>
      </c>
      <c r="D11" s="108">
        <v>2912.7</v>
      </c>
      <c r="E11" s="99">
        <v>93.9</v>
      </c>
      <c r="F11" s="99">
        <v>120.27</v>
      </c>
      <c r="G11" s="109">
        <v>120.27</v>
      </c>
      <c r="H11" s="126">
        <f t="shared" ref="H11:H21" si="0">SUM(D11:G11)</f>
        <v>3247.14</v>
      </c>
      <c r="I11" s="129">
        <v>8484</v>
      </c>
      <c r="J11" s="130">
        <f>I11/10</f>
        <v>848.4</v>
      </c>
      <c r="K11" s="187">
        <v>24.27</v>
      </c>
      <c r="L11" s="99">
        <v>83.1</v>
      </c>
      <c r="M11" s="99">
        <v>823.64</v>
      </c>
      <c r="N11" s="99">
        <v>194.93</v>
      </c>
      <c r="O11" s="99">
        <v>24.52</v>
      </c>
      <c r="P11" s="99">
        <v>-310.58</v>
      </c>
      <c r="Q11" s="99">
        <v>9.06</v>
      </c>
      <c r="R11" s="99">
        <v>8.58</v>
      </c>
      <c r="S11" s="202">
        <v>0</v>
      </c>
      <c r="T11" s="139">
        <f>SUM(K11:S11)</f>
        <v>857.5200000000001</v>
      </c>
      <c r="U11" s="145">
        <f>H11+T11</f>
        <v>4104.66</v>
      </c>
      <c r="V11" s="201">
        <f t="shared" ref="V11:V21" si="1">D11+E11+L11+M11+N11+P11+Q11</f>
        <v>3806.7499999999995</v>
      </c>
      <c r="W11" s="108">
        <f t="shared" ref="W11:W21" si="2">V11/J11</f>
        <v>4.4869754832626114</v>
      </c>
      <c r="X11" s="109">
        <f t="shared" ref="X11:X21" si="3">U11/J11</f>
        <v>4.8381188118811878</v>
      </c>
    </row>
    <row r="12" spans="1:24" x14ac:dyDescent="0.25">
      <c r="A12" s="86">
        <v>43497</v>
      </c>
      <c r="B12" s="87">
        <f t="shared" ref="B12:B21" si="4">C12*10</f>
        <v>8993.6999999999989</v>
      </c>
      <c r="C12" s="102">
        <f>174.07+725.3</f>
        <v>899.36999999999989</v>
      </c>
      <c r="D12" s="108">
        <f>588.53+2357.23</f>
        <v>2945.76</v>
      </c>
      <c r="E12" s="99">
        <f>18.97+173.35</f>
        <v>192.32</v>
      </c>
      <c r="F12" s="99">
        <v>125.52</v>
      </c>
      <c r="G12" s="109">
        <v>125.52</v>
      </c>
      <c r="H12" s="126">
        <f t="shared" si="0"/>
        <v>3389.1200000000003</v>
      </c>
      <c r="I12" s="87">
        <v>8857</v>
      </c>
      <c r="J12" s="102">
        <f t="shared" ref="J12:J21" si="5">I12/10</f>
        <v>885.7</v>
      </c>
      <c r="K12" s="187">
        <v>24.27</v>
      </c>
      <c r="L12" s="99">
        <v>83.1</v>
      </c>
      <c r="M12" s="99">
        <v>823.64</v>
      </c>
      <c r="N12" s="99">
        <v>215.8</v>
      </c>
      <c r="O12" s="99">
        <v>2.48</v>
      </c>
      <c r="P12" s="99">
        <v>-324.25</v>
      </c>
      <c r="Q12" s="99">
        <v>4.43</v>
      </c>
      <c r="R12" s="99">
        <v>8.3800000000000008</v>
      </c>
      <c r="S12" s="202">
        <v>0</v>
      </c>
      <c r="T12" s="100">
        <f>SUM(K12:S12)</f>
        <v>837.84999999999991</v>
      </c>
      <c r="U12" s="145">
        <f t="shared" ref="U12:U21" si="6">H12+T12</f>
        <v>4226.97</v>
      </c>
      <c r="V12" s="201">
        <f t="shared" si="1"/>
        <v>3940.7999999999997</v>
      </c>
      <c r="W12" s="108">
        <f t="shared" si="2"/>
        <v>4.449362086485265</v>
      </c>
      <c r="X12" s="109">
        <f t="shared" si="3"/>
        <v>4.7724624590719209</v>
      </c>
    </row>
    <row r="13" spans="1:24" x14ac:dyDescent="0.25">
      <c r="A13" s="86">
        <v>43525</v>
      </c>
      <c r="B13" s="87">
        <f t="shared" si="4"/>
        <v>8028</v>
      </c>
      <c r="C13" s="102">
        <v>802.8</v>
      </c>
      <c r="D13" s="108">
        <v>2609.1</v>
      </c>
      <c r="E13" s="99">
        <v>191.87</v>
      </c>
      <c r="F13" s="99">
        <v>112.04</v>
      </c>
      <c r="G13" s="109">
        <v>112.04</v>
      </c>
      <c r="H13" s="126">
        <f t="shared" si="0"/>
        <v>3025.0499999999997</v>
      </c>
      <c r="I13" s="87">
        <v>7906</v>
      </c>
      <c r="J13" s="102">
        <f t="shared" si="5"/>
        <v>790.6</v>
      </c>
      <c r="K13" s="187">
        <v>24.27</v>
      </c>
      <c r="L13" s="99">
        <v>83.1</v>
      </c>
      <c r="M13" s="99">
        <v>823.64</v>
      </c>
      <c r="N13" s="99">
        <v>162.59</v>
      </c>
      <c r="O13" s="99">
        <v>-26.65</v>
      </c>
      <c r="P13" s="99">
        <v>-289.43</v>
      </c>
      <c r="Q13" s="99">
        <v>3.95</v>
      </c>
      <c r="R13" s="99">
        <v>7.89</v>
      </c>
      <c r="S13" s="202">
        <v>0</v>
      </c>
      <c r="T13" s="100">
        <f>SUM(K13:S13)</f>
        <v>789.35999999999979</v>
      </c>
      <c r="U13" s="145">
        <f t="shared" si="6"/>
        <v>3814.4099999999994</v>
      </c>
      <c r="V13" s="201">
        <f t="shared" si="1"/>
        <v>3584.8199999999997</v>
      </c>
      <c r="W13" s="108">
        <f t="shared" si="2"/>
        <v>4.5343030609663542</v>
      </c>
      <c r="X13" s="109">
        <f t="shared" si="3"/>
        <v>4.824702757399443</v>
      </c>
    </row>
    <row r="14" spans="1:24" x14ac:dyDescent="0.25">
      <c r="A14" s="86">
        <v>43556</v>
      </c>
      <c r="B14" s="87">
        <f t="shared" si="4"/>
        <v>4186.7</v>
      </c>
      <c r="C14" s="102">
        <v>418.67</v>
      </c>
      <c r="D14" s="183">
        <v>1360.6</v>
      </c>
      <c r="E14" s="184">
        <v>100</v>
      </c>
      <c r="F14" s="184">
        <v>58.4</v>
      </c>
      <c r="G14" s="185">
        <v>58.4</v>
      </c>
      <c r="H14" s="186">
        <f t="shared" si="0"/>
        <v>1577.4</v>
      </c>
      <c r="I14" s="87">
        <v>4123</v>
      </c>
      <c r="J14" s="102">
        <f t="shared" si="5"/>
        <v>412.3</v>
      </c>
      <c r="K14" s="187">
        <v>24.27</v>
      </c>
      <c r="L14" s="99">
        <v>88.71</v>
      </c>
      <c r="M14" s="99">
        <v>0</v>
      </c>
      <c r="N14" s="99">
        <v>716.08</v>
      </c>
      <c r="O14" s="99">
        <v>142.43</v>
      </c>
      <c r="P14" s="99">
        <v>-150.94</v>
      </c>
      <c r="Q14" s="99">
        <v>2.06</v>
      </c>
      <c r="R14" s="99">
        <v>8.31</v>
      </c>
      <c r="S14" s="202">
        <v>0</v>
      </c>
      <c r="T14" s="100">
        <f>SUM(K14:S14)</f>
        <v>830.91999999999985</v>
      </c>
      <c r="U14" s="145">
        <f t="shared" si="6"/>
        <v>2408.3199999999997</v>
      </c>
      <c r="V14" s="201">
        <f t="shared" si="1"/>
        <v>2116.5099999999998</v>
      </c>
      <c r="W14" s="108">
        <f t="shared" si="2"/>
        <v>5.1334222653407702</v>
      </c>
      <c r="X14" s="109">
        <f t="shared" si="3"/>
        <v>5.8411836041717189</v>
      </c>
    </row>
    <row r="15" spans="1:24" x14ac:dyDescent="0.25">
      <c r="A15" s="86">
        <v>43586</v>
      </c>
      <c r="B15" s="87">
        <f t="shared" si="4"/>
        <v>1931.3</v>
      </c>
      <c r="C15" s="102">
        <v>193.13</v>
      </c>
      <c r="D15" s="108">
        <v>627.66999999999996</v>
      </c>
      <c r="E15" s="99">
        <v>46.16</v>
      </c>
      <c r="F15" s="99">
        <v>26.95</v>
      </c>
      <c r="G15" s="109">
        <v>26.95</v>
      </c>
      <c r="H15" s="126">
        <f t="shared" si="0"/>
        <v>727.73</v>
      </c>
      <c r="I15" s="87">
        <v>1902</v>
      </c>
      <c r="J15" s="102">
        <f t="shared" si="5"/>
        <v>190.2</v>
      </c>
      <c r="K15" s="187">
        <v>24.27</v>
      </c>
      <c r="L15" s="99">
        <v>89.84</v>
      </c>
      <c r="M15" s="99">
        <v>0</v>
      </c>
      <c r="N15" s="99">
        <v>306.07</v>
      </c>
      <c r="O15" s="99">
        <v>-29.7</v>
      </c>
      <c r="P15" s="99">
        <v>-69.64</v>
      </c>
      <c r="Q15" s="99">
        <v>0.95</v>
      </c>
      <c r="R15" s="99">
        <v>3.25</v>
      </c>
      <c r="S15" s="202">
        <v>0</v>
      </c>
      <c r="T15" s="100">
        <f>SUM(K15:S15)</f>
        <v>325.04000000000002</v>
      </c>
      <c r="U15" s="145">
        <f t="shared" si="6"/>
        <v>1052.77</v>
      </c>
      <c r="V15" s="201">
        <f t="shared" si="1"/>
        <v>1001.0500000000001</v>
      </c>
      <c r="W15" s="108">
        <f t="shared" si="2"/>
        <v>5.2631440588853842</v>
      </c>
      <c r="X15" s="109">
        <f t="shared" si="3"/>
        <v>5.5350683491062043</v>
      </c>
    </row>
    <row r="16" spans="1:24" x14ac:dyDescent="0.25">
      <c r="A16" s="86">
        <v>43617</v>
      </c>
      <c r="B16" s="87">
        <f t="shared" si="4"/>
        <v>378.8</v>
      </c>
      <c r="C16" s="102">
        <v>37.880000000000003</v>
      </c>
      <c r="D16" s="183">
        <v>123.1</v>
      </c>
      <c r="E16" s="184">
        <v>9</v>
      </c>
      <c r="F16" s="184">
        <v>5.2</v>
      </c>
      <c r="G16" s="185">
        <v>5.2</v>
      </c>
      <c r="H16" s="186">
        <f t="shared" si="0"/>
        <v>142.49999999999997</v>
      </c>
      <c r="I16" s="87">
        <v>373</v>
      </c>
      <c r="J16" s="102">
        <f t="shared" si="5"/>
        <v>37.299999999999997</v>
      </c>
      <c r="K16" s="187">
        <v>24.27</v>
      </c>
      <c r="L16" s="99">
        <v>89.84</v>
      </c>
      <c r="M16" s="99">
        <v>0</v>
      </c>
      <c r="N16" s="99">
        <v>17.55</v>
      </c>
      <c r="O16" s="99">
        <v>-0.25</v>
      </c>
      <c r="P16" s="99">
        <v>-13.65</v>
      </c>
      <c r="Q16" s="99">
        <v>0.19</v>
      </c>
      <c r="R16" s="99">
        <v>1.19</v>
      </c>
      <c r="S16" s="202">
        <v>9.5299999999999994</v>
      </c>
      <c r="T16" s="100">
        <f t="shared" ref="T16:T21" si="7">SUM(K16:S16)</f>
        <v>128.66999999999999</v>
      </c>
      <c r="U16" s="145">
        <f t="shared" si="6"/>
        <v>271.16999999999996</v>
      </c>
      <c r="V16" s="201">
        <f t="shared" si="1"/>
        <v>226.03</v>
      </c>
      <c r="W16" s="108">
        <f t="shared" si="2"/>
        <v>6.0597855227882045</v>
      </c>
      <c r="X16" s="109">
        <f t="shared" si="3"/>
        <v>7.2699731903485247</v>
      </c>
    </row>
    <row r="17" spans="1:24" x14ac:dyDescent="0.25">
      <c r="A17" s="86">
        <v>43647</v>
      </c>
      <c r="B17" s="87">
        <f t="shared" si="4"/>
        <v>1.1000000000000001</v>
      </c>
      <c r="C17" s="102">
        <v>0.11</v>
      </c>
      <c r="D17" s="108">
        <v>0.36</v>
      </c>
      <c r="E17" s="99">
        <v>0.03</v>
      </c>
      <c r="F17" s="99">
        <v>0.01</v>
      </c>
      <c r="G17" s="109">
        <v>0.01</v>
      </c>
      <c r="H17" s="126">
        <f t="shared" si="0"/>
        <v>0.41000000000000003</v>
      </c>
      <c r="I17" s="87">
        <v>1</v>
      </c>
      <c r="J17" s="102">
        <f t="shared" si="5"/>
        <v>0.1</v>
      </c>
      <c r="K17" s="187">
        <v>24.27</v>
      </c>
      <c r="L17" s="99">
        <v>0</v>
      </c>
      <c r="M17" s="99">
        <v>0</v>
      </c>
      <c r="N17" s="99">
        <v>0</v>
      </c>
      <c r="O17" s="99">
        <v>0</v>
      </c>
      <c r="P17" s="99">
        <v>-0.01</v>
      </c>
      <c r="Q17" s="99">
        <v>0</v>
      </c>
      <c r="R17" s="99">
        <v>0.25</v>
      </c>
      <c r="S17" s="202">
        <v>1.96</v>
      </c>
      <c r="T17" s="100">
        <f t="shared" si="7"/>
        <v>26.47</v>
      </c>
      <c r="U17" s="145">
        <f t="shared" si="6"/>
        <v>26.88</v>
      </c>
      <c r="V17" s="201">
        <f t="shared" si="1"/>
        <v>0.38</v>
      </c>
      <c r="W17" s="108">
        <f t="shared" si="2"/>
        <v>3.8</v>
      </c>
      <c r="X17" s="109">
        <f t="shared" si="3"/>
        <v>268.79999999999995</v>
      </c>
    </row>
    <row r="18" spans="1:24" x14ac:dyDescent="0.25">
      <c r="A18" s="86">
        <v>43678</v>
      </c>
      <c r="B18" s="87">
        <f t="shared" si="4"/>
        <v>1.1000000000000001</v>
      </c>
      <c r="C18" s="102">
        <v>0.11</v>
      </c>
      <c r="D18" s="108">
        <v>0.36</v>
      </c>
      <c r="E18" s="99">
        <v>0.03</v>
      </c>
      <c r="F18" s="99">
        <v>0.01</v>
      </c>
      <c r="G18" s="109">
        <v>0.01</v>
      </c>
      <c r="H18" s="126">
        <f t="shared" si="0"/>
        <v>0.41000000000000003</v>
      </c>
      <c r="I18" s="87">
        <v>1</v>
      </c>
      <c r="J18" s="102">
        <f t="shared" si="5"/>
        <v>0.1</v>
      </c>
      <c r="K18" s="187">
        <v>24.27</v>
      </c>
      <c r="L18" s="99">
        <v>0</v>
      </c>
      <c r="M18" s="99">
        <v>0</v>
      </c>
      <c r="N18" s="99">
        <v>0</v>
      </c>
      <c r="O18" s="99">
        <v>0</v>
      </c>
      <c r="P18" s="99">
        <v>-0.01</v>
      </c>
      <c r="Q18" s="99">
        <v>0</v>
      </c>
      <c r="R18" s="99">
        <v>0.25</v>
      </c>
      <c r="S18" s="202">
        <v>1.96</v>
      </c>
      <c r="T18" s="100">
        <f t="shared" si="7"/>
        <v>26.47</v>
      </c>
      <c r="U18" s="145">
        <f t="shared" si="6"/>
        <v>26.88</v>
      </c>
      <c r="V18" s="201">
        <f t="shared" si="1"/>
        <v>0.38</v>
      </c>
      <c r="W18" s="108">
        <f t="shared" si="2"/>
        <v>3.8</v>
      </c>
      <c r="X18" s="109">
        <f t="shared" si="3"/>
        <v>268.79999999999995</v>
      </c>
    </row>
    <row r="19" spans="1:24" x14ac:dyDescent="0.25">
      <c r="A19" s="86">
        <v>43709</v>
      </c>
      <c r="B19" s="87">
        <f t="shared" si="4"/>
        <v>292.5</v>
      </c>
      <c r="C19" s="102">
        <v>29.25</v>
      </c>
      <c r="D19" s="108">
        <v>95.06</v>
      </c>
      <c r="E19" s="99">
        <v>6.99</v>
      </c>
      <c r="F19" s="99">
        <v>4.09</v>
      </c>
      <c r="G19" s="109">
        <v>4.09</v>
      </c>
      <c r="H19" s="126">
        <f t="shared" si="0"/>
        <v>110.23</v>
      </c>
      <c r="I19" s="87">
        <v>288</v>
      </c>
      <c r="J19" s="102">
        <f t="shared" si="5"/>
        <v>28.8</v>
      </c>
      <c r="K19" s="187">
        <v>24.27</v>
      </c>
      <c r="L19" s="99">
        <v>89.84</v>
      </c>
      <c r="M19" s="99">
        <v>0</v>
      </c>
      <c r="N19" s="99">
        <v>1.51</v>
      </c>
      <c r="O19" s="99">
        <v>0</v>
      </c>
      <c r="P19" s="99">
        <v>-1</v>
      </c>
      <c r="Q19" s="99">
        <v>0.14000000000000001</v>
      </c>
      <c r="R19" s="99">
        <v>1.1599999999999999</v>
      </c>
      <c r="S19" s="202">
        <v>9.27</v>
      </c>
      <c r="T19" s="100">
        <f t="shared" si="7"/>
        <v>125.19</v>
      </c>
      <c r="U19" s="145">
        <f t="shared" si="6"/>
        <v>235.42000000000002</v>
      </c>
      <c r="V19" s="201">
        <f t="shared" si="1"/>
        <v>192.53999999999996</v>
      </c>
      <c r="W19" s="108">
        <f t="shared" si="2"/>
        <v>6.685416666666665</v>
      </c>
      <c r="X19" s="109">
        <f t="shared" si="3"/>
        <v>8.1743055555555557</v>
      </c>
    </row>
    <row r="20" spans="1:24" x14ac:dyDescent="0.25">
      <c r="A20" s="86">
        <v>43739</v>
      </c>
      <c r="B20" s="87">
        <f t="shared" si="4"/>
        <v>2014.6000000000001</v>
      </c>
      <c r="C20" s="102">
        <v>201.46</v>
      </c>
      <c r="D20" s="108">
        <v>654.75</v>
      </c>
      <c r="E20" s="99">
        <v>48.15</v>
      </c>
      <c r="F20" s="99">
        <v>28.12</v>
      </c>
      <c r="G20" s="109">
        <v>28.12</v>
      </c>
      <c r="H20" s="126">
        <f t="shared" si="0"/>
        <v>759.14</v>
      </c>
      <c r="I20" s="87">
        <v>1984</v>
      </c>
      <c r="J20" s="102">
        <f t="shared" si="5"/>
        <v>198.4</v>
      </c>
      <c r="K20" s="187">
        <v>24.27</v>
      </c>
      <c r="L20" s="99">
        <v>89.84</v>
      </c>
      <c r="M20" s="99">
        <v>0</v>
      </c>
      <c r="N20" s="99">
        <v>321.54000000000002</v>
      </c>
      <c r="O20" s="99">
        <v>10.07</v>
      </c>
      <c r="P20" s="99">
        <v>-7.01</v>
      </c>
      <c r="Q20" s="99">
        <v>0.99</v>
      </c>
      <c r="R20" s="99">
        <v>4.4400000000000004</v>
      </c>
      <c r="S20" s="202">
        <v>35.53</v>
      </c>
      <c r="T20" s="100">
        <f t="shared" si="7"/>
        <v>479.67000000000007</v>
      </c>
      <c r="U20" s="145">
        <f t="shared" si="6"/>
        <v>1238.81</v>
      </c>
      <c r="V20" s="201">
        <f t="shared" si="1"/>
        <v>1108.26</v>
      </c>
      <c r="W20" s="108">
        <f t="shared" si="2"/>
        <v>5.5859879032258064</v>
      </c>
      <c r="X20" s="109">
        <f t="shared" si="3"/>
        <v>6.2440020161290315</v>
      </c>
    </row>
    <row r="21" spans="1:24" ht="15.75" thickBot="1" x14ac:dyDescent="0.3">
      <c r="A21" s="194">
        <v>43770</v>
      </c>
      <c r="B21" s="113">
        <f t="shared" si="4"/>
        <v>4142</v>
      </c>
      <c r="C21" s="114">
        <v>414.2</v>
      </c>
      <c r="D21" s="195">
        <v>1346.1</v>
      </c>
      <c r="E21" s="196">
        <v>98.9</v>
      </c>
      <c r="F21" s="196">
        <v>57.8</v>
      </c>
      <c r="G21" s="197">
        <v>57.8</v>
      </c>
      <c r="H21" s="198">
        <f t="shared" si="0"/>
        <v>1560.6</v>
      </c>
      <c r="I21" s="113">
        <v>4079</v>
      </c>
      <c r="J21" s="114">
        <f t="shared" si="5"/>
        <v>407.9</v>
      </c>
      <c r="K21" s="193">
        <v>24.27</v>
      </c>
      <c r="L21" s="117">
        <v>89.84</v>
      </c>
      <c r="M21" s="117">
        <v>0</v>
      </c>
      <c r="N21" s="117">
        <v>716.87</v>
      </c>
      <c r="O21" s="117">
        <v>-66.75</v>
      </c>
      <c r="P21" s="117">
        <v>-14.4</v>
      </c>
      <c r="Q21" s="117">
        <v>2.04</v>
      </c>
      <c r="R21" s="117">
        <v>7.59</v>
      </c>
      <c r="S21" s="203">
        <v>60.76</v>
      </c>
      <c r="T21" s="205">
        <f t="shared" si="7"/>
        <v>820.22</v>
      </c>
      <c r="U21" s="190">
        <f t="shared" si="6"/>
        <v>2380.8199999999997</v>
      </c>
      <c r="V21" s="280">
        <f t="shared" si="1"/>
        <v>2239.35</v>
      </c>
      <c r="W21" s="116">
        <f t="shared" si="2"/>
        <v>5.4899485167933317</v>
      </c>
      <c r="X21" s="118">
        <f t="shared" si="3"/>
        <v>5.8367737190487858</v>
      </c>
    </row>
    <row r="22" spans="1:24" ht="15.75" thickBot="1" x14ac:dyDescent="0.3">
      <c r="A22" s="112" t="s">
        <v>99</v>
      </c>
      <c r="B22" s="115">
        <f>SUM(B10:B21)</f>
        <v>46577.2</v>
      </c>
      <c r="C22" s="121">
        <f>SUM(C10:C21)</f>
        <v>4657.72</v>
      </c>
      <c r="D22" s="122"/>
      <c r="E22" s="124"/>
      <c r="F22" s="124"/>
      <c r="G22" s="125"/>
      <c r="H22" s="123">
        <f>SUM(H10:H21)</f>
        <v>17552.249999999996</v>
      </c>
      <c r="I22" s="115">
        <f>SUM(I10:I21)</f>
        <v>45869</v>
      </c>
      <c r="J22" s="121">
        <f>SUM(J10:J21)</f>
        <v>4586.8999999999996</v>
      </c>
      <c r="K22" s="122"/>
      <c r="L22" s="124"/>
      <c r="M22" s="124"/>
      <c r="N22" s="124"/>
      <c r="O22" s="124"/>
      <c r="P22" s="124"/>
      <c r="Q22" s="124"/>
      <c r="R22" s="133"/>
      <c r="S22" s="204"/>
      <c r="T22" s="120">
        <f>SUM(T10:T21)</f>
        <v>6064.91</v>
      </c>
      <c r="U22" s="200">
        <f>SUM(U10:U21)</f>
        <v>23617.16</v>
      </c>
      <c r="V22" s="133">
        <f>SUM(V10:V21)</f>
        <v>21816.319999999996</v>
      </c>
      <c r="W22" s="277">
        <f>V22/J22</f>
        <v>4.7562231572521743</v>
      </c>
      <c r="X22" s="278">
        <f>U22/J22</f>
        <v>5.148828184612702</v>
      </c>
    </row>
    <row r="24" spans="1:24" x14ac:dyDescent="0.25">
      <c r="U24" s="96"/>
      <c r="W24" s="96"/>
    </row>
    <row r="26" spans="1:24" x14ac:dyDescent="0.25">
      <c r="U26" s="96"/>
    </row>
  </sheetData>
  <sheetProtection algorithmName="SHA-512" hashValue="BK/M8lt2q6H7QuLkPdwde8+23zW2J39aSRYekq7jAcMxRybLy+UP1sauYewsqERichQUd9RmuuFaHo292dtIIA==" saltValue="JB+QhXXW6BSBU860twEDnQ==" spinCount="100000" sheet="1" objects="1" scenarios="1"/>
  <mergeCells count="4">
    <mergeCell ref="B8:H8"/>
    <mergeCell ref="I8:T8"/>
    <mergeCell ref="U8:V8"/>
    <mergeCell ref="W8:X8"/>
  </mergeCells>
  <pageMargins left="0.7" right="0.7" top="0.75" bottom="0.75" header="0.3" footer="0.3"/>
  <pageSetup scale="5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0DEE0-0A42-48C0-B3C9-213B98F4CDC0}">
  <sheetPr>
    <pageSetUpPr fitToPage="1"/>
  </sheetPr>
  <dimension ref="A1:AB38"/>
  <sheetViews>
    <sheetView view="pageBreakPreview" zoomScaleNormal="100" zoomScaleSheetLayoutView="100" workbookViewId="0">
      <selection activeCell="A6" sqref="A6:B6"/>
    </sheetView>
  </sheetViews>
  <sheetFormatPr defaultColWidth="10" defaultRowHeight="15" x14ac:dyDescent="0.25"/>
  <cols>
    <col min="1" max="1" width="10" style="2"/>
    <col min="2" max="2" width="12.28515625" style="2" bestFit="1" customWidth="1"/>
    <col min="3" max="3" width="8.7109375" style="2" customWidth="1"/>
    <col min="4" max="4" width="7.7109375" style="2" customWidth="1"/>
    <col min="5" max="6" width="12.28515625" style="3" customWidth="1"/>
    <col min="7" max="7" width="11.5703125" style="3" customWidth="1"/>
    <col min="8" max="10" width="10.42578125" style="4" customWidth="1"/>
    <col min="11" max="11" width="9.5703125" style="2" customWidth="1"/>
    <col min="12" max="12" width="8.7109375" style="2" bestFit="1" customWidth="1"/>
    <col min="13" max="13" width="8.28515625" style="2" customWidth="1"/>
    <col min="14" max="15" width="8.7109375" style="2" bestFit="1" customWidth="1"/>
    <col min="16" max="16" width="10.7109375" style="2" bestFit="1" customWidth="1"/>
    <col min="17" max="17" width="7.7109375" style="2" bestFit="1" customWidth="1"/>
    <col min="18" max="18" width="10.28515625" style="2" customWidth="1"/>
    <col min="19" max="20" width="11.28515625" style="2" customWidth="1"/>
    <col min="21" max="21" width="9.7109375" style="2" customWidth="1"/>
    <col min="22" max="22" width="13" style="2" bestFit="1" customWidth="1"/>
    <col min="23" max="23" width="10.42578125" style="2" customWidth="1"/>
    <col min="24" max="24" width="8.28515625" style="2" customWidth="1"/>
    <col min="25" max="25" width="8.7109375" style="2" customWidth="1"/>
    <col min="26" max="26" width="9.28515625" style="2" customWidth="1"/>
    <col min="27" max="28" width="11.42578125" style="2" bestFit="1" customWidth="1"/>
    <col min="29" max="16384" width="10" style="2"/>
  </cols>
  <sheetData>
    <row r="1" spans="1:22" x14ac:dyDescent="0.25">
      <c r="A1" s="1" t="s">
        <v>80</v>
      </c>
      <c r="B1" s="1"/>
      <c r="C1" s="1"/>
      <c r="D1" s="1"/>
      <c r="R1" s="5"/>
      <c r="S1" s="5"/>
      <c r="T1" s="5"/>
      <c r="U1" s="5"/>
      <c r="V1" s="5"/>
    </row>
    <row r="2" spans="1:22" x14ac:dyDescent="0.25">
      <c r="A2" s="1" t="s">
        <v>57</v>
      </c>
      <c r="B2" s="1"/>
      <c r="C2" s="1"/>
      <c r="D2" s="1"/>
      <c r="R2" s="5"/>
      <c r="S2" s="5"/>
      <c r="T2" s="5"/>
      <c r="U2" s="5"/>
      <c r="V2" s="5"/>
    </row>
    <row r="3" spans="1:22" x14ac:dyDescent="0.25">
      <c r="A3" s="52" t="s">
        <v>82</v>
      </c>
      <c r="B3" s="1"/>
      <c r="C3" s="1"/>
      <c r="D3" s="1"/>
      <c r="R3" s="5"/>
      <c r="S3" s="5"/>
      <c r="T3" s="5"/>
      <c r="U3" s="5"/>
      <c r="V3" s="5"/>
    </row>
    <row r="4" spans="1:22" x14ac:dyDescent="0.25">
      <c r="A4" s="52" t="s">
        <v>83</v>
      </c>
      <c r="B4" s="1"/>
      <c r="C4" s="1"/>
      <c r="D4" s="1"/>
      <c r="R4" s="5"/>
      <c r="S4" s="5"/>
      <c r="T4" s="5"/>
      <c r="U4" s="5"/>
      <c r="V4" s="5"/>
    </row>
    <row r="5" spans="1:22" x14ac:dyDescent="0.25">
      <c r="A5" s="52"/>
      <c r="B5" s="1"/>
      <c r="C5" s="1"/>
      <c r="D5" s="1"/>
      <c r="R5" s="5"/>
      <c r="S5" s="5"/>
      <c r="T5" s="5"/>
      <c r="U5" s="5"/>
      <c r="V5" s="5"/>
    </row>
    <row r="6" spans="1:22" x14ac:dyDescent="0.25">
      <c r="A6" s="496"/>
      <c r="B6" s="4" t="s">
        <v>193</v>
      </c>
      <c r="C6" s="1"/>
      <c r="D6" s="1"/>
      <c r="R6" s="5"/>
      <c r="S6" s="5"/>
      <c r="T6" s="5"/>
      <c r="U6" s="5"/>
      <c r="V6" s="5"/>
    </row>
    <row r="7" spans="1:22" ht="15.75" thickBot="1" x14ac:dyDescent="0.3">
      <c r="A7" s="1"/>
      <c r="B7" s="1"/>
      <c r="C7" s="1"/>
      <c r="D7" s="7"/>
      <c r="R7" s="5"/>
      <c r="S7" s="5"/>
      <c r="T7" s="5"/>
      <c r="U7" s="5"/>
      <c r="V7" s="5"/>
    </row>
    <row r="8" spans="1:22" ht="15.75" thickBot="1" x14ac:dyDescent="0.3">
      <c r="B8" s="8"/>
      <c r="C8" s="521"/>
      <c r="D8" s="534"/>
      <c r="E8" s="159" t="s">
        <v>84</v>
      </c>
      <c r="F8" s="523" t="s">
        <v>85</v>
      </c>
      <c r="G8" s="524"/>
      <c r="H8" s="524"/>
      <c r="I8" s="524"/>
      <c r="J8" s="525"/>
      <c r="K8" s="536" t="s">
        <v>86</v>
      </c>
      <c r="L8" s="537"/>
    </row>
    <row r="9" spans="1:22" s="167" customFormat="1" ht="36.75" thickBot="1" x14ac:dyDescent="0.3">
      <c r="B9" s="10" t="s">
        <v>88</v>
      </c>
      <c r="C9" s="89" t="s">
        <v>89</v>
      </c>
      <c r="D9" s="168" t="s">
        <v>90</v>
      </c>
      <c r="E9" s="172" t="s">
        <v>91</v>
      </c>
      <c r="F9" s="174" t="s">
        <v>92</v>
      </c>
      <c r="G9" s="175" t="s">
        <v>93</v>
      </c>
      <c r="H9" s="175" t="s">
        <v>94</v>
      </c>
      <c r="I9" s="217" t="s">
        <v>140</v>
      </c>
      <c r="J9" s="10" t="s">
        <v>96</v>
      </c>
      <c r="K9" s="10" t="s">
        <v>135</v>
      </c>
      <c r="L9" s="18" t="s">
        <v>98</v>
      </c>
    </row>
    <row r="10" spans="1:22" s="9" customFormat="1" x14ac:dyDescent="0.2">
      <c r="A10" s="19"/>
      <c r="B10" s="86">
        <v>43466</v>
      </c>
      <c r="C10" s="87">
        <v>42000</v>
      </c>
      <c r="D10" s="153">
        <v>87</v>
      </c>
      <c r="E10" s="71">
        <v>1124.3499999999999</v>
      </c>
      <c r="F10" s="63">
        <v>1838.34</v>
      </c>
      <c r="G10" s="24">
        <f>124.66+26.88</f>
        <v>151.54</v>
      </c>
      <c r="H10" s="24">
        <f>79.6*2</f>
        <v>159.19999999999999</v>
      </c>
      <c r="I10" s="218">
        <v>29.91</v>
      </c>
      <c r="J10" s="64">
        <f>SUM(F10:I10)</f>
        <v>2178.9899999999998</v>
      </c>
      <c r="K10" s="64">
        <f t="shared" ref="K10:K22" si="0">E10+J10</f>
        <v>3303.3399999999997</v>
      </c>
      <c r="L10" s="151">
        <f t="shared" ref="L10:L22" si="1">K10/C10</f>
        <v>7.8650952380952377E-2</v>
      </c>
      <c r="N10" s="26"/>
      <c r="O10" s="26"/>
    </row>
    <row r="11" spans="1:22" s="9" customFormat="1" x14ac:dyDescent="0.2">
      <c r="A11" s="27"/>
      <c r="B11" s="86">
        <v>43497</v>
      </c>
      <c r="C11" s="87">
        <v>39900</v>
      </c>
      <c r="D11" s="30">
        <v>87</v>
      </c>
      <c r="E11" s="71">
        <v>1119.2</v>
      </c>
      <c r="F11" s="65">
        <v>1746.42</v>
      </c>
      <c r="G11" s="28">
        <f>100.7+33.43</f>
        <v>134.13</v>
      </c>
      <c r="H11" s="28">
        <f>75.22*2</f>
        <v>150.44</v>
      </c>
      <c r="I11" s="218">
        <v>29.91</v>
      </c>
      <c r="J11" s="64">
        <f>SUM(F11:I11)</f>
        <v>2060.9</v>
      </c>
      <c r="K11" s="64">
        <f t="shared" si="0"/>
        <v>3180.1000000000004</v>
      </c>
      <c r="L11" s="151">
        <f t="shared" si="1"/>
        <v>7.9701754385964926E-2</v>
      </c>
      <c r="N11" s="26"/>
      <c r="O11" s="26"/>
    </row>
    <row r="12" spans="1:22" s="9" customFormat="1" x14ac:dyDescent="0.2">
      <c r="A12" s="19"/>
      <c r="B12" s="86">
        <v>43525</v>
      </c>
      <c r="C12" s="87">
        <v>34800</v>
      </c>
      <c r="D12" s="30">
        <v>81</v>
      </c>
      <c r="E12" s="71">
        <v>1089.5899999999999</v>
      </c>
      <c r="F12" s="65">
        <v>1523.2</v>
      </c>
      <c r="G12" s="28">
        <f>97.08+15.65</f>
        <v>112.73</v>
      </c>
      <c r="H12" s="28">
        <f>65.47*2</f>
        <v>130.94</v>
      </c>
      <c r="I12" s="218">
        <v>0</v>
      </c>
      <c r="J12" s="64">
        <f t="shared" ref="J12:J22" si="2">SUM(F12:I12)</f>
        <v>1766.8700000000001</v>
      </c>
      <c r="K12" s="64">
        <f t="shared" si="0"/>
        <v>2856.46</v>
      </c>
      <c r="L12" s="151">
        <f t="shared" si="1"/>
        <v>8.2082183908045975E-2</v>
      </c>
      <c r="N12" s="26"/>
      <c r="O12" s="26"/>
    </row>
    <row r="13" spans="1:22" s="9" customFormat="1" x14ac:dyDescent="0.2">
      <c r="A13" s="27"/>
      <c r="B13" s="206">
        <v>43556</v>
      </c>
      <c r="C13" s="207"/>
      <c r="D13" s="222"/>
      <c r="E13" s="212">
        <v>961.64</v>
      </c>
      <c r="F13" s="213"/>
      <c r="G13" s="214"/>
      <c r="H13" s="214"/>
      <c r="I13" s="219"/>
      <c r="J13" s="54">
        <f t="shared" si="2"/>
        <v>0</v>
      </c>
      <c r="K13" s="54">
        <f>E13+J13</f>
        <v>961.64</v>
      </c>
      <c r="L13" s="60" t="e">
        <f t="shared" si="1"/>
        <v>#DIV/0!</v>
      </c>
      <c r="N13" s="26"/>
      <c r="O13" s="26"/>
    </row>
    <row r="14" spans="1:22" s="9" customFormat="1" x14ac:dyDescent="0.2">
      <c r="A14" s="19"/>
      <c r="B14" s="86">
        <v>43586</v>
      </c>
      <c r="C14" s="87">
        <v>31500</v>
      </c>
      <c r="D14" s="153">
        <v>63</v>
      </c>
      <c r="E14" s="71">
        <v>959.8</v>
      </c>
      <c r="F14" s="65">
        <v>1319.54</v>
      </c>
      <c r="G14" s="28">
        <f>93.56+20.79</f>
        <v>114.35</v>
      </c>
      <c r="H14" s="28">
        <f>57.36*2</f>
        <v>114.72</v>
      </c>
      <c r="I14" s="218">
        <v>0</v>
      </c>
      <c r="J14" s="64">
        <f t="shared" si="2"/>
        <v>1548.61</v>
      </c>
      <c r="K14" s="64">
        <f t="shared" si="0"/>
        <v>2508.41</v>
      </c>
      <c r="L14" s="151">
        <f t="shared" si="1"/>
        <v>7.963206349206349E-2</v>
      </c>
      <c r="N14" s="26"/>
      <c r="O14" s="26"/>
    </row>
    <row r="15" spans="1:22" s="9" customFormat="1" x14ac:dyDescent="0.2">
      <c r="A15" s="27"/>
      <c r="B15" s="86">
        <v>43617</v>
      </c>
      <c r="C15" s="87">
        <v>30000</v>
      </c>
      <c r="D15" s="30">
        <v>141</v>
      </c>
      <c r="E15" s="71">
        <v>2037.5</v>
      </c>
      <c r="F15" s="65">
        <v>1256.7</v>
      </c>
      <c r="G15" s="28">
        <f>95.4+15.56</f>
        <v>110.96000000000001</v>
      </c>
      <c r="H15" s="28">
        <f>54.71*2</f>
        <v>109.42</v>
      </c>
      <c r="I15" s="218">
        <v>0</v>
      </c>
      <c r="J15" s="64">
        <f t="shared" si="2"/>
        <v>1477.0800000000002</v>
      </c>
      <c r="K15" s="64">
        <f t="shared" si="0"/>
        <v>3514.58</v>
      </c>
      <c r="L15" s="151">
        <f t="shared" si="1"/>
        <v>0.11715266666666667</v>
      </c>
      <c r="N15" s="26"/>
      <c r="O15" s="26"/>
    </row>
    <row r="16" spans="1:22" s="9" customFormat="1" x14ac:dyDescent="0.2">
      <c r="A16" s="19"/>
      <c r="B16" s="86">
        <v>43647</v>
      </c>
      <c r="C16" s="87">
        <v>39900</v>
      </c>
      <c r="D16" s="30">
        <v>78</v>
      </c>
      <c r="E16" s="71">
        <v>1420.03</v>
      </c>
      <c r="F16" s="65">
        <v>1671.41</v>
      </c>
      <c r="G16" s="28">
        <f>117.13+28.65</f>
        <v>145.78</v>
      </c>
      <c r="H16" s="28">
        <f>72.69*2</f>
        <v>145.38</v>
      </c>
      <c r="I16" s="218">
        <v>0</v>
      </c>
      <c r="J16" s="64">
        <f t="shared" si="2"/>
        <v>1962.5700000000002</v>
      </c>
      <c r="K16" s="64">
        <f t="shared" si="0"/>
        <v>3382.6000000000004</v>
      </c>
      <c r="L16" s="151">
        <f t="shared" si="1"/>
        <v>8.4776942355889728E-2</v>
      </c>
      <c r="N16" s="26"/>
      <c r="O16" s="26"/>
    </row>
    <row r="17" spans="1:22" s="9" customFormat="1" x14ac:dyDescent="0.2">
      <c r="A17" s="27"/>
      <c r="B17" s="86">
        <v>43678</v>
      </c>
      <c r="C17" s="87">
        <v>38700</v>
      </c>
      <c r="D17" s="30">
        <v>78</v>
      </c>
      <c r="E17" s="71">
        <v>1452.85</v>
      </c>
      <c r="F17" s="65">
        <v>1621.14</v>
      </c>
      <c r="G17" s="28">
        <f>114.46+26.41</f>
        <v>140.87</v>
      </c>
      <c r="H17" s="28">
        <f>70.48*2</f>
        <v>140.96</v>
      </c>
      <c r="I17" s="218">
        <v>0</v>
      </c>
      <c r="J17" s="64">
        <f t="shared" si="2"/>
        <v>1902.9700000000003</v>
      </c>
      <c r="K17" s="64">
        <f t="shared" si="0"/>
        <v>3355.82</v>
      </c>
      <c r="L17" s="151">
        <f t="shared" si="1"/>
        <v>8.6713695090439274E-2</v>
      </c>
      <c r="N17" s="26"/>
      <c r="O17" s="26"/>
    </row>
    <row r="18" spans="1:22" s="9" customFormat="1" x14ac:dyDescent="0.2">
      <c r="A18" s="19"/>
      <c r="B18" s="86">
        <v>43709</v>
      </c>
      <c r="C18" s="87">
        <v>29700</v>
      </c>
      <c r="D18" s="30">
        <v>75</v>
      </c>
      <c r="E18" s="71">
        <v>1236.72</v>
      </c>
      <c r="F18" s="65">
        <v>1244.1300000000001</v>
      </c>
      <c r="G18" s="28">
        <f>89.47+18.64</f>
        <v>108.11</v>
      </c>
      <c r="H18" s="28">
        <f>54.09*2</f>
        <v>108.18</v>
      </c>
      <c r="I18" s="218">
        <v>0</v>
      </c>
      <c r="J18" s="64">
        <f t="shared" si="2"/>
        <v>1460.42</v>
      </c>
      <c r="K18" s="64">
        <f t="shared" si="0"/>
        <v>2697.1400000000003</v>
      </c>
      <c r="L18" s="151">
        <f t="shared" si="1"/>
        <v>9.0812794612794623E-2</v>
      </c>
      <c r="N18" s="26"/>
      <c r="O18" s="26"/>
    </row>
    <row r="19" spans="1:22" s="9" customFormat="1" x14ac:dyDescent="0.2">
      <c r="A19" s="27"/>
      <c r="B19" s="86">
        <v>43739</v>
      </c>
      <c r="C19" s="87">
        <v>27900</v>
      </c>
      <c r="D19" s="30">
        <v>66</v>
      </c>
      <c r="E19" s="71">
        <v>1029.55</v>
      </c>
      <c r="F19" s="65">
        <v>1168.73</v>
      </c>
      <c r="G19" s="28">
        <f>80.54+21.01</f>
        <v>101.55000000000001</v>
      </c>
      <c r="H19" s="28">
        <f>50.81*2</f>
        <v>101.62</v>
      </c>
      <c r="I19" s="218">
        <v>0</v>
      </c>
      <c r="J19" s="64">
        <f t="shared" si="2"/>
        <v>1371.9</v>
      </c>
      <c r="K19" s="64">
        <f t="shared" si="0"/>
        <v>2401.4499999999998</v>
      </c>
      <c r="L19" s="151">
        <f t="shared" si="1"/>
        <v>8.607347670250895E-2</v>
      </c>
      <c r="N19" s="26"/>
      <c r="O19" s="26"/>
    </row>
    <row r="20" spans="1:22" s="9" customFormat="1" x14ac:dyDescent="0.2">
      <c r="A20" s="19"/>
      <c r="B20" s="86">
        <v>43770</v>
      </c>
      <c r="C20" s="87">
        <v>33600</v>
      </c>
      <c r="D20" s="30">
        <v>78</v>
      </c>
      <c r="E20" s="71">
        <v>1334.47</v>
      </c>
      <c r="F20" s="65">
        <v>1407.5</v>
      </c>
      <c r="G20" s="28">
        <f>88.37+33.74</f>
        <v>122.11000000000001</v>
      </c>
      <c r="H20" s="28">
        <f>61.18*2</f>
        <v>122.36</v>
      </c>
      <c r="I20" s="218">
        <v>0</v>
      </c>
      <c r="J20" s="64">
        <f t="shared" si="2"/>
        <v>1651.97</v>
      </c>
      <c r="K20" s="64">
        <f t="shared" si="0"/>
        <v>2986.44</v>
      </c>
      <c r="L20" s="151">
        <f t="shared" si="1"/>
        <v>8.8882142857142854E-2</v>
      </c>
      <c r="N20" s="26"/>
      <c r="O20" s="26"/>
    </row>
    <row r="21" spans="1:22" s="9" customFormat="1" x14ac:dyDescent="0.2">
      <c r="A21" s="19"/>
      <c r="B21" s="86">
        <v>43800</v>
      </c>
      <c r="C21" s="62">
        <v>43500</v>
      </c>
      <c r="D21" s="30">
        <v>87</v>
      </c>
      <c r="E21" s="225">
        <v>1558.53</v>
      </c>
      <c r="F21" s="65">
        <v>1822.22</v>
      </c>
      <c r="G21" s="28">
        <f>116.11+41.82</f>
        <v>157.93</v>
      </c>
      <c r="H21" s="28">
        <f>79.21*2</f>
        <v>158.41999999999999</v>
      </c>
      <c r="I21" s="226">
        <v>0</v>
      </c>
      <c r="J21" s="70">
        <f t="shared" si="2"/>
        <v>2138.5700000000002</v>
      </c>
      <c r="K21" s="70">
        <f t="shared" si="0"/>
        <v>3697.1000000000004</v>
      </c>
      <c r="L21" s="227">
        <f t="shared" si="1"/>
        <v>8.4990804597701156E-2</v>
      </c>
      <c r="N21" s="26"/>
      <c r="O21" s="26"/>
    </row>
    <row r="22" spans="1:22" s="9" customFormat="1" ht="15.75" thickBot="1" x14ac:dyDescent="0.25">
      <c r="A22" s="19"/>
      <c r="B22" s="86">
        <v>43831</v>
      </c>
      <c r="C22" s="152">
        <v>42000</v>
      </c>
      <c r="D22" s="215">
        <v>84</v>
      </c>
      <c r="E22" s="216">
        <v>1495.71</v>
      </c>
      <c r="F22" s="66">
        <v>1759.38</v>
      </c>
      <c r="G22" s="67">
        <f>140.94+28.59</f>
        <v>169.53</v>
      </c>
      <c r="H22" s="67">
        <f>77.16*2</f>
        <v>154.32</v>
      </c>
      <c r="I22" s="220">
        <v>0</v>
      </c>
      <c r="J22" s="69">
        <f t="shared" si="2"/>
        <v>2083.23</v>
      </c>
      <c r="K22" s="70">
        <f t="shared" si="0"/>
        <v>3578.94</v>
      </c>
      <c r="L22" s="227">
        <f t="shared" si="1"/>
        <v>8.5212857142857146E-2</v>
      </c>
      <c r="N22" s="26"/>
      <c r="O22" s="26"/>
    </row>
    <row r="23" spans="1:22" ht="15.75" thickBot="1" x14ac:dyDescent="0.3">
      <c r="B23" s="34" t="s">
        <v>99</v>
      </c>
      <c r="C23" s="152">
        <f>SUM(C10:C22)</f>
        <v>433500</v>
      </c>
      <c r="D23" s="36">
        <f>MAX(D10:D22)</f>
        <v>141</v>
      </c>
      <c r="E23" s="40">
        <f>SUM(E10:E12)+SUM(E14:E22)</f>
        <v>15858.3</v>
      </c>
      <c r="F23" s="41"/>
      <c r="G23" s="42"/>
      <c r="H23" s="38"/>
      <c r="I23" s="221"/>
      <c r="J23" s="44">
        <f>SUM(J10:J22)</f>
        <v>21604.079999999998</v>
      </c>
      <c r="K23" s="44">
        <f>SUM(K10:K12)+SUM(K14:K22)</f>
        <v>37462.380000000005</v>
      </c>
      <c r="L23" s="50">
        <f>K23/C23</f>
        <v>8.6418408304498276E-2</v>
      </c>
      <c r="N23" s="26"/>
      <c r="O23" s="26"/>
    </row>
    <row r="24" spans="1:22" ht="15.75" x14ac:dyDescent="0.25">
      <c r="C24" s="51"/>
    </row>
    <row r="25" spans="1:22" x14ac:dyDescent="0.25">
      <c r="D25" s="52"/>
      <c r="V25" s="6"/>
    </row>
    <row r="27" spans="1:22" x14ac:dyDescent="0.25">
      <c r="H27" s="53"/>
      <c r="I27" s="53"/>
    </row>
    <row r="34" spans="1:28" s="3" customFormat="1" x14ac:dyDescent="0.25">
      <c r="A34" s="2"/>
      <c r="B34" s="2"/>
      <c r="C34" s="2"/>
      <c r="D34" s="2"/>
      <c r="H34" s="4"/>
      <c r="I34" s="4"/>
      <c r="J34" s="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x14ac:dyDescent="0.25">
      <c r="A35" s="2"/>
      <c r="B35" s="2"/>
      <c r="C35" s="2"/>
      <c r="D35" s="2"/>
      <c r="H35" s="4"/>
      <c r="I35" s="4"/>
      <c r="J35" s="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x14ac:dyDescent="0.25">
      <c r="A36" s="2"/>
      <c r="B36" s="2"/>
      <c r="C36" s="2"/>
      <c r="D36" s="2"/>
      <c r="H36" s="4"/>
      <c r="I36" s="4"/>
      <c r="J36" s="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x14ac:dyDescent="0.25">
      <c r="A37" s="2"/>
      <c r="B37" s="2"/>
      <c r="C37" s="2"/>
      <c r="D37" s="2"/>
      <c r="H37" s="4"/>
      <c r="I37" s="4"/>
      <c r="J37" s="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x14ac:dyDescent="0.25">
      <c r="A38" s="2"/>
      <c r="B38" s="2"/>
      <c r="C38" s="2"/>
      <c r="D38" s="2"/>
      <c r="H38" s="4"/>
      <c r="I38" s="4"/>
      <c r="J38" s="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</sheetData>
  <sheetProtection algorithmName="SHA-512" hashValue="pcu2kHgOipC+z/bcYAMZLeJMjDg5PeiTUB5tmgohp+h0MMppoNhzfGFEXRngzYkVXM4LiU+XytLW0d8VTdPe2g==" saltValue="SecceQWeKGPHjHavEv84Zg==" spinCount="100000" sheet="1" objects="1" scenarios="1"/>
  <mergeCells count="3">
    <mergeCell ref="C8:D8"/>
    <mergeCell ref="F8:J8"/>
    <mergeCell ref="K8:L8"/>
  </mergeCells>
  <pageMargins left="0.7" right="0.7" top="0.75" bottom="0.75" header="0.3" footer="0.3"/>
  <pageSetup scale="9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32FE2-94B2-4B3B-A8FD-551EEE27E9A6}">
  <sheetPr>
    <pageSetUpPr fitToPage="1"/>
  </sheetPr>
  <dimension ref="A1:X24"/>
  <sheetViews>
    <sheetView view="pageBreakPreview" zoomScale="115" zoomScaleNormal="100" zoomScaleSheetLayoutView="115" workbookViewId="0">
      <selection activeCell="M1" sqref="M1"/>
    </sheetView>
  </sheetViews>
  <sheetFormatPr defaultRowHeight="15" x14ac:dyDescent="0.25"/>
  <cols>
    <col min="4" max="4" width="10.5703125" customWidth="1"/>
    <col min="6" max="6" width="9.28515625" customWidth="1"/>
    <col min="8" max="8" width="10.5703125" customWidth="1"/>
    <col min="9" max="9" width="8" customWidth="1"/>
    <col min="11" max="11" width="10.28515625" customWidth="1"/>
    <col min="14" max="14" width="10" customWidth="1"/>
    <col min="18" max="18" width="9.5703125" customWidth="1"/>
    <col min="20" max="20" width="7.28515625" customWidth="1"/>
    <col min="21" max="22" width="10.28515625" customWidth="1"/>
    <col min="23" max="23" width="9.7109375" bestFit="1" customWidth="1"/>
    <col min="24" max="24" width="12" customWidth="1"/>
  </cols>
  <sheetData>
    <row r="1" spans="1:24" x14ac:dyDescent="0.25">
      <c r="A1" s="1" t="s">
        <v>100</v>
      </c>
    </row>
    <row r="2" spans="1:24" x14ac:dyDescent="0.25">
      <c r="A2" s="1" t="s">
        <v>57</v>
      </c>
    </row>
    <row r="3" spans="1:24" x14ac:dyDescent="0.25">
      <c r="A3" s="52" t="s">
        <v>82</v>
      </c>
    </row>
    <row r="4" spans="1:24" x14ac:dyDescent="0.25">
      <c r="A4" s="52" t="s">
        <v>83</v>
      </c>
    </row>
    <row r="5" spans="1:24" x14ac:dyDescent="0.25">
      <c r="A5" s="52"/>
    </row>
    <row r="6" spans="1:24" x14ac:dyDescent="0.25">
      <c r="A6" s="496"/>
      <c r="B6" s="4" t="s">
        <v>193</v>
      </c>
    </row>
    <row r="7" spans="1:24" ht="15.75" thickBot="1" x14ac:dyDescent="0.3"/>
    <row r="8" spans="1:24" ht="15.75" thickBot="1" x14ac:dyDescent="0.3">
      <c r="A8" s="242"/>
      <c r="B8" s="507" t="s">
        <v>101</v>
      </c>
      <c r="C8" s="508"/>
      <c r="D8" s="508"/>
      <c r="E8" s="508"/>
      <c r="F8" s="508"/>
      <c r="G8" s="508"/>
      <c r="H8" s="509"/>
      <c r="I8" s="507" t="s">
        <v>84</v>
      </c>
      <c r="J8" s="508"/>
      <c r="K8" s="508"/>
      <c r="L8" s="508"/>
      <c r="M8" s="508"/>
      <c r="N8" s="508"/>
      <c r="O8" s="508"/>
      <c r="P8" s="508"/>
      <c r="Q8" s="508"/>
      <c r="R8" s="508"/>
      <c r="S8" s="509"/>
      <c r="T8" s="119"/>
      <c r="U8" s="507" t="s">
        <v>102</v>
      </c>
      <c r="V8" s="509"/>
      <c r="W8" s="526" t="s">
        <v>87</v>
      </c>
      <c r="X8" s="527"/>
    </row>
    <row r="9" spans="1:24" ht="36.75" thickBot="1" x14ac:dyDescent="0.3">
      <c r="A9" s="89" t="s">
        <v>88</v>
      </c>
      <c r="B9" s="97" t="s">
        <v>103</v>
      </c>
      <c r="C9" s="98" t="s">
        <v>104</v>
      </c>
      <c r="D9" s="97" t="s">
        <v>105</v>
      </c>
      <c r="E9" s="104" t="s">
        <v>106</v>
      </c>
      <c r="F9" s="104" t="s">
        <v>107</v>
      </c>
      <c r="G9" s="98" t="s">
        <v>108</v>
      </c>
      <c r="H9" s="10" t="s">
        <v>109</v>
      </c>
      <c r="I9" s="90" t="s">
        <v>103</v>
      </c>
      <c r="J9" s="18" t="s">
        <v>104</v>
      </c>
      <c r="K9" s="90" t="s">
        <v>110</v>
      </c>
      <c r="L9" s="16" t="s">
        <v>111</v>
      </c>
      <c r="M9" s="16" t="s">
        <v>112</v>
      </c>
      <c r="N9" s="16" t="s">
        <v>113</v>
      </c>
      <c r="O9" s="16" t="s">
        <v>114</v>
      </c>
      <c r="P9" s="16" t="s">
        <v>115</v>
      </c>
      <c r="Q9" s="16" t="s">
        <v>116</v>
      </c>
      <c r="R9" s="17" t="s">
        <v>117</v>
      </c>
      <c r="S9" s="10" t="s">
        <v>91</v>
      </c>
      <c r="T9" s="10" t="s">
        <v>118</v>
      </c>
      <c r="U9" s="243" t="s">
        <v>35</v>
      </c>
      <c r="V9" s="92" t="s">
        <v>139</v>
      </c>
      <c r="W9" s="279" t="s">
        <v>120</v>
      </c>
      <c r="X9" s="92" t="s">
        <v>121</v>
      </c>
    </row>
    <row r="10" spans="1:24" x14ac:dyDescent="0.25">
      <c r="A10" s="86">
        <v>43435</v>
      </c>
      <c r="B10" s="93">
        <f>C10*10</f>
        <v>1172.9000000000001</v>
      </c>
      <c r="C10" s="101">
        <v>117.29</v>
      </c>
      <c r="D10" s="105">
        <v>381.31</v>
      </c>
      <c r="E10" s="106">
        <v>16.77</v>
      </c>
      <c r="F10" s="106">
        <v>15.92</v>
      </c>
      <c r="G10" s="107">
        <v>15.92</v>
      </c>
      <c r="H10" s="138">
        <f>SUM(D10:G10)</f>
        <v>429.92</v>
      </c>
      <c r="I10" s="129">
        <v>1155</v>
      </c>
      <c r="J10" s="130">
        <f>I10/10</f>
        <v>115.5</v>
      </c>
      <c r="K10" s="187">
        <v>24.27</v>
      </c>
      <c r="L10" s="188">
        <v>83.1</v>
      </c>
      <c r="M10" s="188">
        <v>152.69</v>
      </c>
      <c r="N10" s="188">
        <v>-11.44</v>
      </c>
      <c r="O10" s="188">
        <v>-42.29</v>
      </c>
      <c r="P10" s="188">
        <v>4.5199999999999996</v>
      </c>
      <c r="Q10" s="188">
        <v>2.13</v>
      </c>
      <c r="R10" s="189">
        <v>0</v>
      </c>
      <c r="S10" s="138">
        <f>SUM(K10:R10)</f>
        <v>212.98000000000002</v>
      </c>
      <c r="T10" s="144">
        <v>0</v>
      </c>
      <c r="U10" s="105">
        <f t="shared" ref="U10:U21" si="0">H10+S10+T10</f>
        <v>642.90000000000009</v>
      </c>
      <c r="V10" s="107">
        <f>D10+E10+L10+M10+O10+P10</f>
        <v>596.09999999999991</v>
      </c>
      <c r="W10" s="105">
        <f>V10/J10</f>
        <v>5.16103896103896</v>
      </c>
      <c r="X10" s="107">
        <f>U10/J10</f>
        <v>5.5662337662337666</v>
      </c>
    </row>
    <row r="11" spans="1:24" x14ac:dyDescent="0.25">
      <c r="A11" s="86">
        <v>43466</v>
      </c>
      <c r="B11" s="87">
        <f>C11*10</f>
        <v>1560.6999999999998</v>
      </c>
      <c r="C11" s="102">
        <v>156.07</v>
      </c>
      <c r="D11" s="108">
        <v>507.38</v>
      </c>
      <c r="E11" s="99">
        <v>22.32</v>
      </c>
      <c r="F11" s="99">
        <v>21.18</v>
      </c>
      <c r="G11" s="109">
        <v>21.18</v>
      </c>
      <c r="H11" s="126">
        <f t="shared" ref="H11:H21" si="1">SUM(D11:G11)</f>
        <v>572.05999999999995</v>
      </c>
      <c r="I11" s="129">
        <v>1537</v>
      </c>
      <c r="J11" s="130">
        <f>I11/10</f>
        <v>153.69999999999999</v>
      </c>
      <c r="K11" s="187">
        <v>24.27</v>
      </c>
      <c r="L11" s="188">
        <v>83.1</v>
      </c>
      <c r="M11" s="188">
        <v>219.34</v>
      </c>
      <c r="N11" s="188">
        <v>13.85</v>
      </c>
      <c r="O11" s="188">
        <v>-56.26</v>
      </c>
      <c r="P11" s="188">
        <v>1.64</v>
      </c>
      <c r="Q11" s="188">
        <v>2.89</v>
      </c>
      <c r="R11" s="189">
        <v>0</v>
      </c>
      <c r="S11" s="138">
        <f>SUM(K11:R11)</f>
        <v>288.83</v>
      </c>
      <c r="T11" s="145">
        <v>0</v>
      </c>
      <c r="U11" s="108">
        <f t="shared" si="0"/>
        <v>860.88999999999987</v>
      </c>
      <c r="V11" s="109">
        <f t="shared" ref="V11:V21" si="2">D11+E11+L11+M11+O11+P11</f>
        <v>777.5200000000001</v>
      </c>
      <c r="W11" s="108">
        <f t="shared" ref="W11:W21" si="3">V11/J11</f>
        <v>5.0586857514638917</v>
      </c>
      <c r="X11" s="109">
        <f t="shared" ref="X11:X22" si="4">U11/J11</f>
        <v>5.6011060507482107</v>
      </c>
    </row>
    <row r="12" spans="1:24" x14ac:dyDescent="0.25">
      <c r="A12" s="86">
        <v>43497</v>
      </c>
      <c r="B12" s="87">
        <f t="shared" ref="B12:B21" si="5">C12*10</f>
        <v>1756.6999999999998</v>
      </c>
      <c r="C12" s="102">
        <v>175.67</v>
      </c>
      <c r="D12" s="108">
        <f>110.53+453.34</f>
        <v>563.87</v>
      </c>
      <c r="E12" s="99">
        <f>4.86+31.59</f>
        <v>36.450000000000003</v>
      </c>
      <c r="F12" s="99">
        <v>24</v>
      </c>
      <c r="G12" s="109">
        <v>24</v>
      </c>
      <c r="H12" s="126">
        <f t="shared" si="1"/>
        <v>648.32000000000005</v>
      </c>
      <c r="I12" s="87">
        <v>1730</v>
      </c>
      <c r="J12" s="102">
        <f t="shared" ref="J12:J21" si="6">I12/10</f>
        <v>173</v>
      </c>
      <c r="K12" s="187">
        <v>24.27</v>
      </c>
      <c r="L12" s="239"/>
      <c r="M12" s="239"/>
      <c r="N12" s="239"/>
      <c r="O12" s="239"/>
      <c r="P12" s="239"/>
      <c r="Q12" s="239"/>
      <c r="R12" s="240"/>
      <c r="S12" s="126">
        <v>302.45999999999998</v>
      </c>
      <c r="T12" s="146">
        <v>0</v>
      </c>
      <c r="U12" s="108">
        <f t="shared" si="0"/>
        <v>950.78</v>
      </c>
      <c r="V12" s="109">
        <f t="shared" si="2"/>
        <v>600.32000000000005</v>
      </c>
      <c r="W12" s="238">
        <f t="shared" si="3"/>
        <v>3.4700578034682086</v>
      </c>
      <c r="X12" s="109">
        <f t="shared" si="4"/>
        <v>5.4958381502890168</v>
      </c>
    </row>
    <row r="13" spans="1:24" x14ac:dyDescent="0.25">
      <c r="A13" s="86">
        <v>43525</v>
      </c>
      <c r="B13" s="87">
        <f t="shared" si="5"/>
        <v>1443</v>
      </c>
      <c r="C13" s="102">
        <v>144.30000000000001</v>
      </c>
      <c r="D13" s="108">
        <v>461.76</v>
      </c>
      <c r="E13" s="99">
        <v>32.18</v>
      </c>
      <c r="F13" s="99">
        <v>19.75</v>
      </c>
      <c r="G13" s="109">
        <v>19.75</v>
      </c>
      <c r="H13" s="126">
        <f t="shared" si="1"/>
        <v>533.44000000000005</v>
      </c>
      <c r="I13" s="87">
        <v>1421</v>
      </c>
      <c r="J13" s="102">
        <f t="shared" si="6"/>
        <v>142.1</v>
      </c>
      <c r="K13" s="187">
        <v>24.27</v>
      </c>
      <c r="L13" s="99">
        <v>83.1</v>
      </c>
      <c r="M13" s="99">
        <v>199.11</v>
      </c>
      <c r="N13" s="99">
        <v>-14.94</v>
      </c>
      <c r="O13" s="99">
        <v>-52.02</v>
      </c>
      <c r="P13" s="99">
        <v>0.71</v>
      </c>
      <c r="Q13" s="99">
        <v>2.4300000000000002</v>
      </c>
      <c r="R13" s="109">
        <v>0</v>
      </c>
      <c r="S13" s="126">
        <f>SUM(K13:R13)</f>
        <v>242.66000000000003</v>
      </c>
      <c r="T13" s="146">
        <v>0</v>
      </c>
      <c r="U13" s="108">
        <f t="shared" si="0"/>
        <v>776.10000000000014</v>
      </c>
      <c r="V13" s="109">
        <f t="shared" si="2"/>
        <v>724.84</v>
      </c>
      <c r="W13" s="108">
        <f t="shared" si="3"/>
        <v>5.1009148486981006</v>
      </c>
      <c r="X13" s="109">
        <f t="shared" si="4"/>
        <v>5.4616467276565812</v>
      </c>
    </row>
    <row r="14" spans="1:24" x14ac:dyDescent="0.25">
      <c r="A14" s="86">
        <v>43556</v>
      </c>
      <c r="B14" s="87">
        <f t="shared" si="5"/>
        <v>603.1</v>
      </c>
      <c r="C14" s="102">
        <v>60.31</v>
      </c>
      <c r="D14" s="229">
        <v>192.99</v>
      </c>
      <c r="E14" s="230">
        <v>13.45</v>
      </c>
      <c r="F14" s="230">
        <v>8.26</v>
      </c>
      <c r="G14" s="231">
        <v>8.26</v>
      </c>
      <c r="H14" s="232">
        <f t="shared" si="1"/>
        <v>222.95999999999998</v>
      </c>
      <c r="I14" s="87">
        <v>594</v>
      </c>
      <c r="J14" s="102">
        <f t="shared" si="6"/>
        <v>59.4</v>
      </c>
      <c r="K14" s="187">
        <v>24.27</v>
      </c>
      <c r="L14" s="99">
        <v>88.71</v>
      </c>
      <c r="M14" s="99">
        <v>58.5</v>
      </c>
      <c r="N14" s="99">
        <v>20.52</v>
      </c>
      <c r="O14" s="99">
        <v>-21.75</v>
      </c>
      <c r="P14" s="99">
        <v>0.3</v>
      </c>
      <c r="Q14" s="99">
        <v>1.72</v>
      </c>
      <c r="R14" s="109">
        <v>0</v>
      </c>
      <c r="S14" s="126">
        <f>SUM(K14:R14)</f>
        <v>172.27</v>
      </c>
      <c r="T14" s="146">
        <v>0</v>
      </c>
      <c r="U14" s="108">
        <f t="shared" si="0"/>
        <v>395.23</v>
      </c>
      <c r="V14" s="109">
        <f t="shared" si="2"/>
        <v>332.2</v>
      </c>
      <c r="W14" s="108">
        <f t="shared" si="3"/>
        <v>5.5925925925925926</v>
      </c>
      <c r="X14" s="109">
        <f t="shared" si="4"/>
        <v>6.6537037037037043</v>
      </c>
    </row>
    <row r="15" spans="1:24" x14ac:dyDescent="0.25">
      <c r="A15" s="86">
        <v>43586</v>
      </c>
      <c r="B15" s="87">
        <f t="shared" si="5"/>
        <v>386.9</v>
      </c>
      <c r="C15" s="102">
        <v>38.69</v>
      </c>
      <c r="D15" s="108">
        <v>123.81</v>
      </c>
      <c r="E15" s="99">
        <v>8.6300000000000008</v>
      </c>
      <c r="F15" s="99">
        <v>5.29</v>
      </c>
      <c r="G15" s="109">
        <v>5.29</v>
      </c>
      <c r="H15" s="126">
        <f t="shared" si="1"/>
        <v>143.01999999999998</v>
      </c>
      <c r="I15" s="87">
        <v>381</v>
      </c>
      <c r="J15" s="102">
        <f t="shared" si="6"/>
        <v>38.1</v>
      </c>
      <c r="K15" s="187">
        <v>24.27</v>
      </c>
      <c r="L15" s="99">
        <v>89.84</v>
      </c>
      <c r="M15" s="99">
        <v>19.059999999999999</v>
      </c>
      <c r="N15" s="99">
        <v>-5.95</v>
      </c>
      <c r="O15" s="99">
        <v>-13.95</v>
      </c>
      <c r="P15" s="99">
        <v>0.19</v>
      </c>
      <c r="Q15" s="99">
        <v>1.1499999999999999</v>
      </c>
      <c r="R15" s="109">
        <v>0</v>
      </c>
      <c r="S15" s="126">
        <f>SUM(K15:R15)</f>
        <v>114.60999999999999</v>
      </c>
      <c r="T15" s="146">
        <v>0</v>
      </c>
      <c r="U15" s="108">
        <f t="shared" si="0"/>
        <v>257.63</v>
      </c>
      <c r="V15" s="109">
        <f t="shared" si="2"/>
        <v>227.58</v>
      </c>
      <c r="W15" s="108">
        <f t="shared" si="3"/>
        <v>5.9732283464566933</v>
      </c>
      <c r="X15" s="109">
        <f t="shared" si="4"/>
        <v>6.7619422572178474</v>
      </c>
    </row>
    <row r="16" spans="1:24" x14ac:dyDescent="0.25">
      <c r="A16" s="86">
        <v>43617</v>
      </c>
      <c r="B16" s="87">
        <f t="shared" si="5"/>
        <v>116.8</v>
      </c>
      <c r="C16" s="102">
        <v>11.68</v>
      </c>
      <c r="D16" s="229">
        <v>37.380000000000003</v>
      </c>
      <c r="E16" s="230">
        <v>2.6</v>
      </c>
      <c r="F16" s="230">
        <v>1.6</v>
      </c>
      <c r="G16" s="231">
        <v>1.6</v>
      </c>
      <c r="H16" s="232">
        <f t="shared" si="1"/>
        <v>43.180000000000007</v>
      </c>
      <c r="I16" s="87">
        <v>115</v>
      </c>
      <c r="J16" s="102">
        <f t="shared" si="6"/>
        <v>11.5</v>
      </c>
      <c r="K16" s="187">
        <v>24.27</v>
      </c>
      <c r="L16" s="99">
        <v>0</v>
      </c>
      <c r="M16" s="99">
        <v>36.33</v>
      </c>
      <c r="N16" s="99">
        <v>-0.13</v>
      </c>
      <c r="O16" s="99">
        <v>-4.21</v>
      </c>
      <c r="P16" s="99">
        <v>0.06</v>
      </c>
      <c r="Q16" s="99">
        <v>0.56999999999999995</v>
      </c>
      <c r="R16" s="109">
        <v>4.55</v>
      </c>
      <c r="S16" s="126">
        <f t="shared" ref="S16:S21" si="7">SUM(K16:R16)</f>
        <v>61.439999999999991</v>
      </c>
      <c r="T16" s="146">
        <v>0</v>
      </c>
      <c r="U16" s="108">
        <f t="shared" si="0"/>
        <v>104.62</v>
      </c>
      <c r="V16" s="109">
        <f t="shared" si="2"/>
        <v>72.160000000000011</v>
      </c>
      <c r="W16" s="108">
        <f t="shared" si="3"/>
        <v>6.2747826086956531</v>
      </c>
      <c r="X16" s="109">
        <f t="shared" si="4"/>
        <v>9.0973913043478269</v>
      </c>
    </row>
    <row r="17" spans="1:24" x14ac:dyDescent="0.25">
      <c r="A17" s="86">
        <v>43647</v>
      </c>
      <c r="B17" s="87">
        <f t="shared" si="5"/>
        <v>119.80000000000001</v>
      </c>
      <c r="C17" s="102">
        <v>11.98</v>
      </c>
      <c r="D17" s="108">
        <v>38.340000000000003</v>
      </c>
      <c r="E17" s="99">
        <v>2.67</v>
      </c>
      <c r="F17" s="99">
        <v>1.65</v>
      </c>
      <c r="G17" s="109">
        <v>1.65</v>
      </c>
      <c r="H17" s="126">
        <f t="shared" si="1"/>
        <v>44.31</v>
      </c>
      <c r="I17" s="87">
        <v>118</v>
      </c>
      <c r="J17" s="102">
        <f t="shared" si="6"/>
        <v>11.8</v>
      </c>
      <c r="K17" s="187">
        <v>24.27</v>
      </c>
      <c r="L17" s="99">
        <v>0</v>
      </c>
      <c r="M17" s="99">
        <v>37.299999999999997</v>
      </c>
      <c r="N17" s="99">
        <v>0</v>
      </c>
      <c r="O17" s="99">
        <v>-1.17</v>
      </c>
      <c r="P17" s="99">
        <v>0.06</v>
      </c>
      <c r="Q17" s="99">
        <v>0.61</v>
      </c>
      <c r="R17" s="109">
        <v>4.8899999999999997</v>
      </c>
      <c r="S17" s="126">
        <f t="shared" si="7"/>
        <v>65.959999999999994</v>
      </c>
      <c r="T17" s="146">
        <v>0</v>
      </c>
      <c r="U17" s="108">
        <f t="shared" si="0"/>
        <v>110.27</v>
      </c>
      <c r="V17" s="109">
        <f t="shared" si="2"/>
        <v>77.2</v>
      </c>
      <c r="W17" s="108">
        <f t="shared" si="3"/>
        <v>6.5423728813559316</v>
      </c>
      <c r="X17" s="109">
        <f>U17/J17</f>
        <v>9.3449152542372875</v>
      </c>
    </row>
    <row r="18" spans="1:24" x14ac:dyDescent="0.25">
      <c r="A18" s="86">
        <v>43678</v>
      </c>
      <c r="B18" s="87">
        <f t="shared" si="5"/>
        <v>129</v>
      </c>
      <c r="C18" s="102">
        <v>12.9</v>
      </c>
      <c r="D18" s="108">
        <v>41.28</v>
      </c>
      <c r="E18" s="99">
        <v>2.88</v>
      </c>
      <c r="F18" s="99">
        <v>1.77</v>
      </c>
      <c r="G18" s="109">
        <v>1.77</v>
      </c>
      <c r="H18" s="126">
        <f t="shared" si="1"/>
        <v>47.70000000000001</v>
      </c>
      <c r="I18" s="87">
        <v>127</v>
      </c>
      <c r="J18" s="102">
        <f t="shared" si="6"/>
        <v>12.7</v>
      </c>
      <c r="K18" s="187">
        <v>24.27</v>
      </c>
      <c r="L18" s="99">
        <v>0</v>
      </c>
      <c r="M18" s="99">
        <v>40.22</v>
      </c>
      <c r="N18" s="99">
        <v>0</v>
      </c>
      <c r="O18" s="99">
        <v>-0.46</v>
      </c>
      <c r="P18" s="99">
        <v>0.06</v>
      </c>
      <c r="Q18" s="99">
        <v>0.65</v>
      </c>
      <c r="R18" s="109">
        <v>5.18</v>
      </c>
      <c r="S18" s="126">
        <f t="shared" si="7"/>
        <v>69.920000000000016</v>
      </c>
      <c r="T18" s="146">
        <v>0</v>
      </c>
      <c r="U18" s="108">
        <f t="shared" si="0"/>
        <v>117.62000000000003</v>
      </c>
      <c r="V18" s="109">
        <f t="shared" si="2"/>
        <v>83.98</v>
      </c>
      <c r="W18" s="108">
        <f t="shared" si="3"/>
        <v>6.6125984251968513</v>
      </c>
      <c r="X18" s="109">
        <f t="shared" si="4"/>
        <v>9.2614173228346495</v>
      </c>
    </row>
    <row r="19" spans="1:24" x14ac:dyDescent="0.25">
      <c r="A19" s="86">
        <v>43709</v>
      </c>
      <c r="B19" s="87">
        <f t="shared" si="5"/>
        <v>128</v>
      </c>
      <c r="C19" s="102">
        <v>12.8</v>
      </c>
      <c r="D19" s="108">
        <v>40.96</v>
      </c>
      <c r="E19" s="99">
        <v>2.85</v>
      </c>
      <c r="F19" s="99">
        <v>1.76</v>
      </c>
      <c r="G19" s="109">
        <v>1.76</v>
      </c>
      <c r="H19" s="126">
        <f t="shared" si="1"/>
        <v>47.33</v>
      </c>
      <c r="I19" s="87">
        <v>126</v>
      </c>
      <c r="J19" s="102">
        <f t="shared" si="6"/>
        <v>12.6</v>
      </c>
      <c r="K19" s="187">
        <v>24.27</v>
      </c>
      <c r="L19" s="99">
        <v>0</v>
      </c>
      <c r="M19" s="99">
        <v>39.9</v>
      </c>
      <c r="N19" s="99">
        <v>0</v>
      </c>
      <c r="O19" s="99">
        <v>-0.44</v>
      </c>
      <c r="P19" s="99">
        <v>0.06</v>
      </c>
      <c r="Q19" s="99">
        <v>0.64</v>
      </c>
      <c r="R19" s="109">
        <v>5.15</v>
      </c>
      <c r="S19" s="126">
        <f t="shared" si="7"/>
        <v>69.580000000000013</v>
      </c>
      <c r="T19" s="146">
        <v>0</v>
      </c>
      <c r="U19" s="108">
        <f t="shared" si="0"/>
        <v>116.91000000000001</v>
      </c>
      <c r="V19" s="109">
        <f t="shared" si="2"/>
        <v>83.330000000000013</v>
      </c>
      <c r="W19" s="108">
        <f t="shared" si="3"/>
        <v>6.6134920634920649</v>
      </c>
      <c r="X19" s="109">
        <f t="shared" si="4"/>
        <v>9.2785714285714302</v>
      </c>
    </row>
    <row r="20" spans="1:24" x14ac:dyDescent="0.25">
      <c r="A20" s="206">
        <v>43739</v>
      </c>
      <c r="B20" s="305"/>
      <c r="C20" s="306"/>
      <c r="D20" s="238"/>
      <c r="E20" s="239"/>
      <c r="F20" s="239"/>
      <c r="G20" s="240"/>
      <c r="H20" s="307">
        <f>AVERAGE(H19,H21)</f>
        <v>235.2</v>
      </c>
      <c r="I20" s="207">
        <v>324</v>
      </c>
      <c r="J20" s="237">
        <f>I20/10</f>
        <v>32.4</v>
      </c>
      <c r="K20" s="187">
        <v>24.27</v>
      </c>
      <c r="L20" s="99">
        <v>89.84</v>
      </c>
      <c r="M20" s="99">
        <v>8.31</v>
      </c>
      <c r="N20" s="99">
        <v>1.65</v>
      </c>
      <c r="O20" s="99">
        <v>-1.1499999999999999</v>
      </c>
      <c r="P20" s="99">
        <v>0.16</v>
      </c>
      <c r="Q20" s="99">
        <v>1.24</v>
      </c>
      <c r="R20" s="109">
        <v>9.9499999999999993</v>
      </c>
      <c r="S20" s="126">
        <f t="shared" si="7"/>
        <v>134.26999999999998</v>
      </c>
      <c r="T20" s="146">
        <v>-7.41</v>
      </c>
      <c r="U20" s="108">
        <f t="shared" si="0"/>
        <v>362.05999999999995</v>
      </c>
      <c r="V20" s="109">
        <f>D20+E20+L20+M20+O20+P20</f>
        <v>97.16</v>
      </c>
      <c r="W20" s="108">
        <f t="shared" si="3"/>
        <v>2.9987654320987653</v>
      </c>
      <c r="X20" s="109">
        <f t="shared" si="4"/>
        <v>11.17469135802469</v>
      </c>
    </row>
    <row r="21" spans="1:24" ht="15.75" thickBot="1" x14ac:dyDescent="0.3">
      <c r="A21" s="194">
        <v>43770</v>
      </c>
      <c r="B21" s="113">
        <f t="shared" si="5"/>
        <v>1144.4000000000001</v>
      </c>
      <c r="C21" s="114">
        <v>114.44</v>
      </c>
      <c r="D21" s="233">
        <v>366.21</v>
      </c>
      <c r="E21" s="234">
        <v>25.52</v>
      </c>
      <c r="F21" s="234">
        <v>15.67</v>
      </c>
      <c r="G21" s="235">
        <v>15.67</v>
      </c>
      <c r="H21" s="236">
        <f t="shared" si="1"/>
        <v>423.07</v>
      </c>
      <c r="I21" s="113">
        <v>1127</v>
      </c>
      <c r="J21" s="114">
        <f t="shared" si="6"/>
        <v>112.7</v>
      </c>
      <c r="K21" s="187">
        <v>24.27</v>
      </c>
      <c r="L21" s="117">
        <v>89.84</v>
      </c>
      <c r="M21" s="117">
        <v>159.83000000000001</v>
      </c>
      <c r="N21" s="117">
        <v>-18.440000000000001</v>
      </c>
      <c r="O21" s="117">
        <v>-3.99</v>
      </c>
      <c r="P21" s="117">
        <v>0.56000000000000005</v>
      </c>
      <c r="Q21" s="117">
        <v>2.5499999999999998</v>
      </c>
      <c r="R21" s="118">
        <v>20.37</v>
      </c>
      <c r="S21" s="199">
        <f t="shared" si="7"/>
        <v>274.99</v>
      </c>
      <c r="T21" s="228">
        <v>0</v>
      </c>
      <c r="U21" s="110">
        <f t="shared" si="0"/>
        <v>698.06</v>
      </c>
      <c r="V21" s="111">
        <f t="shared" si="2"/>
        <v>637.96999999999991</v>
      </c>
      <c r="W21" s="110">
        <f t="shared" si="3"/>
        <v>5.6607808340727583</v>
      </c>
      <c r="X21" s="111">
        <f t="shared" si="4"/>
        <v>6.1939662821650394</v>
      </c>
    </row>
    <row r="22" spans="1:24" ht="15.75" thickBot="1" x14ac:dyDescent="0.3">
      <c r="A22" s="112" t="s">
        <v>99</v>
      </c>
      <c r="B22" s="115">
        <f>SUM(B10:B21)</f>
        <v>8561.2999999999993</v>
      </c>
      <c r="C22" s="121">
        <f>SUM(C10:C21)</f>
        <v>856.12999999999988</v>
      </c>
      <c r="D22" s="122"/>
      <c r="E22" s="124"/>
      <c r="F22" s="124"/>
      <c r="G22" s="125"/>
      <c r="H22" s="123">
        <f>SUM(H10:H21)</f>
        <v>3390.5099999999998</v>
      </c>
      <c r="I22" s="115">
        <f>SUM(I10:I21)</f>
        <v>8755</v>
      </c>
      <c r="J22" s="121">
        <f>SUM(J10:J21)</f>
        <v>875.5</v>
      </c>
      <c r="K22" s="122"/>
      <c r="L22" s="124"/>
      <c r="M22" s="124"/>
      <c r="N22" s="124"/>
      <c r="O22" s="124"/>
      <c r="P22" s="124"/>
      <c r="Q22" s="133"/>
      <c r="R22" s="123"/>
      <c r="S22" s="200">
        <f>SUM(S10:S21)</f>
        <v>2009.97</v>
      </c>
      <c r="T22" s="120">
        <f>SUM(T10:T21)</f>
        <v>-7.41</v>
      </c>
      <c r="U22" s="200">
        <f>SUM(U10:U21)</f>
        <v>5393.07</v>
      </c>
      <c r="V22" s="125">
        <f>SUM(V10:V21)</f>
        <v>4310.3599999999997</v>
      </c>
      <c r="W22" s="122">
        <f>V22/J22</f>
        <v>4.9233123929183318</v>
      </c>
      <c r="X22" s="125">
        <f t="shared" si="4"/>
        <v>6.1599885779554535</v>
      </c>
    </row>
    <row r="24" spans="1:24" x14ac:dyDescent="0.25">
      <c r="U24" s="96"/>
      <c r="W24" s="96"/>
    </row>
  </sheetData>
  <sheetProtection algorithmName="SHA-512" hashValue="TCc9Z0TRl6SJDBg49xlF9XSpr6hLaJgUESX5Q4hZLlm4AxgkRzJ3TYvYSxMZbXdsqwyqP2KlakLslmHdh3Hxgw==" saltValue="NPLU8Pqsp73zUHiinr5pUw==" spinCount="100000" sheet="1" objects="1" scenarios="1"/>
  <mergeCells count="4">
    <mergeCell ref="B8:H8"/>
    <mergeCell ref="I8:S8"/>
    <mergeCell ref="U8:V8"/>
    <mergeCell ref="W8:X8"/>
  </mergeCells>
  <pageMargins left="0.7" right="0.7" top="0.75" bottom="0.75" header="0.3" footer="0.3"/>
  <pageSetup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5377360C758642836FA27549CC56EF" ma:contentTypeVersion="8" ma:contentTypeDescription="Create a new document." ma:contentTypeScope="" ma:versionID="45aca95a6bf54b6a68b2eb6497ecb18c">
  <xsd:schema xmlns:xsd="http://www.w3.org/2001/XMLSchema" xmlns:xs="http://www.w3.org/2001/XMLSchema" xmlns:p="http://schemas.microsoft.com/office/2006/metadata/properties" xmlns:ns2="5c3b414a-42b5-4f3e-bc15-e98eadd98e7f" xmlns:ns3="3622e63a-d837-4b38-93c6-6dd27fcd9d50" targetNamespace="http://schemas.microsoft.com/office/2006/metadata/properties" ma:root="true" ma:fieldsID="0cf8969e401bc199394dbc2ae4c3c2ac" ns2:_="" ns3:_="">
    <xsd:import namespace="5c3b414a-42b5-4f3e-bc15-e98eadd98e7f"/>
    <xsd:import namespace="3622e63a-d837-4b38-93c6-6dd27fcd9d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3b414a-42b5-4f3e-bc15-e98eadd98e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22e63a-d837-4b38-93c6-6dd27fcd9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00C2500-224C-400F-8EF0-62E4002B7D7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5E0827-3083-43A6-8E5F-E6C830B0CE61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3622e63a-d837-4b38-93c6-6dd27fcd9d50"/>
    <ds:schemaRef ds:uri="5c3b414a-42b5-4f3e-bc15-e98eadd98e7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9365B70-8CEA-49E3-A0DC-DFC3B66C2E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3b414a-42b5-4f3e-bc15-e98eadd98e7f"/>
    <ds:schemaRef ds:uri="3622e63a-d837-4b38-93c6-6dd27fcd9d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6</vt:i4>
      </vt:variant>
    </vt:vector>
  </HeadingPairs>
  <TitlesOfParts>
    <vt:vector size="23" baseType="lpstr">
      <vt:lpstr>Summary</vt:lpstr>
      <vt:lpstr>Comparison to Load Profile</vt:lpstr>
      <vt:lpstr>Summary with Estimates</vt:lpstr>
      <vt:lpstr>Salina Elec</vt:lpstr>
      <vt:lpstr>Salina Gas</vt:lpstr>
      <vt:lpstr>224 Harrison Elec</vt:lpstr>
      <vt:lpstr>224 Harrison Gas </vt:lpstr>
      <vt:lpstr>White Memorial Elec</vt:lpstr>
      <vt:lpstr>White Memorial Gas</vt:lpstr>
      <vt:lpstr>1 Clinton Sq Elec</vt:lpstr>
      <vt:lpstr>Atrium Elec</vt:lpstr>
      <vt:lpstr>1 Clinton Sq Gas</vt:lpstr>
      <vt:lpstr>Atrium Gas</vt:lpstr>
      <vt:lpstr>One Lincoln Center Electric</vt:lpstr>
      <vt:lpstr>One Lincoln Center Gas</vt:lpstr>
      <vt:lpstr>One Park Place Electric</vt:lpstr>
      <vt:lpstr>One Park Place Gas</vt:lpstr>
      <vt:lpstr>'1 Clinton Sq Elec'!Print_Area</vt:lpstr>
      <vt:lpstr>'224 Harrison Elec'!Print_Area</vt:lpstr>
      <vt:lpstr>'Atrium Elec'!Print_Area</vt:lpstr>
      <vt:lpstr>'Comparison to Load Profile'!Print_Area</vt:lpstr>
      <vt:lpstr>'Salina Elec'!Print_Area</vt:lpstr>
      <vt:lpstr>'White Memorial Elec'!Print_Area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Walck, Charles</dc:creator>
  <cp:keywords/>
  <dc:description/>
  <cp:lastModifiedBy>Walck, Charles</cp:lastModifiedBy>
  <cp:revision/>
  <cp:lastPrinted>2022-11-08T14:47:35Z</cp:lastPrinted>
  <dcterms:created xsi:type="dcterms:W3CDTF">2021-09-30T15:24:54Z</dcterms:created>
  <dcterms:modified xsi:type="dcterms:W3CDTF">2025-02-07T19:47:32Z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0x010100275377360C758642836FA27549CC56EF</vt:lpwstr>
  </property>
</Properties>
</file>