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E:\PROGRAMS\NY\Ag Best Practices\Deliverables\Task 7.3.3\"/>
    </mc:Choice>
  </mc:AlternateContent>
  <xr:revisionPtr revIDLastSave="0" documentId="13_ncr:1_{A8F3A5B2-1D82-4159-8FAD-A525BEF2D9F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gine to Electric Motor" sheetId="17" r:id="rId1"/>
    <sheet name="Electric Tractor" sheetId="21" r:id="rId2"/>
    <sheet name="Heat Pump Space Heating" sheetId="22" r:id="rId3"/>
    <sheet name="Water Heating" sheetId="23" r:id="rId4"/>
    <sheet name="Information" sheetId="27" r:id="rId5"/>
    <sheet name="Basic Fuel Switch" sheetId="15" state="hidden" r:id="rId6"/>
    <sheet name="Basic Fuel Switch Tractor" sheetId="24" state="hidden" r:id="rId7"/>
    <sheet name="Heat Pump Calculations" sheetId="25" state="hidden" r:id="rId8"/>
    <sheet name="Water Heating Calculations" sheetId="26" state="hidden" r:id="rId9"/>
    <sheet name="Technologies" sheetId="11" state="hidden" r:id="rId10"/>
  </sheets>
  <definedNames>
    <definedName name="BTUs">#REF!</definedName>
    <definedName name="FUEL">#REF!</definedName>
    <definedName name="MJs">#REF!</definedName>
    <definedName name="Uni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5" l="1"/>
  <c r="B19" i="26"/>
  <c r="B14" i="26"/>
  <c r="B11" i="26"/>
  <c r="B12" i="26" s="1"/>
  <c r="B13" i="26" l="1"/>
  <c r="B6" i="26" l="1"/>
  <c r="B3" i="26"/>
  <c r="B7" i="26" s="1"/>
  <c r="B17" i="25"/>
  <c r="B15" i="25"/>
  <c r="D26" i="22"/>
  <c r="B20" i="25" s="1"/>
  <c r="B8" i="25"/>
  <c r="B7" i="25"/>
  <c r="C3" i="15"/>
  <c r="B6" i="25"/>
  <c r="B3" i="25"/>
  <c r="B9" i="25" s="1"/>
  <c r="B3" i="15"/>
  <c r="S4" i="11"/>
  <c r="S5" i="11"/>
  <c r="S6" i="11" s="1"/>
  <c r="S7" i="11" s="1"/>
  <c r="S8" i="11" s="1"/>
  <c r="S9" i="11" s="1"/>
  <c r="S10" i="11" s="1"/>
  <c r="S11" i="11" s="1"/>
  <c r="S3" i="11"/>
  <c r="R8" i="11"/>
  <c r="R9" i="11"/>
  <c r="R10" i="11"/>
  <c r="R11" i="11"/>
  <c r="R3" i="11"/>
  <c r="R4" i="11"/>
  <c r="R5" i="11"/>
  <c r="R6" i="11"/>
  <c r="R7" i="11"/>
  <c r="R2" i="11"/>
  <c r="Q4" i="11"/>
  <c r="Q5" i="11" s="1"/>
  <c r="Q6" i="11" s="1"/>
  <c r="Q7" i="11" s="1"/>
  <c r="Q8" i="11" s="1"/>
  <c r="Q9" i="11" s="1"/>
  <c r="Q10" i="11" s="1"/>
  <c r="Q11" i="11" s="1"/>
  <c r="Q3" i="11"/>
  <c r="F8" i="11"/>
  <c r="F6" i="11"/>
  <c r="B8" i="26" l="1"/>
  <c r="B15" i="26" s="1"/>
  <c r="B20" i="26" s="1"/>
  <c r="B10" i="25"/>
  <c r="B16" i="25" s="1"/>
  <c r="B19" i="25" s="1"/>
  <c r="D32" i="22" s="1"/>
  <c r="B22" i="26" l="1"/>
  <c r="B24" i="26" s="1"/>
  <c r="B21" i="26"/>
  <c r="B21" i="25"/>
  <c r="D33" i="22" s="1"/>
  <c r="B18" i="24"/>
  <c r="H8" i="24"/>
  <c r="D25" i="21" s="1"/>
  <c r="B13" i="24"/>
  <c r="B7" i="24"/>
  <c r="B6" i="24"/>
  <c r="A3" i="24"/>
  <c r="D3" i="24" s="1"/>
  <c r="E10" i="23"/>
  <c r="E9" i="23"/>
  <c r="E10" i="22"/>
  <c r="E9" i="22"/>
  <c r="E10" i="21"/>
  <c r="E9" i="21"/>
  <c r="A3" i="15"/>
  <c r="D3" i="15" s="1"/>
  <c r="B13" i="15"/>
  <c r="B7" i="15"/>
  <c r="B6" i="15"/>
  <c r="B18" i="15"/>
  <c r="H9" i="15"/>
  <c r="D25" i="17" s="1"/>
  <c r="E10" i="17"/>
  <c r="E9" i="17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B25" i="26" l="1"/>
  <c r="B26" i="26" s="1"/>
  <c r="D28" i="23" s="1"/>
  <c r="B8" i="24"/>
  <c r="B9" i="24"/>
  <c r="B10" i="24" s="1"/>
  <c r="B3" i="24"/>
  <c r="C3" i="24"/>
  <c r="B9" i="15"/>
  <c r="B10" i="15" s="1"/>
  <c r="B11" i="15" s="1"/>
  <c r="B15" i="15" s="1"/>
  <c r="B8" i="15"/>
  <c r="D26" i="17"/>
  <c r="D27" i="23" l="1"/>
  <c r="B27" i="26"/>
  <c r="B11" i="24"/>
  <c r="B15" i="24" s="1"/>
  <c r="B16" i="24" s="1"/>
  <c r="B16" i="15"/>
  <c r="B12" i="15"/>
  <c r="B19" i="24" l="1"/>
  <c r="D33" i="21" s="1"/>
  <c r="D32" i="21"/>
  <c r="B12" i="24"/>
  <c r="D34" i="23"/>
  <c r="D32" i="17"/>
  <c r="B19" i="15"/>
  <c r="D35" i="23" l="1"/>
  <c r="D33" i="17"/>
</calcChain>
</file>

<file path=xl/sharedStrings.xml><?xml version="1.0" encoding="utf-8"?>
<sst xmlns="http://schemas.openxmlformats.org/spreadsheetml/2006/main" count="216" uniqueCount="125">
  <si>
    <t>Propane</t>
  </si>
  <si>
    <t>Natural Gas</t>
  </si>
  <si>
    <t>Electricity</t>
  </si>
  <si>
    <t>Coal</t>
  </si>
  <si>
    <t>$/gallon</t>
  </si>
  <si>
    <t>$/therm</t>
  </si>
  <si>
    <t>$/ton</t>
  </si>
  <si>
    <t>:</t>
  </si>
  <si>
    <t>Units</t>
  </si>
  <si>
    <t>Calculations</t>
  </si>
  <si>
    <t>Efficiencies</t>
  </si>
  <si>
    <t>Old Pump Efficiency</t>
  </si>
  <si>
    <t>Old Drivetrain Efficiency</t>
  </si>
  <si>
    <t>New Electric Motor Efficiency</t>
  </si>
  <si>
    <t>New Pump Efficiency</t>
  </si>
  <si>
    <t>New Drivetrain Efficiency</t>
  </si>
  <si>
    <t>Cost of Electricity ($/kWh)</t>
  </si>
  <si>
    <t>Old Total Dynamic Head (ft)</t>
  </si>
  <si>
    <t>Total Cost of Electricity ($)</t>
  </si>
  <si>
    <t>New Total Dynamic Head (ft)</t>
  </si>
  <si>
    <t>Cost Savings ($)</t>
  </si>
  <si>
    <t>Quote for Upgrades ($)</t>
  </si>
  <si>
    <t>Payback Time (Years)</t>
  </si>
  <si>
    <t>Diesel</t>
  </si>
  <si>
    <t>Gasoline</t>
  </si>
  <si>
    <t xml:space="preserve">Fuel Type: </t>
  </si>
  <si>
    <t>Tech</t>
  </si>
  <si>
    <t>Fuel Options</t>
  </si>
  <si>
    <t>Fuel Oil</t>
  </si>
  <si>
    <t xml:space="preserve">Fuel Cost: </t>
  </si>
  <si>
    <t xml:space="preserve">Total Estimated Amount of Fuel Used: </t>
  </si>
  <si>
    <t>Units2</t>
  </si>
  <si>
    <t>gallons</t>
  </si>
  <si>
    <t>therms</t>
  </si>
  <si>
    <t>tons</t>
  </si>
  <si>
    <t>hp</t>
  </si>
  <si>
    <t>3-phase</t>
  </si>
  <si>
    <t>1-phase</t>
  </si>
  <si>
    <t>Cost per HP</t>
  </si>
  <si>
    <t>RPM</t>
  </si>
  <si>
    <t>Enclosure</t>
  </si>
  <si>
    <t>Efficiency</t>
  </si>
  <si>
    <t>tefc</t>
  </si>
  <si>
    <t xml:space="preserve">Approximate Horsepower of Proposed Motor: </t>
  </si>
  <si>
    <t>BTU/Unit</t>
  </si>
  <si>
    <t>MegaJoules per unit</t>
  </si>
  <si>
    <t>Total Fuel Use (UNITS)</t>
  </si>
  <si>
    <t>Old Motor Efficiency</t>
  </si>
  <si>
    <t>Price of UNIT ($)</t>
  </si>
  <si>
    <t>Total Paid for FUEL ($)</t>
  </si>
  <si>
    <t>Total Fuel MegaJoules Used</t>
  </si>
  <si>
    <t>Total Estimated Electric Used (kWh)-@ same EFF</t>
  </si>
  <si>
    <t>Total Estimated Electric Used (kWh)-@ NEW EFF</t>
  </si>
  <si>
    <t>Total Estimated Savings (kWh)</t>
  </si>
  <si>
    <t>MegaJoule/Unit</t>
  </si>
  <si>
    <t>kWh</t>
  </si>
  <si>
    <t xml:space="preserve"> </t>
  </si>
  <si>
    <t xml:space="preserve">Average cost of Electricity in NY ($0.15 per kWh default): </t>
  </si>
  <si>
    <t>$/kWh</t>
  </si>
  <si>
    <t xml:space="preserve">New Estimated Electric Motor Efficiency: </t>
  </si>
  <si>
    <t xml:space="preserve">Estimated Cost of Proposed Equipment: </t>
  </si>
  <si>
    <t xml:space="preserve">Annual Cost Savings ($) :    </t>
  </si>
  <si>
    <t xml:space="preserve">Simple Payback Period (yr) :    </t>
  </si>
  <si>
    <t>Electric Tractor</t>
  </si>
  <si>
    <t>Heat Pump</t>
  </si>
  <si>
    <t>Water Heating</t>
  </si>
  <si>
    <t>Engine to Electric Motor</t>
  </si>
  <si>
    <t xml:space="preserve">Approximate Horsepower of Proposed Tractor: </t>
  </si>
  <si>
    <t xml:space="preserve">New Estimated Electric Tractor Efficiency: </t>
  </si>
  <si>
    <t>Existing System</t>
  </si>
  <si>
    <t>-Heating-</t>
  </si>
  <si>
    <t>Proposed System</t>
  </si>
  <si>
    <t>Btu output (Btu/hr)</t>
  </si>
  <si>
    <t>Heat Pump Use (kWh)</t>
  </si>
  <si>
    <t>Electricity Unit Cost ($/kWh)</t>
  </si>
  <si>
    <t>Total Annual Savings ($/yr)</t>
  </si>
  <si>
    <t>Installed Cost ($)</t>
  </si>
  <si>
    <t>Simple Payback (years)</t>
  </si>
  <si>
    <t>Wood Pellets</t>
  </si>
  <si>
    <t>HVAC Sizes</t>
  </si>
  <si>
    <t>Tons</t>
  </si>
  <si>
    <t>Cost ($)</t>
  </si>
  <si>
    <t>Heat Pump Conversion</t>
  </si>
  <si>
    <t>Fuel Type</t>
  </si>
  <si>
    <t xml:space="preserve">Existing System Estimated Efficiency: </t>
  </si>
  <si>
    <t>Fuel Use</t>
  </si>
  <si>
    <t xml:space="preserve">Fuel cost </t>
  </si>
  <si>
    <t>Energy Use (Btu/unit)</t>
  </si>
  <si>
    <t>Total Energy Use (Btu)</t>
  </si>
  <si>
    <t>Resources:</t>
  </si>
  <si>
    <t>https://www.nationalgridus.com/media/pdfs/resi-ways-to-save/ee7440uny-ehcustomerflyer.pdf</t>
  </si>
  <si>
    <t>Heat Pump Space Heating</t>
  </si>
  <si>
    <t>Heat Space Heating Pump:</t>
  </si>
  <si>
    <t>HSPF</t>
  </si>
  <si>
    <t>Existing Hot Water Heater</t>
  </si>
  <si>
    <t>Description</t>
  </si>
  <si>
    <t>Ground Water Temp (F)</t>
  </si>
  <si>
    <t>Hot Water Temp (F)</t>
  </si>
  <si>
    <t>Current Water Heater delta T (F)</t>
  </si>
  <si>
    <t>New Heater delta T (F)</t>
  </si>
  <si>
    <t>Old Water Heater Energy Factor</t>
  </si>
  <si>
    <t xml:space="preserve">Approximate Existing System Size (Btu/h): </t>
  </si>
  <si>
    <t xml:space="preserve">Existing Water Heater Temperature Setpoint (°F): </t>
  </si>
  <si>
    <t>Current Annual Energy Use (Btu)</t>
  </si>
  <si>
    <t>Current Annual Fuel Use (units)</t>
  </si>
  <si>
    <t xml:space="preserve">https://www.hotwater.com/water-heaters/commercial/water-heaters/heat-pump/chp-120-fully-integrated-heat-pump/ </t>
  </si>
  <si>
    <t xml:space="preserve">New Estimated Heat Pump Water Heater COP: </t>
  </si>
  <si>
    <t>New HP Water Heater COP</t>
  </si>
  <si>
    <t xml:space="preserve">Approximate Number of Heat Pump Water Heaters Required: </t>
  </si>
  <si>
    <t>New HP Water Heater Output (Btu/hr)</t>
  </si>
  <si>
    <t>*Note that for temperatures above 150°F supplemental heating may be required</t>
  </si>
  <si>
    <t>New HP Water Heater Input Power (kW)</t>
  </si>
  <si>
    <t>New HP Water Heater Energy Use (kWh)</t>
  </si>
  <si>
    <t xml:space="preserve">Useful Btus Gained </t>
  </si>
  <si>
    <t>New HP Water Heater Run Time (hr)</t>
  </si>
  <si>
    <t>New HP Water Heater Run Time (hr/day)</t>
  </si>
  <si>
    <t>Installed Cost Per Unit ($)</t>
  </si>
  <si>
    <t>Number of HP Units Required</t>
  </si>
  <si>
    <t xml:space="preserve">*Need better pricing on this </t>
  </si>
  <si>
    <t>*Based on the AO Smith CHP-120 unit</t>
  </si>
  <si>
    <t xml:space="preserve">*Note that electric tractor technology is advancing quickly and there are many electric tractors manufacturers bringing their products to market currently. Pricing and technical specifications will also vary widely </t>
  </si>
  <si>
    <t xml:space="preserve">https://www.monarchtractor.com/mkv-electric-tractor.html </t>
  </si>
  <si>
    <t xml:space="preserve">https://solectrac.com/e70n-electric-tractor </t>
  </si>
  <si>
    <t>Electric Tractors:</t>
  </si>
  <si>
    <t xml:space="preserve">New Heat Pump Heating Efficiency (HSPF):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</si>
</sst>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  <numFmt numFmtId="167" formatCode="0.0"/>
    <numFmt numFmtId="168" formatCode="&quot;$&quot;#,##0"/>
    <numFmt numFmtId="169" formatCode="0.000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_);_(* \(#,##0.0\);_(* &quot;-&quot;?_);_(@_)"/>
    <numFmt numFmtId="174" formatCode="_(&quot;$&quot;* #,##0_);_(&quot;$&quot;* \(#,##0\);_(&quot;$&quot;* &quot;-&quot;??_);_(@_)"/>
  </numFmts>
  <fonts count="49" x14ac:knownFonts="1">
    <font>
      <sz val="10"/>
      <color rgb="FF000000"/>
      <name val="Arial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1"/>
      <color rgb="FF7F7F7F"/>
      <name val="Trebuchet MS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name val="Trebuchet MS"/>
      <family val="2"/>
      <scheme val="minor"/>
    </font>
    <font>
      <sz val="10"/>
      <color rgb="FF000000"/>
      <name val="Trebuchet MS"/>
      <family val="2"/>
      <scheme val="minor"/>
    </font>
    <font>
      <b/>
      <sz val="10"/>
      <color rgb="FF000000"/>
      <name val="Trebuchet MS"/>
      <family val="2"/>
      <scheme val="minor"/>
    </font>
    <font>
      <sz val="10"/>
      <color rgb="FF000000"/>
      <name val="Arial"/>
      <family val="2"/>
    </font>
    <font>
      <sz val="10"/>
      <color rgb="FF000000"/>
      <name val="Open Sans"/>
      <family val="2"/>
    </font>
    <font>
      <sz val="12"/>
      <color rgb="FF000000"/>
      <name val="Open Sans"/>
      <family val="2"/>
    </font>
    <font>
      <b/>
      <sz val="12"/>
      <color rgb="FF000000"/>
      <name val="Open Sans"/>
      <family val="2"/>
    </font>
    <font>
      <b/>
      <i/>
      <sz val="11"/>
      <name val="Trebuchet MS"/>
      <family val="2"/>
      <scheme val="minor"/>
    </font>
    <font>
      <sz val="10"/>
      <name val="Open Sans"/>
      <family val="2"/>
    </font>
    <font>
      <sz val="11"/>
      <color theme="1"/>
      <name val="Arial"/>
      <family val="2"/>
    </font>
    <font>
      <sz val="12"/>
      <color theme="1"/>
      <name val="Trebuchet MS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Trebuchet MS"/>
      <family val="2"/>
      <scheme val="minor"/>
    </font>
    <font>
      <sz val="10"/>
      <color theme="1"/>
      <name val="Arial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u/>
      <sz val="11"/>
      <color theme="10"/>
      <name val="Trebuchet MS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rebuchet MS"/>
      <family val="2"/>
      <scheme val="minor"/>
    </font>
    <font>
      <i/>
      <sz val="18"/>
      <name val="Trebuchet MS"/>
      <family val="2"/>
      <scheme val="minor"/>
    </font>
    <font>
      <sz val="18"/>
      <color rgb="FF000000"/>
      <name val="Arial"/>
      <family val="2"/>
    </font>
    <font>
      <b/>
      <i/>
      <sz val="18"/>
      <name val="Trebuchet MS"/>
      <family val="2"/>
      <scheme val="minor"/>
    </font>
    <font>
      <b/>
      <sz val="18"/>
      <name val="Open Sans"/>
      <family val="2"/>
    </font>
    <font>
      <b/>
      <sz val="18"/>
      <color rgb="FF000000"/>
      <name val="Open Sans"/>
      <family val="2"/>
    </font>
    <font>
      <b/>
      <sz val="12"/>
      <name val="Trebuchet MS"/>
      <family val="2"/>
      <scheme val="minor"/>
    </font>
    <font>
      <b/>
      <sz val="16"/>
      <color rgb="FF000000"/>
      <name val="Arial"/>
      <family val="2"/>
    </font>
    <font>
      <b/>
      <i/>
      <sz val="11"/>
      <color rgb="FF000000"/>
      <name val="Trebuchet MS"/>
      <family val="2"/>
      <scheme val="major"/>
    </font>
    <font>
      <u/>
      <sz val="10"/>
      <color theme="1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3B8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7E996"/>
        <bgColor indexed="64"/>
      </patternFill>
    </fill>
    <fill>
      <patternFill patternType="solid">
        <fgColor rgb="FFF0D577"/>
        <bgColor indexed="64"/>
      </patternFill>
    </fill>
  </fills>
  <borders count="22">
    <border>
      <left/>
      <right/>
      <top/>
      <bottom/>
      <diagonal/>
    </border>
    <border>
      <left style="medium">
        <color rgb="FF5ACC72"/>
      </left>
      <right/>
      <top style="medium">
        <color rgb="FF5ACC72"/>
      </top>
      <bottom/>
      <diagonal/>
    </border>
    <border>
      <left/>
      <right/>
      <top style="medium">
        <color rgb="FF5ACC72"/>
      </top>
      <bottom/>
      <diagonal/>
    </border>
    <border>
      <left/>
      <right style="medium">
        <color rgb="FF5ACC72"/>
      </right>
      <top style="medium">
        <color rgb="FF5ACC72"/>
      </top>
      <bottom/>
      <diagonal/>
    </border>
    <border>
      <left style="medium">
        <color rgb="FF5ACC72"/>
      </left>
      <right/>
      <top/>
      <bottom/>
      <diagonal/>
    </border>
    <border>
      <left/>
      <right style="medium">
        <color rgb="FF5ACC72"/>
      </right>
      <top/>
      <bottom/>
      <diagonal/>
    </border>
    <border>
      <left style="medium">
        <color rgb="FF5ACC72"/>
      </left>
      <right/>
      <top/>
      <bottom style="medium">
        <color rgb="FF5ACC72"/>
      </bottom>
      <diagonal/>
    </border>
    <border>
      <left/>
      <right/>
      <top/>
      <bottom style="medium">
        <color rgb="FF5ACC72"/>
      </bottom>
      <diagonal/>
    </border>
    <border>
      <left/>
      <right style="medium">
        <color rgb="FF5ACC72"/>
      </right>
      <top/>
      <bottom style="medium">
        <color rgb="FF5ACC7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7" borderId="0" applyNumberFormat="0" applyBorder="0" applyAlignment="0" applyProtection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8" xfId="0" applyBorder="1"/>
    <xf numFmtId="0" fontId="16" fillId="0" borderId="0" xfId="0" applyFont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2" fillId="0" borderId="13" xfId="1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12" fillId="0" borderId="15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8" fillId="5" borderId="9" xfId="0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left" vertical="center"/>
    </xf>
    <xf numFmtId="0" fontId="27" fillId="6" borderId="18" xfId="0" applyFont="1" applyFill="1" applyBorder="1" applyAlignment="1" applyProtection="1">
      <alignment horizontal="center"/>
      <protection locked="0"/>
    </xf>
    <xf numFmtId="0" fontId="27" fillId="6" borderId="9" xfId="0" applyFont="1" applyFill="1" applyBorder="1" applyAlignment="1" applyProtection="1">
      <alignment horizontal="center" wrapText="1"/>
      <protection locked="0"/>
    </xf>
    <xf numFmtId="0" fontId="28" fillId="7" borderId="9" xfId="6" applyBorder="1" applyAlignment="1" applyProtection="1">
      <alignment horizontal="center"/>
      <protection locked="0"/>
    </xf>
    <xf numFmtId="0" fontId="28" fillId="7" borderId="9" xfId="6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168" fontId="29" fillId="0" borderId="9" xfId="0" applyNumberFormat="1" applyFont="1" applyBorder="1" applyProtection="1">
      <protection locked="0"/>
    </xf>
    <xf numFmtId="168" fontId="30" fillId="0" borderId="9" xfId="7" applyNumberFormat="1" applyBorder="1" applyAlignment="1" applyProtection="1">
      <alignment horizontal="center"/>
      <protection locked="0"/>
    </xf>
    <xf numFmtId="0" fontId="31" fillId="0" borderId="9" xfId="7" applyFont="1" applyBorder="1" applyAlignment="1" applyProtection="1">
      <alignment horizontal="center"/>
      <protection locked="0"/>
    </xf>
    <xf numFmtId="169" fontId="31" fillId="0" borderId="9" xfId="0" applyNumberFormat="1" applyFont="1" applyBorder="1" applyAlignment="1" applyProtection="1">
      <alignment horizontal="center" vertical="top" wrapText="1"/>
      <protection locked="0"/>
    </xf>
    <xf numFmtId="168" fontId="0" fillId="0" borderId="9" xfId="0" applyNumberFormat="1" applyBorder="1" applyProtection="1">
      <protection locked="0"/>
    </xf>
    <xf numFmtId="0" fontId="19" fillId="0" borderId="0" xfId="1" applyFont="1" applyBorder="1" applyAlignment="1">
      <alignment horizontal="center" vertical="center"/>
    </xf>
    <xf numFmtId="0" fontId="2" fillId="0" borderId="0" xfId="8" applyProtection="1">
      <protection locked="0"/>
    </xf>
    <xf numFmtId="0" fontId="2" fillId="0" borderId="0" xfId="8"/>
    <xf numFmtId="0" fontId="25" fillId="0" borderId="0" xfId="8" applyFont="1" applyProtection="1">
      <protection locked="0"/>
    </xf>
    <xf numFmtId="0" fontId="3" fillId="0" borderId="0" xfId="8" applyFont="1" applyProtection="1">
      <protection locked="0"/>
    </xf>
    <xf numFmtId="9" fontId="3" fillId="0" borderId="0" xfId="9" applyFont="1" applyFill="1" applyBorder="1" applyProtection="1">
      <protection locked="0"/>
    </xf>
    <xf numFmtId="0" fontId="29" fillId="0" borderId="0" xfId="8" applyFont="1" applyProtection="1">
      <protection locked="0"/>
    </xf>
    <xf numFmtId="2" fontId="2" fillId="0" borderId="0" xfId="8" applyNumberFormat="1" applyProtection="1">
      <protection locked="0"/>
    </xf>
    <xf numFmtId="0" fontId="29" fillId="0" borderId="0" xfId="8" applyFont="1"/>
    <xf numFmtId="2" fontId="29" fillId="0" borderId="0" xfId="9" applyNumberFormat="1" applyFont="1" applyFill="1" applyBorder="1" applyProtection="1">
      <protection locked="0"/>
    </xf>
    <xf numFmtId="0" fontId="32" fillId="0" borderId="0" xfId="8" applyFont="1" applyAlignment="1" applyProtection="1">
      <alignment horizontal="center" vertical="top" wrapText="1"/>
      <protection locked="0"/>
    </xf>
    <xf numFmtId="0" fontId="21" fillId="0" borderId="0" xfId="8" applyFont="1" applyProtection="1">
      <protection locked="0"/>
    </xf>
    <xf numFmtId="0" fontId="21" fillId="0" borderId="0" xfId="8" applyFont="1"/>
    <xf numFmtId="0" fontId="34" fillId="0" borderId="0" xfId="8" applyFont="1" applyProtection="1">
      <protection locked="0"/>
    </xf>
    <xf numFmtId="0" fontId="26" fillId="0" borderId="0" xfId="8" applyFont="1" applyProtection="1">
      <protection locked="0"/>
    </xf>
    <xf numFmtId="0" fontId="26" fillId="0" borderId="0" xfId="8" applyFont="1"/>
    <xf numFmtId="0" fontId="35" fillId="0" borderId="0" xfId="8" applyFont="1" applyProtection="1">
      <protection locked="0"/>
    </xf>
    <xf numFmtId="0" fontId="26" fillId="0" borderId="9" xfId="8" applyFont="1" applyBorder="1" applyProtection="1">
      <protection locked="0"/>
    </xf>
    <xf numFmtId="0" fontId="26" fillId="8" borderId="9" xfId="8" applyFont="1" applyFill="1" applyBorder="1" applyProtection="1">
      <protection locked="0"/>
    </xf>
    <xf numFmtId="2" fontId="26" fillId="9" borderId="9" xfId="8" applyNumberFormat="1" applyFont="1" applyFill="1" applyBorder="1" applyProtection="1">
      <protection locked="0"/>
    </xf>
    <xf numFmtId="164" fontId="26" fillId="8" borderId="9" xfId="8" applyNumberFormat="1" applyFont="1" applyFill="1" applyBorder="1" applyProtection="1">
      <protection locked="0"/>
    </xf>
    <xf numFmtId="0" fontId="26" fillId="9" borderId="9" xfId="8" applyFont="1" applyFill="1" applyBorder="1" applyProtection="1">
      <protection locked="0"/>
    </xf>
    <xf numFmtId="165" fontId="26" fillId="8" borderId="9" xfId="8" applyNumberFormat="1" applyFont="1" applyFill="1" applyBorder="1" applyProtection="1">
      <protection locked="0"/>
    </xf>
    <xf numFmtId="166" fontId="26" fillId="0" borderId="9" xfId="8" applyNumberFormat="1" applyFont="1" applyBorder="1" applyProtection="1">
      <protection locked="0"/>
    </xf>
    <xf numFmtId="164" fontId="26" fillId="0" borderId="9" xfId="8" applyNumberFormat="1" applyFont="1" applyBorder="1" applyProtection="1">
      <protection locked="0"/>
    </xf>
    <xf numFmtId="0" fontId="35" fillId="0" borderId="9" xfId="8" applyFont="1" applyBorder="1" applyProtection="1">
      <protection locked="0"/>
    </xf>
    <xf numFmtId="2" fontId="35" fillId="0" borderId="9" xfId="8" applyNumberFormat="1" applyFont="1" applyBorder="1" applyProtection="1">
      <protection locked="0"/>
    </xf>
    <xf numFmtId="2" fontId="26" fillId="0" borderId="0" xfId="8" applyNumberFormat="1" applyFont="1" applyProtection="1">
      <protection locked="0"/>
    </xf>
    <xf numFmtId="0" fontId="36" fillId="0" borderId="0" xfId="8" applyFont="1" applyProtection="1">
      <protection locked="0"/>
    </xf>
    <xf numFmtId="0" fontId="35" fillId="0" borderId="0" xfId="8" applyFont="1"/>
    <xf numFmtId="44" fontId="26" fillId="8" borderId="0" xfId="8" applyNumberFormat="1" applyFont="1" applyFill="1" applyProtection="1">
      <protection locked="0"/>
    </xf>
    <xf numFmtId="170" fontId="26" fillId="0" borderId="9" xfId="4" applyNumberFormat="1" applyFont="1" applyBorder="1" applyAlignment="1" applyProtection="1">
      <alignment horizontal="left" indent="2"/>
      <protection locked="0"/>
    </xf>
    <xf numFmtId="170" fontId="26" fillId="4" borderId="9" xfId="4" applyNumberFormat="1" applyFont="1" applyFill="1" applyBorder="1" applyAlignment="1" applyProtection="1">
      <alignment horizontal="left" indent="2"/>
      <protection locked="0"/>
    </xf>
    <xf numFmtId="170" fontId="26" fillId="0" borderId="9" xfId="4" applyNumberFormat="1" applyFont="1" applyBorder="1" applyAlignment="1">
      <alignment horizontal="left" indent="2"/>
    </xf>
    <xf numFmtId="164" fontId="18" fillId="5" borderId="9" xfId="2" applyNumberFormat="1" applyFont="1" applyFill="1" applyBorder="1" applyAlignment="1" applyProtection="1">
      <alignment horizontal="center" vertical="center"/>
      <protection locked="0"/>
    </xf>
    <xf numFmtId="164" fontId="26" fillId="0" borderId="9" xfId="4" applyNumberFormat="1" applyFont="1" applyBorder="1" applyAlignment="1" applyProtection="1">
      <alignment horizontal="left" indent="2"/>
      <protection locked="0"/>
    </xf>
    <xf numFmtId="164" fontId="26" fillId="8" borderId="9" xfId="2" applyNumberFormat="1" applyFont="1" applyFill="1" applyBorder="1" applyProtection="1">
      <protection locked="0"/>
    </xf>
    <xf numFmtId="166" fontId="26" fillId="9" borderId="9" xfId="8" applyNumberFormat="1" applyFont="1" applyFill="1" applyBorder="1" applyProtection="1">
      <protection locked="0"/>
    </xf>
    <xf numFmtId="171" fontId="18" fillId="3" borderId="9" xfId="5" applyNumberFormat="1" applyFont="1" applyFill="1" applyBorder="1" applyAlignment="1" applyProtection="1">
      <alignment horizontal="center" vertical="center"/>
      <protection locked="0"/>
    </xf>
    <xf numFmtId="168" fontId="18" fillId="3" borderId="9" xfId="0" applyNumberFormat="1" applyFont="1" applyFill="1" applyBorder="1" applyAlignment="1" applyProtection="1">
      <alignment horizontal="center" vertical="center"/>
      <protection locked="0"/>
    </xf>
    <xf numFmtId="0" fontId="37" fillId="0" borderId="1" xfId="1" applyFont="1" applyBorder="1" applyAlignment="1">
      <alignment horizontal="left" vertical="center"/>
    </xf>
    <xf numFmtId="0" fontId="37" fillId="0" borderId="2" xfId="1" applyFont="1" applyBorder="1" applyAlignment="1">
      <alignment horizontal="left" vertical="center"/>
    </xf>
    <xf numFmtId="0" fontId="38" fillId="0" borderId="3" xfId="0" applyFont="1" applyBorder="1"/>
    <xf numFmtId="0" fontId="37" fillId="0" borderId="4" xfId="1" applyFont="1" applyBorder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38" fillId="0" borderId="5" xfId="0" applyFont="1" applyBorder="1"/>
    <xf numFmtId="0" fontId="39" fillId="0" borderId="4" xfId="1" applyFont="1" applyBorder="1" applyAlignment="1">
      <alignment horizontal="left" vertical="center"/>
    </xf>
    <xf numFmtId="0" fontId="39" fillId="0" borderId="0" xfId="1" applyFont="1" applyAlignment="1">
      <alignment horizontal="left" vertical="center"/>
    </xf>
    <xf numFmtId="0" fontId="40" fillId="0" borderId="4" xfId="1" applyFont="1" applyBorder="1" applyAlignment="1">
      <alignment horizontal="right" vertical="center"/>
    </xf>
    <xf numFmtId="0" fontId="38" fillId="0" borderId="0" xfId="0" applyFont="1"/>
    <xf numFmtId="0" fontId="41" fillId="0" borderId="0" xfId="0" applyFont="1" applyAlignment="1">
      <alignment horizontal="right" vertical="center"/>
    </xf>
    <xf numFmtId="168" fontId="40" fillId="0" borderId="0" xfId="2" applyNumberFormat="1" applyFont="1" applyBorder="1" applyAlignment="1">
      <alignment horizontal="left" vertical="center"/>
    </xf>
    <xf numFmtId="167" fontId="40" fillId="0" borderId="0" xfId="0" applyNumberFormat="1" applyFont="1" applyAlignment="1">
      <alignment horizontal="left"/>
    </xf>
    <xf numFmtId="0" fontId="26" fillId="0" borderId="0" xfId="8" applyFont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44" fontId="42" fillId="2" borderId="9" xfId="2" applyFont="1" applyFill="1" applyBorder="1" applyAlignment="1" applyProtection="1">
      <alignment horizontal="center" vertical="center"/>
      <protection locked="0"/>
    </xf>
    <xf numFmtId="164" fontId="42" fillId="2" borderId="9" xfId="2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43" fillId="0" borderId="0" xfId="0" applyFont="1" applyAlignment="1">
      <alignment vertical="center"/>
    </xf>
    <xf numFmtId="0" fontId="1" fillId="0" borderId="0" xfId="8" applyFont="1" applyProtection="1">
      <protection locked="0"/>
    </xf>
    <xf numFmtId="0" fontId="25" fillId="10" borderId="9" xfId="0" applyFont="1" applyFill="1" applyBorder="1"/>
    <xf numFmtId="0" fontId="25" fillId="0" borderId="0" xfId="0" applyFont="1"/>
    <xf numFmtId="0" fontId="0" fillId="0" borderId="0" xfId="0" quotePrefix="1"/>
    <xf numFmtId="0" fontId="33" fillId="0" borderId="0" xfId="10"/>
    <xf numFmtId="0" fontId="0" fillId="0" borderId="9" xfId="0" applyBorder="1"/>
    <xf numFmtId="2" fontId="0" fillId="0" borderId="9" xfId="0" applyNumberFormat="1" applyBorder="1"/>
    <xf numFmtId="44" fontId="0" fillId="0" borderId="9" xfId="2" applyFont="1" applyFill="1" applyBorder="1"/>
    <xf numFmtId="0" fontId="0" fillId="0" borderId="19" xfId="0" applyBorder="1"/>
    <xf numFmtId="170" fontId="0" fillId="0" borderId="9" xfId="4" applyNumberFormat="1" applyFont="1" applyFill="1" applyBorder="1"/>
    <xf numFmtId="170" fontId="26" fillId="0" borderId="0" xfId="4" applyNumberFormat="1" applyFont="1" applyProtection="1">
      <protection locked="0"/>
    </xf>
    <xf numFmtId="170" fontId="26" fillId="0" borderId="0" xfId="4" applyNumberFormat="1" applyFont="1" applyFill="1" applyProtection="1">
      <protection locked="0"/>
    </xf>
    <xf numFmtId="170" fontId="0" fillId="0" borderId="0" xfId="4" applyNumberFormat="1" applyFont="1"/>
    <xf numFmtId="43" fontId="0" fillId="0" borderId="0" xfId="0" applyNumberFormat="1"/>
    <xf numFmtId="0" fontId="44" fillId="0" borderId="0" xfId="0" applyFont="1" applyAlignment="1">
      <alignment horizontal="center"/>
    </xf>
    <xf numFmtId="0" fontId="0" fillId="0" borderId="0" xfId="4" applyNumberFormat="1" applyFont="1"/>
    <xf numFmtId="44" fontId="0" fillId="0" borderId="16" xfId="2" applyFont="1" applyBorder="1"/>
    <xf numFmtId="168" fontId="18" fillId="3" borderId="9" xfId="2" applyNumberFormat="1" applyFont="1" applyFill="1" applyBorder="1" applyAlignment="1" applyProtection="1">
      <alignment horizontal="center" vertical="center"/>
      <protection locked="0"/>
    </xf>
    <xf numFmtId="3" fontId="18" fillId="5" borderId="9" xfId="4" applyNumberFormat="1" applyFont="1" applyFill="1" applyBorder="1" applyAlignment="1" applyProtection="1">
      <alignment horizontal="center" vertical="center"/>
      <protection locked="0"/>
    </xf>
    <xf numFmtId="0" fontId="33" fillId="0" borderId="0" xfId="10" applyFill="1" applyBorder="1"/>
    <xf numFmtId="44" fontId="25" fillId="11" borderId="0" xfId="0" applyNumberFormat="1" applyFont="1" applyFill="1"/>
    <xf numFmtId="44" fontId="25" fillId="0" borderId="0" xfId="0" applyNumberFormat="1" applyFont="1"/>
    <xf numFmtId="9" fontId="18" fillId="5" borderId="9" xfId="4" applyNumberFormat="1" applyFont="1" applyFill="1" applyBorder="1" applyAlignment="1" applyProtection="1">
      <alignment horizontal="center" vertical="center"/>
      <protection locked="0"/>
    </xf>
    <xf numFmtId="0" fontId="0" fillId="0" borderId="9" xfId="2" applyNumberFormat="1" applyFont="1" applyFill="1" applyBorder="1"/>
    <xf numFmtId="0" fontId="45" fillId="0" borderId="0" xfId="11"/>
    <xf numFmtId="1" fontId="18" fillId="3" borderId="9" xfId="5" applyNumberFormat="1" applyFont="1" applyFill="1" applyBorder="1" applyAlignment="1" applyProtection="1">
      <alignment horizontal="center" vertical="center"/>
      <protection locked="0"/>
    </xf>
    <xf numFmtId="167" fontId="18" fillId="3" borderId="9" xfId="5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/>
    <xf numFmtId="167" fontId="0" fillId="0" borderId="9" xfId="0" applyNumberFormat="1" applyBorder="1"/>
    <xf numFmtId="43" fontId="0" fillId="0" borderId="9" xfId="0" applyNumberFormat="1" applyBorder="1"/>
    <xf numFmtId="173" fontId="0" fillId="0" borderId="0" xfId="0" applyNumberFormat="1"/>
    <xf numFmtId="0" fontId="25" fillId="0" borderId="9" xfId="0" applyFont="1" applyBorder="1"/>
    <xf numFmtId="44" fontId="25" fillId="0" borderId="9" xfId="0" applyNumberFormat="1" applyFont="1" applyBorder="1"/>
    <xf numFmtId="174" fontId="25" fillId="0" borderId="9" xfId="2" applyNumberFormat="1" applyFont="1" applyFill="1" applyBorder="1"/>
    <xf numFmtId="167" fontId="25" fillId="0" borderId="9" xfId="0" applyNumberFormat="1" applyFont="1" applyBorder="1"/>
    <xf numFmtId="0" fontId="10" fillId="0" borderId="0" xfId="2" applyNumberFormat="1" applyFont="1" applyFill="1" applyBorder="1"/>
    <xf numFmtId="43" fontId="10" fillId="0" borderId="0" xfId="0" applyNumberFormat="1" applyFont="1"/>
    <xf numFmtId="0" fontId="35" fillId="12" borderId="0" xfId="0" applyFont="1" applyFill="1"/>
    <xf numFmtId="0" fontId="47" fillId="0" borderId="0" xfId="0" applyFont="1"/>
    <xf numFmtId="44" fontId="47" fillId="11" borderId="0" xfId="0" applyNumberFormat="1" applyFont="1" applyFill="1"/>
    <xf numFmtId="0" fontId="35" fillId="0" borderId="0" xfId="0" applyFont="1"/>
    <xf numFmtId="44" fontId="35" fillId="0" borderId="0" xfId="0" applyNumberFormat="1" applyFont="1"/>
    <xf numFmtId="0" fontId="26" fillId="0" borderId="0" xfId="0" applyFont="1"/>
    <xf numFmtId="0" fontId="48" fillId="0" borderId="0" xfId="10" applyFont="1"/>
    <xf numFmtId="0" fontId="48" fillId="0" borderId="0" xfId="10" applyFont="1" applyFill="1" applyBorder="1"/>
    <xf numFmtId="167" fontId="26" fillId="0" borderId="0" xfId="0" applyNumberFormat="1" applyFont="1"/>
    <xf numFmtId="1" fontId="18" fillId="5" borderId="9" xfId="4" applyNumberFormat="1" applyFont="1" applyFill="1" applyBorder="1" applyAlignment="1" applyProtection="1">
      <alignment horizontal="center" vertical="center"/>
      <protection locked="0"/>
    </xf>
    <xf numFmtId="3" fontId="0" fillId="0" borderId="9" xfId="2" applyNumberFormat="1" applyFont="1" applyFill="1" applyBorder="1"/>
    <xf numFmtId="0" fontId="35" fillId="0" borderId="9" xfId="0" applyFont="1" applyBorder="1"/>
    <xf numFmtId="44" fontId="35" fillId="0" borderId="9" xfId="0" applyNumberFormat="1" applyFont="1" applyBorder="1"/>
    <xf numFmtId="0" fontId="26" fillId="0" borderId="9" xfId="0" applyFont="1" applyBorder="1"/>
    <xf numFmtId="3" fontId="26" fillId="0" borderId="9" xfId="0" applyNumberFormat="1" applyFont="1" applyBorder="1"/>
    <xf numFmtId="0" fontId="10" fillId="0" borderId="9" xfId="0" quotePrefix="1" applyFont="1" applyBorder="1"/>
    <xf numFmtId="1" fontId="10" fillId="0" borderId="9" xfId="0" applyNumberFormat="1" applyFont="1" applyBorder="1"/>
    <xf numFmtId="0" fontId="10" fillId="0" borderId="9" xfId="2" applyNumberFormat="1" applyFont="1" applyFill="1" applyBorder="1"/>
    <xf numFmtId="3" fontId="10" fillId="0" borderId="9" xfId="2" applyNumberFormat="1" applyFont="1" applyFill="1" applyBorder="1"/>
    <xf numFmtId="172" fontId="10" fillId="0" borderId="9" xfId="4" applyNumberFormat="1" applyFont="1" applyFill="1" applyBorder="1"/>
    <xf numFmtId="43" fontId="10" fillId="0" borderId="9" xfId="4" applyFont="1" applyFill="1" applyBorder="1"/>
    <xf numFmtId="170" fontId="10" fillId="0" borderId="9" xfId="4" applyNumberFormat="1" applyFont="1" applyFill="1" applyBorder="1"/>
    <xf numFmtId="174" fontId="25" fillId="0" borderId="9" xfId="0" applyNumberFormat="1" applyFont="1" applyBorder="1"/>
    <xf numFmtId="167" fontId="18" fillId="13" borderId="20" xfId="5" applyNumberFormat="1" applyFont="1" applyFill="1" applyBorder="1" applyAlignment="1" applyProtection="1">
      <alignment horizontal="center" vertical="center"/>
      <protection locked="0"/>
    </xf>
    <xf numFmtId="0" fontId="12" fillId="0" borderId="21" xfId="1" applyFont="1" applyBorder="1" applyAlignment="1">
      <alignment horizontal="left" vertical="center"/>
    </xf>
    <xf numFmtId="0" fontId="0" fillId="0" borderId="21" xfId="0" applyBorder="1"/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0" fontId="45" fillId="0" borderId="0" xfId="11"/>
    <xf numFmtId="0" fontId="10" fillId="0" borderId="0" xfId="0" applyFont="1"/>
    <xf numFmtId="0" fontId="46" fillId="0" borderId="0" xfId="0" applyFont="1"/>
  </cellXfs>
  <cellStyles count="12">
    <cellStyle name="Comma" xfId="4" builtinId="3"/>
    <cellStyle name="Currency" xfId="2" builtinId="4"/>
    <cellStyle name="Explanatory Text" xfId="1" builtinId="53"/>
    <cellStyle name="Good_Waterlander, Harmen Dairy Master AutoAudit 04.08.09" xfId="6" xr:uid="{29DAEFBE-D11D-4C5E-9EA9-04B4820BEA0B}"/>
    <cellStyle name="Hyperlink" xfId="11" builtinId="8"/>
    <cellStyle name="Hyperlink 2" xfId="10" xr:uid="{56E84BDB-0B7B-4A17-B83D-62C713C90AA9}"/>
    <cellStyle name="Normal" xfId="0" builtinId="0"/>
    <cellStyle name="Normal 2" xfId="3" xr:uid="{F6A3E260-1C5B-407F-8A07-47D67E27E77D}"/>
    <cellStyle name="Normal 3" xfId="8" xr:uid="{3BA268B8-C629-4609-9A6F-7B0087BAB235}"/>
    <cellStyle name="Normal_Motor Savings Calculator 03.05.09" xfId="7" xr:uid="{DB6B9638-0692-49B7-9D97-5FA3AD57E716}"/>
    <cellStyle name="Percent" xfId="5" builtinId="5"/>
    <cellStyle name="Percent 2" xfId="9" xr:uid="{36475C84-41C1-402D-9303-3B8355DF879C}"/>
  </cellStyles>
  <dxfs count="0"/>
  <tableStyles count="0" defaultTableStyle="TableStyleMedium2" defaultPivotStyle="PivotStyleLight16"/>
  <colors>
    <mruColors>
      <color rgb="FFF0D577"/>
      <color rgb="FFB7E996"/>
      <color rgb="FFB8ACD6"/>
      <color rgb="FF8C78D6"/>
      <color rgb="FF96BEE6"/>
      <color rgb="FFC3B8EA"/>
      <color rgb="FF5ACC72"/>
      <color rgb="FF1F4E78"/>
      <color rgb="FF5A99CC"/>
      <color rgb="FFB2D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1616764</xdr:colOff>
      <xdr:row>0</xdr:row>
      <xdr:rowOff>163185</xdr:rowOff>
    </xdr:from>
    <xdr:to>
      <xdr:col>9</xdr:col>
      <xdr:colOff>643466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D51499-51D2-4BCF-BC66-7C926D5C8530}"/>
            </a:ext>
          </a:extLst>
        </xdr:cNvPr>
        <xdr:cNvSpPr txBox="1"/>
      </xdr:nvSpPr>
      <xdr:spPr>
        <a:xfrm>
          <a:off x="1929184" y="163185"/>
          <a:ext cx="9702322" cy="744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Select</a:t>
          </a:r>
          <a:r>
            <a:rPr lang="en-US" sz="16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a Beneficial Electrification Opportunity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blue box below to view and select one of the options from a drop down list. </a:t>
          </a:r>
          <a:endParaRPr lang="en-US" sz="1100" b="0" u="none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1596885</xdr:colOff>
      <xdr:row>1</xdr:row>
      <xdr:rowOff>65267</xdr:rowOff>
    </xdr:from>
    <xdr:to>
      <xdr:col>9</xdr:col>
      <xdr:colOff>495299</xdr:colOff>
      <xdr:row>5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6F70CA-6008-46F0-927C-A64F37F87A2C}"/>
            </a:ext>
          </a:extLst>
        </xdr:cNvPr>
        <xdr:cNvSpPr txBox="1"/>
      </xdr:nvSpPr>
      <xdr:spPr>
        <a:xfrm>
          <a:off x="1908035" y="293867"/>
          <a:ext cx="9572764" cy="753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Existing </a:t>
          </a:r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Fuel Use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purple boxs below to select a fuel type and then enter an average cost per unit (e.g. gallon) of fuel  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9</xdr:col>
      <xdr:colOff>617642</xdr:colOff>
      <xdr:row>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30135F-D22D-477D-84C4-6694B1715699}"/>
            </a:ext>
          </a:extLst>
        </xdr:cNvPr>
        <xdr:cNvSpPr txBox="1"/>
      </xdr:nvSpPr>
      <xdr:spPr>
        <a:xfrm>
          <a:off x="190500" y="0"/>
          <a:ext cx="11415182" cy="0"/>
        </a:xfrm>
        <a:prstGeom prst="rect">
          <a:avLst/>
        </a:prstGeom>
        <a:gradFill flip="none" rotWithShape="1">
          <a:gsLst>
            <a:gs pos="0">
              <a:srgbClr val="002060"/>
            </a:gs>
            <a:gs pos="68000">
              <a:srgbClr val="002060"/>
            </a:gs>
            <a:gs pos="100000">
              <a:schemeClr val="bg1"/>
            </a:gs>
          </a:gsLst>
          <a:path path="circle">
            <a:fillToRect l="50000" t="50000" r="50000" b="50000"/>
          </a:path>
          <a:tileRect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 baseline="0">
              <a:solidFill>
                <a:schemeClr val="bg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Penn State Extension Energy Selector</a:t>
          </a:r>
        </a:p>
      </xdr:txBody>
    </xdr:sp>
    <xdr:clientData/>
  </xdr:twoCellAnchor>
  <xdr:twoCellAnchor>
    <xdr:from>
      <xdr:col>0</xdr:col>
      <xdr:colOff>239512</xdr:colOff>
      <xdr:row>2</xdr:row>
      <xdr:rowOff>1787</xdr:rowOff>
    </xdr:from>
    <xdr:to>
      <xdr:col>1</xdr:col>
      <xdr:colOff>1617152</xdr:colOff>
      <xdr:row>11</xdr:row>
      <xdr:rowOff>10603</xdr:rowOff>
    </xdr:to>
    <xdr:sp macro="" textlink="">
      <xdr:nvSpPr>
        <xdr:cNvPr id="6" name="Flowchart: Off-page Connector 5">
          <a:extLst>
            <a:ext uri="{FF2B5EF4-FFF2-40B4-BE49-F238E27FC236}">
              <a16:creationId xmlns:a16="http://schemas.microsoft.com/office/drawing/2014/main" id="{57A4D30B-61D6-4F1E-8A36-DAAAE059001C}"/>
            </a:ext>
          </a:extLst>
        </xdr:cNvPr>
        <xdr:cNvSpPr/>
      </xdr:nvSpPr>
      <xdr:spPr>
        <a:xfrm rot="16200000">
          <a:off x="384174" y="168275"/>
          <a:ext cx="1399466" cy="1688790"/>
        </a:xfrm>
        <a:prstGeom prst="flowChartOffpageConnector">
          <a:avLst/>
        </a:prstGeom>
        <a:solidFill>
          <a:srgbClr val="C3B8EA"/>
        </a:solidFill>
        <a:ln w="12700" cap="flat" cmpd="sng" algn="ctr">
          <a:solidFill>
            <a:srgbClr val="8C78D6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229973</xdr:colOff>
      <xdr:row>28</xdr:row>
      <xdr:rowOff>152400</xdr:rowOff>
    </xdr:from>
    <xdr:to>
      <xdr:col>1</xdr:col>
      <xdr:colOff>1638144</xdr:colOff>
      <xdr:row>35</xdr:row>
      <xdr:rowOff>38100</xdr:rowOff>
    </xdr:to>
    <xdr:sp macro="" textlink="">
      <xdr:nvSpPr>
        <xdr:cNvPr id="7" name="Flowchart: Off-page Connector 6">
          <a:extLst>
            <a:ext uri="{FF2B5EF4-FFF2-40B4-BE49-F238E27FC236}">
              <a16:creationId xmlns:a16="http://schemas.microsoft.com/office/drawing/2014/main" id="{24B0A9F4-D4BB-49E4-B64B-67873917DC67}"/>
            </a:ext>
          </a:extLst>
        </xdr:cNvPr>
        <xdr:cNvSpPr/>
      </xdr:nvSpPr>
      <xdr:spPr>
        <a:xfrm rot="16200000">
          <a:off x="537184" y="4671189"/>
          <a:ext cx="1104900" cy="1719321"/>
        </a:xfrm>
        <a:prstGeom prst="flowChartOffpageConnector">
          <a:avLst/>
        </a:prstGeom>
        <a:solidFill>
          <a:srgbClr val="B3E7BE"/>
        </a:solidFill>
        <a:ln w="12700" cap="flat" cmpd="sng" algn="ctr">
          <a:solidFill>
            <a:srgbClr val="5ACC72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145499</xdr:colOff>
      <xdr:row>30</xdr:row>
      <xdr:rowOff>0</xdr:rowOff>
    </xdr:from>
    <xdr:to>
      <xdr:col>1</xdr:col>
      <xdr:colOff>1836365</xdr:colOff>
      <xdr:row>30</xdr:row>
      <xdr:rowOff>0</xdr:rowOff>
    </xdr:to>
    <xdr:sp macro="" textlink="">
      <xdr:nvSpPr>
        <xdr:cNvPr id="8" name="TextBox 9">
          <a:extLst>
            <a:ext uri="{FF2B5EF4-FFF2-40B4-BE49-F238E27FC236}">
              <a16:creationId xmlns:a16="http://schemas.microsoft.com/office/drawing/2014/main" id="{A604D30E-65A0-4BF3-9F65-1F5435F968E1}"/>
            </a:ext>
          </a:extLst>
        </xdr:cNvPr>
        <xdr:cNvSpPr txBox="1"/>
      </xdr:nvSpPr>
      <xdr:spPr>
        <a:xfrm>
          <a:off x="145499" y="4787900"/>
          <a:ext cx="2002016" cy="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32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Results</a:t>
          </a:r>
        </a:p>
      </xdr:txBody>
    </xdr:sp>
    <xdr:clientData/>
  </xdr:twoCellAnchor>
  <xdr:twoCellAnchor>
    <xdr:from>
      <xdr:col>1</xdr:col>
      <xdr:colOff>1616764</xdr:colOff>
      <xdr:row>13</xdr:row>
      <xdr:rowOff>5705</xdr:rowOff>
    </xdr:from>
    <xdr:to>
      <xdr:col>9</xdr:col>
      <xdr:colOff>643466</xdr:colOff>
      <xdr:row>17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86920D5-81CF-49BD-A3DB-1BD04033E969}"/>
            </a:ext>
          </a:extLst>
        </xdr:cNvPr>
        <xdr:cNvSpPr txBox="1"/>
      </xdr:nvSpPr>
      <xdr:spPr>
        <a:xfrm>
          <a:off x="1927914" y="1936105"/>
          <a:ext cx="9701052" cy="730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Enter Operational Details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gold boxs below to enter operational details</a:t>
          </a:r>
          <a:endParaRPr lang="en-US" sz="1100" b="0" u="none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0</xdr:col>
      <xdr:colOff>247286</xdr:colOff>
      <xdr:row>11</xdr:row>
      <xdr:rowOff>81005</xdr:rowOff>
    </xdr:from>
    <xdr:to>
      <xdr:col>1</xdr:col>
      <xdr:colOff>1633232</xdr:colOff>
      <xdr:row>20</xdr:row>
      <xdr:rowOff>111492</xdr:rowOff>
    </xdr:to>
    <xdr:sp macro="" textlink="">
      <xdr:nvSpPr>
        <xdr:cNvPr id="10" name="Flowchart: Off-page Connector 9">
          <a:extLst>
            <a:ext uri="{FF2B5EF4-FFF2-40B4-BE49-F238E27FC236}">
              <a16:creationId xmlns:a16="http://schemas.microsoft.com/office/drawing/2014/main" id="{DA9C8376-5C3A-40D0-9371-328314A5AE75}"/>
            </a:ext>
          </a:extLst>
        </xdr:cNvPr>
        <xdr:cNvSpPr/>
      </xdr:nvSpPr>
      <xdr:spPr>
        <a:xfrm rot="16200000">
          <a:off x="356690" y="1673401"/>
          <a:ext cx="1478287" cy="1697096"/>
        </a:xfrm>
        <a:prstGeom prst="flowChartOffpageConnector">
          <a:avLst/>
        </a:prstGeom>
        <a:solidFill>
          <a:schemeClr val="accent3">
            <a:lumMod val="60000"/>
            <a:lumOff val="40000"/>
          </a:scheme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1616764</xdr:colOff>
      <xdr:row>21</xdr:row>
      <xdr:rowOff>0</xdr:rowOff>
    </xdr:from>
    <xdr:to>
      <xdr:col>9</xdr:col>
      <xdr:colOff>643466</xdr:colOff>
      <xdr:row>24</xdr:row>
      <xdr:rowOff>8467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3B3012F-3CFE-4BD1-AF89-4C58E32D91D6}"/>
            </a:ext>
          </a:extLst>
        </xdr:cNvPr>
        <xdr:cNvSpPr txBox="1"/>
      </xdr:nvSpPr>
      <xdr:spPr>
        <a:xfrm>
          <a:off x="1927914" y="3098800"/>
          <a:ext cx="9701052" cy="637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Calculation Details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1616764</xdr:colOff>
      <xdr:row>0</xdr:row>
      <xdr:rowOff>163185</xdr:rowOff>
    </xdr:from>
    <xdr:to>
      <xdr:col>9</xdr:col>
      <xdr:colOff>643466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5AD958-C9A5-4993-97A1-0DDC41E098D1}"/>
            </a:ext>
          </a:extLst>
        </xdr:cNvPr>
        <xdr:cNvSpPr txBox="1"/>
      </xdr:nvSpPr>
      <xdr:spPr>
        <a:xfrm>
          <a:off x="1929184" y="163185"/>
          <a:ext cx="9702322" cy="65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Select</a:t>
          </a:r>
          <a:r>
            <a:rPr lang="en-US" sz="16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a Beneficial Electrification Opportunity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blue box below to view and select one of the options from a drop down list. </a:t>
          </a:r>
          <a:endParaRPr lang="en-US" sz="1100" b="0" u="none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1596885</xdr:colOff>
      <xdr:row>1</xdr:row>
      <xdr:rowOff>65267</xdr:rowOff>
    </xdr:from>
    <xdr:to>
      <xdr:col>9</xdr:col>
      <xdr:colOff>495299</xdr:colOff>
      <xdr:row>5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AD2EEB-0044-491F-9C9E-443A74980B6B}"/>
            </a:ext>
          </a:extLst>
        </xdr:cNvPr>
        <xdr:cNvSpPr txBox="1"/>
      </xdr:nvSpPr>
      <xdr:spPr>
        <a:xfrm>
          <a:off x="1909305" y="293867"/>
          <a:ext cx="9574034" cy="574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Existing </a:t>
          </a:r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Fuel Use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purple boxs below to select a fuel type and then enter an average cost per unit (e.g. gallon) of fuel  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9</xdr:col>
      <xdr:colOff>617642</xdr:colOff>
      <xdr:row>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4A49090-5B67-4A99-B526-8AF7788B86E0}"/>
            </a:ext>
          </a:extLst>
        </xdr:cNvPr>
        <xdr:cNvSpPr txBox="1"/>
      </xdr:nvSpPr>
      <xdr:spPr>
        <a:xfrm>
          <a:off x="190500" y="0"/>
          <a:ext cx="11415182" cy="0"/>
        </a:xfrm>
        <a:prstGeom prst="rect">
          <a:avLst/>
        </a:prstGeom>
        <a:gradFill flip="none" rotWithShape="1">
          <a:gsLst>
            <a:gs pos="0">
              <a:srgbClr val="002060"/>
            </a:gs>
            <a:gs pos="68000">
              <a:srgbClr val="002060"/>
            </a:gs>
            <a:gs pos="100000">
              <a:schemeClr val="bg1"/>
            </a:gs>
          </a:gsLst>
          <a:path path="circle">
            <a:fillToRect l="50000" t="50000" r="50000" b="50000"/>
          </a:path>
          <a:tileRect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 baseline="0">
              <a:solidFill>
                <a:schemeClr val="bg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Penn State Extension Energy Selector</a:t>
          </a:r>
        </a:p>
      </xdr:txBody>
    </xdr:sp>
    <xdr:clientData/>
  </xdr:twoCellAnchor>
  <xdr:twoCellAnchor>
    <xdr:from>
      <xdr:col>0</xdr:col>
      <xdr:colOff>239512</xdr:colOff>
      <xdr:row>2</xdr:row>
      <xdr:rowOff>1787</xdr:rowOff>
    </xdr:from>
    <xdr:to>
      <xdr:col>1</xdr:col>
      <xdr:colOff>1617152</xdr:colOff>
      <xdr:row>11</xdr:row>
      <xdr:rowOff>10603</xdr:rowOff>
    </xdr:to>
    <xdr:sp macro="" textlink="">
      <xdr:nvSpPr>
        <xdr:cNvPr id="5" name="Flowchart: Off-page Connector 4">
          <a:extLst>
            <a:ext uri="{FF2B5EF4-FFF2-40B4-BE49-F238E27FC236}">
              <a16:creationId xmlns:a16="http://schemas.microsoft.com/office/drawing/2014/main" id="{EDD4ECAC-E92C-4650-9D2D-90D39C4AB0EC}"/>
            </a:ext>
          </a:extLst>
        </xdr:cNvPr>
        <xdr:cNvSpPr/>
      </xdr:nvSpPr>
      <xdr:spPr>
        <a:xfrm rot="16200000">
          <a:off x="386714" y="167005"/>
          <a:ext cx="1395656" cy="1690060"/>
        </a:xfrm>
        <a:prstGeom prst="flowChartOffpageConnector">
          <a:avLst/>
        </a:prstGeom>
        <a:solidFill>
          <a:srgbClr val="C3B8EA"/>
        </a:solidFill>
        <a:ln w="12700" cap="flat" cmpd="sng" algn="ctr">
          <a:solidFill>
            <a:srgbClr val="8C78D6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229973</xdr:colOff>
      <xdr:row>28</xdr:row>
      <xdr:rowOff>152400</xdr:rowOff>
    </xdr:from>
    <xdr:to>
      <xdr:col>1</xdr:col>
      <xdr:colOff>1638144</xdr:colOff>
      <xdr:row>35</xdr:row>
      <xdr:rowOff>38100</xdr:rowOff>
    </xdr:to>
    <xdr:sp macro="" textlink="">
      <xdr:nvSpPr>
        <xdr:cNvPr id="6" name="Flowchart: Off-page Connector 5">
          <a:extLst>
            <a:ext uri="{FF2B5EF4-FFF2-40B4-BE49-F238E27FC236}">
              <a16:creationId xmlns:a16="http://schemas.microsoft.com/office/drawing/2014/main" id="{226FBB38-D90E-432B-A72C-4BDC7236F322}"/>
            </a:ext>
          </a:extLst>
        </xdr:cNvPr>
        <xdr:cNvSpPr/>
      </xdr:nvSpPr>
      <xdr:spPr>
        <a:xfrm rot="16200000">
          <a:off x="537819" y="4683254"/>
          <a:ext cx="1104900" cy="1720591"/>
        </a:xfrm>
        <a:prstGeom prst="flowChartOffpageConnector">
          <a:avLst/>
        </a:prstGeom>
        <a:solidFill>
          <a:srgbClr val="B3E7BE"/>
        </a:solidFill>
        <a:ln w="12700" cap="flat" cmpd="sng" algn="ctr">
          <a:solidFill>
            <a:srgbClr val="5ACC72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145499</xdr:colOff>
      <xdr:row>30</xdr:row>
      <xdr:rowOff>0</xdr:rowOff>
    </xdr:from>
    <xdr:to>
      <xdr:col>1</xdr:col>
      <xdr:colOff>1836365</xdr:colOff>
      <xdr:row>30</xdr:row>
      <xdr:rowOff>0</xdr:rowOff>
    </xdr:to>
    <xdr:sp macro="" textlink="">
      <xdr:nvSpPr>
        <xdr:cNvPr id="7" name="TextBox 9">
          <a:extLst>
            <a:ext uri="{FF2B5EF4-FFF2-40B4-BE49-F238E27FC236}">
              <a16:creationId xmlns:a16="http://schemas.microsoft.com/office/drawing/2014/main" id="{7133AC23-F04B-47D3-AE7F-62BC10B5FF7F}"/>
            </a:ext>
          </a:extLst>
        </xdr:cNvPr>
        <xdr:cNvSpPr txBox="1"/>
      </xdr:nvSpPr>
      <xdr:spPr>
        <a:xfrm>
          <a:off x="145499" y="5166360"/>
          <a:ext cx="2003286" cy="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32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Results</a:t>
          </a:r>
        </a:p>
      </xdr:txBody>
    </xdr:sp>
    <xdr:clientData/>
  </xdr:twoCellAnchor>
  <xdr:twoCellAnchor>
    <xdr:from>
      <xdr:col>1</xdr:col>
      <xdr:colOff>1616764</xdr:colOff>
      <xdr:row>13</xdr:row>
      <xdr:rowOff>5705</xdr:rowOff>
    </xdr:from>
    <xdr:to>
      <xdr:col>9</xdr:col>
      <xdr:colOff>643466</xdr:colOff>
      <xdr:row>17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B6AD447-E6EF-4819-B8C1-104C8BDFC5B2}"/>
            </a:ext>
          </a:extLst>
        </xdr:cNvPr>
        <xdr:cNvSpPr txBox="1"/>
      </xdr:nvSpPr>
      <xdr:spPr>
        <a:xfrm>
          <a:off x="1929184" y="1819265"/>
          <a:ext cx="9702322" cy="664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Enter Operational Details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gold boxs below to enter operational details</a:t>
          </a:r>
          <a:endParaRPr lang="en-US" sz="1100" b="0" u="none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0</xdr:col>
      <xdr:colOff>240937</xdr:colOff>
      <xdr:row>11</xdr:row>
      <xdr:rowOff>61955</xdr:rowOff>
    </xdr:from>
    <xdr:to>
      <xdr:col>1</xdr:col>
      <xdr:colOff>1626883</xdr:colOff>
      <xdr:row>20</xdr:row>
      <xdr:rowOff>92442</xdr:rowOff>
    </xdr:to>
    <xdr:sp macro="" textlink="">
      <xdr:nvSpPr>
        <xdr:cNvPr id="9" name="Flowchart: Off-page Connector 8">
          <a:extLst>
            <a:ext uri="{FF2B5EF4-FFF2-40B4-BE49-F238E27FC236}">
              <a16:creationId xmlns:a16="http://schemas.microsoft.com/office/drawing/2014/main" id="{44DA98DA-6D84-4AB8-B3BF-8B048044CAB0}"/>
            </a:ext>
          </a:extLst>
        </xdr:cNvPr>
        <xdr:cNvSpPr/>
      </xdr:nvSpPr>
      <xdr:spPr>
        <a:xfrm rot="16200000">
          <a:off x="350341" y="1654351"/>
          <a:ext cx="1478287" cy="1697096"/>
        </a:xfrm>
        <a:prstGeom prst="flowChartOffpageConnector">
          <a:avLst/>
        </a:prstGeom>
        <a:solidFill>
          <a:schemeClr val="accent3">
            <a:lumMod val="60000"/>
            <a:lumOff val="40000"/>
          </a:scheme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1616764</xdr:colOff>
      <xdr:row>21</xdr:row>
      <xdr:rowOff>0</xdr:rowOff>
    </xdr:from>
    <xdr:to>
      <xdr:col>9</xdr:col>
      <xdr:colOff>643466</xdr:colOff>
      <xdr:row>24</xdr:row>
      <xdr:rowOff>8467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3489F2C-2CF5-44E8-BE0B-4A3DCA213501}"/>
            </a:ext>
          </a:extLst>
        </xdr:cNvPr>
        <xdr:cNvSpPr txBox="1"/>
      </xdr:nvSpPr>
      <xdr:spPr>
        <a:xfrm>
          <a:off x="1929184" y="3322320"/>
          <a:ext cx="9702322" cy="519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Calculation Details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1616764</xdr:colOff>
      <xdr:row>0</xdr:row>
      <xdr:rowOff>163185</xdr:rowOff>
    </xdr:from>
    <xdr:to>
      <xdr:col>9</xdr:col>
      <xdr:colOff>643466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1943C7-65BB-40AB-875B-F6306A1DBFD4}"/>
            </a:ext>
          </a:extLst>
        </xdr:cNvPr>
        <xdr:cNvSpPr txBox="1"/>
      </xdr:nvSpPr>
      <xdr:spPr>
        <a:xfrm>
          <a:off x="1929184" y="163185"/>
          <a:ext cx="9702322" cy="65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Select</a:t>
          </a:r>
          <a:r>
            <a:rPr lang="en-US" sz="16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a Beneficial Electrification Opportunity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blue box below to view and select one of the options from a drop down list. </a:t>
          </a:r>
          <a:endParaRPr lang="en-US" sz="1100" b="0" u="none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1596885</xdr:colOff>
      <xdr:row>1</xdr:row>
      <xdr:rowOff>65267</xdr:rowOff>
    </xdr:from>
    <xdr:to>
      <xdr:col>9</xdr:col>
      <xdr:colOff>495299</xdr:colOff>
      <xdr:row>5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D21FAC-AC16-40BA-9E87-5E4DFAC0A419}"/>
            </a:ext>
          </a:extLst>
        </xdr:cNvPr>
        <xdr:cNvSpPr txBox="1"/>
      </xdr:nvSpPr>
      <xdr:spPr>
        <a:xfrm>
          <a:off x="1909305" y="293867"/>
          <a:ext cx="9574034" cy="574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Existing </a:t>
          </a:r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Fuel Use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purple boxs below to select a fuel type and then enter an average cost per unit (e.g. gallon) of fuel  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9</xdr:col>
      <xdr:colOff>617642</xdr:colOff>
      <xdr:row>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220144-7296-4EFF-8CB9-4E3800F2759C}"/>
            </a:ext>
          </a:extLst>
        </xdr:cNvPr>
        <xdr:cNvSpPr txBox="1"/>
      </xdr:nvSpPr>
      <xdr:spPr>
        <a:xfrm>
          <a:off x="190500" y="0"/>
          <a:ext cx="11415182" cy="0"/>
        </a:xfrm>
        <a:prstGeom prst="rect">
          <a:avLst/>
        </a:prstGeom>
        <a:gradFill flip="none" rotWithShape="1">
          <a:gsLst>
            <a:gs pos="0">
              <a:srgbClr val="002060"/>
            </a:gs>
            <a:gs pos="68000">
              <a:srgbClr val="002060"/>
            </a:gs>
            <a:gs pos="100000">
              <a:schemeClr val="bg1"/>
            </a:gs>
          </a:gsLst>
          <a:path path="circle">
            <a:fillToRect l="50000" t="50000" r="50000" b="50000"/>
          </a:path>
          <a:tileRect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 baseline="0">
              <a:solidFill>
                <a:schemeClr val="bg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Penn State Extension Energy Selector</a:t>
          </a:r>
        </a:p>
      </xdr:txBody>
    </xdr:sp>
    <xdr:clientData/>
  </xdr:twoCellAnchor>
  <xdr:twoCellAnchor>
    <xdr:from>
      <xdr:col>0</xdr:col>
      <xdr:colOff>239512</xdr:colOff>
      <xdr:row>2</xdr:row>
      <xdr:rowOff>1787</xdr:rowOff>
    </xdr:from>
    <xdr:to>
      <xdr:col>1</xdr:col>
      <xdr:colOff>1617152</xdr:colOff>
      <xdr:row>11</xdr:row>
      <xdr:rowOff>10603</xdr:rowOff>
    </xdr:to>
    <xdr:sp macro="" textlink="">
      <xdr:nvSpPr>
        <xdr:cNvPr id="5" name="Flowchart: Off-page Connector 4">
          <a:extLst>
            <a:ext uri="{FF2B5EF4-FFF2-40B4-BE49-F238E27FC236}">
              <a16:creationId xmlns:a16="http://schemas.microsoft.com/office/drawing/2014/main" id="{49EB74D1-412E-4842-B63D-F231B954CBBD}"/>
            </a:ext>
          </a:extLst>
        </xdr:cNvPr>
        <xdr:cNvSpPr/>
      </xdr:nvSpPr>
      <xdr:spPr>
        <a:xfrm rot="16200000">
          <a:off x="386714" y="167005"/>
          <a:ext cx="1395656" cy="1690060"/>
        </a:xfrm>
        <a:prstGeom prst="flowChartOffpageConnector">
          <a:avLst/>
        </a:prstGeom>
        <a:solidFill>
          <a:srgbClr val="C3B8EA"/>
        </a:solidFill>
        <a:ln w="12700" cap="flat" cmpd="sng" algn="ctr">
          <a:solidFill>
            <a:srgbClr val="8C78D6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229973</xdr:colOff>
      <xdr:row>28</xdr:row>
      <xdr:rowOff>152400</xdr:rowOff>
    </xdr:from>
    <xdr:to>
      <xdr:col>1</xdr:col>
      <xdr:colOff>1638144</xdr:colOff>
      <xdr:row>35</xdr:row>
      <xdr:rowOff>38100</xdr:rowOff>
    </xdr:to>
    <xdr:sp macro="" textlink="">
      <xdr:nvSpPr>
        <xdr:cNvPr id="6" name="Flowchart: Off-page Connector 5">
          <a:extLst>
            <a:ext uri="{FF2B5EF4-FFF2-40B4-BE49-F238E27FC236}">
              <a16:creationId xmlns:a16="http://schemas.microsoft.com/office/drawing/2014/main" id="{131721BE-00E1-4F7E-ABD7-E0E2C22B17C9}"/>
            </a:ext>
          </a:extLst>
        </xdr:cNvPr>
        <xdr:cNvSpPr/>
      </xdr:nvSpPr>
      <xdr:spPr>
        <a:xfrm rot="16200000">
          <a:off x="537819" y="4683254"/>
          <a:ext cx="1104900" cy="1720591"/>
        </a:xfrm>
        <a:prstGeom prst="flowChartOffpageConnector">
          <a:avLst/>
        </a:prstGeom>
        <a:solidFill>
          <a:srgbClr val="B3E7BE"/>
        </a:solidFill>
        <a:ln w="12700" cap="flat" cmpd="sng" algn="ctr">
          <a:solidFill>
            <a:srgbClr val="5ACC72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145499</xdr:colOff>
      <xdr:row>30</xdr:row>
      <xdr:rowOff>0</xdr:rowOff>
    </xdr:from>
    <xdr:to>
      <xdr:col>1</xdr:col>
      <xdr:colOff>1836365</xdr:colOff>
      <xdr:row>30</xdr:row>
      <xdr:rowOff>0</xdr:rowOff>
    </xdr:to>
    <xdr:sp macro="" textlink="">
      <xdr:nvSpPr>
        <xdr:cNvPr id="7" name="TextBox 9">
          <a:extLst>
            <a:ext uri="{FF2B5EF4-FFF2-40B4-BE49-F238E27FC236}">
              <a16:creationId xmlns:a16="http://schemas.microsoft.com/office/drawing/2014/main" id="{AAADA8A4-9F9F-42B1-B9B1-E53629B8BDFA}"/>
            </a:ext>
          </a:extLst>
        </xdr:cNvPr>
        <xdr:cNvSpPr txBox="1"/>
      </xdr:nvSpPr>
      <xdr:spPr>
        <a:xfrm>
          <a:off x="145499" y="5166360"/>
          <a:ext cx="2003286" cy="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32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Results</a:t>
          </a:r>
        </a:p>
      </xdr:txBody>
    </xdr:sp>
    <xdr:clientData/>
  </xdr:twoCellAnchor>
  <xdr:twoCellAnchor>
    <xdr:from>
      <xdr:col>1</xdr:col>
      <xdr:colOff>1616764</xdr:colOff>
      <xdr:row>13</xdr:row>
      <xdr:rowOff>5705</xdr:rowOff>
    </xdr:from>
    <xdr:to>
      <xdr:col>9</xdr:col>
      <xdr:colOff>643466</xdr:colOff>
      <xdr:row>17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D411260-7D26-4C6B-802D-34C2F2BDD377}"/>
            </a:ext>
          </a:extLst>
        </xdr:cNvPr>
        <xdr:cNvSpPr txBox="1"/>
      </xdr:nvSpPr>
      <xdr:spPr>
        <a:xfrm>
          <a:off x="1929184" y="1819265"/>
          <a:ext cx="9702322" cy="664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Enter Operational Details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gold boxs below to enter operational details</a:t>
          </a:r>
          <a:endParaRPr lang="en-US" sz="1100" b="0" u="none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0</xdr:col>
      <xdr:colOff>247286</xdr:colOff>
      <xdr:row>11</xdr:row>
      <xdr:rowOff>81005</xdr:rowOff>
    </xdr:from>
    <xdr:to>
      <xdr:col>1</xdr:col>
      <xdr:colOff>1633232</xdr:colOff>
      <xdr:row>21</xdr:row>
      <xdr:rowOff>111492</xdr:rowOff>
    </xdr:to>
    <xdr:sp macro="" textlink="">
      <xdr:nvSpPr>
        <xdr:cNvPr id="9" name="Flowchart: Off-page Connector 8">
          <a:extLst>
            <a:ext uri="{FF2B5EF4-FFF2-40B4-BE49-F238E27FC236}">
              <a16:creationId xmlns:a16="http://schemas.microsoft.com/office/drawing/2014/main" id="{57DAEC83-1B92-4AFF-94A4-83CFF2ECAE1C}"/>
            </a:ext>
          </a:extLst>
        </xdr:cNvPr>
        <xdr:cNvSpPr/>
      </xdr:nvSpPr>
      <xdr:spPr>
        <a:xfrm rot="16200000">
          <a:off x="353515" y="1674036"/>
          <a:ext cx="1485907" cy="1698366"/>
        </a:xfrm>
        <a:prstGeom prst="flowChartOffpageConnector">
          <a:avLst/>
        </a:prstGeom>
        <a:solidFill>
          <a:schemeClr val="accent3">
            <a:lumMod val="60000"/>
            <a:lumOff val="40000"/>
          </a:scheme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1616764</xdr:colOff>
      <xdr:row>22</xdr:row>
      <xdr:rowOff>0</xdr:rowOff>
    </xdr:from>
    <xdr:to>
      <xdr:col>9</xdr:col>
      <xdr:colOff>643466</xdr:colOff>
      <xdr:row>25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A7A590-D6CB-4C1A-9C2B-F13108B6EC5E}"/>
            </a:ext>
          </a:extLst>
        </xdr:cNvPr>
        <xdr:cNvSpPr txBox="1"/>
      </xdr:nvSpPr>
      <xdr:spPr>
        <a:xfrm>
          <a:off x="1929184" y="3322320"/>
          <a:ext cx="9702322" cy="519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Calculation Details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1616764</xdr:colOff>
      <xdr:row>0</xdr:row>
      <xdr:rowOff>163185</xdr:rowOff>
    </xdr:from>
    <xdr:to>
      <xdr:col>9</xdr:col>
      <xdr:colOff>643466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D23E9B-D5A5-450F-A44C-4B163E94C2F6}"/>
            </a:ext>
          </a:extLst>
        </xdr:cNvPr>
        <xdr:cNvSpPr txBox="1"/>
      </xdr:nvSpPr>
      <xdr:spPr>
        <a:xfrm>
          <a:off x="1929184" y="163185"/>
          <a:ext cx="9702322" cy="65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Select</a:t>
          </a:r>
          <a:r>
            <a:rPr lang="en-US" sz="16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a Beneficial Electrification Opportunity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blue box below to view and select one of the options from a drop down list. </a:t>
          </a:r>
          <a:endParaRPr lang="en-US" sz="1100" b="0" u="none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1596885</xdr:colOff>
      <xdr:row>1</xdr:row>
      <xdr:rowOff>65267</xdr:rowOff>
    </xdr:from>
    <xdr:to>
      <xdr:col>9</xdr:col>
      <xdr:colOff>495299</xdr:colOff>
      <xdr:row>5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B3DC3B-BAE1-47EA-A3EB-A49375D27423}"/>
            </a:ext>
          </a:extLst>
        </xdr:cNvPr>
        <xdr:cNvSpPr txBox="1"/>
      </xdr:nvSpPr>
      <xdr:spPr>
        <a:xfrm>
          <a:off x="1909305" y="293867"/>
          <a:ext cx="9574034" cy="574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Existing </a:t>
          </a:r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Fuel Use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purple boxs below to select a fuel type and then enter an average cost per unit (e.g. gallon) of fuel  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9</xdr:col>
      <xdr:colOff>617642</xdr:colOff>
      <xdr:row>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D87E07-44BF-44B9-BFE5-B37A51B2A263}"/>
            </a:ext>
          </a:extLst>
        </xdr:cNvPr>
        <xdr:cNvSpPr txBox="1"/>
      </xdr:nvSpPr>
      <xdr:spPr>
        <a:xfrm>
          <a:off x="190500" y="0"/>
          <a:ext cx="11415182" cy="0"/>
        </a:xfrm>
        <a:prstGeom prst="rect">
          <a:avLst/>
        </a:prstGeom>
        <a:gradFill flip="none" rotWithShape="1">
          <a:gsLst>
            <a:gs pos="0">
              <a:srgbClr val="002060"/>
            </a:gs>
            <a:gs pos="68000">
              <a:srgbClr val="002060"/>
            </a:gs>
            <a:gs pos="100000">
              <a:schemeClr val="bg1"/>
            </a:gs>
          </a:gsLst>
          <a:path path="circle">
            <a:fillToRect l="50000" t="50000" r="50000" b="50000"/>
          </a:path>
          <a:tileRect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 baseline="0">
              <a:solidFill>
                <a:schemeClr val="bg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Penn State Extension Energy Selector</a:t>
          </a:r>
        </a:p>
      </xdr:txBody>
    </xdr:sp>
    <xdr:clientData/>
  </xdr:twoCellAnchor>
  <xdr:twoCellAnchor>
    <xdr:from>
      <xdr:col>0</xdr:col>
      <xdr:colOff>239512</xdr:colOff>
      <xdr:row>2</xdr:row>
      <xdr:rowOff>1787</xdr:rowOff>
    </xdr:from>
    <xdr:to>
      <xdr:col>1</xdr:col>
      <xdr:colOff>1617152</xdr:colOff>
      <xdr:row>11</xdr:row>
      <xdr:rowOff>10603</xdr:rowOff>
    </xdr:to>
    <xdr:sp macro="" textlink="">
      <xdr:nvSpPr>
        <xdr:cNvPr id="5" name="Flowchart: Off-page Connector 4">
          <a:extLst>
            <a:ext uri="{FF2B5EF4-FFF2-40B4-BE49-F238E27FC236}">
              <a16:creationId xmlns:a16="http://schemas.microsoft.com/office/drawing/2014/main" id="{F02E3972-5952-431F-8D77-EB6EE44631D9}"/>
            </a:ext>
          </a:extLst>
        </xdr:cNvPr>
        <xdr:cNvSpPr/>
      </xdr:nvSpPr>
      <xdr:spPr>
        <a:xfrm rot="16200000">
          <a:off x="386714" y="167005"/>
          <a:ext cx="1395656" cy="1690060"/>
        </a:xfrm>
        <a:prstGeom prst="flowChartOffpageConnector">
          <a:avLst/>
        </a:prstGeom>
        <a:solidFill>
          <a:srgbClr val="C3B8EA"/>
        </a:solidFill>
        <a:ln w="12700" cap="flat" cmpd="sng" algn="ctr">
          <a:solidFill>
            <a:srgbClr val="8C78D6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229973</xdr:colOff>
      <xdr:row>30</xdr:row>
      <xdr:rowOff>152400</xdr:rowOff>
    </xdr:from>
    <xdr:to>
      <xdr:col>1</xdr:col>
      <xdr:colOff>1638144</xdr:colOff>
      <xdr:row>37</xdr:row>
      <xdr:rowOff>38100</xdr:rowOff>
    </xdr:to>
    <xdr:sp macro="" textlink="">
      <xdr:nvSpPr>
        <xdr:cNvPr id="6" name="Flowchart: Off-page Connector 5">
          <a:extLst>
            <a:ext uri="{FF2B5EF4-FFF2-40B4-BE49-F238E27FC236}">
              <a16:creationId xmlns:a16="http://schemas.microsoft.com/office/drawing/2014/main" id="{55ECA6E7-A1C8-4959-9FBB-78629DB9D682}"/>
            </a:ext>
          </a:extLst>
        </xdr:cNvPr>
        <xdr:cNvSpPr/>
      </xdr:nvSpPr>
      <xdr:spPr>
        <a:xfrm rot="16200000">
          <a:off x="537819" y="4683254"/>
          <a:ext cx="1104900" cy="1720591"/>
        </a:xfrm>
        <a:prstGeom prst="flowChartOffpageConnector">
          <a:avLst/>
        </a:prstGeom>
        <a:solidFill>
          <a:srgbClr val="B3E7BE"/>
        </a:solidFill>
        <a:ln w="12700" cap="flat" cmpd="sng" algn="ctr">
          <a:solidFill>
            <a:srgbClr val="5ACC72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0</xdr:col>
      <xdr:colOff>145499</xdr:colOff>
      <xdr:row>32</xdr:row>
      <xdr:rowOff>0</xdr:rowOff>
    </xdr:from>
    <xdr:to>
      <xdr:col>1</xdr:col>
      <xdr:colOff>1836365</xdr:colOff>
      <xdr:row>32</xdr:row>
      <xdr:rowOff>0</xdr:rowOff>
    </xdr:to>
    <xdr:sp macro="" textlink="">
      <xdr:nvSpPr>
        <xdr:cNvPr id="7" name="TextBox 9">
          <a:extLst>
            <a:ext uri="{FF2B5EF4-FFF2-40B4-BE49-F238E27FC236}">
              <a16:creationId xmlns:a16="http://schemas.microsoft.com/office/drawing/2014/main" id="{1D4BD586-FE9A-4268-8F9B-094FE9253E41}"/>
            </a:ext>
          </a:extLst>
        </xdr:cNvPr>
        <xdr:cNvSpPr txBox="1"/>
      </xdr:nvSpPr>
      <xdr:spPr>
        <a:xfrm>
          <a:off x="145499" y="5166360"/>
          <a:ext cx="2003286" cy="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32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Results</a:t>
          </a:r>
        </a:p>
      </xdr:txBody>
    </xdr:sp>
    <xdr:clientData/>
  </xdr:twoCellAnchor>
  <xdr:twoCellAnchor>
    <xdr:from>
      <xdr:col>1</xdr:col>
      <xdr:colOff>1616764</xdr:colOff>
      <xdr:row>13</xdr:row>
      <xdr:rowOff>5705</xdr:rowOff>
    </xdr:from>
    <xdr:to>
      <xdr:col>9</xdr:col>
      <xdr:colOff>643466</xdr:colOff>
      <xdr:row>17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5506E27-788A-405C-931A-83F7036ACE96}"/>
            </a:ext>
          </a:extLst>
        </xdr:cNvPr>
        <xdr:cNvSpPr txBox="1"/>
      </xdr:nvSpPr>
      <xdr:spPr>
        <a:xfrm>
          <a:off x="1929184" y="1819265"/>
          <a:ext cx="9702322" cy="664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Enter Operational Details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US" sz="1050" b="0" u="none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Click on the gold boxs below to enter operational details</a:t>
          </a:r>
          <a:endParaRPr lang="en-US" sz="1100" b="0" u="none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0</xdr:col>
      <xdr:colOff>247286</xdr:colOff>
      <xdr:row>11</xdr:row>
      <xdr:rowOff>81005</xdr:rowOff>
    </xdr:from>
    <xdr:to>
      <xdr:col>1</xdr:col>
      <xdr:colOff>1633232</xdr:colOff>
      <xdr:row>21</xdr:row>
      <xdr:rowOff>111492</xdr:rowOff>
    </xdr:to>
    <xdr:sp macro="" textlink="">
      <xdr:nvSpPr>
        <xdr:cNvPr id="9" name="Flowchart: Off-page Connector 8">
          <a:extLst>
            <a:ext uri="{FF2B5EF4-FFF2-40B4-BE49-F238E27FC236}">
              <a16:creationId xmlns:a16="http://schemas.microsoft.com/office/drawing/2014/main" id="{D3E478B1-DD94-4EE4-82A9-600AC60BB41C}"/>
            </a:ext>
          </a:extLst>
        </xdr:cNvPr>
        <xdr:cNvSpPr/>
      </xdr:nvSpPr>
      <xdr:spPr>
        <a:xfrm rot="16200000">
          <a:off x="353515" y="1674036"/>
          <a:ext cx="1485907" cy="1698366"/>
        </a:xfrm>
        <a:prstGeom prst="flowChartOffpageConnector">
          <a:avLst/>
        </a:prstGeom>
        <a:solidFill>
          <a:schemeClr val="accent3">
            <a:lumMod val="60000"/>
            <a:lumOff val="40000"/>
          </a:scheme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1616764</xdr:colOff>
      <xdr:row>22</xdr:row>
      <xdr:rowOff>0</xdr:rowOff>
    </xdr:from>
    <xdr:to>
      <xdr:col>9</xdr:col>
      <xdr:colOff>643466</xdr:colOff>
      <xdr:row>25</xdr:row>
      <xdr:rowOff>8467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E7AD9F5-D704-47BC-AC25-9996DA9ED616}"/>
            </a:ext>
          </a:extLst>
        </xdr:cNvPr>
        <xdr:cNvSpPr txBox="1"/>
      </xdr:nvSpPr>
      <xdr:spPr>
        <a:xfrm>
          <a:off x="1929184" y="3322320"/>
          <a:ext cx="9702322" cy="519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Calculation Details</a:t>
          </a:r>
          <a:endParaRPr lang="en-US" sz="16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onarchtractor.com/mkv-electric-tractor.html" TargetMode="External"/><Relationship Id="rId1" Type="http://schemas.openxmlformats.org/officeDocument/2006/relationships/hyperlink" Target="https://solectrac.com/e70n-electric-tracto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gridus.com/media/pdfs/resi-ways-to-save/ee7440uny-ehcustomerflyer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otwater.com/water-heaters/commercial/water-heaters/heat-pump/chp-120-fully-integrated-heat-pum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solectrac.com/e70n-electric-tractor" TargetMode="External"/><Relationship Id="rId2" Type="http://schemas.openxmlformats.org/officeDocument/2006/relationships/hyperlink" Target="https://www.monarchtractor.com/mkv-electric-tractor.html" TargetMode="External"/><Relationship Id="rId1" Type="http://schemas.openxmlformats.org/officeDocument/2006/relationships/hyperlink" Target="https://www.nationalgridus.com/media/pdfs/resi-ways-to-save/ee7440uny-ehcustomerflye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3A96-68EE-4A6F-8021-CB23CBBC27BE}">
  <sheetPr codeName="Sheet2">
    <tabColor rgb="FFB8ACD6"/>
  </sheetPr>
  <dimension ref="B1:L1039"/>
  <sheetViews>
    <sheetView showGridLines="0" tabSelected="1" zoomScale="120" zoomScaleNormal="120" zoomScaleSheetLayoutView="80" workbookViewId="0">
      <selection activeCell="B1" sqref="B1"/>
    </sheetView>
  </sheetViews>
  <sheetFormatPr defaultColWidth="14.42578125" defaultRowHeight="15" customHeight="1" x14ac:dyDescent="0.2"/>
  <cols>
    <col min="1" max="1" width="4.42578125" customWidth="1"/>
    <col min="2" max="2" width="68.28515625" customWidth="1"/>
    <col min="3" max="3" width="26.28515625" customWidth="1"/>
    <col min="4" max="4" width="46.7109375" customWidth="1"/>
    <col min="5" max="5" width="10.140625" customWidth="1"/>
    <col min="6" max="6" width="3.28515625" customWidth="1"/>
    <col min="7" max="7" width="0.7109375" customWidth="1"/>
    <col min="8" max="8" width="3.42578125" hidden="1" customWidth="1"/>
    <col min="9" max="9" width="6.7109375" hidden="1" customWidth="1"/>
    <col min="10" max="10" width="11" customWidth="1"/>
    <col min="11" max="11" width="5.42578125" customWidth="1"/>
    <col min="12" max="12" width="4.42578125" customWidth="1"/>
    <col min="13" max="13" width="7.42578125" bestFit="1" customWidth="1"/>
    <col min="14" max="14" width="5.140625" customWidth="1"/>
    <col min="15" max="15" width="7" bestFit="1" customWidth="1"/>
    <col min="16" max="16" width="4.7109375" customWidth="1"/>
    <col min="17" max="17" width="13.42578125" bestFit="1" customWidth="1"/>
    <col min="18" max="18" width="4.7109375" customWidth="1"/>
    <col min="19" max="19" width="9.7109375" bestFit="1" customWidth="1"/>
    <col min="20" max="21" width="8.7109375" customWidth="1"/>
  </cols>
  <sheetData>
    <row r="1" spans="2:10" ht="18" customHeight="1" x14ac:dyDescent="0.2">
      <c r="B1" s="103" t="s">
        <v>66</v>
      </c>
    </row>
    <row r="2" spans="2:10" ht="6.4" customHeight="1" thickBot="1" x14ac:dyDescent="0.25"/>
    <row r="3" spans="2:10" ht="12.75" customHeight="1" x14ac:dyDescent="0.2">
      <c r="B3" s="21"/>
      <c r="C3" s="22"/>
      <c r="D3" s="22"/>
      <c r="E3" s="22"/>
      <c r="F3" s="22"/>
      <c r="G3" s="22"/>
      <c r="H3" s="22"/>
      <c r="I3" s="22"/>
      <c r="J3" s="23"/>
    </row>
    <row r="4" spans="2:10" ht="12.75" customHeight="1" x14ac:dyDescent="0.2">
      <c r="B4" s="29"/>
      <c r="C4" s="20"/>
      <c r="D4" s="20"/>
      <c r="E4" s="20"/>
      <c r="F4" s="20"/>
      <c r="G4" s="20"/>
      <c r="H4" s="20"/>
      <c r="I4" s="20"/>
      <c r="J4" s="25"/>
    </row>
    <row r="5" spans="2:10" ht="12.4" customHeight="1" x14ac:dyDescent="0.2">
      <c r="B5" s="29"/>
      <c r="C5" s="20"/>
      <c r="D5" s="20"/>
      <c r="E5" s="20"/>
      <c r="F5" s="20"/>
      <c r="G5" s="20"/>
      <c r="H5" s="20"/>
      <c r="I5" s="20"/>
      <c r="J5" s="25"/>
    </row>
    <row r="6" spans="2:10" ht="6" customHeight="1" x14ac:dyDescent="0.2">
      <c r="B6" s="29"/>
      <c r="C6" s="20"/>
      <c r="D6" s="20"/>
      <c r="E6" s="20"/>
      <c r="F6" s="20"/>
      <c r="G6" s="20"/>
      <c r="H6" s="20"/>
      <c r="I6" s="20"/>
      <c r="J6" s="25"/>
    </row>
    <row r="7" spans="2:10" ht="8.25" customHeight="1" x14ac:dyDescent="0.2">
      <c r="B7" s="29"/>
      <c r="C7" s="20"/>
      <c r="D7" s="20"/>
      <c r="E7" s="20"/>
      <c r="F7" s="20"/>
      <c r="G7" s="20"/>
      <c r="H7" s="20"/>
      <c r="I7" s="20"/>
      <c r="J7" s="25"/>
    </row>
    <row r="8" spans="2:10" ht="17.649999999999999" customHeight="1" x14ac:dyDescent="0.2">
      <c r="B8" s="30"/>
      <c r="C8" s="19" t="s">
        <v>25</v>
      </c>
      <c r="D8" s="100" t="s">
        <v>23</v>
      </c>
      <c r="E8" s="20"/>
      <c r="F8" s="20"/>
      <c r="G8" s="20"/>
      <c r="H8" s="20"/>
      <c r="I8" s="20"/>
      <c r="J8" s="25"/>
    </row>
    <row r="9" spans="2:10" ht="16.899999999999999" customHeight="1" x14ac:dyDescent="0.2">
      <c r="B9" s="30"/>
      <c r="C9" s="19" t="s">
        <v>29</v>
      </c>
      <c r="D9" s="101">
        <v>4</v>
      </c>
      <c r="E9" s="45" t="str">
        <f>VLOOKUP(D8,Technologies!B1:C8,2,FALSE)</f>
        <v>$/gallon</v>
      </c>
      <c r="F9" s="20"/>
      <c r="G9" s="20"/>
      <c r="H9" s="20"/>
      <c r="I9" s="20"/>
      <c r="J9" s="25"/>
    </row>
    <row r="10" spans="2:10" ht="17.649999999999999" customHeight="1" x14ac:dyDescent="0.2">
      <c r="B10" s="24"/>
      <c r="C10" s="19" t="s">
        <v>30</v>
      </c>
      <c r="D10" s="99">
        <v>500</v>
      </c>
      <c r="E10" s="45" t="str">
        <f>VLOOKUP(D8,Technologies!B1:D9,3,FALSE)</f>
        <v>gallons</v>
      </c>
      <c r="J10" s="25"/>
    </row>
    <row r="11" spans="2:10" ht="6" customHeight="1" thickBot="1" x14ac:dyDescent="0.25">
      <c r="B11" s="31"/>
      <c r="C11" s="32"/>
      <c r="D11" s="32"/>
      <c r="E11" s="32"/>
      <c r="F11" s="32"/>
      <c r="G11" s="32"/>
      <c r="H11" s="32"/>
      <c r="I11" s="32"/>
      <c r="J11" s="28"/>
    </row>
    <row r="12" spans="2:10" ht="7.9" customHeight="1" x14ac:dyDescent="0.2">
      <c r="B12" s="20"/>
      <c r="C12" s="20"/>
      <c r="D12" s="20"/>
      <c r="E12" s="20"/>
      <c r="F12" s="20"/>
      <c r="G12" s="20"/>
      <c r="H12" s="20"/>
      <c r="I12" s="20"/>
    </row>
    <row r="13" spans="2:10" ht="1.1499999999999999" customHeight="1" thickBot="1" x14ac:dyDescent="0.25"/>
    <row r="14" spans="2:10" ht="12.4" customHeight="1" x14ac:dyDescent="0.2">
      <c r="B14" s="21"/>
      <c r="C14" s="22"/>
      <c r="D14" s="22"/>
      <c r="E14" s="22"/>
      <c r="F14" s="22"/>
      <c r="G14" s="22"/>
      <c r="H14" s="22"/>
      <c r="I14" s="22"/>
      <c r="J14" s="23"/>
    </row>
    <row r="15" spans="2:10" ht="12.4" customHeight="1" x14ac:dyDescent="0.2">
      <c r="B15" s="24"/>
      <c r="J15" s="25"/>
    </row>
    <row r="16" spans="2:10" ht="12.4" customHeight="1" x14ac:dyDescent="0.2">
      <c r="B16" s="24"/>
      <c r="J16" s="25"/>
    </row>
    <row r="17" spans="2:10" ht="15" customHeight="1" x14ac:dyDescent="0.2">
      <c r="B17" s="24"/>
      <c r="J17" s="25"/>
    </row>
    <row r="18" spans="2:10" ht="22.15" customHeight="1" x14ac:dyDescent="0.2">
      <c r="B18" s="24"/>
      <c r="C18" s="19" t="s">
        <v>43</v>
      </c>
      <c r="D18" s="33">
        <v>100</v>
      </c>
      <c r="J18" s="25"/>
    </row>
    <row r="19" spans="2:10" ht="22.15" customHeight="1" x14ac:dyDescent="0.2">
      <c r="B19" s="24"/>
      <c r="C19" s="19" t="s">
        <v>57</v>
      </c>
      <c r="D19" s="79">
        <v>0.15</v>
      </c>
      <c r="E19" s="45"/>
      <c r="J19" s="25"/>
    </row>
    <row r="20" spans="2:10" ht="8.65" customHeight="1" thickBot="1" x14ac:dyDescent="0.25">
      <c r="B20" s="26"/>
      <c r="C20" s="27"/>
      <c r="D20" s="27"/>
      <c r="E20" s="27"/>
      <c r="F20" s="27"/>
      <c r="G20" s="27"/>
      <c r="H20" s="27"/>
      <c r="I20" s="27"/>
      <c r="J20" s="28"/>
    </row>
    <row r="21" spans="2:10" ht="13.15" customHeight="1" thickBot="1" x14ac:dyDescent="0.25">
      <c r="B21" s="20"/>
      <c r="C21" s="20"/>
      <c r="D21" s="20"/>
      <c r="E21" s="20"/>
      <c r="F21" s="20"/>
      <c r="G21" s="20"/>
      <c r="H21" s="20"/>
      <c r="I21" s="20"/>
    </row>
    <row r="22" spans="2:10" ht="12.4" customHeight="1" x14ac:dyDescent="0.2">
      <c r="B22" s="21"/>
      <c r="C22" s="22"/>
      <c r="D22" s="22"/>
      <c r="E22" s="22"/>
      <c r="F22" s="22"/>
      <c r="G22" s="22"/>
      <c r="H22" s="22"/>
      <c r="I22" s="22"/>
      <c r="J22" s="23"/>
    </row>
    <row r="23" spans="2:10" ht="12.4" customHeight="1" x14ac:dyDescent="0.2">
      <c r="B23" s="24"/>
      <c r="J23" s="25"/>
    </row>
    <row r="24" spans="2:10" ht="15" customHeight="1" x14ac:dyDescent="0.2">
      <c r="B24" s="24"/>
      <c r="J24" s="25"/>
    </row>
    <row r="25" spans="2:10" ht="22.15" customHeight="1" x14ac:dyDescent="0.2">
      <c r="B25" s="24"/>
      <c r="C25" s="19" t="s">
        <v>59</v>
      </c>
      <c r="D25" s="83">
        <f>'Basic Fuel Switch'!H9</f>
        <v>0.95399999999999996</v>
      </c>
      <c r="E25" s="34"/>
      <c r="J25" s="25"/>
    </row>
    <row r="26" spans="2:10" ht="22.15" customHeight="1" x14ac:dyDescent="0.2">
      <c r="B26" s="24"/>
      <c r="C26" s="19" t="s">
        <v>60</v>
      </c>
      <c r="D26" s="84">
        <f>'Basic Fuel Switch'!B18</f>
        <v>10900</v>
      </c>
      <c r="J26" s="25"/>
    </row>
    <row r="27" spans="2:10" ht="8.65" customHeight="1" thickBot="1" x14ac:dyDescent="0.25">
      <c r="B27" s="26"/>
      <c r="C27" s="27"/>
      <c r="D27" s="27"/>
      <c r="E27" s="27"/>
      <c r="F27" s="27"/>
      <c r="G27" s="27"/>
      <c r="H27" s="27"/>
      <c r="I27" s="27"/>
      <c r="J27" s="28"/>
    </row>
    <row r="28" spans="2:10" ht="26.65" customHeight="1" x14ac:dyDescent="0.2">
      <c r="B28" s="20"/>
      <c r="C28" s="20"/>
      <c r="D28" s="20"/>
      <c r="E28" s="20"/>
      <c r="F28" s="20"/>
      <c r="G28" s="20"/>
      <c r="H28" s="20"/>
      <c r="I28" s="20"/>
    </row>
    <row r="29" spans="2:10" ht="15.4" customHeight="1" thickBot="1" x14ac:dyDescent="0.25">
      <c r="B29" s="5"/>
      <c r="C29" s="5"/>
      <c r="D29" s="5"/>
      <c r="E29" s="5"/>
      <c r="F29" s="5"/>
      <c r="G29" s="5"/>
      <c r="H29" s="5"/>
      <c r="I29" s="5"/>
    </row>
    <row r="30" spans="2:10" ht="10.15" customHeight="1" x14ac:dyDescent="0.35">
      <c r="B30" s="85"/>
      <c r="C30" s="86"/>
      <c r="D30" s="86"/>
      <c r="E30" s="86"/>
      <c r="F30" s="86"/>
      <c r="G30" s="86"/>
      <c r="H30" s="86"/>
      <c r="I30" s="86"/>
      <c r="J30" s="87"/>
    </row>
    <row r="31" spans="2:10" ht="5.65" customHeight="1" x14ac:dyDescent="0.35">
      <c r="B31" s="91"/>
      <c r="C31" s="92"/>
      <c r="D31" s="92"/>
      <c r="E31" s="89"/>
      <c r="F31" s="89"/>
      <c r="G31" s="89"/>
      <c r="H31" s="89"/>
      <c r="I31" s="89"/>
      <c r="J31" s="90"/>
    </row>
    <row r="32" spans="2:10" ht="23.25" x14ac:dyDescent="0.35">
      <c r="C32" s="93" t="s">
        <v>61</v>
      </c>
      <c r="D32" s="96">
        <f>'Basic Fuel Switch'!B16</f>
        <v>1050.4127358490568</v>
      </c>
      <c r="E32" s="94"/>
      <c r="F32" s="89"/>
      <c r="G32" s="89"/>
      <c r="H32" s="89"/>
      <c r="I32" s="89"/>
      <c r="J32" s="90"/>
    </row>
    <row r="33" spans="2:12" ht="23.25" x14ac:dyDescent="0.35">
      <c r="C33" s="95" t="s">
        <v>62</v>
      </c>
      <c r="D33" s="97">
        <f>'Basic Fuel Switch'!B19</f>
        <v>10.376873421274205</v>
      </c>
      <c r="E33" s="94"/>
      <c r="F33" s="89"/>
      <c r="G33" s="89"/>
      <c r="H33" s="89"/>
      <c r="I33" s="89"/>
      <c r="J33" s="90"/>
    </row>
    <row r="34" spans="2:12" ht="7.5" customHeight="1" x14ac:dyDescent="0.35">
      <c r="B34" s="88"/>
      <c r="C34" s="89"/>
      <c r="D34" s="89"/>
      <c r="E34" s="89"/>
      <c r="F34" s="89"/>
      <c r="G34" s="89"/>
      <c r="H34" s="89"/>
      <c r="I34" s="89"/>
      <c r="J34" s="90"/>
    </row>
    <row r="35" spans="2:12" ht="4.9000000000000004" customHeight="1" thickBot="1" x14ac:dyDescent="0.25">
      <c r="B35" s="12"/>
      <c r="C35" s="13"/>
      <c r="D35" s="13"/>
      <c r="E35" s="13"/>
      <c r="F35" s="13"/>
      <c r="G35" s="13"/>
      <c r="H35" s="13"/>
      <c r="I35" s="13"/>
      <c r="J35" s="15"/>
      <c r="K35" s="7"/>
      <c r="L35" s="7"/>
    </row>
    <row r="36" spans="2:12" ht="16.5" x14ac:dyDescent="0.2">
      <c r="B36" s="11"/>
      <c r="C36" s="4" t="s">
        <v>7</v>
      </c>
      <c r="D36" s="6"/>
      <c r="E36" s="6"/>
      <c r="F36" s="6"/>
      <c r="G36" s="6"/>
      <c r="H36" s="6"/>
      <c r="I36" s="6"/>
      <c r="J36" s="7"/>
      <c r="K36" s="7"/>
      <c r="L36" s="7"/>
    </row>
    <row r="37" spans="2:12" ht="16.5" x14ac:dyDescent="0.2">
      <c r="B37" s="8"/>
      <c r="C37" s="7"/>
      <c r="D37" s="6"/>
      <c r="E37" s="6"/>
      <c r="F37" s="6"/>
    </row>
    <row r="38" spans="2:12" ht="16.5" x14ac:dyDescent="0.2">
      <c r="C38" s="7"/>
      <c r="D38" s="6"/>
      <c r="E38" s="6"/>
      <c r="F38" s="6"/>
    </row>
    <row r="39" spans="2:12" ht="12.75" customHeight="1" x14ac:dyDescent="0.2"/>
    <row r="40" spans="2:12" ht="12.75" x14ac:dyDescent="0.2"/>
    <row r="41" spans="2:12" ht="12.75" customHeight="1" x14ac:dyDescent="0.2">
      <c r="B41" s="9"/>
      <c r="C41" s="9"/>
    </row>
    <row r="42" spans="2:12" ht="12.75" customHeight="1" x14ac:dyDescent="0.2">
      <c r="B42" s="9"/>
      <c r="C42" s="9"/>
      <c r="D42" s="9"/>
      <c r="E42" s="9"/>
      <c r="F42" s="9"/>
      <c r="G42" s="9"/>
      <c r="H42" s="9"/>
      <c r="I42" s="9"/>
      <c r="J42" s="9"/>
    </row>
    <row r="43" spans="2:12" ht="12.75" customHeight="1" x14ac:dyDescent="0.2">
      <c r="B43" s="3"/>
      <c r="C43" s="3"/>
      <c r="D43" s="9"/>
      <c r="E43" s="9"/>
      <c r="F43" s="9"/>
      <c r="G43" s="9"/>
      <c r="H43" s="9"/>
      <c r="I43" s="9"/>
      <c r="J43" s="9"/>
    </row>
    <row r="44" spans="2:12" ht="12.75" customHeight="1" x14ac:dyDescent="0.25">
      <c r="B44" s="1"/>
      <c r="C44" s="1"/>
      <c r="D44" s="3"/>
      <c r="E44" s="3"/>
      <c r="F44" s="3"/>
      <c r="G44" s="3"/>
      <c r="H44" s="3"/>
      <c r="I44" s="3"/>
      <c r="J44" s="3"/>
    </row>
    <row r="45" spans="2:12" ht="12.75" customHeight="1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2" ht="12.75" customHeight="1" x14ac:dyDescent="0.25">
      <c r="B46" s="169"/>
      <c r="C46" s="169"/>
      <c r="D46" s="1"/>
      <c r="E46" s="1"/>
      <c r="F46" s="1"/>
      <c r="G46" s="1"/>
      <c r="H46" s="1"/>
      <c r="I46" s="1"/>
      <c r="J46" s="1"/>
    </row>
    <row r="47" spans="2:12" ht="12.75" customHeight="1" x14ac:dyDescent="0.25">
      <c r="B47" s="170"/>
      <c r="C47" s="170"/>
      <c r="D47" s="169"/>
      <c r="E47" s="169"/>
      <c r="F47" s="169"/>
      <c r="G47" s="2"/>
      <c r="H47" s="2"/>
      <c r="I47" s="2"/>
      <c r="J47" s="2"/>
    </row>
    <row r="48" spans="2:12" ht="12.75" customHeight="1" x14ac:dyDescent="0.25">
      <c r="B48" s="167"/>
      <c r="C48" s="167"/>
      <c r="D48" s="171"/>
      <c r="E48" s="171"/>
      <c r="F48" s="171"/>
      <c r="G48" s="10"/>
      <c r="H48" s="10"/>
      <c r="I48" s="10"/>
      <c r="J48" s="10"/>
    </row>
    <row r="49" spans="2:6" ht="12.75" customHeight="1" x14ac:dyDescent="0.2">
      <c r="B49" s="167"/>
      <c r="C49" s="167"/>
      <c r="D49" s="168"/>
      <c r="E49" s="168"/>
      <c r="F49" s="168"/>
    </row>
    <row r="50" spans="2:6" ht="12.75" customHeight="1" x14ac:dyDescent="0.2">
      <c r="B50" s="167"/>
      <c r="C50" s="167"/>
      <c r="D50" s="168"/>
      <c r="E50" s="168"/>
      <c r="F50" s="168"/>
    </row>
    <row r="51" spans="2:6" ht="12.75" customHeight="1" x14ac:dyDescent="0.2">
      <c r="B51" s="167"/>
      <c r="C51" s="167"/>
      <c r="D51" s="168"/>
      <c r="E51" s="168"/>
      <c r="F51" s="168"/>
    </row>
    <row r="52" spans="2:6" ht="12.75" customHeight="1" x14ac:dyDescent="0.2">
      <c r="B52" s="167"/>
      <c r="C52" s="167"/>
      <c r="D52" s="168"/>
      <c r="E52" s="168"/>
      <c r="F52" s="168"/>
    </row>
    <row r="53" spans="2:6" ht="12.75" customHeight="1" x14ac:dyDescent="0.2">
      <c r="B53" s="167"/>
      <c r="C53" s="167"/>
      <c r="D53" s="168"/>
      <c r="E53" s="168"/>
      <c r="F53" s="168"/>
    </row>
    <row r="54" spans="2:6" ht="12.75" customHeight="1" x14ac:dyDescent="0.2">
      <c r="B54" s="167"/>
      <c r="C54" s="167"/>
      <c r="D54" s="168"/>
      <c r="E54" s="168"/>
      <c r="F54" s="168"/>
    </row>
    <row r="55" spans="2:6" ht="12.75" customHeight="1" x14ac:dyDescent="0.2">
      <c r="D55" s="168"/>
      <c r="E55" s="168"/>
      <c r="F55" s="168"/>
    </row>
    <row r="56" spans="2:6" ht="12.75" customHeight="1" x14ac:dyDescent="0.2"/>
    <row r="57" spans="2:6" ht="12.75" customHeight="1" x14ac:dyDescent="0.2"/>
    <row r="58" spans="2:6" ht="12.75" customHeight="1" x14ac:dyDescent="0.2"/>
    <row r="59" spans="2:6" ht="12.75" customHeight="1" x14ac:dyDescent="0.2"/>
    <row r="60" spans="2:6" ht="12.75" customHeight="1" x14ac:dyDescent="0.2"/>
    <row r="61" spans="2:6" ht="12.75" customHeight="1" x14ac:dyDescent="0.2"/>
    <row r="62" spans="2:6" ht="12.75" customHeight="1" x14ac:dyDescent="0.2"/>
    <row r="63" spans="2:6" ht="12.75" customHeight="1" x14ac:dyDescent="0.2"/>
    <row r="64" spans="2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</sheetData>
  <mergeCells count="18">
    <mergeCell ref="B53:C53"/>
    <mergeCell ref="D53:F53"/>
    <mergeCell ref="B54:C54"/>
    <mergeCell ref="D54:F54"/>
    <mergeCell ref="D55:F55"/>
    <mergeCell ref="B50:C50"/>
    <mergeCell ref="D50:F50"/>
    <mergeCell ref="B51:C51"/>
    <mergeCell ref="D51:F51"/>
    <mergeCell ref="B52:C52"/>
    <mergeCell ref="D52:F52"/>
    <mergeCell ref="B49:C49"/>
    <mergeCell ref="D49:F49"/>
    <mergeCell ref="B46:C46"/>
    <mergeCell ref="B47:C47"/>
    <mergeCell ref="D47:F47"/>
    <mergeCell ref="B48:C48"/>
    <mergeCell ref="D48:F48"/>
  </mergeCells>
  <dataValidations count="3">
    <dataValidation type="decimal" allowBlank="1" showInputMessage="1" showErrorMessage="1" sqref="D19" xr:uid="{05F3805F-8ADA-4166-B77A-400A2DADEE20}">
      <formula1>0</formula1>
      <formula2>0.5</formula2>
    </dataValidation>
    <dataValidation type="decimal" allowBlank="1" showInputMessage="1" showErrorMessage="1" sqref="D10 D25" xr:uid="{11268552-D478-4005-9CF9-B34850C51F8C}">
      <formula1>0</formula1>
      <formula2>1000000</formula2>
    </dataValidation>
    <dataValidation type="decimal" allowBlank="1" showInputMessage="1" showErrorMessage="1" sqref="D9:D10" xr:uid="{51BDFF23-579B-44F1-ABF4-8EB6253C053B}">
      <formula1>0</formula1>
      <formula2>10000</formula2>
    </dataValidation>
  </dataValidations>
  <pageMargins left="0.25" right="0.25" top="0.75" bottom="0.75" header="0.3" footer="0.3"/>
  <pageSetup orientation="landscape" r:id="rId1"/>
  <headerFooter>
    <oddHeader>&amp;C&amp;A</oddHeader>
    <oddFooter>&amp;CPage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1BB528-3FD5-4C6A-9AA3-EDB09870D281}">
          <x14:formula1>
            <xm:f>Technologies!$I$2:$I$20</xm:f>
          </x14:formula1>
          <xm:sqref>D18</xm:sqref>
        </x14:dataValidation>
        <x14:dataValidation type="list" allowBlank="1" showInputMessage="1" showErrorMessage="1" xr:uid="{E7C941FF-7AE1-4978-875C-55E530FF56A1}">
          <x14:formula1>
            <xm:f>Technologies!$B$2:$B$8</xm:f>
          </x14:formula1>
          <xm:sqref>D8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802C-76C0-449F-96A7-9BFFBB00D73E}">
  <sheetPr codeName="Sheet7">
    <tabColor theme="0" tint="-0.14999847407452621"/>
  </sheetPr>
  <dimension ref="A1:S21"/>
  <sheetViews>
    <sheetView topLeftCell="C1" workbookViewId="0">
      <selection activeCell="S20" sqref="S20"/>
    </sheetView>
  </sheetViews>
  <sheetFormatPr defaultColWidth="8.7109375" defaultRowHeight="12.75" x14ac:dyDescent="0.2"/>
  <cols>
    <col min="1" max="1" width="33.42578125" customWidth="1"/>
    <col min="2" max="2" width="21.42578125" customWidth="1"/>
    <col min="4" max="4" width="11.7109375" customWidth="1"/>
    <col min="5" max="5" width="24.28515625" customWidth="1"/>
    <col min="6" max="6" width="17.42578125" customWidth="1"/>
    <col min="17" max="17" width="12.7109375" customWidth="1"/>
  </cols>
  <sheetData>
    <row r="1" spans="1:19" ht="31.5" x14ac:dyDescent="0.25">
      <c r="A1" s="18" t="s">
        <v>26</v>
      </c>
      <c r="B1" s="18" t="s">
        <v>27</v>
      </c>
      <c r="C1" s="18" t="s">
        <v>8</v>
      </c>
      <c r="D1" s="18" t="s">
        <v>31</v>
      </c>
      <c r="E1" s="74" t="s">
        <v>44</v>
      </c>
      <c r="F1" s="74" t="s">
        <v>54</v>
      </c>
      <c r="I1" s="35" t="s">
        <v>35</v>
      </c>
      <c r="J1" s="35" t="s">
        <v>36</v>
      </c>
      <c r="K1" s="35" t="s">
        <v>37</v>
      </c>
      <c r="L1" s="36" t="s">
        <v>38</v>
      </c>
      <c r="M1" s="37" t="s">
        <v>39</v>
      </c>
      <c r="N1" s="37" t="s">
        <v>40</v>
      </c>
      <c r="O1" s="38" t="s">
        <v>41</v>
      </c>
      <c r="Q1" s="102" t="s">
        <v>79</v>
      </c>
      <c r="R1" s="102" t="s">
        <v>80</v>
      </c>
      <c r="S1" s="102" t="s">
        <v>81</v>
      </c>
    </row>
    <row r="2" spans="1:19" ht="15" x14ac:dyDescent="0.25">
      <c r="A2" s="4" t="s">
        <v>66</v>
      </c>
      <c r="B2" s="4" t="s">
        <v>23</v>
      </c>
      <c r="C2" s="14" t="s">
        <v>4</v>
      </c>
      <c r="D2" s="14" t="s">
        <v>32</v>
      </c>
      <c r="E2" s="114">
        <v>137380.95199999999</v>
      </c>
      <c r="F2" s="72">
        <v>144.94499999999999</v>
      </c>
      <c r="G2" s="117"/>
      <c r="I2" s="39">
        <v>1</v>
      </c>
      <c r="J2" s="44">
        <v>500</v>
      </c>
      <c r="K2" s="44">
        <v>500</v>
      </c>
      <c r="L2" s="41">
        <f t="shared" ref="L2:L20" si="0">J2/I2</f>
        <v>500</v>
      </c>
      <c r="M2" s="42">
        <v>1800</v>
      </c>
      <c r="N2" s="42" t="s">
        <v>42</v>
      </c>
      <c r="O2" s="43">
        <v>0.85499999999999998</v>
      </c>
      <c r="Q2" s="119">
        <v>12000</v>
      </c>
      <c r="R2">
        <f>Q2/12000</f>
        <v>1</v>
      </c>
      <c r="S2">
        <v>1500</v>
      </c>
    </row>
    <row r="3" spans="1:19" ht="15" x14ac:dyDescent="0.25">
      <c r="A3" s="4" t="s">
        <v>63</v>
      </c>
      <c r="B3" s="4" t="s">
        <v>24</v>
      </c>
      <c r="C3" s="14" t="s">
        <v>4</v>
      </c>
      <c r="D3" s="14" t="s">
        <v>32</v>
      </c>
      <c r="E3" s="114">
        <v>120285.71400000001</v>
      </c>
      <c r="F3" s="72">
        <v>126.908</v>
      </c>
      <c r="G3" s="117"/>
      <c r="I3" s="39">
        <v>1.5</v>
      </c>
      <c r="J3" s="44">
        <v>520</v>
      </c>
      <c r="K3" s="44">
        <v>520</v>
      </c>
      <c r="L3" s="41">
        <f t="shared" si="0"/>
        <v>346.66666666666669</v>
      </c>
      <c r="M3" s="42">
        <v>1800</v>
      </c>
      <c r="N3" s="42" t="s">
        <v>42</v>
      </c>
      <c r="O3" s="43">
        <v>0.86499999999999999</v>
      </c>
      <c r="Q3" s="119">
        <f>Q2+12000</f>
        <v>24000</v>
      </c>
      <c r="R3">
        <f t="shared" ref="R3:R11" si="1">Q3/12000</f>
        <v>2</v>
      </c>
      <c r="S3">
        <f>S2+1500</f>
        <v>3000</v>
      </c>
    </row>
    <row r="4" spans="1:19" ht="15" x14ac:dyDescent="0.25">
      <c r="A4" s="4" t="s">
        <v>64</v>
      </c>
      <c r="B4" s="4" t="s">
        <v>0</v>
      </c>
      <c r="C4" s="14" t="s">
        <v>4</v>
      </c>
      <c r="D4" s="14" t="s">
        <v>32</v>
      </c>
      <c r="E4" s="114">
        <v>91600</v>
      </c>
      <c r="F4" s="72">
        <v>96.64</v>
      </c>
      <c r="G4" s="117"/>
      <c r="I4" s="39">
        <v>2</v>
      </c>
      <c r="J4" s="44">
        <v>560</v>
      </c>
      <c r="K4" s="44">
        <v>560</v>
      </c>
      <c r="L4" s="41">
        <f t="shared" si="0"/>
        <v>280</v>
      </c>
      <c r="M4" s="42">
        <v>1800</v>
      </c>
      <c r="N4" s="42" t="s">
        <v>42</v>
      </c>
      <c r="O4" s="43">
        <v>0.86499999999999999</v>
      </c>
      <c r="Q4" s="119">
        <f t="shared" ref="Q4:Q11" si="2">Q3+12000</f>
        <v>36000</v>
      </c>
      <c r="R4">
        <f t="shared" si="1"/>
        <v>3</v>
      </c>
      <c r="S4">
        <f t="shared" ref="S4:S11" si="3">S3+1500</f>
        <v>4500</v>
      </c>
    </row>
    <row r="5" spans="1:19" ht="15" x14ac:dyDescent="0.25">
      <c r="A5" s="4" t="s">
        <v>65</v>
      </c>
      <c r="B5" s="4" t="s">
        <v>1</v>
      </c>
      <c r="C5" s="16" t="s">
        <v>5</v>
      </c>
      <c r="D5" s="16" t="s">
        <v>33</v>
      </c>
      <c r="E5" s="115">
        <v>100000</v>
      </c>
      <c r="F5" s="17">
        <v>105.51</v>
      </c>
      <c r="G5" s="117"/>
      <c r="I5" s="39">
        <v>3</v>
      </c>
      <c r="J5" s="44">
        <v>600</v>
      </c>
      <c r="K5" s="44">
        <v>600</v>
      </c>
      <c r="L5" s="41">
        <f t="shared" si="0"/>
        <v>200</v>
      </c>
      <c r="M5" s="42">
        <v>1800</v>
      </c>
      <c r="N5" s="42" t="s">
        <v>42</v>
      </c>
      <c r="O5" s="43">
        <v>0.89500000000000002</v>
      </c>
      <c r="Q5" s="119">
        <f t="shared" si="2"/>
        <v>48000</v>
      </c>
      <c r="R5">
        <f t="shared" si="1"/>
        <v>4</v>
      </c>
      <c r="S5">
        <f t="shared" si="3"/>
        <v>6000</v>
      </c>
    </row>
    <row r="6" spans="1:19" ht="15" x14ac:dyDescent="0.25">
      <c r="B6" s="4" t="s">
        <v>3</v>
      </c>
      <c r="C6" s="14" t="s">
        <v>6</v>
      </c>
      <c r="D6" s="14" t="s">
        <v>34</v>
      </c>
      <c r="E6" s="116">
        <v>25000000</v>
      </c>
      <c r="F6" s="17">
        <f>E6/947.8</f>
        <v>26376.872757965815</v>
      </c>
      <c r="G6" s="117"/>
      <c r="I6" s="39">
        <v>5</v>
      </c>
      <c r="J6" s="44">
        <v>700</v>
      </c>
      <c r="K6" s="44">
        <v>700</v>
      </c>
      <c r="L6" s="41">
        <f t="shared" si="0"/>
        <v>140</v>
      </c>
      <c r="M6" s="42">
        <v>1800</v>
      </c>
      <c r="N6" s="42" t="s">
        <v>42</v>
      </c>
      <c r="O6" s="43">
        <v>0.89500000000000002</v>
      </c>
      <c r="Q6" s="119">
        <f t="shared" si="2"/>
        <v>60000</v>
      </c>
      <c r="R6">
        <f t="shared" si="1"/>
        <v>5</v>
      </c>
      <c r="S6">
        <f t="shared" si="3"/>
        <v>7500</v>
      </c>
    </row>
    <row r="7" spans="1:19" ht="15" x14ac:dyDescent="0.25">
      <c r="B7" s="4" t="s">
        <v>28</v>
      </c>
      <c r="C7" s="14" t="s">
        <v>4</v>
      </c>
      <c r="D7" s="14" t="s">
        <v>32</v>
      </c>
      <c r="E7" s="116">
        <v>138500</v>
      </c>
      <c r="F7" s="17">
        <v>146.13</v>
      </c>
      <c r="G7" s="117"/>
      <c r="I7" s="39">
        <v>7.5</v>
      </c>
      <c r="J7" s="44">
        <v>1000</v>
      </c>
      <c r="K7" s="44">
        <v>1000</v>
      </c>
      <c r="L7" s="41">
        <f t="shared" si="0"/>
        <v>133.33333333333334</v>
      </c>
      <c r="M7" s="42">
        <v>1800</v>
      </c>
      <c r="N7" s="42" t="s">
        <v>42</v>
      </c>
      <c r="O7" s="43">
        <v>0.91700000000000004</v>
      </c>
      <c r="Q7" s="119">
        <f t="shared" si="2"/>
        <v>72000</v>
      </c>
      <c r="R7">
        <f t="shared" si="1"/>
        <v>6</v>
      </c>
      <c r="S7">
        <f t="shared" si="3"/>
        <v>9000</v>
      </c>
    </row>
    <row r="8" spans="1:19" ht="15" x14ac:dyDescent="0.25">
      <c r="B8" s="4" t="s">
        <v>78</v>
      </c>
      <c r="C8" s="14" t="s">
        <v>6</v>
      </c>
      <c r="D8" s="14" t="s">
        <v>34</v>
      </c>
      <c r="E8" s="116">
        <v>17000000</v>
      </c>
      <c r="F8" s="17">
        <f>E8/947.8</f>
        <v>17936.273475416754</v>
      </c>
      <c r="G8" s="117"/>
      <c r="I8" s="39">
        <v>10</v>
      </c>
      <c r="J8" s="40">
        <v>1200</v>
      </c>
      <c r="K8" s="40">
        <v>1200</v>
      </c>
      <c r="L8" s="41">
        <f t="shared" si="0"/>
        <v>120</v>
      </c>
      <c r="M8" s="42">
        <v>1800</v>
      </c>
      <c r="N8" s="42" t="s">
        <v>42</v>
      </c>
      <c r="O8" s="43">
        <v>0.91700000000000004</v>
      </c>
      <c r="Q8" s="119">
        <f t="shared" si="2"/>
        <v>84000</v>
      </c>
      <c r="R8">
        <f>Q8/12000</f>
        <v>7</v>
      </c>
      <c r="S8">
        <f t="shared" si="3"/>
        <v>10500</v>
      </c>
    </row>
    <row r="9" spans="1:19" ht="15" x14ac:dyDescent="0.25">
      <c r="B9" s="4" t="s">
        <v>2</v>
      </c>
      <c r="C9" s="14" t="s">
        <v>58</v>
      </c>
      <c r="D9" s="14" t="s">
        <v>55</v>
      </c>
      <c r="E9" s="116">
        <v>3412</v>
      </c>
      <c r="F9" s="17">
        <v>3.6</v>
      </c>
      <c r="G9" s="117"/>
      <c r="I9" s="39">
        <v>15</v>
      </c>
      <c r="J9" s="40">
        <v>1500</v>
      </c>
      <c r="K9" s="40">
        <v>1500</v>
      </c>
      <c r="L9" s="41">
        <f t="shared" si="0"/>
        <v>100</v>
      </c>
      <c r="M9" s="42">
        <v>1800</v>
      </c>
      <c r="N9" s="42" t="s">
        <v>42</v>
      </c>
      <c r="O9" s="43">
        <v>0.92400000000000004</v>
      </c>
      <c r="Q9" s="119">
        <f t="shared" si="2"/>
        <v>96000</v>
      </c>
      <c r="R9">
        <f t="shared" si="1"/>
        <v>8</v>
      </c>
      <c r="S9">
        <f t="shared" si="3"/>
        <v>12000</v>
      </c>
    </row>
    <row r="10" spans="1:19" ht="15" x14ac:dyDescent="0.25">
      <c r="I10" s="39">
        <v>20</v>
      </c>
      <c r="J10" s="40">
        <v>2000</v>
      </c>
      <c r="K10" s="40">
        <v>2000</v>
      </c>
      <c r="L10" s="41">
        <f t="shared" si="0"/>
        <v>100</v>
      </c>
      <c r="M10" s="42">
        <v>1800</v>
      </c>
      <c r="N10" s="42" t="s">
        <v>42</v>
      </c>
      <c r="O10" s="43">
        <v>0.93</v>
      </c>
      <c r="Q10" s="119">
        <f t="shared" si="2"/>
        <v>108000</v>
      </c>
      <c r="R10">
        <f t="shared" si="1"/>
        <v>9</v>
      </c>
      <c r="S10">
        <f t="shared" si="3"/>
        <v>13500</v>
      </c>
    </row>
    <row r="11" spans="1:19" ht="15" x14ac:dyDescent="0.25">
      <c r="I11" s="39">
        <v>25</v>
      </c>
      <c r="J11" s="40">
        <v>2500</v>
      </c>
      <c r="K11" s="40">
        <v>2500</v>
      </c>
      <c r="L11" s="41">
        <f t="shared" si="0"/>
        <v>100</v>
      </c>
      <c r="M11" s="42">
        <v>1800</v>
      </c>
      <c r="N11" s="42" t="s">
        <v>42</v>
      </c>
      <c r="O11" s="43">
        <v>0.93600000000000005</v>
      </c>
      <c r="Q11" s="119">
        <f t="shared" si="2"/>
        <v>120000</v>
      </c>
      <c r="R11">
        <f t="shared" si="1"/>
        <v>10</v>
      </c>
      <c r="S11">
        <f t="shared" si="3"/>
        <v>15000</v>
      </c>
    </row>
    <row r="12" spans="1:19" ht="15" x14ac:dyDescent="0.25">
      <c r="I12" s="39">
        <v>30</v>
      </c>
      <c r="J12" s="40">
        <v>3000</v>
      </c>
      <c r="K12" s="40">
        <v>3000</v>
      </c>
      <c r="L12" s="41">
        <f t="shared" si="0"/>
        <v>100</v>
      </c>
      <c r="M12" s="42">
        <v>1800</v>
      </c>
      <c r="N12" s="42" t="s">
        <v>42</v>
      </c>
      <c r="O12" s="43">
        <v>0.93600000000000005</v>
      </c>
    </row>
    <row r="13" spans="1:19" ht="15" x14ac:dyDescent="0.25">
      <c r="I13" s="39">
        <v>40</v>
      </c>
      <c r="J13" s="40">
        <v>3900</v>
      </c>
      <c r="K13" s="40">
        <v>3900</v>
      </c>
      <c r="L13" s="41">
        <f t="shared" si="0"/>
        <v>97.5</v>
      </c>
      <c r="M13" s="42">
        <v>1800</v>
      </c>
      <c r="N13" s="42" t="s">
        <v>42</v>
      </c>
      <c r="O13" s="43">
        <v>0.94099999999999995</v>
      </c>
    </row>
    <row r="14" spans="1:19" ht="15" x14ac:dyDescent="0.25">
      <c r="I14" s="39">
        <v>50</v>
      </c>
      <c r="J14" s="40">
        <v>4700</v>
      </c>
      <c r="K14" s="40">
        <v>4700</v>
      </c>
      <c r="L14" s="41">
        <f t="shared" si="0"/>
        <v>94</v>
      </c>
      <c r="M14" s="42">
        <v>1800</v>
      </c>
      <c r="N14" s="42" t="s">
        <v>42</v>
      </c>
      <c r="O14" s="43">
        <v>0.94499999999999995</v>
      </c>
    </row>
    <row r="15" spans="1:19" ht="15" x14ac:dyDescent="0.25">
      <c r="I15" s="39">
        <v>60</v>
      </c>
      <c r="J15" s="40">
        <v>6900</v>
      </c>
      <c r="K15" s="40">
        <v>6900</v>
      </c>
      <c r="L15" s="41">
        <f t="shared" si="0"/>
        <v>115</v>
      </c>
      <c r="M15" s="42">
        <v>1800</v>
      </c>
      <c r="N15" s="42" t="s">
        <v>42</v>
      </c>
      <c r="O15" s="43">
        <v>0.95</v>
      </c>
    </row>
    <row r="16" spans="1:19" ht="15" x14ac:dyDescent="0.25">
      <c r="I16" s="39">
        <v>75</v>
      </c>
      <c r="J16" s="40">
        <v>8000</v>
      </c>
      <c r="K16" s="40">
        <v>8000</v>
      </c>
      <c r="L16" s="41">
        <f t="shared" si="0"/>
        <v>106.66666666666667</v>
      </c>
      <c r="M16" s="42">
        <v>1800</v>
      </c>
      <c r="N16" s="42" t="s">
        <v>42</v>
      </c>
      <c r="O16" s="43">
        <v>0.95399999999999996</v>
      </c>
    </row>
    <row r="17" spans="5:15" ht="15" x14ac:dyDescent="0.25">
      <c r="I17" s="39">
        <v>100</v>
      </c>
      <c r="J17" s="40">
        <v>10900</v>
      </c>
      <c r="K17" s="40">
        <v>10900</v>
      </c>
      <c r="L17" s="41">
        <f t="shared" si="0"/>
        <v>109</v>
      </c>
      <c r="M17" s="42">
        <v>1800</v>
      </c>
      <c r="N17" s="42" t="s">
        <v>42</v>
      </c>
      <c r="O17" s="43">
        <v>0.95399999999999996</v>
      </c>
    </row>
    <row r="18" spans="5:15" ht="15" x14ac:dyDescent="0.25">
      <c r="I18" s="39">
        <v>125</v>
      </c>
      <c r="J18" s="40">
        <v>13000</v>
      </c>
      <c r="K18" s="40">
        <v>13000</v>
      </c>
      <c r="L18" s="41">
        <f t="shared" si="0"/>
        <v>104</v>
      </c>
      <c r="M18" s="42">
        <v>1800</v>
      </c>
      <c r="N18" s="42" t="s">
        <v>42</v>
      </c>
      <c r="O18" s="43">
        <v>0.95399999999999996</v>
      </c>
    </row>
    <row r="19" spans="5:15" ht="15" x14ac:dyDescent="0.25">
      <c r="I19" s="39">
        <v>150</v>
      </c>
      <c r="J19" s="40">
        <v>16000</v>
      </c>
      <c r="K19" s="40">
        <v>16000</v>
      </c>
      <c r="L19" s="41">
        <f t="shared" si="0"/>
        <v>106.66666666666667</v>
      </c>
      <c r="M19" s="42">
        <v>1800</v>
      </c>
      <c r="N19" s="42" t="s">
        <v>42</v>
      </c>
      <c r="O19" s="43">
        <v>0.95799999999999996</v>
      </c>
    </row>
    <row r="20" spans="5:15" ht="15" x14ac:dyDescent="0.25">
      <c r="I20" s="39">
        <v>200</v>
      </c>
      <c r="J20" s="40">
        <v>19500</v>
      </c>
      <c r="K20" s="40">
        <v>19500</v>
      </c>
      <c r="L20" s="41">
        <f t="shared" si="0"/>
        <v>97.5</v>
      </c>
      <c r="M20" s="42">
        <v>1800</v>
      </c>
      <c r="N20" s="42" t="s">
        <v>42</v>
      </c>
      <c r="O20" s="43">
        <v>0.96199999999999997</v>
      </c>
    </row>
    <row r="21" spans="5:15" x14ac:dyDescent="0.2">
      <c r="E21" s="4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C0ED-D112-46BA-B769-C89ACFCD9843}">
  <sheetPr codeName="Sheet8">
    <tabColor rgb="FFB8ACD6"/>
  </sheetPr>
  <dimension ref="B1:L1039"/>
  <sheetViews>
    <sheetView showGridLines="0" zoomScale="120" zoomScaleNormal="120" zoomScaleSheetLayoutView="80" workbookViewId="0">
      <selection activeCell="C40" sqref="C40"/>
    </sheetView>
  </sheetViews>
  <sheetFormatPr defaultColWidth="14.42578125" defaultRowHeight="15" customHeight="1" x14ac:dyDescent="0.2"/>
  <cols>
    <col min="1" max="1" width="4.42578125" customWidth="1"/>
    <col min="2" max="2" width="68.28515625" customWidth="1"/>
    <col min="3" max="3" width="26.28515625" customWidth="1"/>
    <col min="4" max="4" width="46.7109375" customWidth="1"/>
    <col min="5" max="5" width="10.140625" customWidth="1"/>
    <col min="6" max="6" width="3.28515625" customWidth="1"/>
    <col min="7" max="7" width="0.7109375" customWidth="1"/>
    <col min="8" max="8" width="3.42578125" hidden="1" customWidth="1"/>
    <col min="9" max="9" width="6.7109375" hidden="1" customWidth="1"/>
    <col min="10" max="10" width="11" customWidth="1"/>
    <col min="11" max="11" width="5.42578125" customWidth="1"/>
    <col min="12" max="12" width="4.42578125" customWidth="1"/>
    <col min="13" max="13" width="7.42578125" bestFit="1" customWidth="1"/>
    <col min="14" max="14" width="5.140625" customWidth="1"/>
    <col min="15" max="15" width="7" bestFit="1" customWidth="1"/>
    <col min="16" max="16" width="4.7109375" customWidth="1"/>
    <col min="17" max="17" width="13.42578125" bestFit="1" customWidth="1"/>
    <col min="18" max="18" width="4.7109375" customWidth="1"/>
    <col min="19" max="19" width="9.7109375" bestFit="1" customWidth="1"/>
    <col min="20" max="21" width="8.7109375" customWidth="1"/>
  </cols>
  <sheetData>
    <row r="1" spans="2:10" ht="18" customHeight="1" x14ac:dyDescent="0.2">
      <c r="B1" s="103" t="s">
        <v>63</v>
      </c>
    </row>
    <row r="2" spans="2:10" ht="6.4" customHeight="1" thickBot="1" x14ac:dyDescent="0.25"/>
    <row r="3" spans="2:10" ht="12.75" customHeight="1" x14ac:dyDescent="0.2">
      <c r="B3" s="21"/>
      <c r="C3" s="22"/>
      <c r="D3" s="22"/>
      <c r="E3" s="22"/>
      <c r="F3" s="22"/>
      <c r="G3" s="22"/>
      <c r="H3" s="22"/>
      <c r="I3" s="22"/>
      <c r="J3" s="23"/>
    </row>
    <row r="4" spans="2:10" ht="12.75" customHeight="1" x14ac:dyDescent="0.2">
      <c r="B4" s="29"/>
      <c r="C4" s="20"/>
      <c r="D4" s="20"/>
      <c r="E4" s="20"/>
      <c r="F4" s="20"/>
      <c r="G4" s="20"/>
      <c r="H4" s="20"/>
      <c r="I4" s="20"/>
      <c r="J4" s="25"/>
    </row>
    <row r="5" spans="2:10" ht="12.4" customHeight="1" x14ac:dyDescent="0.2">
      <c r="B5" s="29"/>
      <c r="C5" s="20"/>
      <c r="D5" s="20"/>
      <c r="E5" s="20"/>
      <c r="F5" s="20"/>
      <c r="G5" s="20"/>
      <c r="H5" s="20"/>
      <c r="I5" s="20"/>
      <c r="J5" s="25"/>
    </row>
    <row r="6" spans="2:10" ht="6" customHeight="1" x14ac:dyDescent="0.2">
      <c r="B6" s="29"/>
      <c r="C6" s="20"/>
      <c r="D6" s="20"/>
      <c r="E6" s="20"/>
      <c r="F6" s="20"/>
      <c r="G6" s="20"/>
      <c r="H6" s="20"/>
      <c r="I6" s="20"/>
      <c r="J6" s="25"/>
    </row>
    <row r="7" spans="2:10" ht="8.25" customHeight="1" x14ac:dyDescent="0.2">
      <c r="B7" s="29"/>
      <c r="C7" s="20"/>
      <c r="D7" s="20"/>
      <c r="E7" s="20"/>
      <c r="F7" s="20"/>
      <c r="G7" s="20"/>
      <c r="H7" s="20"/>
      <c r="I7" s="20"/>
      <c r="J7" s="25"/>
    </row>
    <row r="8" spans="2:10" ht="17.649999999999999" customHeight="1" x14ac:dyDescent="0.2">
      <c r="B8" s="30"/>
      <c r="C8" s="19" t="s">
        <v>25</v>
      </c>
      <c r="D8" s="100" t="s">
        <v>23</v>
      </c>
      <c r="E8" s="20"/>
      <c r="F8" s="20"/>
      <c r="G8" s="20"/>
      <c r="H8" s="20"/>
      <c r="I8" s="20"/>
      <c r="J8" s="25"/>
    </row>
    <row r="9" spans="2:10" ht="16.899999999999999" customHeight="1" x14ac:dyDescent="0.2">
      <c r="B9" s="30"/>
      <c r="C9" s="19" t="s">
        <v>29</v>
      </c>
      <c r="D9" s="101">
        <v>4</v>
      </c>
      <c r="E9" s="45" t="str">
        <f>VLOOKUP(D8,Technologies!B1:C8,2,FALSE)</f>
        <v>$/gallon</v>
      </c>
      <c r="F9" s="20"/>
      <c r="G9" s="20"/>
      <c r="H9" s="20"/>
      <c r="I9" s="20"/>
      <c r="J9" s="25"/>
    </row>
    <row r="10" spans="2:10" ht="17.649999999999999" customHeight="1" x14ac:dyDescent="0.2">
      <c r="B10" s="24"/>
      <c r="C10" s="19" t="s">
        <v>30</v>
      </c>
      <c r="D10" s="99">
        <v>2000</v>
      </c>
      <c r="E10" s="45" t="str">
        <f>VLOOKUP(D8,Technologies!B1:D9,3,FALSE)</f>
        <v>gallons</v>
      </c>
      <c r="J10" s="25"/>
    </row>
    <row r="11" spans="2:10" ht="6" customHeight="1" thickBot="1" x14ac:dyDescent="0.25">
      <c r="B11" s="31"/>
      <c r="C11" s="32"/>
      <c r="D11" s="32"/>
      <c r="E11" s="32"/>
      <c r="F11" s="32"/>
      <c r="G11" s="32"/>
      <c r="H11" s="32"/>
      <c r="I11" s="32"/>
      <c r="J11" s="28"/>
    </row>
    <row r="12" spans="2:10" ht="7.9" customHeight="1" x14ac:dyDescent="0.2">
      <c r="B12" s="20"/>
      <c r="C12" s="20"/>
      <c r="D12" s="20"/>
      <c r="E12" s="20"/>
      <c r="F12" s="20"/>
      <c r="G12" s="20"/>
      <c r="H12" s="20"/>
      <c r="I12" s="20"/>
    </row>
    <row r="13" spans="2:10" ht="1.1499999999999999" customHeight="1" thickBot="1" x14ac:dyDescent="0.25"/>
    <row r="14" spans="2:10" ht="12.4" customHeight="1" x14ac:dyDescent="0.2">
      <c r="B14" s="21"/>
      <c r="C14" s="22"/>
      <c r="D14" s="22"/>
      <c r="E14" s="22"/>
      <c r="F14" s="22"/>
      <c r="G14" s="22"/>
      <c r="H14" s="22"/>
      <c r="I14" s="22"/>
      <c r="J14" s="23"/>
    </row>
    <row r="15" spans="2:10" ht="12.4" customHeight="1" x14ac:dyDescent="0.2">
      <c r="B15" s="24"/>
      <c r="J15" s="25"/>
    </row>
    <row r="16" spans="2:10" ht="12.4" customHeight="1" x14ac:dyDescent="0.2">
      <c r="B16" s="24"/>
      <c r="J16" s="25"/>
    </row>
    <row r="17" spans="2:10" ht="15" customHeight="1" x14ac:dyDescent="0.2">
      <c r="B17" s="24"/>
      <c r="J17" s="25"/>
    </row>
    <row r="18" spans="2:10" ht="22.15" customHeight="1" x14ac:dyDescent="0.2">
      <c r="B18" s="24"/>
      <c r="C18" s="19" t="s">
        <v>67</v>
      </c>
      <c r="D18" s="33">
        <v>75</v>
      </c>
      <c r="J18" s="25"/>
    </row>
    <row r="19" spans="2:10" ht="22.15" customHeight="1" x14ac:dyDescent="0.2">
      <c r="B19" s="24"/>
      <c r="C19" s="19" t="s">
        <v>57</v>
      </c>
      <c r="D19" s="79">
        <v>0.15</v>
      </c>
      <c r="E19" s="45"/>
      <c r="J19" s="25"/>
    </row>
    <row r="20" spans="2:10" ht="8.65" customHeight="1" thickBot="1" x14ac:dyDescent="0.25">
      <c r="B20" s="26"/>
      <c r="C20" s="27"/>
      <c r="D20" s="27"/>
      <c r="E20" s="27"/>
      <c r="F20" s="27"/>
      <c r="G20" s="27"/>
      <c r="H20" s="27"/>
      <c r="I20" s="27"/>
      <c r="J20" s="28"/>
    </row>
    <row r="21" spans="2:10" ht="13.15" customHeight="1" thickBot="1" x14ac:dyDescent="0.25">
      <c r="B21" s="20"/>
      <c r="C21" s="20"/>
      <c r="D21" s="20"/>
      <c r="E21" s="20"/>
      <c r="F21" s="20"/>
      <c r="G21" s="20"/>
      <c r="H21" s="20"/>
      <c r="I21" s="20"/>
    </row>
    <row r="22" spans="2:10" ht="12.4" customHeight="1" x14ac:dyDescent="0.2">
      <c r="B22" s="21"/>
      <c r="C22" s="22"/>
      <c r="D22" s="22"/>
      <c r="E22" s="22"/>
      <c r="F22" s="22"/>
      <c r="G22" s="22"/>
      <c r="H22" s="22"/>
      <c r="I22" s="22"/>
      <c r="J22" s="23"/>
    </row>
    <row r="23" spans="2:10" ht="12.4" customHeight="1" x14ac:dyDescent="0.2">
      <c r="B23" s="24"/>
      <c r="J23" s="25"/>
    </row>
    <row r="24" spans="2:10" ht="15" customHeight="1" x14ac:dyDescent="0.2">
      <c r="B24" s="24"/>
      <c r="J24" s="25"/>
    </row>
    <row r="25" spans="2:10" ht="22.15" customHeight="1" x14ac:dyDescent="0.2">
      <c r="B25" s="24"/>
      <c r="C25" s="19" t="s">
        <v>68</v>
      </c>
      <c r="D25" s="83">
        <f>'Basic Fuel Switch Tractor'!H8</f>
        <v>0.95399999999999996</v>
      </c>
      <c r="E25" s="34"/>
      <c r="J25" s="25"/>
    </row>
    <row r="26" spans="2:10" ht="22.15" customHeight="1" x14ac:dyDescent="0.2">
      <c r="B26" s="24"/>
      <c r="C26" s="19" t="s">
        <v>60</v>
      </c>
      <c r="D26" s="84">
        <v>50000</v>
      </c>
      <c r="J26" s="25"/>
    </row>
    <row r="27" spans="2:10" ht="8.65" customHeight="1" thickBot="1" x14ac:dyDescent="0.25">
      <c r="B27" s="26"/>
      <c r="C27" s="27"/>
      <c r="D27" s="27"/>
      <c r="E27" s="27"/>
      <c r="F27" s="27"/>
      <c r="G27" s="27"/>
      <c r="H27" s="27"/>
      <c r="I27" s="27"/>
      <c r="J27" s="28"/>
    </row>
    <row r="28" spans="2:10" ht="26.65" customHeight="1" x14ac:dyDescent="0.2">
      <c r="B28" s="20" t="s">
        <v>120</v>
      </c>
      <c r="C28" s="20"/>
      <c r="D28" s="20"/>
      <c r="E28" s="20"/>
      <c r="F28" s="20"/>
      <c r="G28" s="20"/>
      <c r="H28" s="20"/>
      <c r="I28" s="20"/>
    </row>
    <row r="29" spans="2:10" ht="15.4" customHeight="1" thickBot="1" x14ac:dyDescent="0.25">
      <c r="B29" s="5"/>
      <c r="C29" s="5"/>
      <c r="D29" s="5"/>
      <c r="E29" s="5"/>
      <c r="F29" s="5"/>
      <c r="G29" s="5"/>
      <c r="H29" s="5"/>
      <c r="I29" s="5"/>
    </row>
    <row r="30" spans="2:10" ht="10.15" customHeight="1" x14ac:dyDescent="0.35">
      <c r="B30" s="85"/>
      <c r="C30" s="86"/>
      <c r="D30" s="86"/>
      <c r="E30" s="86"/>
      <c r="F30" s="86"/>
      <c r="G30" s="86"/>
      <c r="H30" s="86"/>
      <c r="I30" s="86"/>
      <c r="J30" s="87"/>
    </row>
    <row r="31" spans="2:10" ht="5.65" customHeight="1" x14ac:dyDescent="0.35">
      <c r="B31" s="91"/>
      <c r="C31" s="92"/>
      <c r="D31" s="92"/>
      <c r="E31" s="89"/>
      <c r="F31" s="89"/>
      <c r="G31" s="89"/>
      <c r="H31" s="89"/>
      <c r="I31" s="89"/>
      <c r="J31" s="90"/>
    </row>
    <row r="32" spans="2:10" ht="23.25" x14ac:dyDescent="0.35">
      <c r="C32" s="93" t="s">
        <v>61</v>
      </c>
      <c r="D32" s="96">
        <f>'Basic Fuel Switch Tractor'!B16</f>
        <v>4391.5683962264156</v>
      </c>
      <c r="E32" s="94"/>
      <c r="F32" s="89"/>
      <c r="G32" s="89"/>
      <c r="H32" s="89"/>
      <c r="I32" s="89"/>
      <c r="J32" s="90"/>
    </row>
    <row r="33" spans="2:12" ht="23.25" x14ac:dyDescent="0.35">
      <c r="C33" s="95" t="s">
        <v>62</v>
      </c>
      <c r="D33" s="97">
        <f>'Basic Fuel Switch Tractor'!B19</f>
        <v>11.385454008404826</v>
      </c>
      <c r="E33" s="94"/>
      <c r="F33" s="89"/>
      <c r="G33" s="89"/>
      <c r="H33" s="89"/>
      <c r="I33" s="89"/>
      <c r="J33" s="90"/>
    </row>
    <row r="34" spans="2:12" ht="7.5" customHeight="1" x14ac:dyDescent="0.35">
      <c r="B34" s="88"/>
      <c r="C34" s="89"/>
      <c r="D34" s="89"/>
      <c r="E34" s="89"/>
      <c r="F34" s="89"/>
      <c r="G34" s="89"/>
      <c r="H34" s="89"/>
      <c r="I34" s="89"/>
      <c r="J34" s="90"/>
    </row>
    <row r="35" spans="2:12" ht="4.9000000000000004" customHeight="1" thickBot="1" x14ac:dyDescent="0.25">
      <c r="B35" s="12"/>
      <c r="C35" s="13"/>
      <c r="D35" s="13"/>
      <c r="E35" s="13"/>
      <c r="F35" s="13"/>
      <c r="G35" s="13"/>
      <c r="H35" s="13"/>
      <c r="I35" s="13"/>
      <c r="J35" s="15"/>
      <c r="K35" s="7"/>
      <c r="L35" s="7"/>
    </row>
    <row r="36" spans="2:12" ht="16.5" x14ac:dyDescent="0.2">
      <c r="B36" s="11"/>
      <c r="C36" s="4" t="s">
        <v>7</v>
      </c>
      <c r="D36" s="6"/>
      <c r="E36" s="6"/>
      <c r="F36" s="6"/>
      <c r="G36" s="6"/>
      <c r="H36" s="6"/>
      <c r="I36" s="6"/>
      <c r="J36" s="7"/>
      <c r="K36" s="7"/>
      <c r="L36" s="7"/>
    </row>
    <row r="37" spans="2:12" ht="16.5" x14ac:dyDescent="0.2">
      <c r="B37" s="128" t="s">
        <v>121</v>
      </c>
      <c r="C37" s="7"/>
      <c r="D37" s="6"/>
      <c r="E37" s="6"/>
      <c r="F37" s="6"/>
    </row>
    <row r="38" spans="2:12" ht="16.5" x14ac:dyDescent="0.2">
      <c r="B38" s="128" t="s">
        <v>122</v>
      </c>
      <c r="C38" s="7"/>
      <c r="D38" s="6"/>
      <c r="E38" s="6"/>
      <c r="F38" s="6"/>
    </row>
    <row r="39" spans="2:12" ht="12.75" customHeight="1" x14ac:dyDescent="0.2"/>
    <row r="40" spans="2:12" ht="12.75" x14ac:dyDescent="0.2"/>
    <row r="41" spans="2:12" ht="12.75" customHeight="1" x14ac:dyDescent="0.2">
      <c r="B41" s="9"/>
      <c r="C41" s="9"/>
    </row>
    <row r="42" spans="2:12" ht="12.75" customHeight="1" x14ac:dyDescent="0.2">
      <c r="B42" s="9"/>
      <c r="C42" s="9"/>
      <c r="D42" s="9"/>
      <c r="E42" s="9"/>
      <c r="F42" s="9"/>
      <c r="G42" s="9"/>
      <c r="H42" s="9"/>
      <c r="I42" s="9"/>
      <c r="J42" s="9"/>
    </row>
    <row r="43" spans="2:12" ht="12.75" customHeight="1" x14ac:dyDescent="0.2">
      <c r="B43" s="3"/>
      <c r="C43" s="3"/>
      <c r="D43" s="9"/>
      <c r="E43" s="9"/>
      <c r="F43" s="9"/>
      <c r="G43" s="9"/>
      <c r="H43" s="9"/>
      <c r="I43" s="9"/>
      <c r="J43" s="9"/>
    </row>
    <row r="44" spans="2:12" ht="12.75" customHeight="1" x14ac:dyDescent="0.25">
      <c r="B44" s="1"/>
      <c r="C44" s="1"/>
      <c r="D44" s="3"/>
      <c r="E44" s="3"/>
      <c r="F44" s="3"/>
      <c r="G44" s="3"/>
      <c r="H44" s="3"/>
      <c r="I44" s="3"/>
      <c r="J44" s="3"/>
    </row>
    <row r="45" spans="2:12" ht="12.75" customHeight="1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2" ht="12.75" customHeight="1" x14ac:dyDescent="0.25">
      <c r="B46" s="169"/>
      <c r="C46" s="169"/>
      <c r="D46" s="1"/>
      <c r="E46" s="1"/>
      <c r="F46" s="1"/>
      <c r="G46" s="1"/>
      <c r="H46" s="1"/>
      <c r="I46" s="1"/>
      <c r="J46" s="1"/>
    </row>
    <row r="47" spans="2:12" ht="12.75" customHeight="1" x14ac:dyDescent="0.25">
      <c r="B47" s="170"/>
      <c r="C47" s="170"/>
      <c r="D47" s="169"/>
      <c r="E47" s="169"/>
      <c r="F47" s="169"/>
      <c r="G47" s="2"/>
      <c r="H47" s="2"/>
      <c r="I47" s="2"/>
      <c r="J47" s="2"/>
    </row>
    <row r="48" spans="2:12" ht="12.75" customHeight="1" x14ac:dyDescent="0.25">
      <c r="B48" s="167"/>
      <c r="C48" s="167"/>
      <c r="D48" s="171"/>
      <c r="E48" s="171"/>
      <c r="F48" s="171"/>
      <c r="G48" s="10"/>
      <c r="H48" s="10"/>
      <c r="I48" s="10"/>
      <c r="J48" s="10"/>
    </row>
    <row r="49" spans="2:6" ht="12.75" customHeight="1" x14ac:dyDescent="0.2">
      <c r="B49" s="167"/>
      <c r="C49" s="167"/>
      <c r="D49" s="168"/>
      <c r="E49" s="168"/>
      <c r="F49" s="168"/>
    </row>
    <row r="50" spans="2:6" ht="12.75" customHeight="1" x14ac:dyDescent="0.2">
      <c r="B50" s="167"/>
      <c r="C50" s="167"/>
      <c r="D50" s="168"/>
      <c r="E50" s="168"/>
      <c r="F50" s="168"/>
    </row>
    <row r="51" spans="2:6" ht="12.75" customHeight="1" x14ac:dyDescent="0.2">
      <c r="B51" s="167"/>
      <c r="C51" s="167"/>
      <c r="D51" s="168"/>
      <c r="E51" s="168"/>
      <c r="F51" s="168"/>
    </row>
    <row r="52" spans="2:6" ht="12.75" customHeight="1" x14ac:dyDescent="0.2">
      <c r="B52" s="167"/>
      <c r="C52" s="167"/>
      <c r="D52" s="168"/>
      <c r="E52" s="168"/>
      <c r="F52" s="168"/>
    </row>
    <row r="53" spans="2:6" ht="12.75" customHeight="1" x14ac:dyDescent="0.2">
      <c r="B53" s="167"/>
      <c r="C53" s="167"/>
      <c r="D53" s="168"/>
      <c r="E53" s="168"/>
      <c r="F53" s="168"/>
    </row>
    <row r="54" spans="2:6" ht="12.75" customHeight="1" x14ac:dyDescent="0.2">
      <c r="B54" s="167"/>
      <c r="C54" s="167"/>
      <c r="D54" s="168"/>
      <c r="E54" s="168"/>
      <c r="F54" s="168"/>
    </row>
    <row r="55" spans="2:6" ht="12.75" customHeight="1" x14ac:dyDescent="0.2">
      <c r="D55" s="168"/>
      <c r="E55" s="168"/>
      <c r="F55" s="168"/>
    </row>
    <row r="56" spans="2:6" ht="12.75" customHeight="1" x14ac:dyDescent="0.2"/>
    <row r="57" spans="2:6" ht="12.75" customHeight="1" x14ac:dyDescent="0.2"/>
    <row r="58" spans="2:6" ht="12.75" customHeight="1" x14ac:dyDescent="0.2"/>
    <row r="59" spans="2:6" ht="12.75" customHeight="1" x14ac:dyDescent="0.2"/>
    <row r="60" spans="2:6" ht="12.75" customHeight="1" x14ac:dyDescent="0.2"/>
    <row r="61" spans="2:6" ht="12.75" customHeight="1" x14ac:dyDescent="0.2"/>
    <row r="62" spans="2:6" ht="12.75" customHeight="1" x14ac:dyDescent="0.2"/>
    <row r="63" spans="2:6" ht="12.75" customHeight="1" x14ac:dyDescent="0.2"/>
    <row r="64" spans="2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</sheetData>
  <mergeCells count="18">
    <mergeCell ref="B53:C53"/>
    <mergeCell ref="D53:F53"/>
    <mergeCell ref="B54:C54"/>
    <mergeCell ref="D54:F54"/>
    <mergeCell ref="D55:F55"/>
    <mergeCell ref="B50:C50"/>
    <mergeCell ref="D50:F50"/>
    <mergeCell ref="B51:C51"/>
    <mergeCell ref="D51:F51"/>
    <mergeCell ref="B52:C52"/>
    <mergeCell ref="D52:F52"/>
    <mergeCell ref="B49:C49"/>
    <mergeCell ref="D49:F49"/>
    <mergeCell ref="B46:C46"/>
    <mergeCell ref="B47:C47"/>
    <mergeCell ref="D47:F47"/>
    <mergeCell ref="B48:C48"/>
    <mergeCell ref="D48:F48"/>
  </mergeCells>
  <dataValidations count="3">
    <dataValidation type="decimal" allowBlank="1" showInputMessage="1" showErrorMessage="1" sqref="D9:D10" xr:uid="{D7EE0AEF-E46C-4950-88C9-08253FC59589}">
      <formula1>0</formula1>
      <formula2>10000</formula2>
    </dataValidation>
    <dataValidation type="decimal" allowBlank="1" showInputMessage="1" showErrorMessage="1" sqref="D10 D25" xr:uid="{452519C2-E54C-4986-B995-C3D840C7AF60}">
      <formula1>0</formula1>
      <formula2>1000000</formula2>
    </dataValidation>
    <dataValidation type="decimal" allowBlank="1" showInputMessage="1" showErrorMessage="1" sqref="D19" xr:uid="{4E083824-B3D7-4874-A408-3C60AC448EAC}">
      <formula1>0</formula1>
      <formula2>0.5</formula2>
    </dataValidation>
  </dataValidations>
  <hyperlinks>
    <hyperlink ref="B38" r:id="rId1" xr:uid="{8476EFCD-8895-4A3D-B3E0-A89AF3BC25E0}"/>
    <hyperlink ref="B37" r:id="rId2" xr:uid="{357639D5-CCF9-4058-8F8F-F9EFF323C0A1}"/>
  </hyperlinks>
  <pageMargins left="0.25" right="0.25" top="0.75" bottom="0.75" header="0.3" footer="0.3"/>
  <pageSetup orientation="landscape" r:id="rId3"/>
  <headerFooter>
    <oddHeader>&amp;C&amp;A</oddHeader>
    <oddFooter>&amp;CPage &amp;P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A64780-C2CE-4BD6-B885-A81FA78748B8}">
          <x14:formula1>
            <xm:f>Technologies!$B$2:$B$8</xm:f>
          </x14:formula1>
          <xm:sqref>D8</xm:sqref>
        </x14:dataValidation>
        <x14:dataValidation type="list" allowBlank="1" showInputMessage="1" showErrorMessage="1" xr:uid="{0D65D037-52FA-4A34-B6E2-41498D0BB9BA}">
          <x14:formula1>
            <xm:f>Technologies!$I$2:$I$20</xm:f>
          </x14:formula1>
          <xm:sqref>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B7B5-AA4B-4620-AD3E-BAE1F0DD2EEC}">
  <sheetPr codeName="Sheet3">
    <tabColor rgb="FFB8ACD6"/>
  </sheetPr>
  <dimension ref="B1:L1039"/>
  <sheetViews>
    <sheetView showGridLines="0" zoomScale="120" zoomScaleNormal="120" zoomScaleSheetLayoutView="80" workbookViewId="0">
      <selection activeCell="P21" sqref="P21"/>
    </sheetView>
  </sheetViews>
  <sheetFormatPr defaultColWidth="14.42578125" defaultRowHeight="15" customHeight="1" x14ac:dyDescent="0.2"/>
  <cols>
    <col min="1" max="1" width="4.42578125" customWidth="1"/>
    <col min="2" max="2" width="68.28515625" customWidth="1"/>
    <col min="3" max="3" width="26.28515625" customWidth="1"/>
    <col min="4" max="4" width="46.7109375" customWidth="1"/>
    <col min="5" max="5" width="10.140625" customWidth="1"/>
    <col min="6" max="6" width="3.28515625" customWidth="1"/>
    <col min="7" max="7" width="0.7109375" customWidth="1"/>
    <col min="8" max="8" width="3.42578125" hidden="1" customWidth="1"/>
    <col min="9" max="9" width="6.7109375" hidden="1" customWidth="1"/>
    <col min="10" max="10" width="11" customWidth="1"/>
    <col min="11" max="11" width="5.42578125" customWidth="1"/>
    <col min="12" max="12" width="4.42578125" customWidth="1"/>
    <col min="13" max="13" width="7.42578125" bestFit="1" customWidth="1"/>
    <col min="14" max="14" width="5.140625" customWidth="1"/>
    <col min="15" max="15" width="7" bestFit="1" customWidth="1"/>
    <col min="16" max="16" width="4.7109375" customWidth="1"/>
    <col min="17" max="17" width="13.42578125" bestFit="1" customWidth="1"/>
    <col min="18" max="18" width="4.7109375" customWidth="1"/>
    <col min="19" max="19" width="9.7109375" bestFit="1" customWidth="1"/>
    <col min="20" max="21" width="8.7109375" customWidth="1"/>
  </cols>
  <sheetData>
    <row r="1" spans="2:10" ht="18" customHeight="1" x14ac:dyDescent="0.2">
      <c r="B1" s="103" t="s">
        <v>91</v>
      </c>
    </row>
    <row r="2" spans="2:10" ht="6.4" customHeight="1" thickBot="1" x14ac:dyDescent="0.25"/>
    <row r="3" spans="2:10" ht="12.75" customHeight="1" x14ac:dyDescent="0.2">
      <c r="B3" s="21"/>
      <c r="C3" s="22"/>
      <c r="D3" s="22"/>
      <c r="E3" s="22"/>
      <c r="F3" s="22"/>
      <c r="G3" s="22"/>
      <c r="H3" s="22"/>
      <c r="I3" s="22"/>
      <c r="J3" s="23"/>
    </row>
    <row r="4" spans="2:10" ht="12.75" customHeight="1" x14ac:dyDescent="0.2">
      <c r="B4" s="29"/>
      <c r="C4" s="20"/>
      <c r="D4" s="20"/>
      <c r="E4" s="20"/>
      <c r="F4" s="20"/>
      <c r="G4" s="20"/>
      <c r="H4" s="20"/>
      <c r="I4" s="20"/>
      <c r="J4" s="25"/>
    </row>
    <row r="5" spans="2:10" ht="12.4" customHeight="1" x14ac:dyDescent="0.2">
      <c r="B5" s="29"/>
      <c r="C5" s="20"/>
      <c r="D5" s="20"/>
      <c r="E5" s="20"/>
      <c r="F5" s="20"/>
      <c r="G5" s="20"/>
      <c r="H5" s="20"/>
      <c r="I5" s="20"/>
      <c r="J5" s="25"/>
    </row>
    <row r="6" spans="2:10" ht="6" customHeight="1" x14ac:dyDescent="0.2">
      <c r="B6" s="29"/>
      <c r="C6" s="20"/>
      <c r="D6" s="20"/>
      <c r="E6" s="20"/>
      <c r="F6" s="20"/>
      <c r="G6" s="20"/>
      <c r="H6" s="20"/>
      <c r="I6" s="20"/>
      <c r="J6" s="25"/>
    </row>
    <row r="7" spans="2:10" ht="8.25" customHeight="1" x14ac:dyDescent="0.2">
      <c r="B7" s="29"/>
      <c r="C7" s="20"/>
      <c r="D7" s="20"/>
      <c r="E7" s="20"/>
      <c r="F7" s="20"/>
      <c r="G7" s="20"/>
      <c r="H7" s="20"/>
      <c r="I7" s="20"/>
      <c r="J7" s="25"/>
    </row>
    <row r="8" spans="2:10" ht="17.649999999999999" customHeight="1" x14ac:dyDescent="0.2">
      <c r="B8" s="30"/>
      <c r="C8" s="19" t="s">
        <v>25</v>
      </c>
      <c r="D8" s="100" t="s">
        <v>0</v>
      </c>
      <c r="E8" s="20"/>
      <c r="F8" s="20"/>
      <c r="G8" s="20"/>
      <c r="H8" s="20"/>
      <c r="I8" s="20"/>
      <c r="J8" s="25"/>
    </row>
    <row r="9" spans="2:10" ht="16.899999999999999" customHeight="1" x14ac:dyDescent="0.2">
      <c r="B9" s="30"/>
      <c r="C9" s="19" t="s">
        <v>29</v>
      </c>
      <c r="D9" s="101">
        <v>4</v>
      </c>
      <c r="E9" s="45" t="str">
        <f>VLOOKUP(D8,Technologies!B1:C8,2,FALSE)</f>
        <v>$/gallon</v>
      </c>
      <c r="F9" s="20"/>
      <c r="G9" s="20"/>
      <c r="H9" s="20"/>
      <c r="I9" s="20"/>
      <c r="J9" s="25"/>
    </row>
    <row r="10" spans="2:10" ht="17.649999999999999" customHeight="1" x14ac:dyDescent="0.2">
      <c r="B10" s="24"/>
      <c r="C10" s="19" t="s">
        <v>30</v>
      </c>
      <c r="D10" s="99">
        <v>500</v>
      </c>
      <c r="E10" s="45" t="str">
        <f>VLOOKUP(D8,Technologies!B1:D9,3,FALSE)</f>
        <v>gallons</v>
      </c>
      <c r="J10" s="25"/>
    </row>
    <row r="11" spans="2:10" ht="6" customHeight="1" thickBot="1" x14ac:dyDescent="0.25">
      <c r="B11" s="31"/>
      <c r="C11" s="32"/>
      <c r="D11" s="32"/>
      <c r="E11" s="32"/>
      <c r="F11" s="32"/>
      <c r="G11" s="32"/>
      <c r="H11" s="32"/>
      <c r="I11" s="32"/>
      <c r="J11" s="28"/>
    </row>
    <row r="12" spans="2:10" ht="7.9" customHeight="1" x14ac:dyDescent="0.2">
      <c r="B12" s="20"/>
      <c r="C12" s="20"/>
      <c r="D12" s="20"/>
      <c r="E12" s="20"/>
      <c r="F12" s="20"/>
      <c r="G12" s="20"/>
      <c r="H12" s="20"/>
      <c r="I12" s="20"/>
    </row>
    <row r="13" spans="2:10" ht="1.1499999999999999" customHeight="1" thickBot="1" x14ac:dyDescent="0.25"/>
    <row r="14" spans="2:10" ht="12.4" customHeight="1" x14ac:dyDescent="0.2">
      <c r="B14" s="21"/>
      <c r="C14" s="22"/>
      <c r="D14" s="22"/>
      <c r="E14" s="22"/>
      <c r="F14" s="22"/>
      <c r="G14" s="22"/>
      <c r="H14" s="22"/>
      <c r="I14" s="22"/>
      <c r="J14" s="23"/>
    </row>
    <row r="15" spans="2:10" ht="12.4" customHeight="1" x14ac:dyDescent="0.2">
      <c r="B15" s="24"/>
      <c r="J15" s="25"/>
    </row>
    <row r="16" spans="2:10" ht="12.4" customHeight="1" x14ac:dyDescent="0.2">
      <c r="B16" s="24"/>
      <c r="J16" s="25"/>
    </row>
    <row r="17" spans="2:10" ht="15" customHeight="1" x14ac:dyDescent="0.2">
      <c r="B17" s="24"/>
      <c r="J17" s="25"/>
    </row>
    <row r="18" spans="2:10" ht="22.15" customHeight="1" x14ac:dyDescent="0.3">
      <c r="B18" s="24"/>
      <c r="C18" s="19" t="s">
        <v>101</v>
      </c>
      <c r="D18" s="122">
        <v>48000</v>
      </c>
      <c r="E18" s="118"/>
      <c r="J18" s="25"/>
    </row>
    <row r="19" spans="2:10" ht="22.15" customHeight="1" x14ac:dyDescent="0.3">
      <c r="B19" s="24"/>
      <c r="C19" s="19" t="s">
        <v>84</v>
      </c>
      <c r="D19" s="126">
        <v>0.8</v>
      </c>
      <c r="E19" s="118"/>
      <c r="J19" s="25"/>
    </row>
    <row r="20" spans="2:10" ht="22.15" customHeight="1" x14ac:dyDescent="0.2">
      <c r="B20" s="24"/>
      <c r="C20" s="19" t="s">
        <v>57</v>
      </c>
      <c r="D20" s="79">
        <v>0.15</v>
      </c>
      <c r="E20" s="45"/>
      <c r="J20" s="25"/>
    </row>
    <row r="21" spans="2:10" ht="22.15" customHeight="1" thickBot="1" x14ac:dyDescent="0.25">
      <c r="B21" s="24"/>
      <c r="C21" s="19" t="s">
        <v>124</v>
      </c>
      <c r="D21" s="164">
        <v>10</v>
      </c>
      <c r="E21" s="34"/>
      <c r="J21" s="25"/>
    </row>
    <row r="22" spans="2:10" ht="18" customHeight="1" thickBot="1" x14ac:dyDescent="0.25">
      <c r="B22" s="165"/>
      <c r="C22" s="165"/>
      <c r="D22" s="165"/>
      <c r="E22" s="165"/>
      <c r="F22" s="165"/>
      <c r="G22" s="165"/>
      <c r="H22" s="165"/>
      <c r="I22" s="165"/>
      <c r="J22" s="166"/>
    </row>
    <row r="23" spans="2:10" ht="12.4" customHeight="1" x14ac:dyDescent="0.2">
      <c r="B23" s="21"/>
      <c r="C23" s="22"/>
      <c r="D23" s="22"/>
      <c r="E23" s="22"/>
      <c r="F23" s="22"/>
      <c r="G23" s="22"/>
      <c r="H23" s="22"/>
      <c r="I23" s="22"/>
      <c r="J23" s="23"/>
    </row>
    <row r="24" spans="2:10" ht="12.4" customHeight="1" x14ac:dyDescent="0.2">
      <c r="B24" s="24"/>
      <c r="J24" s="25"/>
    </row>
    <row r="25" spans="2:10" ht="15" customHeight="1" x14ac:dyDescent="0.2">
      <c r="B25" s="24"/>
      <c r="J25" s="25"/>
    </row>
    <row r="26" spans="2:10" ht="22.15" customHeight="1" x14ac:dyDescent="0.2">
      <c r="B26" s="24"/>
      <c r="C26" s="19" t="s">
        <v>60</v>
      </c>
      <c r="D26" s="121">
        <f>VLOOKUP(D18,Technologies!Q1:S11,3,FALSE)</f>
        <v>6000</v>
      </c>
      <c r="J26" s="25"/>
    </row>
    <row r="27" spans="2:10" ht="8.65" customHeight="1" thickBot="1" x14ac:dyDescent="0.25">
      <c r="B27" s="26"/>
      <c r="C27" s="27"/>
      <c r="D27" s="120"/>
      <c r="E27" s="27"/>
      <c r="F27" s="27"/>
      <c r="G27" s="27"/>
      <c r="H27" s="27"/>
      <c r="I27" s="27"/>
      <c r="J27" s="28"/>
    </row>
    <row r="28" spans="2:10" ht="26.65" customHeight="1" x14ac:dyDescent="0.2">
      <c r="B28" s="20"/>
      <c r="C28" s="20"/>
      <c r="D28" s="20"/>
      <c r="E28" s="20"/>
      <c r="F28" s="20"/>
      <c r="G28" s="20"/>
      <c r="H28" s="20"/>
      <c r="I28" s="20"/>
    </row>
    <row r="29" spans="2:10" ht="15.4" customHeight="1" thickBot="1" x14ac:dyDescent="0.25">
      <c r="B29" s="5"/>
      <c r="C29" s="5"/>
      <c r="D29" s="5"/>
      <c r="E29" s="5"/>
      <c r="F29" s="5"/>
      <c r="G29" s="5"/>
      <c r="H29" s="5"/>
      <c r="I29" s="5"/>
    </row>
    <row r="30" spans="2:10" ht="10.15" customHeight="1" x14ac:dyDescent="0.35">
      <c r="B30" s="85"/>
      <c r="C30" s="86"/>
      <c r="D30" s="86"/>
      <c r="E30" s="86"/>
      <c r="F30" s="86"/>
      <c r="G30" s="86"/>
      <c r="H30" s="86"/>
      <c r="I30" s="86"/>
      <c r="J30" s="87"/>
    </row>
    <row r="31" spans="2:10" ht="5.65" customHeight="1" x14ac:dyDescent="0.35">
      <c r="B31" s="91"/>
      <c r="C31" s="92"/>
      <c r="D31" s="92"/>
      <c r="E31" s="89"/>
      <c r="F31" s="89"/>
      <c r="G31" s="89"/>
      <c r="H31" s="89"/>
      <c r="I31" s="89"/>
      <c r="J31" s="90"/>
    </row>
    <row r="32" spans="2:10" ht="23.25" x14ac:dyDescent="0.35">
      <c r="C32" s="93" t="s">
        <v>61</v>
      </c>
      <c r="D32" s="96">
        <f>'Heat Pump Calculations'!B19</f>
        <v>657.82878077373994</v>
      </c>
      <c r="E32" s="94"/>
      <c r="F32" s="89"/>
      <c r="G32" s="89"/>
      <c r="H32" s="89"/>
      <c r="I32" s="89"/>
      <c r="J32" s="90"/>
    </row>
    <row r="33" spans="2:12" ht="23.25" x14ac:dyDescent="0.35">
      <c r="C33" s="95" t="s">
        <v>62</v>
      </c>
      <c r="D33" s="97">
        <f>'Heat Pump Calculations'!B21</f>
        <v>9.1209144010737635</v>
      </c>
      <c r="E33" s="94"/>
      <c r="F33" s="89"/>
      <c r="G33" s="89"/>
      <c r="H33" s="89"/>
      <c r="I33" s="89"/>
      <c r="J33" s="90"/>
    </row>
    <row r="34" spans="2:12" ht="7.5" customHeight="1" x14ac:dyDescent="0.35">
      <c r="B34" s="88"/>
      <c r="C34" s="89"/>
      <c r="D34" s="89"/>
      <c r="E34" s="89"/>
      <c r="F34" s="89"/>
      <c r="G34" s="89"/>
      <c r="H34" s="89"/>
      <c r="I34" s="89"/>
      <c r="J34" s="90"/>
    </row>
    <row r="35" spans="2:12" ht="4.9000000000000004" customHeight="1" thickBot="1" x14ac:dyDescent="0.25">
      <c r="B35" s="12"/>
      <c r="C35" s="13"/>
      <c r="D35" s="13"/>
      <c r="E35" s="13"/>
      <c r="F35" s="13"/>
      <c r="G35" s="13"/>
      <c r="H35" s="13"/>
      <c r="I35" s="13"/>
      <c r="J35" s="15"/>
      <c r="K35" s="7"/>
      <c r="L35" s="7"/>
    </row>
    <row r="36" spans="2:12" ht="16.5" x14ac:dyDescent="0.2">
      <c r="B36" s="11"/>
      <c r="C36" s="4" t="s">
        <v>7</v>
      </c>
      <c r="D36" s="6"/>
      <c r="E36" s="6"/>
      <c r="F36" s="6"/>
      <c r="G36" s="6"/>
      <c r="H36" s="6"/>
      <c r="I36" s="6"/>
      <c r="J36" s="7"/>
      <c r="K36" s="7"/>
      <c r="L36" s="7"/>
    </row>
    <row r="37" spans="2:12" ht="16.5" x14ac:dyDescent="0.2">
      <c r="B37" s="172" t="s">
        <v>90</v>
      </c>
      <c r="C37" s="167"/>
      <c r="D37" s="6"/>
      <c r="E37" s="6"/>
      <c r="F37" s="6"/>
    </row>
    <row r="38" spans="2:12" ht="16.5" x14ac:dyDescent="0.2">
      <c r="C38" s="7"/>
      <c r="D38" s="6"/>
      <c r="E38" s="6"/>
      <c r="F38" s="6"/>
    </row>
    <row r="39" spans="2:12" ht="12.75" customHeight="1" x14ac:dyDescent="0.2"/>
    <row r="40" spans="2:12" ht="12.75" x14ac:dyDescent="0.2"/>
    <row r="41" spans="2:12" ht="12.75" customHeight="1" x14ac:dyDescent="0.2">
      <c r="B41" s="9"/>
      <c r="C41" s="9"/>
    </row>
    <row r="42" spans="2:12" ht="12.75" customHeight="1" x14ac:dyDescent="0.2">
      <c r="B42" s="9"/>
      <c r="C42" s="9"/>
      <c r="D42" s="9"/>
      <c r="E42" s="9"/>
      <c r="F42" s="9"/>
      <c r="G42" s="9"/>
      <c r="H42" s="9"/>
      <c r="I42" s="9"/>
      <c r="J42" s="9"/>
    </row>
    <row r="43" spans="2:12" ht="12.75" customHeight="1" x14ac:dyDescent="0.2">
      <c r="B43" s="3"/>
      <c r="C43" s="3"/>
      <c r="D43" s="9"/>
      <c r="E43" s="9"/>
      <c r="F43" s="9"/>
      <c r="G43" s="9"/>
      <c r="H43" s="9"/>
      <c r="I43" s="9"/>
      <c r="J43" s="9"/>
    </row>
    <row r="44" spans="2:12" ht="12.75" customHeight="1" x14ac:dyDescent="0.25">
      <c r="B44" s="1"/>
      <c r="C44" s="1"/>
      <c r="D44" s="3"/>
      <c r="E44" s="3"/>
      <c r="F44" s="3"/>
      <c r="G44" s="3"/>
      <c r="H44" s="3"/>
      <c r="I44" s="3"/>
      <c r="J44" s="3"/>
    </row>
    <row r="45" spans="2:12" ht="12.75" customHeight="1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2" ht="12.75" customHeight="1" x14ac:dyDescent="0.25">
      <c r="B46" s="169"/>
      <c r="C46" s="169"/>
      <c r="D46" s="1"/>
      <c r="E46" s="1"/>
      <c r="F46" s="1"/>
      <c r="G46" s="1"/>
      <c r="H46" s="1"/>
      <c r="I46" s="1"/>
      <c r="J46" s="1"/>
    </row>
    <row r="47" spans="2:12" ht="12.75" customHeight="1" x14ac:dyDescent="0.25">
      <c r="B47" s="170"/>
      <c r="C47" s="170"/>
      <c r="D47" s="169"/>
      <c r="E47" s="169"/>
      <c r="F47" s="169"/>
      <c r="G47" s="2"/>
      <c r="H47" s="2"/>
      <c r="I47" s="2"/>
      <c r="J47" s="2"/>
    </row>
    <row r="48" spans="2:12" ht="12.75" customHeight="1" x14ac:dyDescent="0.25">
      <c r="B48" s="167"/>
      <c r="C48" s="167"/>
      <c r="D48" s="171"/>
      <c r="E48" s="171"/>
      <c r="F48" s="171"/>
      <c r="G48" s="10"/>
      <c r="H48" s="10"/>
      <c r="I48" s="10"/>
      <c r="J48" s="10"/>
    </row>
    <row r="49" spans="2:6" ht="12.75" customHeight="1" x14ac:dyDescent="0.2">
      <c r="B49" s="167"/>
      <c r="C49" s="167"/>
      <c r="D49" s="168"/>
      <c r="E49" s="168"/>
      <c r="F49" s="168"/>
    </row>
    <row r="50" spans="2:6" ht="12.75" customHeight="1" x14ac:dyDescent="0.2">
      <c r="B50" s="167"/>
      <c r="C50" s="167"/>
      <c r="D50" s="168"/>
      <c r="E50" s="168"/>
      <c r="F50" s="168"/>
    </row>
    <row r="51" spans="2:6" ht="12.75" customHeight="1" x14ac:dyDescent="0.2">
      <c r="B51" s="167"/>
      <c r="C51" s="167"/>
      <c r="D51" s="168"/>
      <c r="E51" s="168"/>
      <c r="F51" s="168"/>
    </row>
    <row r="52" spans="2:6" ht="12.75" customHeight="1" x14ac:dyDescent="0.2">
      <c r="B52" s="167"/>
      <c r="C52" s="167"/>
      <c r="D52" s="168"/>
      <c r="E52" s="168"/>
      <c r="F52" s="168"/>
    </row>
    <row r="53" spans="2:6" ht="12.75" customHeight="1" x14ac:dyDescent="0.2">
      <c r="B53" s="167"/>
      <c r="C53" s="167"/>
      <c r="D53" s="168"/>
      <c r="E53" s="168"/>
      <c r="F53" s="168"/>
    </row>
    <row r="54" spans="2:6" ht="12.75" customHeight="1" x14ac:dyDescent="0.2">
      <c r="B54" s="167"/>
      <c r="C54" s="167"/>
      <c r="D54" s="168"/>
      <c r="E54" s="168"/>
      <c r="F54" s="168"/>
    </row>
    <row r="55" spans="2:6" ht="12.75" customHeight="1" x14ac:dyDescent="0.2">
      <c r="D55" s="168"/>
      <c r="E55" s="168"/>
      <c r="F55" s="168"/>
    </row>
    <row r="56" spans="2:6" ht="12.75" customHeight="1" x14ac:dyDescent="0.2"/>
    <row r="57" spans="2:6" ht="12.75" customHeight="1" x14ac:dyDescent="0.2"/>
    <row r="58" spans="2:6" ht="12.75" customHeight="1" x14ac:dyDescent="0.2"/>
    <row r="59" spans="2:6" ht="12.75" customHeight="1" x14ac:dyDescent="0.2"/>
    <row r="60" spans="2:6" ht="12.75" customHeight="1" x14ac:dyDescent="0.2"/>
    <row r="61" spans="2:6" ht="12.75" customHeight="1" x14ac:dyDescent="0.2"/>
    <row r="62" spans="2:6" ht="12.75" customHeight="1" x14ac:dyDescent="0.2"/>
    <row r="63" spans="2:6" ht="12.75" customHeight="1" x14ac:dyDescent="0.2"/>
    <row r="64" spans="2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</sheetData>
  <mergeCells count="19">
    <mergeCell ref="B53:C53"/>
    <mergeCell ref="D53:F53"/>
    <mergeCell ref="B54:C54"/>
    <mergeCell ref="D54:F54"/>
    <mergeCell ref="D55:F55"/>
    <mergeCell ref="B50:C50"/>
    <mergeCell ref="D50:F50"/>
    <mergeCell ref="B51:C51"/>
    <mergeCell ref="D51:F51"/>
    <mergeCell ref="B52:C52"/>
    <mergeCell ref="D52:F52"/>
    <mergeCell ref="B37:C37"/>
    <mergeCell ref="B49:C49"/>
    <mergeCell ref="D49:F49"/>
    <mergeCell ref="B46:C46"/>
    <mergeCell ref="B47:C47"/>
    <mergeCell ref="D47:F47"/>
    <mergeCell ref="B48:C48"/>
    <mergeCell ref="D48:F48"/>
  </mergeCells>
  <dataValidations count="3">
    <dataValidation type="decimal" allowBlank="1" showInputMessage="1" showErrorMessage="1" sqref="D9:D10" xr:uid="{51820908-4F03-403C-ABAC-1484739FB630}">
      <formula1>0</formula1>
      <formula2>10000</formula2>
    </dataValidation>
    <dataValidation type="decimal" allowBlank="1" showInputMessage="1" showErrorMessage="1" sqref="D10 D21" xr:uid="{9754A36B-E83A-4C48-98A0-F525CCEC112A}">
      <formula1>0</formula1>
      <formula2>1000000</formula2>
    </dataValidation>
    <dataValidation type="decimal" allowBlank="1" showInputMessage="1" showErrorMessage="1" sqref="D20" xr:uid="{5A1422E7-D146-42C2-8D52-D515B5894313}">
      <formula1>0</formula1>
      <formula2>0.5</formula2>
    </dataValidation>
  </dataValidations>
  <hyperlinks>
    <hyperlink ref="B37" r:id="rId1" xr:uid="{10F826BB-42EE-4CC6-B73F-0D7628866D44}"/>
  </hyperlinks>
  <pageMargins left="0.25" right="0.25" top="0.75" bottom="0.75" header="0.3" footer="0.3"/>
  <pageSetup orientation="landscape" r:id="rId2"/>
  <headerFooter>
    <oddHeader>&amp;C&amp;A</oddHeader>
    <oddFooter>&amp;CPage 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188FDF-466E-446C-B54E-BE53C0C6265C}">
          <x14:formula1>
            <xm:f>Technologies!$B$2:$B$8</xm:f>
          </x14:formula1>
          <xm:sqref>D8</xm:sqref>
        </x14:dataValidation>
        <x14:dataValidation type="list" allowBlank="1" showInputMessage="1" showErrorMessage="1" xr:uid="{324C9E9B-9FDF-4C6D-824A-77B3A879A1B8}">
          <x14:formula1>
            <xm:f>Technologies!$Q$2:$Q$11</xm:f>
          </x14:formula1>
          <xm:sqref>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EB10-E774-4550-A10D-EF4987186781}">
  <sheetPr codeName="Sheet4">
    <tabColor rgb="FFB8ACD6"/>
  </sheetPr>
  <dimension ref="B1:L1041"/>
  <sheetViews>
    <sheetView showGridLines="0" zoomScale="120" zoomScaleNormal="120" zoomScaleSheetLayoutView="80" workbookViewId="0">
      <selection activeCell="N33" sqref="N33"/>
    </sheetView>
  </sheetViews>
  <sheetFormatPr defaultColWidth="14.42578125" defaultRowHeight="15" customHeight="1" x14ac:dyDescent="0.2"/>
  <cols>
    <col min="1" max="1" width="4.42578125" customWidth="1"/>
    <col min="2" max="2" width="68.28515625" customWidth="1"/>
    <col min="3" max="3" width="26.28515625" customWidth="1"/>
    <col min="4" max="4" width="46.7109375" customWidth="1"/>
    <col min="5" max="5" width="10.140625" customWidth="1"/>
    <col min="6" max="6" width="3.28515625" customWidth="1"/>
    <col min="7" max="7" width="0.7109375" customWidth="1"/>
    <col min="8" max="8" width="3.42578125" hidden="1" customWidth="1"/>
    <col min="9" max="9" width="6.7109375" hidden="1" customWidth="1"/>
    <col min="10" max="10" width="11" customWidth="1"/>
    <col min="11" max="11" width="5.42578125" customWidth="1"/>
    <col min="12" max="12" width="4.42578125" customWidth="1"/>
    <col min="13" max="13" width="7.42578125" bestFit="1" customWidth="1"/>
    <col min="14" max="14" width="5.140625" customWidth="1"/>
    <col min="15" max="15" width="7" bestFit="1" customWidth="1"/>
    <col min="16" max="16" width="4.7109375" customWidth="1"/>
    <col min="17" max="17" width="13.42578125" bestFit="1" customWidth="1"/>
    <col min="18" max="18" width="4.7109375" customWidth="1"/>
    <col min="19" max="19" width="9.7109375" bestFit="1" customWidth="1"/>
    <col min="20" max="21" width="8.7109375" customWidth="1"/>
  </cols>
  <sheetData>
    <row r="1" spans="2:10" ht="18" customHeight="1" x14ac:dyDescent="0.2">
      <c r="B1" s="103" t="s">
        <v>65</v>
      </c>
    </row>
    <row r="2" spans="2:10" ht="6.4" customHeight="1" thickBot="1" x14ac:dyDescent="0.25"/>
    <row r="3" spans="2:10" ht="12.75" customHeight="1" x14ac:dyDescent="0.2">
      <c r="B3" s="21"/>
      <c r="C3" s="22"/>
      <c r="D3" s="22"/>
      <c r="E3" s="22"/>
      <c r="F3" s="22"/>
      <c r="G3" s="22"/>
      <c r="H3" s="22"/>
      <c r="I3" s="22"/>
      <c r="J3" s="23"/>
    </row>
    <row r="4" spans="2:10" ht="12.75" customHeight="1" x14ac:dyDescent="0.2">
      <c r="B4" s="29"/>
      <c r="C4" s="20"/>
      <c r="D4" s="20"/>
      <c r="E4" s="20"/>
      <c r="F4" s="20"/>
      <c r="G4" s="20"/>
      <c r="H4" s="20"/>
      <c r="I4" s="20"/>
      <c r="J4" s="25"/>
    </row>
    <row r="5" spans="2:10" ht="12.4" customHeight="1" x14ac:dyDescent="0.2">
      <c r="B5" s="29"/>
      <c r="C5" s="20"/>
      <c r="D5" s="20"/>
      <c r="E5" s="20"/>
      <c r="F5" s="20"/>
      <c r="G5" s="20"/>
      <c r="H5" s="20"/>
      <c r="I5" s="20"/>
      <c r="J5" s="25"/>
    </row>
    <row r="6" spans="2:10" ht="6" customHeight="1" x14ac:dyDescent="0.2">
      <c r="B6" s="29"/>
      <c r="C6" s="20"/>
      <c r="D6" s="20"/>
      <c r="E6" s="20"/>
      <c r="F6" s="20"/>
      <c r="G6" s="20"/>
      <c r="H6" s="20"/>
      <c r="I6" s="20"/>
      <c r="J6" s="25"/>
    </row>
    <row r="7" spans="2:10" ht="8.25" customHeight="1" x14ac:dyDescent="0.2">
      <c r="B7" s="29"/>
      <c r="C7" s="20"/>
      <c r="D7" s="20"/>
      <c r="E7" s="20"/>
      <c r="F7" s="20"/>
      <c r="G7" s="20"/>
      <c r="H7" s="20"/>
      <c r="I7" s="20"/>
      <c r="J7" s="25"/>
    </row>
    <row r="8" spans="2:10" ht="17.649999999999999" customHeight="1" x14ac:dyDescent="0.2">
      <c r="B8" s="30"/>
      <c r="C8" s="19" t="s">
        <v>25</v>
      </c>
      <c r="D8" s="100" t="s">
        <v>0</v>
      </c>
      <c r="E8" s="20"/>
      <c r="F8" s="20"/>
      <c r="G8" s="20"/>
      <c r="H8" s="20"/>
      <c r="I8" s="20"/>
      <c r="J8" s="25"/>
    </row>
    <row r="9" spans="2:10" ht="16.899999999999999" customHeight="1" x14ac:dyDescent="0.2">
      <c r="B9" s="30"/>
      <c r="C9" s="19" t="s">
        <v>29</v>
      </c>
      <c r="D9" s="101">
        <v>4</v>
      </c>
      <c r="E9" s="45" t="str">
        <f>VLOOKUP(D8,Technologies!B1:C8,2,FALSE)</f>
        <v>$/gallon</v>
      </c>
      <c r="F9" s="20"/>
      <c r="G9" s="20"/>
      <c r="H9" s="20"/>
      <c r="I9" s="20"/>
      <c r="J9" s="25"/>
    </row>
    <row r="10" spans="2:10" ht="17.649999999999999" customHeight="1" x14ac:dyDescent="0.2">
      <c r="B10" s="24"/>
      <c r="C10" s="19" t="s">
        <v>30</v>
      </c>
      <c r="D10" s="99">
        <v>10000</v>
      </c>
      <c r="E10" s="45" t="str">
        <f>VLOOKUP(D8,Technologies!B1:D9,3,FALSE)</f>
        <v>gallons</v>
      </c>
      <c r="J10" s="25"/>
    </row>
    <row r="11" spans="2:10" ht="6" customHeight="1" thickBot="1" x14ac:dyDescent="0.25">
      <c r="B11" s="31"/>
      <c r="C11" s="32"/>
      <c r="D11" s="32"/>
      <c r="E11" s="32"/>
      <c r="F11" s="32"/>
      <c r="G11" s="32"/>
      <c r="H11" s="32"/>
      <c r="I11" s="32"/>
      <c r="J11" s="28"/>
    </row>
    <row r="12" spans="2:10" ht="7.9" customHeight="1" x14ac:dyDescent="0.2">
      <c r="B12" s="20"/>
      <c r="C12" s="20"/>
      <c r="D12" s="20"/>
      <c r="E12" s="20"/>
      <c r="F12" s="20"/>
      <c r="G12" s="20"/>
      <c r="H12" s="20"/>
      <c r="I12" s="20"/>
    </row>
    <row r="13" spans="2:10" ht="1.1499999999999999" customHeight="1" thickBot="1" x14ac:dyDescent="0.25"/>
    <row r="14" spans="2:10" ht="12.4" customHeight="1" x14ac:dyDescent="0.2">
      <c r="B14" s="21"/>
      <c r="C14" s="22"/>
      <c r="D14" s="22"/>
      <c r="E14" s="22"/>
      <c r="F14" s="22"/>
      <c r="G14" s="22"/>
      <c r="H14" s="22"/>
      <c r="I14" s="22"/>
      <c r="J14" s="23"/>
    </row>
    <row r="15" spans="2:10" ht="12.4" customHeight="1" x14ac:dyDescent="0.2">
      <c r="B15" s="24"/>
      <c r="J15" s="25"/>
    </row>
    <row r="16" spans="2:10" ht="12.4" customHeight="1" x14ac:dyDescent="0.2">
      <c r="B16" s="24"/>
      <c r="J16" s="25"/>
    </row>
    <row r="17" spans="2:10" ht="15" customHeight="1" x14ac:dyDescent="0.2">
      <c r="B17" s="24"/>
      <c r="J17" s="25"/>
    </row>
    <row r="18" spans="2:10" ht="22.15" customHeight="1" x14ac:dyDescent="0.3">
      <c r="B18" s="24"/>
      <c r="C18" s="19" t="s">
        <v>84</v>
      </c>
      <c r="D18" s="126">
        <v>0.8</v>
      </c>
      <c r="E18" s="118"/>
      <c r="J18" s="25"/>
    </row>
    <row r="19" spans="2:10" ht="22.15" customHeight="1" x14ac:dyDescent="0.3">
      <c r="B19" s="24"/>
      <c r="C19" s="19" t="s">
        <v>102</v>
      </c>
      <c r="D19" s="150">
        <v>140</v>
      </c>
      <c r="E19" s="118"/>
      <c r="J19" s="25"/>
    </row>
    <row r="20" spans="2:10" ht="22.15" customHeight="1" x14ac:dyDescent="0.2">
      <c r="B20" s="24"/>
      <c r="C20" s="19" t="s">
        <v>57</v>
      </c>
      <c r="D20" s="79">
        <v>0.15</v>
      </c>
      <c r="E20" s="45"/>
      <c r="J20" s="25"/>
    </row>
    <row r="21" spans="2:10" ht="8.65" customHeight="1" thickBot="1" x14ac:dyDescent="0.25">
      <c r="B21" s="26"/>
      <c r="C21" s="27"/>
      <c r="D21" s="27"/>
      <c r="E21" s="27"/>
      <c r="F21" s="27"/>
      <c r="G21" s="27"/>
      <c r="H21" s="27"/>
      <c r="I21" s="27"/>
      <c r="J21" s="28"/>
    </row>
    <row r="22" spans="2:10" ht="13.15" customHeight="1" thickBot="1" x14ac:dyDescent="0.25">
      <c r="B22" s="20"/>
      <c r="C22" s="20"/>
      <c r="D22" s="20"/>
      <c r="E22" s="20"/>
      <c r="F22" s="20"/>
      <c r="G22" s="20"/>
      <c r="H22" s="20"/>
      <c r="I22" s="20"/>
    </row>
    <row r="23" spans="2:10" ht="12.4" customHeight="1" x14ac:dyDescent="0.2">
      <c r="B23" s="21"/>
      <c r="C23" s="22"/>
      <c r="D23" s="22"/>
      <c r="E23" s="22"/>
      <c r="F23" s="22"/>
      <c r="G23" s="22"/>
      <c r="H23" s="22"/>
      <c r="I23" s="22"/>
      <c r="J23" s="23"/>
    </row>
    <row r="24" spans="2:10" ht="12.4" customHeight="1" x14ac:dyDescent="0.2">
      <c r="B24" s="24"/>
      <c r="J24" s="25"/>
    </row>
    <row r="25" spans="2:10" ht="15" customHeight="1" x14ac:dyDescent="0.2">
      <c r="B25" s="24"/>
      <c r="J25" s="25"/>
    </row>
    <row r="26" spans="2:10" ht="22.15" customHeight="1" x14ac:dyDescent="0.2">
      <c r="B26" s="24"/>
      <c r="C26" s="19" t="s">
        <v>106</v>
      </c>
      <c r="D26" s="130">
        <v>4.2</v>
      </c>
      <c r="E26" s="34"/>
      <c r="J26" s="25"/>
    </row>
    <row r="27" spans="2:10" ht="22.15" customHeight="1" x14ac:dyDescent="0.2">
      <c r="B27" s="24"/>
      <c r="C27" s="19" t="s">
        <v>108</v>
      </c>
      <c r="D27" s="129">
        <f>'Water Heating Calculations'!B25</f>
        <v>3</v>
      </c>
      <c r="E27" s="34"/>
      <c r="J27" s="25"/>
    </row>
    <row r="28" spans="2:10" ht="22.15" customHeight="1" x14ac:dyDescent="0.2">
      <c r="B28" s="24"/>
      <c r="C28" s="19" t="s">
        <v>60</v>
      </c>
      <c r="D28" s="84">
        <f>'Water Heating Calculations'!B26</f>
        <v>30000</v>
      </c>
      <c r="J28" s="25"/>
    </row>
    <row r="29" spans="2:10" ht="8.65" customHeight="1" thickBot="1" x14ac:dyDescent="0.25">
      <c r="B29" s="26"/>
      <c r="C29" s="27"/>
      <c r="D29" s="27"/>
      <c r="E29" s="27"/>
      <c r="F29" s="27"/>
      <c r="G29" s="27"/>
      <c r="H29" s="27"/>
      <c r="I29" s="27"/>
      <c r="J29" s="28"/>
    </row>
    <row r="30" spans="2:10" ht="26.65" customHeight="1" x14ac:dyDescent="0.2">
      <c r="B30" s="20" t="s">
        <v>110</v>
      </c>
      <c r="C30" s="20"/>
      <c r="D30" s="20"/>
      <c r="E30" s="20"/>
      <c r="F30" s="20"/>
      <c r="G30" s="20"/>
      <c r="H30" s="20"/>
      <c r="I30" s="20"/>
    </row>
    <row r="31" spans="2:10" ht="15.4" customHeight="1" thickBot="1" x14ac:dyDescent="0.25">
      <c r="B31" s="5"/>
      <c r="C31" s="5"/>
      <c r="D31" s="5"/>
      <c r="E31" s="5"/>
      <c r="F31" s="5"/>
      <c r="G31" s="5"/>
      <c r="H31" s="5"/>
      <c r="I31" s="5"/>
    </row>
    <row r="32" spans="2:10" ht="10.15" customHeight="1" x14ac:dyDescent="0.35">
      <c r="B32" s="85"/>
      <c r="C32" s="86"/>
      <c r="D32" s="86"/>
      <c r="E32" s="86"/>
      <c r="F32" s="86"/>
      <c r="G32" s="86"/>
      <c r="H32" s="86"/>
      <c r="I32" s="86"/>
      <c r="J32" s="87"/>
    </row>
    <row r="33" spans="2:12" ht="5.65" customHeight="1" x14ac:dyDescent="0.35">
      <c r="B33" s="91"/>
      <c r="C33" s="92"/>
      <c r="D33" s="92"/>
      <c r="E33" s="89"/>
      <c r="F33" s="89"/>
      <c r="G33" s="89"/>
      <c r="H33" s="89"/>
      <c r="I33" s="89"/>
      <c r="J33" s="90"/>
    </row>
    <row r="34" spans="2:12" ht="23.25" x14ac:dyDescent="0.35">
      <c r="C34" s="93" t="s">
        <v>61</v>
      </c>
      <c r="D34" s="96">
        <f>'Basic Fuel Switch'!B16</f>
        <v>1050.4127358490568</v>
      </c>
      <c r="E34" s="94"/>
      <c r="F34" s="89"/>
      <c r="G34" s="89"/>
      <c r="H34" s="89"/>
      <c r="I34" s="89"/>
      <c r="J34" s="90"/>
    </row>
    <row r="35" spans="2:12" ht="23.25" x14ac:dyDescent="0.35">
      <c r="C35" s="95" t="s">
        <v>62</v>
      </c>
      <c r="D35" s="97">
        <f>'Basic Fuel Switch'!B19</f>
        <v>10.376873421274205</v>
      </c>
      <c r="E35" s="94"/>
      <c r="F35" s="89"/>
      <c r="G35" s="89"/>
      <c r="H35" s="89"/>
      <c r="I35" s="89"/>
      <c r="J35" s="90"/>
    </row>
    <row r="36" spans="2:12" ht="7.5" customHeight="1" x14ac:dyDescent="0.35">
      <c r="B36" s="88"/>
      <c r="C36" s="89"/>
      <c r="D36" s="89"/>
      <c r="E36" s="89"/>
      <c r="F36" s="89"/>
      <c r="G36" s="89"/>
      <c r="H36" s="89"/>
      <c r="I36" s="89"/>
      <c r="J36" s="90"/>
    </row>
    <row r="37" spans="2:12" ht="4.9000000000000004" customHeight="1" thickBot="1" x14ac:dyDescent="0.25">
      <c r="B37" s="12"/>
      <c r="C37" s="13"/>
      <c r="D37" s="13"/>
      <c r="E37" s="13"/>
      <c r="F37" s="13"/>
      <c r="G37" s="13"/>
      <c r="H37" s="13"/>
      <c r="I37" s="13"/>
      <c r="J37" s="15"/>
      <c r="K37" s="7"/>
      <c r="L37" s="7"/>
    </row>
    <row r="38" spans="2:12" ht="16.5" x14ac:dyDescent="0.2">
      <c r="B38" s="11"/>
      <c r="C38" s="4" t="s">
        <v>7</v>
      </c>
      <c r="D38" s="6"/>
      <c r="E38" s="6"/>
      <c r="F38" s="6"/>
      <c r="G38" s="6"/>
      <c r="H38" s="6"/>
      <c r="I38" s="6"/>
      <c r="J38" s="7"/>
      <c r="K38" s="7"/>
      <c r="L38" s="7"/>
    </row>
    <row r="39" spans="2:12" ht="16.5" x14ac:dyDescent="0.2">
      <c r="B39" s="128" t="s">
        <v>105</v>
      </c>
      <c r="C39" s="7"/>
      <c r="D39" s="6"/>
      <c r="E39" s="6"/>
      <c r="F39" s="6"/>
    </row>
    <row r="40" spans="2:12" ht="16.5" x14ac:dyDescent="0.2">
      <c r="C40" s="7"/>
      <c r="D40" s="6"/>
      <c r="E40" s="6"/>
      <c r="F40" s="6"/>
    </row>
    <row r="41" spans="2:12" ht="12.75" customHeight="1" x14ac:dyDescent="0.2"/>
    <row r="42" spans="2:12" ht="12.75" x14ac:dyDescent="0.2"/>
    <row r="43" spans="2:12" ht="12.75" customHeight="1" x14ac:dyDescent="0.2">
      <c r="B43" s="9"/>
      <c r="C43" s="9"/>
    </row>
    <row r="44" spans="2:12" ht="12.75" customHeight="1" x14ac:dyDescent="0.2">
      <c r="B44" s="9"/>
      <c r="C44" s="9"/>
      <c r="D44" s="9"/>
      <c r="E44" s="9"/>
      <c r="F44" s="9"/>
      <c r="G44" s="9"/>
      <c r="H44" s="9"/>
      <c r="I44" s="9"/>
      <c r="J44" s="9"/>
    </row>
    <row r="45" spans="2:12" ht="12.75" customHeight="1" x14ac:dyDescent="0.2">
      <c r="B45" s="3"/>
      <c r="C45" s="3"/>
      <c r="D45" s="9"/>
      <c r="E45" s="9"/>
      <c r="F45" s="9"/>
      <c r="G45" s="9"/>
      <c r="H45" s="9"/>
      <c r="I45" s="9"/>
      <c r="J45" s="9"/>
    </row>
    <row r="46" spans="2:12" ht="12.75" customHeight="1" x14ac:dyDescent="0.25">
      <c r="B46" s="1"/>
      <c r="C46" s="1"/>
      <c r="D46" s="3"/>
      <c r="E46" s="3"/>
      <c r="F46" s="3"/>
      <c r="G46" s="3"/>
      <c r="H46" s="3"/>
      <c r="I46" s="3"/>
      <c r="J46" s="3"/>
    </row>
    <row r="47" spans="2:12" ht="12.75" customHeight="1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2" ht="12.75" customHeight="1" x14ac:dyDescent="0.25">
      <c r="B48" s="169"/>
      <c r="C48" s="169"/>
      <c r="D48" s="1"/>
      <c r="E48" s="1"/>
      <c r="F48" s="1"/>
      <c r="G48" s="1"/>
      <c r="H48" s="1"/>
      <c r="I48" s="1"/>
      <c r="J48" s="1"/>
    </row>
    <row r="49" spans="2:10" ht="12.75" customHeight="1" x14ac:dyDescent="0.25">
      <c r="B49" s="170"/>
      <c r="C49" s="170"/>
      <c r="D49" s="169"/>
      <c r="E49" s="169"/>
      <c r="F49" s="169"/>
      <c r="G49" s="2"/>
      <c r="H49" s="2"/>
      <c r="I49" s="2"/>
      <c r="J49" s="2"/>
    </row>
    <row r="50" spans="2:10" ht="12.75" customHeight="1" x14ac:dyDescent="0.25">
      <c r="B50" s="167"/>
      <c r="C50" s="167"/>
      <c r="D50" s="171"/>
      <c r="E50" s="171"/>
      <c r="F50" s="171"/>
      <c r="G50" s="10"/>
      <c r="H50" s="10"/>
      <c r="I50" s="10"/>
      <c r="J50" s="10"/>
    </row>
    <row r="51" spans="2:10" ht="12.75" customHeight="1" x14ac:dyDescent="0.2">
      <c r="B51" s="167"/>
      <c r="C51" s="167"/>
      <c r="D51" s="168"/>
      <c r="E51" s="168"/>
      <c r="F51" s="168"/>
    </row>
    <row r="52" spans="2:10" ht="12.75" customHeight="1" x14ac:dyDescent="0.2">
      <c r="B52" s="167"/>
      <c r="C52" s="167"/>
      <c r="D52" s="168"/>
      <c r="E52" s="168"/>
      <c r="F52" s="168"/>
    </row>
    <row r="53" spans="2:10" ht="12.75" customHeight="1" x14ac:dyDescent="0.2">
      <c r="B53" s="167"/>
      <c r="C53" s="167"/>
      <c r="D53" s="168"/>
      <c r="E53" s="168"/>
      <c r="F53" s="168"/>
    </row>
    <row r="54" spans="2:10" ht="12.75" customHeight="1" x14ac:dyDescent="0.2">
      <c r="B54" s="167"/>
      <c r="C54" s="167"/>
      <c r="D54" s="168"/>
      <c r="E54" s="168"/>
      <c r="F54" s="168"/>
    </row>
    <row r="55" spans="2:10" ht="12.75" customHeight="1" x14ac:dyDescent="0.2">
      <c r="B55" s="167"/>
      <c r="C55" s="167"/>
      <c r="D55" s="168"/>
      <c r="E55" s="168"/>
      <c r="F55" s="168"/>
    </row>
    <row r="56" spans="2:10" ht="12.75" customHeight="1" x14ac:dyDescent="0.2">
      <c r="B56" s="167"/>
      <c r="C56" s="167"/>
      <c r="D56" s="168"/>
      <c r="E56" s="168"/>
      <c r="F56" s="168"/>
    </row>
    <row r="57" spans="2:10" ht="12.75" customHeight="1" x14ac:dyDescent="0.2">
      <c r="D57" s="168"/>
      <c r="E57" s="168"/>
      <c r="F57" s="168"/>
    </row>
    <row r="58" spans="2:10" ht="12.75" customHeight="1" x14ac:dyDescent="0.2"/>
    <row r="59" spans="2:10" ht="12.75" customHeight="1" x14ac:dyDescent="0.2"/>
    <row r="60" spans="2:10" ht="12.75" customHeight="1" x14ac:dyDescent="0.2"/>
    <row r="61" spans="2:10" ht="12.75" customHeight="1" x14ac:dyDescent="0.2"/>
    <row r="62" spans="2:10" ht="12.75" customHeight="1" x14ac:dyDescent="0.2"/>
    <row r="63" spans="2:10" ht="12.75" customHeight="1" x14ac:dyDescent="0.2"/>
    <row r="64" spans="2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</sheetData>
  <mergeCells count="18">
    <mergeCell ref="B55:C55"/>
    <mergeCell ref="D55:F55"/>
    <mergeCell ref="B56:C56"/>
    <mergeCell ref="D56:F56"/>
    <mergeCell ref="D57:F57"/>
    <mergeCell ref="B52:C52"/>
    <mergeCell ref="D52:F52"/>
    <mergeCell ref="B53:C53"/>
    <mergeCell ref="D53:F53"/>
    <mergeCell ref="B54:C54"/>
    <mergeCell ref="D54:F54"/>
    <mergeCell ref="B51:C51"/>
    <mergeCell ref="D51:F51"/>
    <mergeCell ref="B48:C48"/>
    <mergeCell ref="B49:C49"/>
    <mergeCell ref="D49:F49"/>
    <mergeCell ref="B50:C50"/>
    <mergeCell ref="D50:F50"/>
  </mergeCells>
  <dataValidations count="3">
    <dataValidation type="decimal" allowBlank="1" showInputMessage="1" showErrorMessage="1" sqref="D9:D10" xr:uid="{DB42864B-0603-442A-9B68-F30C428E2184}">
      <formula1>0</formula1>
      <formula2>10000</formula2>
    </dataValidation>
    <dataValidation type="decimal" allowBlank="1" showInputMessage="1" showErrorMessage="1" sqref="D10 D26:D27" xr:uid="{36F5FC4D-9264-40DF-8162-E1DB2FF0E8CE}">
      <formula1>0</formula1>
      <formula2>1000000</formula2>
    </dataValidation>
    <dataValidation type="decimal" allowBlank="1" showInputMessage="1" showErrorMessage="1" sqref="D20" xr:uid="{73ACB474-F7EC-2746-95E8-1F52B4AD0E21}">
      <formula1>0</formula1>
      <formula2>0.5</formula2>
    </dataValidation>
  </dataValidations>
  <hyperlinks>
    <hyperlink ref="B39" r:id="rId1" xr:uid="{C5946D98-1DE9-484E-B758-265888457462}"/>
  </hyperlinks>
  <pageMargins left="0.25" right="0.25" top="0.75" bottom="0.75" header="0.3" footer="0.3"/>
  <pageSetup orientation="landscape" r:id="rId2"/>
  <headerFooter>
    <oddHeader>&amp;C&amp;A</oddHeader>
    <oddFooter>&amp;CPage 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DA143B-6ECF-4E48-BA40-34D57EBD0CFF}">
          <x14:formula1>
            <xm:f>Technologies!$B$2:$B$8</xm:f>
          </x14:formula1>
          <xm:sqref>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389D2-1529-4F73-8AD2-B0807B457EFF}">
  <dimension ref="A1:B26"/>
  <sheetViews>
    <sheetView workbookViewId="0">
      <selection activeCell="B17" sqref="B17"/>
    </sheetView>
  </sheetViews>
  <sheetFormatPr defaultRowHeight="12.75" x14ac:dyDescent="0.2"/>
  <cols>
    <col min="1" max="1" width="25" customWidth="1"/>
    <col min="2" max="2" width="67.140625" customWidth="1"/>
  </cols>
  <sheetData>
    <row r="1" spans="1:2" ht="18" x14ac:dyDescent="0.25">
      <c r="A1" s="174" t="s">
        <v>89</v>
      </c>
      <c r="B1" s="174"/>
    </row>
    <row r="2" spans="1:2" x14ac:dyDescent="0.2">
      <c r="A2" s="167"/>
      <c r="B2" s="167"/>
    </row>
    <row r="3" spans="1:2" x14ac:dyDescent="0.2">
      <c r="A3" s="4" t="s">
        <v>123</v>
      </c>
    </row>
    <row r="4" spans="1:2" x14ac:dyDescent="0.2">
      <c r="A4" s="128" t="s">
        <v>121</v>
      </c>
    </row>
    <row r="5" spans="1:2" x14ac:dyDescent="0.2">
      <c r="A5" s="128" t="s">
        <v>122</v>
      </c>
    </row>
    <row r="6" spans="1:2" x14ac:dyDescent="0.2">
      <c r="A6" s="167"/>
      <c r="B6" s="167"/>
    </row>
    <row r="7" spans="1:2" x14ac:dyDescent="0.2">
      <c r="A7" s="173" t="s">
        <v>92</v>
      </c>
      <c r="B7" s="167"/>
    </row>
    <row r="8" spans="1:2" x14ac:dyDescent="0.2">
      <c r="A8" s="172" t="s">
        <v>90</v>
      </c>
      <c r="B8" s="167"/>
    </row>
    <row r="26" spans="1:1" x14ac:dyDescent="0.2">
      <c r="A26" s="4"/>
    </row>
  </sheetData>
  <mergeCells count="5">
    <mergeCell ref="A7:B7"/>
    <mergeCell ref="A1:B1"/>
    <mergeCell ref="A8:B8"/>
    <mergeCell ref="A6:B6"/>
    <mergeCell ref="A2:B2"/>
  </mergeCells>
  <hyperlinks>
    <hyperlink ref="A8" r:id="rId1" xr:uid="{751F1F50-9C43-9349-AC88-4065910AFBCD}"/>
    <hyperlink ref="A4" r:id="rId2" xr:uid="{E22A87FF-6C50-794A-A2E1-D6EDAA201B65}"/>
    <hyperlink ref="A5" r:id="rId3" xr:uid="{B24308FF-C46B-9143-94F4-5BF7C124244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59C3-9BAF-4A1E-8912-156055CC6EDD}">
  <sheetPr codeName="Sheet6">
    <tabColor theme="2" tint="-9.9978637043366805E-2"/>
  </sheetPr>
  <dimension ref="A1:X49"/>
  <sheetViews>
    <sheetView workbookViewId="0">
      <selection activeCell="B24" sqref="B24"/>
    </sheetView>
  </sheetViews>
  <sheetFormatPr defaultColWidth="8.7109375" defaultRowHeight="16.5" x14ac:dyDescent="0.3"/>
  <cols>
    <col min="1" max="1" width="46.42578125" style="47" customWidth="1"/>
    <col min="2" max="2" width="15.7109375" style="47" customWidth="1"/>
    <col min="3" max="3" width="15" style="47" customWidth="1"/>
    <col min="4" max="6" width="8.7109375" style="47"/>
    <col min="7" max="7" width="33.7109375" style="47" customWidth="1"/>
    <col min="8" max="18" width="8.7109375" style="47"/>
    <col min="19" max="21" width="11.140625" style="47" customWidth="1"/>
    <col min="22" max="22" width="11" style="47" customWidth="1"/>
    <col min="23" max="16384" width="8.7109375" style="47"/>
  </cols>
  <sheetData>
    <row r="1" spans="1:24" x14ac:dyDescent="0.3">
      <c r="A1" s="58"/>
      <c r="B1" s="59"/>
      <c r="C1" s="59"/>
      <c r="D1" s="59"/>
      <c r="E1" s="59"/>
      <c r="F1" s="59"/>
      <c r="G1" s="60"/>
      <c r="H1" s="60"/>
      <c r="I1" s="5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4" x14ac:dyDescent="0.3">
      <c r="A2" s="59"/>
      <c r="B2" s="59" t="s">
        <v>8</v>
      </c>
      <c r="C2" s="59" t="s">
        <v>44</v>
      </c>
      <c r="D2" s="59" t="s">
        <v>45</v>
      </c>
      <c r="E2" s="59"/>
      <c r="F2" s="59"/>
      <c r="G2" s="59"/>
      <c r="H2" s="60"/>
      <c r="I2" s="57"/>
      <c r="L2" s="46"/>
      <c r="M2" s="46"/>
      <c r="N2" s="46"/>
      <c r="O2" s="46"/>
      <c r="P2" s="46"/>
      <c r="Q2" s="46"/>
      <c r="R2" s="46"/>
      <c r="S2" s="46"/>
      <c r="T2" s="46"/>
      <c r="U2" s="48"/>
      <c r="V2" s="46"/>
      <c r="W2" s="46"/>
      <c r="X2" s="46"/>
    </row>
    <row r="3" spans="1:24" x14ac:dyDescent="0.3">
      <c r="A3" s="75" t="str">
        <f>'Engine to Electric Motor'!D8</f>
        <v>Diesel</v>
      </c>
      <c r="B3" s="98" t="str">
        <f>VLOOKUP(A3,Technologies!B1:F9,3,FALSE)</f>
        <v>gallons</v>
      </c>
      <c r="C3" s="59">
        <f>VLOOKUP(A3,Technologies!B1:F9,4,FALSE)</f>
        <v>137380.95199999999</v>
      </c>
      <c r="D3" s="59">
        <f>VLOOKUP(A3,Technologies!B1:F9,5,FALSE)</f>
        <v>144.94499999999999</v>
      </c>
      <c r="E3" s="59"/>
      <c r="F3" s="59"/>
      <c r="G3" s="59"/>
      <c r="H3" s="59"/>
      <c r="I3" s="5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9"/>
      <c r="V3" s="49"/>
      <c r="W3" s="49"/>
      <c r="X3" s="50"/>
    </row>
    <row r="4" spans="1:24" x14ac:dyDescent="0.3">
      <c r="A4" s="59"/>
      <c r="B4" s="59"/>
      <c r="C4" s="59"/>
      <c r="D4" s="59"/>
      <c r="E4" s="59"/>
      <c r="F4" s="59"/>
      <c r="G4" s="59"/>
      <c r="H4" s="59"/>
      <c r="I4" s="5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51"/>
      <c r="V4" s="52"/>
    </row>
    <row r="5" spans="1:24" x14ac:dyDescent="0.3">
      <c r="A5" s="61" t="s">
        <v>9</v>
      </c>
      <c r="B5" s="59"/>
      <c r="C5" s="59"/>
      <c r="D5" s="59"/>
      <c r="E5" s="59"/>
      <c r="F5" s="59"/>
      <c r="G5" s="61" t="s">
        <v>10</v>
      </c>
      <c r="H5" s="59"/>
      <c r="I5" s="56"/>
      <c r="J5" s="53"/>
      <c r="K5" s="51"/>
      <c r="L5" s="46"/>
      <c r="M5" s="54"/>
    </row>
    <row r="6" spans="1:24" x14ac:dyDescent="0.3">
      <c r="A6" s="62" t="s">
        <v>46</v>
      </c>
      <c r="B6" s="63">
        <f>'Engine to Electric Motor'!D10</f>
        <v>500</v>
      </c>
      <c r="C6" s="59"/>
      <c r="D6" s="59"/>
      <c r="E6" s="59"/>
      <c r="F6" s="59"/>
      <c r="G6" s="62" t="s">
        <v>47</v>
      </c>
      <c r="H6" s="64">
        <v>0.3</v>
      </c>
      <c r="I6" s="56"/>
      <c r="J6" s="46"/>
      <c r="K6" s="46"/>
      <c r="L6" s="46"/>
      <c r="M6" s="46"/>
      <c r="N6" s="46"/>
      <c r="O6" s="46"/>
      <c r="P6" s="46"/>
      <c r="Q6" s="46"/>
      <c r="R6" s="46"/>
      <c r="S6" s="53"/>
      <c r="T6" s="51"/>
      <c r="U6" s="46"/>
      <c r="V6" s="54"/>
    </row>
    <row r="7" spans="1:24" x14ac:dyDescent="0.3">
      <c r="A7" s="62" t="s">
        <v>48</v>
      </c>
      <c r="B7" s="65">
        <f>'Engine to Electric Motor'!D9</f>
        <v>4</v>
      </c>
      <c r="C7" s="59"/>
      <c r="D7" s="59"/>
      <c r="E7" s="59"/>
      <c r="F7" s="59"/>
      <c r="G7" s="62" t="s">
        <v>11</v>
      </c>
      <c r="H7" s="64">
        <v>1</v>
      </c>
      <c r="I7" s="56"/>
      <c r="J7" s="46"/>
      <c r="K7" s="46"/>
      <c r="L7" s="46"/>
      <c r="M7" s="46"/>
      <c r="N7" s="46"/>
      <c r="O7" s="46"/>
      <c r="P7" s="46"/>
      <c r="Q7" s="46"/>
      <c r="R7" s="46"/>
      <c r="S7" s="53"/>
      <c r="T7" s="51"/>
      <c r="U7" s="46"/>
      <c r="V7" s="52"/>
    </row>
    <row r="8" spans="1:24" x14ac:dyDescent="0.3">
      <c r="A8" s="62" t="s">
        <v>49</v>
      </c>
      <c r="B8" s="80">
        <f>$B$6*$B$7</f>
        <v>2000</v>
      </c>
      <c r="C8" s="59"/>
      <c r="D8" s="59"/>
      <c r="E8" s="59"/>
      <c r="F8" s="59"/>
      <c r="G8" s="62" t="s">
        <v>12</v>
      </c>
      <c r="H8" s="64">
        <v>1</v>
      </c>
      <c r="I8" s="56"/>
      <c r="J8" s="46"/>
      <c r="K8" s="46"/>
      <c r="L8" s="46"/>
      <c r="M8" s="46"/>
      <c r="N8" s="46"/>
      <c r="O8" s="46"/>
      <c r="P8" s="46"/>
      <c r="Q8" s="46"/>
      <c r="R8" s="46"/>
      <c r="S8" s="53"/>
      <c r="T8" s="51"/>
      <c r="U8" s="46"/>
      <c r="V8" s="52"/>
    </row>
    <row r="9" spans="1:24" x14ac:dyDescent="0.3">
      <c r="A9" s="62" t="s">
        <v>50</v>
      </c>
      <c r="B9" s="76">
        <f>B6*D3</f>
        <v>72472.5</v>
      </c>
      <c r="C9" s="59"/>
      <c r="D9" s="59"/>
      <c r="E9" s="59"/>
      <c r="F9" s="59"/>
      <c r="G9" s="62" t="s">
        <v>13</v>
      </c>
      <c r="H9" s="82">
        <f>_xlfn.XLOOKUP('Engine to Electric Motor'!D18,Technologies!I2:I20,Technologies!O2:O20)</f>
        <v>0.95399999999999996</v>
      </c>
      <c r="I9" s="56"/>
      <c r="J9" s="46"/>
      <c r="K9" s="46"/>
      <c r="L9" s="46"/>
      <c r="M9" s="46"/>
      <c r="N9" s="46"/>
      <c r="O9" s="46"/>
      <c r="P9" s="46"/>
      <c r="Q9" s="46"/>
      <c r="R9" s="46"/>
      <c r="S9" s="53"/>
      <c r="T9" s="51"/>
      <c r="U9" s="46"/>
      <c r="V9" s="52"/>
    </row>
    <row r="10" spans="1:24" x14ac:dyDescent="0.3">
      <c r="A10" s="62" t="s">
        <v>51</v>
      </c>
      <c r="B10" s="76">
        <f>B9/Technologies!F9</f>
        <v>20131.25</v>
      </c>
      <c r="C10" s="59"/>
      <c r="D10" s="59"/>
      <c r="E10" s="59"/>
      <c r="F10" s="59"/>
      <c r="G10" s="62" t="s">
        <v>14</v>
      </c>
      <c r="H10" s="64">
        <v>1</v>
      </c>
      <c r="I10" s="5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1"/>
      <c r="U10" s="46"/>
      <c r="V10" s="46"/>
      <c r="W10" s="55"/>
    </row>
    <row r="11" spans="1:24" x14ac:dyDescent="0.3">
      <c r="A11" s="62" t="s">
        <v>52</v>
      </c>
      <c r="B11" s="77">
        <f>B10*((H6*H7*H8)/(H9*H10*H11))</f>
        <v>6330.5817610062886</v>
      </c>
      <c r="C11" s="59"/>
      <c r="D11" s="59"/>
      <c r="E11" s="59"/>
      <c r="F11" s="59"/>
      <c r="G11" s="62" t="s">
        <v>15</v>
      </c>
      <c r="H11" s="64">
        <v>1</v>
      </c>
      <c r="I11" s="5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51"/>
      <c r="U11" s="51"/>
      <c r="V11" s="46"/>
      <c r="W11" s="55"/>
    </row>
    <row r="12" spans="1:24" x14ac:dyDescent="0.3">
      <c r="A12" s="62" t="s">
        <v>53</v>
      </c>
      <c r="B12" s="78">
        <f>B10-B11</f>
        <v>13800.668238993712</v>
      </c>
      <c r="C12" s="60"/>
      <c r="D12" s="59"/>
      <c r="E12" s="59"/>
      <c r="F12" s="59"/>
      <c r="G12" s="62" t="s">
        <v>17</v>
      </c>
      <c r="H12" s="66">
        <v>1</v>
      </c>
      <c r="I12" s="5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51"/>
      <c r="U12" s="51"/>
      <c r="V12" s="46"/>
      <c r="W12" s="55"/>
    </row>
    <row r="13" spans="1:24" x14ac:dyDescent="0.3">
      <c r="A13" s="62" t="s">
        <v>16</v>
      </c>
      <c r="B13" s="67">
        <f>'Engine to Electric Motor'!D19</f>
        <v>0.15</v>
      </c>
      <c r="C13" s="59"/>
      <c r="D13" s="59"/>
      <c r="E13" s="59"/>
      <c r="F13" s="59"/>
      <c r="G13" s="62" t="s">
        <v>19</v>
      </c>
      <c r="H13" s="66">
        <v>1</v>
      </c>
      <c r="I13" s="5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51"/>
      <c r="U13" s="51"/>
      <c r="V13" s="46"/>
      <c r="W13" s="55"/>
    </row>
    <row r="14" spans="1:24" x14ac:dyDescent="0.3">
      <c r="A14" s="62"/>
      <c r="B14" s="68"/>
      <c r="C14" s="59"/>
      <c r="D14" s="59"/>
      <c r="E14" s="59"/>
      <c r="F14" s="59"/>
      <c r="G14" s="59"/>
      <c r="H14" s="59"/>
      <c r="I14" s="5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1"/>
      <c r="U14" s="51"/>
      <c r="V14" s="46"/>
    </row>
    <row r="15" spans="1:24" x14ac:dyDescent="0.3">
      <c r="A15" s="62" t="s">
        <v>18</v>
      </c>
      <c r="B15" s="69">
        <f>B11*$B$13</f>
        <v>949.58726415094327</v>
      </c>
      <c r="C15" s="59"/>
      <c r="D15" s="59"/>
      <c r="E15" s="59"/>
      <c r="F15" s="59"/>
      <c r="G15" s="59"/>
      <c r="H15" s="59"/>
      <c r="I15" s="5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51"/>
      <c r="U15" s="46"/>
    </row>
    <row r="16" spans="1:24" x14ac:dyDescent="0.3">
      <c r="A16" s="62" t="s">
        <v>20</v>
      </c>
      <c r="B16" s="69">
        <f>$B$8-$B$15</f>
        <v>1050.4127358490568</v>
      </c>
      <c r="C16" s="59"/>
      <c r="D16" s="59"/>
      <c r="E16" s="59"/>
      <c r="F16" s="59"/>
      <c r="G16" s="59"/>
      <c r="H16" s="59"/>
      <c r="I16" s="5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51"/>
      <c r="U16" s="46"/>
    </row>
    <row r="17" spans="1:21" x14ac:dyDescent="0.3">
      <c r="A17" s="62"/>
      <c r="B17" s="62"/>
      <c r="C17" s="59"/>
      <c r="D17" s="59"/>
      <c r="E17" s="59"/>
      <c r="F17" s="59"/>
      <c r="G17" s="59"/>
      <c r="H17" s="59"/>
      <c r="I17" s="5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x14ac:dyDescent="0.3">
      <c r="A18" s="62" t="s">
        <v>21</v>
      </c>
      <c r="B18" s="81">
        <f>_xlfn.XLOOKUP('Engine to Electric Motor'!D18,Technologies!I2:I20,Technologies!J2:J20)</f>
        <v>10900</v>
      </c>
      <c r="C18" s="59"/>
      <c r="D18" s="59"/>
      <c r="E18" s="59"/>
      <c r="F18" s="59"/>
      <c r="G18" s="59"/>
      <c r="H18" s="59"/>
      <c r="I18" s="5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x14ac:dyDescent="0.3">
      <c r="A19" s="70" t="s">
        <v>22</v>
      </c>
      <c r="B19" s="71">
        <f>$B$18/$B$16</f>
        <v>10.376873421274205</v>
      </c>
      <c r="C19" s="59"/>
      <c r="D19" s="59"/>
      <c r="E19" s="59"/>
      <c r="F19" s="59"/>
      <c r="G19" s="59"/>
      <c r="H19" s="59"/>
      <c r="I19" s="5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x14ac:dyDescent="0.3">
      <c r="A20" s="59"/>
      <c r="B20" s="59"/>
      <c r="C20" s="59"/>
      <c r="D20" s="59"/>
      <c r="E20" s="59"/>
      <c r="F20" s="59"/>
      <c r="G20" s="59"/>
      <c r="H20" s="59"/>
      <c r="I20" s="5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x14ac:dyDescent="0.3">
      <c r="A21" s="59"/>
      <c r="B21" s="59"/>
      <c r="C21" s="59"/>
      <c r="D21" s="59"/>
      <c r="E21" s="59"/>
      <c r="F21" s="59"/>
      <c r="G21" s="59"/>
      <c r="H21" s="59"/>
      <c r="I21" s="5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x14ac:dyDescent="0.3">
      <c r="A22" s="59"/>
      <c r="B22" s="59"/>
      <c r="C22" s="59"/>
      <c r="D22" s="59"/>
      <c r="E22" s="59"/>
      <c r="F22" s="59"/>
      <c r="G22" s="59"/>
      <c r="H22" s="59"/>
      <c r="I22" s="5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x14ac:dyDescent="0.3">
      <c r="A23" s="73"/>
      <c r="B23" s="73"/>
      <c r="C23" s="73"/>
      <c r="D23" s="73"/>
      <c r="E23" s="73"/>
      <c r="F23" s="73"/>
      <c r="G23" s="73"/>
      <c r="H23" s="73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x14ac:dyDescent="0.3">
      <c r="A24" s="73"/>
      <c r="B24" s="73"/>
      <c r="C24" s="73"/>
      <c r="D24" s="73"/>
      <c r="E24" s="73"/>
      <c r="F24" s="73"/>
      <c r="G24" s="73"/>
      <c r="H24" s="73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3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x14ac:dyDescent="0.3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x14ac:dyDescent="0.3">
      <c r="A44" s="46"/>
      <c r="B44" s="46"/>
      <c r="C44" s="46"/>
      <c r="D44" s="46"/>
      <c r="E44" s="46"/>
      <c r="F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3">
      <c r="A45" s="46"/>
      <c r="B45" s="46"/>
      <c r="C45" s="46"/>
      <c r="D45" s="46"/>
      <c r="E45" s="46"/>
      <c r="F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x14ac:dyDescent="0.3">
      <c r="A46" s="46"/>
      <c r="B46" s="46"/>
      <c r="C46" s="46"/>
      <c r="D46" s="46"/>
      <c r="E46" s="46"/>
      <c r="F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x14ac:dyDescent="0.3">
      <c r="A47" s="46"/>
      <c r="B47" s="46"/>
      <c r="C47" s="46"/>
      <c r="D47" s="46"/>
      <c r="E47" s="46"/>
      <c r="F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x14ac:dyDescent="0.3">
      <c r="S48" s="46"/>
      <c r="T48" s="46"/>
    </row>
    <row r="49" spans="20:20" x14ac:dyDescent="0.3">
      <c r="T49" s="46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F4D7-ECD3-4B04-8F76-F5F7DBC69C00}">
  <sheetPr codeName="Sheet9">
    <tabColor theme="2" tint="-9.9978637043366805E-2"/>
  </sheetPr>
  <dimension ref="A1:X49"/>
  <sheetViews>
    <sheetView workbookViewId="0">
      <selection activeCell="L17" sqref="L17"/>
    </sheetView>
  </sheetViews>
  <sheetFormatPr defaultColWidth="8.7109375" defaultRowHeight="16.5" x14ac:dyDescent="0.3"/>
  <cols>
    <col min="1" max="1" width="46.42578125" style="47" customWidth="1"/>
    <col min="2" max="2" width="15.7109375" style="47" customWidth="1"/>
    <col min="3" max="3" width="15" style="47" customWidth="1"/>
    <col min="4" max="6" width="8.7109375" style="47"/>
    <col min="7" max="7" width="33.7109375" style="47" customWidth="1"/>
    <col min="8" max="18" width="8.7109375" style="47"/>
    <col min="19" max="21" width="11.140625" style="47" customWidth="1"/>
    <col min="22" max="22" width="11" style="47" customWidth="1"/>
    <col min="23" max="16384" width="8.7109375" style="47"/>
  </cols>
  <sheetData>
    <row r="1" spans="1:24" x14ac:dyDescent="0.3">
      <c r="A1" s="58"/>
      <c r="B1" s="59"/>
      <c r="C1" s="59"/>
      <c r="D1" s="59"/>
      <c r="E1" s="59"/>
      <c r="F1" s="59"/>
      <c r="G1" s="60"/>
      <c r="H1" s="60"/>
      <c r="I1" s="5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4" x14ac:dyDescent="0.3">
      <c r="A2" s="59"/>
      <c r="B2" s="59" t="s">
        <v>8</v>
      </c>
      <c r="C2" s="59" t="s">
        <v>44</v>
      </c>
      <c r="D2" s="59" t="s">
        <v>45</v>
      </c>
      <c r="E2" s="59"/>
      <c r="F2" s="59"/>
      <c r="G2" s="59"/>
      <c r="H2" s="60"/>
      <c r="I2" s="57"/>
      <c r="L2" s="46"/>
      <c r="M2" s="46"/>
      <c r="N2" s="46"/>
      <c r="O2" s="46"/>
      <c r="P2" s="46"/>
      <c r="Q2" s="46"/>
      <c r="R2" s="46"/>
      <c r="S2" s="46"/>
      <c r="T2" s="46"/>
      <c r="U2" s="48"/>
      <c r="V2" s="46"/>
      <c r="W2" s="46"/>
      <c r="X2" s="46"/>
    </row>
    <row r="3" spans="1:24" x14ac:dyDescent="0.3">
      <c r="A3" s="75" t="str">
        <f>'Electric Tractor'!D8</f>
        <v>Diesel</v>
      </c>
      <c r="B3" s="98" t="str">
        <f>VLOOKUP(A3,Technologies!B1:F9,3,FALSE)</f>
        <v>gallons</v>
      </c>
      <c r="C3" s="59">
        <f>VLOOKUP(A3,Technologies!B1:F9,4,FALSE)</f>
        <v>137380.95199999999</v>
      </c>
      <c r="D3" s="59">
        <f>VLOOKUP(A3,Technologies!B1:F9,5,FALSE)</f>
        <v>144.94499999999999</v>
      </c>
      <c r="E3" s="59"/>
      <c r="F3" s="59"/>
      <c r="G3" s="59"/>
      <c r="H3" s="59"/>
      <c r="I3" s="5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9"/>
      <c r="V3" s="49"/>
      <c r="W3" s="49"/>
      <c r="X3" s="50"/>
    </row>
    <row r="4" spans="1:24" x14ac:dyDescent="0.3">
      <c r="A4" s="59"/>
      <c r="B4" s="59"/>
      <c r="C4" s="59"/>
      <c r="D4" s="59"/>
      <c r="E4" s="59"/>
      <c r="F4" s="59"/>
      <c r="G4" s="59"/>
      <c r="H4" s="59"/>
      <c r="I4" s="5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51"/>
      <c r="V4" s="52"/>
    </row>
    <row r="5" spans="1:24" x14ac:dyDescent="0.3">
      <c r="A5" s="61" t="s">
        <v>9</v>
      </c>
      <c r="B5" s="59"/>
      <c r="C5" s="59"/>
      <c r="D5" s="59"/>
      <c r="E5" s="59"/>
      <c r="F5" s="59"/>
      <c r="G5" s="61" t="s">
        <v>10</v>
      </c>
      <c r="H5" s="59"/>
      <c r="I5" s="56"/>
      <c r="J5" s="53"/>
      <c r="K5" s="51"/>
      <c r="L5" s="46"/>
      <c r="M5" s="54"/>
    </row>
    <row r="6" spans="1:24" x14ac:dyDescent="0.3">
      <c r="A6" s="62" t="s">
        <v>46</v>
      </c>
      <c r="B6" s="63">
        <f>'Electric Tractor'!D10</f>
        <v>2000</v>
      </c>
      <c r="C6" s="59"/>
      <c r="D6" s="59"/>
      <c r="E6" s="59"/>
      <c r="F6" s="59"/>
      <c r="G6" s="62" t="s">
        <v>47</v>
      </c>
      <c r="H6" s="64">
        <v>0.3</v>
      </c>
      <c r="I6" s="56"/>
      <c r="J6" s="46"/>
      <c r="K6" s="46"/>
      <c r="L6" s="46"/>
      <c r="M6" s="46"/>
      <c r="N6" s="46"/>
      <c r="O6" s="46"/>
      <c r="P6" s="46"/>
      <c r="Q6" s="46"/>
      <c r="R6" s="46"/>
      <c r="S6" s="53"/>
      <c r="T6" s="51"/>
      <c r="U6" s="46"/>
      <c r="V6" s="54"/>
    </row>
    <row r="7" spans="1:24" x14ac:dyDescent="0.3">
      <c r="A7" s="62" t="s">
        <v>48</v>
      </c>
      <c r="B7" s="65">
        <f>'Electric Tractor'!D9</f>
        <v>4</v>
      </c>
      <c r="C7" s="59"/>
      <c r="D7" s="59"/>
      <c r="E7" s="59"/>
      <c r="F7" s="59"/>
      <c r="G7" s="62" t="s">
        <v>12</v>
      </c>
      <c r="H7" s="64">
        <v>0.95</v>
      </c>
      <c r="I7" s="56"/>
      <c r="J7" s="46"/>
      <c r="K7" s="46"/>
      <c r="L7" s="46"/>
      <c r="M7" s="46"/>
      <c r="N7" s="46"/>
      <c r="O7" s="46"/>
      <c r="P7" s="46"/>
      <c r="Q7" s="46"/>
      <c r="R7" s="46"/>
      <c r="S7" s="53"/>
      <c r="T7" s="51"/>
      <c r="U7" s="46"/>
      <c r="V7" s="52"/>
    </row>
    <row r="8" spans="1:24" x14ac:dyDescent="0.3">
      <c r="A8" s="62" t="s">
        <v>49</v>
      </c>
      <c r="B8" s="80">
        <f>$B$6*$B$7</f>
        <v>8000</v>
      </c>
      <c r="C8" s="59"/>
      <c r="D8" s="59"/>
      <c r="E8" s="59"/>
      <c r="F8" s="59"/>
      <c r="G8" s="62" t="s">
        <v>13</v>
      </c>
      <c r="H8" s="82">
        <f>_xlfn.XLOOKUP('Electric Tractor'!D18,Technologies!I2:I20,Technologies!O2:O20)</f>
        <v>0.95399999999999996</v>
      </c>
      <c r="I8" s="56"/>
      <c r="J8" s="46"/>
      <c r="K8" s="46"/>
      <c r="L8" s="46"/>
      <c r="M8" s="46"/>
      <c r="N8" s="46"/>
      <c r="O8" s="46"/>
      <c r="P8" s="46"/>
      <c r="Q8" s="46"/>
      <c r="R8" s="46"/>
      <c r="S8" s="53"/>
      <c r="T8" s="51"/>
      <c r="U8" s="46"/>
      <c r="V8" s="52"/>
    </row>
    <row r="9" spans="1:24" x14ac:dyDescent="0.3">
      <c r="A9" s="62" t="s">
        <v>50</v>
      </c>
      <c r="B9" s="76">
        <f>B6*D3</f>
        <v>289890</v>
      </c>
      <c r="C9" s="59"/>
      <c r="D9" s="59"/>
      <c r="E9" s="59"/>
      <c r="F9" s="59"/>
      <c r="G9" s="62" t="s">
        <v>15</v>
      </c>
      <c r="H9" s="64">
        <v>1</v>
      </c>
      <c r="I9" s="56"/>
      <c r="J9" s="46"/>
      <c r="K9" s="46"/>
      <c r="L9" s="46"/>
      <c r="M9" s="46"/>
      <c r="N9" s="46"/>
      <c r="O9" s="46"/>
      <c r="P9" s="46"/>
      <c r="Q9" s="46"/>
      <c r="R9" s="46"/>
      <c r="S9" s="53"/>
      <c r="T9" s="51"/>
      <c r="U9" s="46"/>
      <c r="V9" s="52"/>
    </row>
    <row r="10" spans="1:24" x14ac:dyDescent="0.3">
      <c r="A10" s="62" t="s">
        <v>51</v>
      </c>
      <c r="B10" s="76">
        <f>B9/Technologies!F9</f>
        <v>80525</v>
      </c>
      <c r="C10" s="59"/>
      <c r="D10" s="59"/>
      <c r="E10" s="59"/>
      <c r="F10" s="59"/>
      <c r="G10" s="56"/>
      <c r="H10" s="46"/>
      <c r="I10" s="5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1"/>
      <c r="U10" s="46"/>
      <c r="V10" s="46"/>
      <c r="W10" s="55"/>
    </row>
    <row r="11" spans="1:24" x14ac:dyDescent="0.3">
      <c r="A11" s="62" t="s">
        <v>52</v>
      </c>
      <c r="B11" s="77">
        <f>B10*((H6*H7)/(H8*H9))</f>
        <v>24056.210691823897</v>
      </c>
      <c r="C11" s="59"/>
      <c r="D11" s="59"/>
      <c r="E11" s="59"/>
      <c r="F11" s="59"/>
      <c r="G11" s="56"/>
      <c r="H11" s="46"/>
      <c r="I11" s="5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51"/>
      <c r="U11" s="51"/>
      <c r="V11" s="46"/>
      <c r="W11" s="55"/>
    </row>
    <row r="12" spans="1:24" x14ac:dyDescent="0.3">
      <c r="A12" s="62" t="s">
        <v>53</v>
      </c>
      <c r="B12" s="78">
        <f>B10-B11</f>
        <v>56468.789308176099</v>
      </c>
      <c r="C12" s="60"/>
      <c r="D12" s="59"/>
      <c r="E12" s="59"/>
      <c r="F12" s="59"/>
      <c r="G12" s="59"/>
      <c r="H12" s="59"/>
      <c r="I12" s="46"/>
      <c r="J12" s="46"/>
      <c r="K12" s="46"/>
      <c r="L12" s="46"/>
      <c r="M12" s="46"/>
      <c r="N12" s="46"/>
      <c r="O12" s="46"/>
      <c r="P12" s="46"/>
      <c r="Q12" s="46"/>
      <c r="R12" s="51"/>
      <c r="S12" s="51"/>
      <c r="T12" s="46"/>
      <c r="U12" s="55"/>
    </row>
    <row r="13" spans="1:24" x14ac:dyDescent="0.3">
      <c r="A13" s="62" t="s">
        <v>16</v>
      </c>
      <c r="B13" s="67">
        <f>'Electric Tractor'!D19</f>
        <v>0.15</v>
      </c>
      <c r="C13" s="59"/>
      <c r="D13" s="59"/>
      <c r="E13" s="59"/>
      <c r="F13" s="59"/>
      <c r="G13" s="59"/>
      <c r="H13" s="59"/>
      <c r="I13" s="46"/>
      <c r="J13" s="46"/>
      <c r="K13" s="46"/>
      <c r="L13" s="46"/>
      <c r="M13" s="46"/>
      <c r="N13" s="46"/>
      <c r="O13" s="46"/>
      <c r="P13" s="46"/>
      <c r="Q13" s="46"/>
      <c r="R13" s="51"/>
      <c r="S13" s="51"/>
      <c r="T13" s="46"/>
      <c r="U13" s="55"/>
    </row>
    <row r="14" spans="1:24" x14ac:dyDescent="0.3">
      <c r="A14" s="62"/>
      <c r="B14" s="68"/>
      <c r="C14" s="59"/>
      <c r="D14" s="59"/>
      <c r="E14" s="59"/>
      <c r="F14" s="59"/>
      <c r="G14" s="59"/>
      <c r="H14" s="59"/>
      <c r="I14" s="5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1"/>
      <c r="U14" s="51"/>
      <c r="V14" s="46"/>
    </row>
    <row r="15" spans="1:24" x14ac:dyDescent="0.3">
      <c r="A15" s="62" t="s">
        <v>18</v>
      </c>
      <c r="B15" s="69">
        <f>B11*$B$13</f>
        <v>3608.4316037735844</v>
      </c>
      <c r="C15" s="59"/>
      <c r="D15" s="59"/>
      <c r="E15" s="59"/>
      <c r="F15" s="59"/>
      <c r="G15" s="59"/>
      <c r="H15" s="59"/>
      <c r="I15" s="5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51"/>
      <c r="U15" s="46"/>
    </row>
    <row r="16" spans="1:24" x14ac:dyDescent="0.3">
      <c r="A16" s="62" t="s">
        <v>20</v>
      </c>
      <c r="B16" s="69">
        <f>$B$8-$B$15</f>
        <v>4391.5683962264156</v>
      </c>
      <c r="C16" s="59"/>
      <c r="D16" s="59"/>
      <c r="E16" s="59"/>
      <c r="F16" s="59"/>
      <c r="G16" s="59"/>
      <c r="H16" s="59"/>
      <c r="I16" s="5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51"/>
      <c r="U16" s="46"/>
    </row>
    <row r="17" spans="1:21" x14ac:dyDescent="0.3">
      <c r="A17" s="62"/>
      <c r="B17" s="62"/>
      <c r="C17" s="59"/>
      <c r="D17" s="59"/>
      <c r="E17" s="59"/>
      <c r="F17" s="59"/>
      <c r="G17" s="59"/>
      <c r="H17" s="59"/>
      <c r="I17" s="5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x14ac:dyDescent="0.3">
      <c r="A18" s="62" t="s">
        <v>21</v>
      </c>
      <c r="B18" s="81">
        <f>'Electric Tractor'!D26</f>
        <v>50000</v>
      </c>
      <c r="C18" s="59"/>
      <c r="D18" s="59"/>
      <c r="E18" s="59"/>
      <c r="F18" s="59"/>
      <c r="G18" s="59"/>
      <c r="H18" s="59"/>
      <c r="I18" s="5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x14ac:dyDescent="0.3">
      <c r="A19" s="70" t="s">
        <v>22</v>
      </c>
      <c r="B19" s="71">
        <f>$B$18/$B$16</f>
        <v>11.385454008404826</v>
      </c>
      <c r="C19" s="59"/>
      <c r="D19" s="59"/>
      <c r="E19" s="59"/>
      <c r="F19" s="59"/>
      <c r="G19" s="59"/>
      <c r="H19" s="59"/>
      <c r="I19" s="5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x14ac:dyDescent="0.3">
      <c r="A20" s="59"/>
      <c r="B20" s="59"/>
      <c r="C20" s="59"/>
      <c r="D20" s="59"/>
      <c r="E20" s="59"/>
      <c r="F20" s="59"/>
      <c r="G20" s="59"/>
      <c r="H20" s="59"/>
      <c r="I20" s="5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x14ac:dyDescent="0.3">
      <c r="A21" s="59"/>
      <c r="B21" s="59"/>
      <c r="C21" s="59"/>
      <c r="D21" s="59"/>
      <c r="E21" s="59"/>
      <c r="F21" s="59"/>
      <c r="G21" s="73"/>
      <c r="H21" s="73"/>
      <c r="I21" s="5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x14ac:dyDescent="0.3">
      <c r="A22" s="59"/>
      <c r="B22" s="59"/>
      <c r="C22" s="59"/>
      <c r="D22" s="59"/>
      <c r="E22" s="59"/>
      <c r="F22" s="59"/>
      <c r="G22" s="73"/>
      <c r="H22" s="73"/>
      <c r="I22" s="5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x14ac:dyDescent="0.3">
      <c r="A23" s="73"/>
      <c r="B23" s="73"/>
      <c r="C23" s="73"/>
      <c r="D23" s="73"/>
      <c r="E23" s="73"/>
      <c r="F23" s="73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x14ac:dyDescent="0.3">
      <c r="A24" s="73"/>
      <c r="B24" s="73"/>
      <c r="C24" s="73"/>
      <c r="D24" s="73"/>
      <c r="E24" s="73"/>
      <c r="F24" s="73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3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3">
      <c r="A28" s="46"/>
      <c r="B28" s="46"/>
      <c r="C28" s="10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x14ac:dyDescent="0.3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x14ac:dyDescent="0.3">
      <c r="A42" s="46"/>
      <c r="B42" s="46"/>
      <c r="C42" s="46"/>
      <c r="D42" s="46"/>
      <c r="E42" s="46"/>
      <c r="F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x14ac:dyDescent="0.3">
      <c r="A43" s="46"/>
      <c r="B43" s="46"/>
      <c r="C43" s="46"/>
      <c r="D43" s="46"/>
      <c r="E43" s="46"/>
      <c r="F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x14ac:dyDescent="0.3">
      <c r="A44" s="46"/>
      <c r="B44" s="46"/>
      <c r="C44" s="46"/>
      <c r="D44" s="46"/>
      <c r="E44" s="46"/>
      <c r="F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3">
      <c r="A45" s="46"/>
      <c r="B45" s="46"/>
      <c r="C45" s="46"/>
      <c r="D45" s="46"/>
      <c r="E45" s="46"/>
      <c r="F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x14ac:dyDescent="0.3">
      <c r="A46" s="46"/>
      <c r="B46" s="46"/>
      <c r="C46" s="46"/>
      <c r="D46" s="46"/>
      <c r="E46" s="46"/>
      <c r="F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x14ac:dyDescent="0.3">
      <c r="A47" s="46"/>
      <c r="B47" s="46"/>
      <c r="C47" s="46"/>
      <c r="D47" s="46"/>
      <c r="E47" s="46"/>
      <c r="F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x14ac:dyDescent="0.3">
      <c r="S48" s="46"/>
      <c r="T48" s="46"/>
    </row>
    <row r="49" spans="20:20" x14ac:dyDescent="0.3">
      <c r="T49" s="46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1204-FF15-436B-B7D5-2ABDE1C5DB36}">
  <sheetPr>
    <tabColor theme="0" tint="-0.14999847407452621"/>
  </sheetPr>
  <dimension ref="A1:N21"/>
  <sheetViews>
    <sheetView zoomScale="130" zoomScaleNormal="130" workbookViewId="0">
      <selection activeCell="B15" sqref="B15"/>
    </sheetView>
  </sheetViews>
  <sheetFormatPr defaultColWidth="8.7109375" defaultRowHeight="12.75" x14ac:dyDescent="0.2"/>
  <cols>
    <col min="1" max="1" width="34.7109375" bestFit="1" customWidth="1"/>
    <col min="2" max="2" width="21.42578125" bestFit="1" customWidth="1"/>
    <col min="3" max="3" width="43.140625" customWidth="1"/>
  </cols>
  <sheetData>
    <row r="1" spans="1:14" ht="16.5" x14ac:dyDescent="0.3">
      <c r="A1" s="105" t="s">
        <v>82</v>
      </c>
      <c r="B1" s="109"/>
      <c r="C1" s="109"/>
    </row>
    <row r="3" spans="1:14" ht="16.5" x14ac:dyDescent="0.3">
      <c r="A3" s="106" t="s">
        <v>69</v>
      </c>
      <c r="B3" s="124" t="str">
        <f>'Heat Pump Space Heating'!D8</f>
        <v>Propane</v>
      </c>
      <c r="C3" t="s">
        <v>83</v>
      </c>
    </row>
    <row r="4" spans="1:14" ht="16.5" x14ac:dyDescent="0.3">
      <c r="A4" s="106"/>
      <c r="B4" s="125"/>
    </row>
    <row r="5" spans="1:14" x14ac:dyDescent="0.2">
      <c r="A5" s="107" t="s">
        <v>70</v>
      </c>
    </row>
    <row r="6" spans="1:14" x14ac:dyDescent="0.2">
      <c r="A6" s="109" t="s">
        <v>41</v>
      </c>
      <c r="B6" s="110">
        <f>'Heat Pump Space Heating'!D19</f>
        <v>0.8</v>
      </c>
    </row>
    <row r="7" spans="1:14" x14ac:dyDescent="0.2">
      <c r="A7" s="109" t="s">
        <v>85</v>
      </c>
      <c r="B7" s="109">
        <f>'Heat Pump Space Heating'!D10</f>
        <v>500</v>
      </c>
    </row>
    <row r="8" spans="1:14" x14ac:dyDescent="0.2">
      <c r="A8" s="109" t="s">
        <v>86</v>
      </c>
      <c r="B8" s="111">
        <f>'Heat Pump Space Heating'!D9</f>
        <v>4</v>
      </c>
    </row>
    <row r="9" spans="1:14" ht="16.5" x14ac:dyDescent="0.3">
      <c r="A9" s="112" t="s">
        <v>87</v>
      </c>
      <c r="B9" s="127">
        <f>VLOOKUP(B3,Technologies!B1:F9,4,FALSE)</f>
        <v>91600</v>
      </c>
      <c r="D9" s="108"/>
      <c r="N9" s="123"/>
    </row>
    <row r="10" spans="1:14" x14ac:dyDescent="0.2">
      <c r="A10" s="109" t="s">
        <v>88</v>
      </c>
      <c r="B10" s="113">
        <f>B7*B9</f>
        <v>45800000</v>
      </c>
    </row>
    <row r="11" spans="1:14" x14ac:dyDescent="0.2">
      <c r="A11" s="107"/>
    </row>
    <row r="12" spans="1:14" ht="16.5" x14ac:dyDescent="0.3">
      <c r="A12" s="106" t="s">
        <v>71</v>
      </c>
    </row>
    <row r="13" spans="1:14" ht="16.5" x14ac:dyDescent="0.3">
      <c r="A13" s="107" t="s">
        <v>70</v>
      </c>
      <c r="M13" s="106"/>
    </row>
    <row r="14" spans="1:14" x14ac:dyDescent="0.2">
      <c r="A14" s="131" t="s">
        <v>93</v>
      </c>
      <c r="B14" s="132">
        <f>'Heat Pump Space Heating'!D21</f>
        <v>10</v>
      </c>
    </row>
    <row r="15" spans="1:14" x14ac:dyDescent="0.2">
      <c r="A15" s="109" t="s">
        <v>72</v>
      </c>
      <c r="B15" s="113">
        <f>'Heat Pump Space Heating'!D18</f>
        <v>48000</v>
      </c>
    </row>
    <row r="16" spans="1:14" x14ac:dyDescent="0.2">
      <c r="A16" s="109" t="s">
        <v>73</v>
      </c>
      <c r="B16" s="133">
        <f>(B10/B14)/3412</f>
        <v>1342.3212192262602</v>
      </c>
    </row>
    <row r="17" spans="1:2" x14ac:dyDescent="0.2">
      <c r="A17" s="109" t="s">
        <v>74</v>
      </c>
      <c r="B17" s="109">
        <f>'Heat Pump Space Heating'!D20</f>
        <v>0.15</v>
      </c>
    </row>
    <row r="18" spans="1:2" x14ac:dyDescent="0.2">
      <c r="B18" s="134"/>
    </row>
    <row r="19" spans="1:2" ht="16.5" x14ac:dyDescent="0.3">
      <c r="A19" s="135" t="s">
        <v>75</v>
      </c>
      <c r="B19" s="136">
        <f>(B7*B8)-(B16-B17)</f>
        <v>657.82878077373994</v>
      </c>
    </row>
    <row r="20" spans="1:2" ht="16.5" x14ac:dyDescent="0.3">
      <c r="A20" s="135" t="s">
        <v>76</v>
      </c>
      <c r="B20" s="137">
        <f>'Heat Pump Space Heating'!D26</f>
        <v>6000</v>
      </c>
    </row>
    <row r="21" spans="1:2" ht="16.5" x14ac:dyDescent="0.3">
      <c r="A21" s="135" t="s">
        <v>77</v>
      </c>
      <c r="B21" s="138">
        <f>B20/B19</f>
        <v>9.1209144010737635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924D-2ABB-E04C-9142-9FECEBB97D4F}">
  <sheetPr>
    <tabColor theme="0" tint="-0.14999847407452621"/>
  </sheetPr>
  <dimension ref="A1:N28"/>
  <sheetViews>
    <sheetView topLeftCell="A3" zoomScale="130" zoomScaleNormal="130" workbookViewId="0">
      <selection activeCell="B26" sqref="B26"/>
    </sheetView>
  </sheetViews>
  <sheetFormatPr defaultColWidth="8.7109375" defaultRowHeight="12.75" x14ac:dyDescent="0.2"/>
  <cols>
    <col min="1" max="1" width="51.7109375" style="4" customWidth="1"/>
    <col min="2" max="2" width="15.42578125" style="4" customWidth="1"/>
    <col min="3" max="3" width="43.140625" style="4" customWidth="1"/>
    <col min="4" max="16384" width="8.7109375" style="4"/>
  </cols>
  <sheetData>
    <row r="1" spans="1:14" x14ac:dyDescent="0.2">
      <c r="A1" s="141" t="s">
        <v>94</v>
      </c>
      <c r="B1" s="131"/>
      <c r="C1" s="131"/>
    </row>
    <row r="3" spans="1:14" ht="15" x14ac:dyDescent="0.25">
      <c r="A3" s="142" t="s">
        <v>69</v>
      </c>
      <c r="B3" s="143" t="str">
        <f>'Water Heating'!D8</f>
        <v>Propane</v>
      </c>
      <c r="C3" s="4" t="s">
        <v>83</v>
      </c>
    </row>
    <row r="5" spans="1:14" x14ac:dyDescent="0.2">
      <c r="A5" s="152" t="s">
        <v>95</v>
      </c>
      <c r="B5" s="153"/>
    </row>
    <row r="6" spans="1:14" x14ac:dyDescent="0.2">
      <c r="A6" s="154" t="s">
        <v>104</v>
      </c>
      <c r="B6" s="154">
        <f>'Water Heating'!D10</f>
        <v>10000</v>
      </c>
    </row>
    <row r="7" spans="1:14" x14ac:dyDescent="0.2">
      <c r="A7" s="109" t="s">
        <v>87</v>
      </c>
      <c r="B7" s="151">
        <f>VLOOKUP(B3,Technologies!B1:F9,4,FALSE)</f>
        <v>91600</v>
      </c>
    </row>
    <row r="8" spans="1:14" x14ac:dyDescent="0.2">
      <c r="A8" s="154" t="s">
        <v>103</v>
      </c>
      <c r="B8" s="155">
        <f>B6*B7</f>
        <v>916000000</v>
      </c>
    </row>
    <row r="9" spans="1:14" x14ac:dyDescent="0.2">
      <c r="A9" s="144"/>
      <c r="B9" s="145"/>
    </row>
    <row r="10" spans="1:14" x14ac:dyDescent="0.2">
      <c r="A10" s="154" t="s">
        <v>96</v>
      </c>
      <c r="B10" s="154">
        <v>52</v>
      </c>
    </row>
    <row r="11" spans="1:14" ht="14.25" x14ac:dyDescent="0.2">
      <c r="A11" s="156" t="s">
        <v>97</v>
      </c>
      <c r="B11" s="157">
        <f>'Water Heating'!D19</f>
        <v>140</v>
      </c>
      <c r="D11" s="147"/>
      <c r="N11" s="148"/>
    </row>
    <row r="12" spans="1:14" x14ac:dyDescent="0.2">
      <c r="A12" s="131" t="s">
        <v>98</v>
      </c>
      <c r="B12" s="157">
        <f>B11-B10</f>
        <v>88</v>
      </c>
    </row>
    <row r="13" spans="1:14" x14ac:dyDescent="0.2">
      <c r="A13" s="131" t="s">
        <v>99</v>
      </c>
      <c r="B13" s="131">
        <f>IF(B11&lt;150.01,B11-B10,(150-B10))</f>
        <v>88</v>
      </c>
    </row>
    <row r="14" spans="1:14" x14ac:dyDescent="0.2">
      <c r="A14" s="131" t="s">
        <v>100</v>
      </c>
      <c r="B14" s="158">
        <f>'Water Heating'!D18</f>
        <v>0.8</v>
      </c>
    </row>
    <row r="15" spans="1:14" x14ac:dyDescent="0.2">
      <c r="A15" s="131" t="s">
        <v>113</v>
      </c>
      <c r="B15" s="159">
        <f>B14*B8</f>
        <v>732800000</v>
      </c>
    </row>
    <row r="16" spans="1:14" x14ac:dyDescent="0.2">
      <c r="B16" s="139"/>
    </row>
    <row r="17" spans="1:13" ht="15" x14ac:dyDescent="0.25">
      <c r="A17" s="131" t="s">
        <v>107</v>
      </c>
      <c r="B17" s="160">
        <v>4.2</v>
      </c>
      <c r="C17" s="140" t="s">
        <v>119</v>
      </c>
      <c r="M17" s="142"/>
    </row>
    <row r="18" spans="1:13" x14ac:dyDescent="0.2">
      <c r="A18" s="131" t="s">
        <v>111</v>
      </c>
      <c r="B18" s="161">
        <v>2.35</v>
      </c>
    </row>
    <row r="19" spans="1:13" x14ac:dyDescent="0.2">
      <c r="A19" s="131" t="s">
        <v>109</v>
      </c>
      <c r="B19" s="162">
        <f>(B18*B17)*3412</f>
        <v>33676.44</v>
      </c>
    </row>
    <row r="20" spans="1:13" x14ac:dyDescent="0.2">
      <c r="A20" s="131" t="s">
        <v>114</v>
      </c>
      <c r="B20" s="162">
        <f>B15/B19</f>
        <v>21760.019764559434</v>
      </c>
    </row>
    <row r="21" spans="1:13" x14ac:dyDescent="0.2">
      <c r="A21" s="131" t="s">
        <v>115</v>
      </c>
      <c r="B21" s="161">
        <f>B20/365</f>
        <v>59.616492505642285</v>
      </c>
    </row>
    <row r="22" spans="1:13" x14ac:dyDescent="0.2">
      <c r="A22" s="131" t="s">
        <v>112</v>
      </c>
      <c r="B22" s="157">
        <f>B20*B18</f>
        <v>51136.046446714674</v>
      </c>
    </row>
    <row r="23" spans="1:13" x14ac:dyDescent="0.2">
      <c r="A23" s="146"/>
    </row>
    <row r="24" spans="1:13" ht="16.5" x14ac:dyDescent="0.3">
      <c r="A24" s="135" t="s">
        <v>75</v>
      </c>
      <c r="B24" s="163">
        <f>(B6*'Water Heating'!D9)-(B22*'Water Heating'!D20)</f>
        <v>32329.593032992801</v>
      </c>
    </row>
    <row r="25" spans="1:13" ht="16.5" x14ac:dyDescent="0.3">
      <c r="A25" s="135" t="s">
        <v>117</v>
      </c>
      <c r="B25" s="138">
        <f>ROUNDUP((B21/24),0)</f>
        <v>3</v>
      </c>
    </row>
    <row r="26" spans="1:13" ht="16.5" x14ac:dyDescent="0.3">
      <c r="A26" s="135" t="s">
        <v>116</v>
      </c>
      <c r="B26" s="137">
        <f>10000*B25</f>
        <v>30000</v>
      </c>
      <c r="C26" s="4" t="s">
        <v>118</v>
      </c>
    </row>
    <row r="27" spans="1:13" ht="16.5" x14ac:dyDescent="0.3">
      <c r="A27" s="135" t="s">
        <v>77</v>
      </c>
      <c r="B27" s="138">
        <f>B26/B24</f>
        <v>0.92794239535847489</v>
      </c>
    </row>
    <row r="28" spans="1:13" x14ac:dyDescent="0.2">
      <c r="A28" s="146"/>
      <c r="B28" s="1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Engine to Electric Motor</vt:lpstr>
      <vt:lpstr>Electric Tractor</vt:lpstr>
      <vt:lpstr>Heat Pump Space Heating</vt:lpstr>
      <vt:lpstr>Water Heating</vt:lpstr>
      <vt:lpstr>Information</vt:lpstr>
      <vt:lpstr>Basic Fuel Switch</vt:lpstr>
      <vt:lpstr>Basic Fuel Switch Tractor</vt:lpstr>
      <vt:lpstr>Heat Pump Calculations</vt:lpstr>
      <vt:lpstr>Water Heating Calculations</vt:lpstr>
      <vt:lpstr>Technologies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Fathel</dc:creator>
  <cp:lastModifiedBy>Tim Tomko</cp:lastModifiedBy>
  <cp:lastPrinted>2019-03-13T15:54:03Z</cp:lastPrinted>
  <dcterms:created xsi:type="dcterms:W3CDTF">2019-02-06T01:02:16Z</dcterms:created>
  <dcterms:modified xsi:type="dcterms:W3CDTF">2023-02-12T19:11:11Z</dcterms:modified>
</cp:coreProperties>
</file>