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Public\Renewable Heat NY\Proformas\"/>
    </mc:Choice>
  </mc:AlternateContent>
  <workbookProtection workbookAlgorithmName="SHA-512" workbookHashValue="2sLVE/gg8U7TvuqxVqAIJ5QiJj5qesArhjjwlWqiqVRN3TZha+FyeQol03IDV1SZg1wRKUdF/9uhLsITd8rDRA==" workbookSaltValue="vkr060+/dZeK6rJzZSFpDQ==" workbookSpinCount="100000" lockStructure="1"/>
  <bookViews>
    <workbookView xWindow="0" yWindow="0" windowWidth="24000" windowHeight="10095"/>
  </bookViews>
  <sheets>
    <sheet name="RHNY Calculator" sheetId="3" r:id="rId1"/>
    <sheet name="Loan Calculator" sheetId="1" r:id="rId2"/>
    <sheet name="MenuItems" sheetId="2" state="hidden" r:id="rId3"/>
  </sheets>
  <definedNames>
    <definedName name="Account">'Loan Calculator'!$P$11:$P$13</definedName>
    <definedName name="CAC_TRC_YES_NO">MenuItems!$L$7:$L$9</definedName>
    <definedName name="CustCont">'Loan Calculator'!$D$19</definedName>
    <definedName name="FinFee">'Loan Calculator'!$D$9</definedName>
    <definedName name="HeatingFuelType">'RHNY Calculator'!$C$133:$C$139</definedName>
    <definedName name="HOI">MenuItems!$K$1:$K$2</definedName>
    <definedName name="HPWH_TRC_YES_NO">MenuItems!$L$12:$L$13</definedName>
    <definedName name="INCENTIVE">'Loan Calculator'!$D$13</definedName>
    <definedName name="Interest">MenuItems!$A$1:$A$4</definedName>
    <definedName name="kwhprod">'Loan Calculator'!#REF!</definedName>
    <definedName name="LC_PSavings">'Loan Calculator'!$E$81</definedName>
    <definedName name="LED_TRC_YES_NO">MenuItems!$L$16:$L$18</definedName>
    <definedName name="LoanPrincipal">'Loan Calculator'!$E$59</definedName>
    <definedName name="MCash">MenuItems!$N$3:$N$32</definedName>
    <definedName name="MeasureList">MenuItems!$G$2:$G$8</definedName>
    <definedName name="MFinance">MenuItems!$U$3:$U$29</definedName>
    <definedName name="minCustCont">'Loan Calculator'!$D$50</definedName>
    <definedName name="MLifeCash">MenuItems!$N$4:$Q$32</definedName>
    <definedName name="MLifeFinance">MenuItems!$U$4:$X$29</definedName>
    <definedName name="OtherInc">'Loan Calculator'!#REF!</definedName>
    <definedName name="PCost">'Loan Calculator'!$D$11</definedName>
    <definedName name="_xlnm.Print_Area" localSheetId="1">'Loan Calculator'!$B$1:$L$102</definedName>
    <definedName name="_xlnm.Print_Area" localSheetId="0">'RHNY Calculator'!$A$1:$P$58</definedName>
    <definedName name="PType">MenuItems!$I$2:$I$3</definedName>
    <definedName name="REBATE">'RHNY Calculator'!$C$112:$C$115</definedName>
    <definedName name="Save">'Loan Calculator'!$R$58:$R$60</definedName>
    <definedName name="SavingsAnnual">'Loan Calculator'!$D$21</definedName>
    <definedName name="SVCD">'Loan Calculator'!$P$11:$P$12</definedName>
    <definedName name="Time">'Loan Calculator'!$P$19:$P$20</definedName>
    <definedName name="TRC_Yes_No">MenuItems!$L$2:$L$4</definedName>
    <definedName name="Unsecured">MenuItems!$J$1:$J$2</definedName>
    <definedName name="UnsecuredSIR">'Loan Calculator'!$G$29:$L$29</definedName>
    <definedName name="utility">'Loan Calculator'!#REF!</definedName>
    <definedName name="ValidAccounts">MenuItems!$D$1:$D$2</definedName>
    <definedName name="ValidPeriod">MenuItems!$E$1:$E$3</definedName>
    <definedName name="ValidRates">MenuItems!$A$1:$A$2</definedName>
    <definedName name="ValidTerms">MenuItems!$B$1:$B$3</definedName>
    <definedName name="WeightedAvgMLife">'Loan Calculator'!$D$23</definedName>
    <definedName name="Years">MenuItems!$B$1:$B$3</definedName>
    <definedName name="YESNO">MenuItems!$K$1:$K$2</definedName>
  </definedNames>
  <calcPr calcId="171027" iterate="1"/>
</workbook>
</file>

<file path=xl/calcChain.xml><?xml version="1.0" encoding="utf-8"?>
<calcChain xmlns="http://schemas.openxmlformats.org/spreadsheetml/2006/main">
  <c r="H63" i="1" l="1"/>
  <c r="E63" i="1"/>
  <c r="E66" i="1" s="1"/>
  <c r="J34" i="1"/>
  <c r="F44" i="1"/>
  <c r="J26" i="1"/>
  <c r="G26" i="1"/>
  <c r="D26" i="1"/>
  <c r="H10" i="3"/>
  <c r="H11" i="3" s="1"/>
  <c r="I171" i="3"/>
  <c r="I170" i="3"/>
  <c r="I169" i="3"/>
  <c r="H21" i="3"/>
  <c r="H52" i="3"/>
  <c r="I52" i="3"/>
  <c r="I51" i="3"/>
  <c r="H28" i="3"/>
  <c r="I20" i="3"/>
  <c r="I19" i="3"/>
  <c r="I27" i="3"/>
  <c r="I26" i="3"/>
  <c r="D13" i="1"/>
  <c r="I11" i="1"/>
  <c r="I9" i="1"/>
  <c r="D11" i="1"/>
  <c r="L102" i="1"/>
  <c r="I21" i="1"/>
  <c r="I13" i="1"/>
  <c r="H22" i="3"/>
  <c r="C40" i="3"/>
  <c r="H29" i="3"/>
  <c r="H31" i="3" s="1"/>
  <c r="E59" i="1"/>
  <c r="L34" i="1" s="1"/>
  <c r="D15" i="1"/>
  <c r="H66" i="1"/>
  <c r="H68" i="1" s="1"/>
  <c r="H70" i="1" s="1"/>
  <c r="K66" i="1"/>
  <c r="K77" i="1" s="1"/>
  <c r="K68" i="1"/>
  <c r="K70" i="1" s="1"/>
  <c r="H77" i="1"/>
  <c r="H13" i="3"/>
  <c r="D44" i="1" l="1"/>
  <c r="H34" i="1"/>
  <c r="H41" i="3"/>
  <c r="E77" i="1"/>
  <c r="E68" i="1"/>
  <c r="E70" i="1" s="1"/>
  <c r="D34" i="1"/>
  <c r="E44" i="1"/>
  <c r="E34" i="1"/>
  <c r="F34" i="1"/>
  <c r="G34" i="1"/>
  <c r="I34" i="1"/>
  <c r="K34" i="1"/>
  <c r="H44" i="3" l="1"/>
  <c r="H45" i="3" s="1"/>
  <c r="H47" i="3" s="1"/>
  <c r="H50" i="3" l="1"/>
  <c r="H51" i="3" s="1"/>
  <c r="H53" i="3" s="1"/>
  <c r="H55" i="3" s="1"/>
  <c r="D21" i="1" l="1"/>
  <c r="O51" i="3"/>
  <c r="O52" i="3"/>
  <c r="F45" i="1" l="1"/>
  <c r="F43" i="1"/>
  <c r="D45" i="1"/>
  <c r="D43" i="1"/>
  <c r="E81" i="1"/>
  <c r="K83" i="1"/>
  <c r="J45" i="1"/>
  <c r="H45" i="1"/>
  <c r="K45" i="1"/>
  <c r="D48" i="1"/>
  <c r="K33" i="1"/>
  <c r="I33" i="1"/>
  <c r="G33" i="1"/>
  <c r="F33" i="1"/>
  <c r="E43" i="1"/>
  <c r="D33" i="1"/>
  <c r="G45" i="1"/>
  <c r="H83" i="1"/>
  <c r="E75" i="1"/>
  <c r="I45" i="1"/>
  <c r="L45" i="1"/>
  <c r="E48" i="1"/>
  <c r="E33" i="1"/>
  <c r="E45" i="1"/>
  <c r="E83" i="1"/>
  <c r="F48" i="1"/>
  <c r="L33" i="1"/>
  <c r="H33" i="1"/>
  <c r="J33" i="1"/>
  <c r="L40" i="1" l="1"/>
  <c r="L37" i="1" s="1"/>
  <c r="L42" i="1"/>
  <c r="L43" i="1"/>
  <c r="L44" i="1"/>
  <c r="H79" i="1"/>
  <c r="E79" i="1"/>
  <c r="K79" i="1"/>
  <c r="G44" i="1"/>
  <c r="G43" i="1"/>
  <c r="G40" i="1"/>
  <c r="G37" i="1" s="1"/>
  <c r="G42" i="1"/>
  <c r="K44" i="1"/>
  <c r="K43" i="1"/>
  <c r="K40" i="1"/>
  <c r="K37" i="1" s="1"/>
  <c r="K42" i="1"/>
  <c r="J40" i="1"/>
  <c r="J37" i="1" s="1"/>
  <c r="J44" i="1"/>
  <c r="J43" i="1"/>
  <c r="J42" i="1"/>
  <c r="L35" i="1"/>
  <c r="J35" i="1"/>
  <c r="H35" i="1"/>
  <c r="E35" i="1"/>
  <c r="L29" i="1"/>
  <c r="H81" i="1"/>
  <c r="D29" i="1"/>
  <c r="K29" i="1"/>
  <c r="I29" i="1"/>
  <c r="F29" i="1"/>
  <c r="K35" i="1"/>
  <c r="I35" i="1"/>
  <c r="G35" i="1"/>
  <c r="J29" i="1"/>
  <c r="F35" i="1"/>
  <c r="D35" i="1"/>
  <c r="K81" i="1"/>
  <c r="G29" i="1"/>
  <c r="H29" i="1"/>
  <c r="E29" i="1"/>
  <c r="D42" i="1"/>
  <c r="D37" i="1"/>
  <c r="D40" i="1"/>
  <c r="F37" i="1"/>
  <c r="F40" i="1"/>
  <c r="F42" i="1"/>
  <c r="F46" i="1"/>
  <c r="F47" i="1"/>
  <c r="E40" i="1"/>
  <c r="E37" i="1"/>
  <c r="E42" i="1"/>
  <c r="E47" i="1"/>
  <c r="E46" i="1"/>
  <c r="I42" i="1"/>
  <c r="I40" i="1"/>
  <c r="I37" i="1" s="1"/>
  <c r="I44" i="1"/>
  <c r="I43" i="1"/>
  <c r="D47" i="1"/>
  <c r="D46" i="1"/>
  <c r="H43" i="1"/>
  <c r="H40" i="1"/>
  <c r="H37" i="1" s="1"/>
  <c r="H44" i="1"/>
  <c r="H42" i="1"/>
  <c r="E32" i="1" l="1"/>
  <c r="E30" i="1"/>
  <c r="E49" i="1" s="1"/>
  <c r="G32" i="1"/>
  <c r="G30" i="1"/>
  <c r="G49" i="1" s="1"/>
  <c r="J30" i="1"/>
  <c r="J49" i="1" s="1"/>
  <c r="J32" i="1"/>
  <c r="F32" i="1"/>
  <c r="F30" i="1"/>
  <c r="F49" i="1" s="1"/>
  <c r="K30" i="1"/>
  <c r="K49" i="1" s="1"/>
  <c r="K32" i="1"/>
  <c r="H30" i="1"/>
  <c r="H49" i="1" s="1"/>
  <c r="H32" i="1"/>
  <c r="I32" i="1"/>
  <c r="I30" i="1"/>
  <c r="I49" i="1" s="1"/>
  <c r="D32" i="1"/>
  <c r="D30" i="1"/>
  <c r="D49" i="1" s="1"/>
  <c r="D50" i="1" s="1"/>
  <c r="L30" i="1"/>
  <c r="L49" i="1" s="1"/>
  <c r="L32" i="1"/>
</calcChain>
</file>

<file path=xl/sharedStrings.xml><?xml version="1.0" encoding="utf-8"?>
<sst xmlns="http://schemas.openxmlformats.org/spreadsheetml/2006/main" count="461" uniqueCount="309">
  <si>
    <t>Project Information</t>
  </si>
  <si>
    <t>Customer Information</t>
  </si>
  <si>
    <t>$150 Processing Fee Financed?</t>
  </si>
  <si>
    <t>Name:</t>
  </si>
  <si>
    <t>Total Cost of Project</t>
  </si>
  <si>
    <t>Address:</t>
  </si>
  <si>
    <t>Customer Contribution</t>
  </si>
  <si>
    <t>Loan Eligibilitity Criteria</t>
  </si>
  <si>
    <t>5 Year</t>
  </si>
  <si>
    <t>10 Year</t>
  </si>
  <si>
    <t>15 Year</t>
  </si>
  <si>
    <t>SIR</t>
  </si>
  <si>
    <t>Required Customer Contribution</t>
  </si>
  <si>
    <t>-or-</t>
  </si>
  <si>
    <t>Required FY Savings</t>
  </si>
  <si>
    <t>LoanPrincipal Compliance Value</t>
  </si>
  <si>
    <t xml:space="preserve"> Savings Compliance value</t>
  </si>
  <si>
    <t>LoanPrincipal Compliance Value (1/12)</t>
  </si>
  <si>
    <t xml:space="preserve"> FY Savings Compliance value (1/12)</t>
  </si>
  <si>
    <t>Monthly Cash flow (1/12)</t>
  </si>
  <si>
    <t>LoanPrincipal Compliance Value (Payback)</t>
  </si>
  <si>
    <t xml:space="preserve"> FY Savings Compliance value (Payback)</t>
  </si>
  <si>
    <t>Payback Period</t>
  </si>
  <si>
    <t>Loan Calculator</t>
  </si>
  <si>
    <t xml:space="preserve"> Personal Loan</t>
  </si>
  <si>
    <t>Loan Information</t>
  </si>
  <si>
    <t>Loan Amount (Above)</t>
  </si>
  <si>
    <t xml:space="preserve">Term in Years    </t>
  </si>
  <si>
    <t>Interest</t>
  </si>
  <si>
    <t>Payment Information</t>
  </si>
  <si>
    <t>Monthly Payment</t>
  </si>
  <si>
    <t>Total Invested</t>
  </si>
  <si>
    <t>Interest Accrued</t>
  </si>
  <si>
    <t>Savings After Improvement</t>
  </si>
  <si>
    <t>Monthly</t>
  </si>
  <si>
    <t>Dollar Savings</t>
  </si>
  <si>
    <t>Loan Payment Amount</t>
  </si>
  <si>
    <t>Net</t>
  </si>
  <si>
    <t>Project Lifetime Energy Savings</t>
  </si>
  <si>
    <t>Simple Payback Period (Years)</t>
  </si>
  <si>
    <t>Average Measure Life (Years)</t>
  </si>
  <si>
    <t>City, State, Zip:</t>
  </si>
  <si>
    <t>Notes</t>
  </si>
  <si>
    <t>NYSERDA Notes</t>
  </si>
  <si>
    <t xml:space="preserve">Reviewed by </t>
  </si>
  <si>
    <t>Savings Account</t>
  </si>
  <si>
    <t>Measure</t>
  </si>
  <si>
    <t>Life</t>
  </si>
  <si>
    <t>Yes</t>
  </si>
  <si>
    <t>Insulation TRC Eligible?</t>
  </si>
  <si>
    <t>CASH BACK HOI AND FINANCING INCENTIVE</t>
  </si>
  <si>
    <t>FINANCING INCENTIVE ONLY</t>
  </si>
  <si>
    <t>Certificate of Deposit (CD)</t>
  </si>
  <si>
    <t>Annual</t>
  </si>
  <si>
    <t>HEMI</t>
  </si>
  <si>
    <t>No</t>
  </si>
  <si>
    <t>Yes-Program Rules for Insulation</t>
  </si>
  <si>
    <t>Category</t>
  </si>
  <si>
    <t>Minimum Efficiency Requirements</t>
  </si>
  <si>
    <t>Measure Life Category</t>
  </si>
  <si>
    <t>Loan Term</t>
  </si>
  <si>
    <t>Envelope - Roof Insulation</t>
  </si>
  <si>
    <t>Assisted</t>
  </si>
  <si>
    <t>Yes-TRC Screening Tool</t>
  </si>
  <si>
    <t xml:space="preserve">Envelope- Rim Joist Insulation </t>
  </si>
  <si>
    <t>No-Fails TRC</t>
  </si>
  <si>
    <t xml:space="preserve">Furnace – Natural Gas **1,2 </t>
  </si>
  <si>
    <t>Primary Heating and Cooling System</t>
  </si>
  <si>
    <t xml:space="preserve">AFUE 92% (as long as not prohibited by local codes). Furnaces with ECM Motor allowed. </t>
  </si>
  <si>
    <t>Replacement Windows</t>
  </si>
  <si>
    <t>Building Shell</t>
  </si>
  <si>
    <t xml:space="preserve">ENERGY STAR for climate/region </t>
  </si>
  <si>
    <t xml:space="preserve">Envelope- Ceiling Insulation </t>
  </si>
  <si>
    <t>Furnace – LP **1,2</t>
  </si>
  <si>
    <t>Storm Windows and Storm Doors</t>
  </si>
  <si>
    <t xml:space="preserve">No minimum efficiency requirement </t>
  </si>
  <si>
    <t xml:space="preserve">Envelope- Floor Insulation </t>
  </si>
  <si>
    <t>CAC TRC Eligible?</t>
  </si>
  <si>
    <t xml:space="preserve">Furnace – Fuel Oil **1,2 </t>
  </si>
  <si>
    <t xml:space="preserve">AFUE 85% </t>
  </si>
  <si>
    <t>Movable Window Insulation</t>
  </si>
  <si>
    <t xml:space="preserve">R-3 </t>
  </si>
  <si>
    <t>Envelope - Wall Insulation</t>
  </si>
  <si>
    <t>Yes-ConEd or Central Hudson Utility Area</t>
  </si>
  <si>
    <t>Boiler - Condensing **1</t>
  </si>
  <si>
    <t xml:space="preserve">AFUE 90% </t>
  </si>
  <si>
    <t>Exterior Doors</t>
  </si>
  <si>
    <t>HVAC - Central AC/HP</t>
  </si>
  <si>
    <t>Boiler – Hot Water **1</t>
  </si>
  <si>
    <t xml:space="preserve">Air Source Heat Pump (electric split systems) **1,2 </t>
  </si>
  <si>
    <t xml:space="preserve">14.5 SEER / 12 EER / 8.5 HSPF </t>
  </si>
  <si>
    <t>Boiler – Steam **1</t>
  </si>
  <si>
    <t xml:space="preserve">AFUE 82% (size must be matched to cumulative capacity of connected radiators, per Institute of Boilers &amp; Radiator Mfrs (IBR) standards) </t>
  </si>
  <si>
    <t xml:space="preserve">Ground Source Heat Pump **1,2 </t>
  </si>
  <si>
    <t xml:space="preserve">ENERGY STAR Qualified (closed-loop, open-loop, or direct expansion) </t>
  </si>
  <si>
    <t>Boiler Reset Controls</t>
  </si>
  <si>
    <t>Programmed properly per manufacturer’s specifications and site conditions. Maximum price of $250.</t>
  </si>
  <si>
    <t>Wood/or Solid Fuel Pellet Stove **1</t>
  </si>
  <si>
    <t xml:space="preserve">EPA phase 2 (Solid fuel pellet stoves are exempt from EPA Phase 2) </t>
  </si>
  <si>
    <t>Heat Pump Water Heater TRC Eligible?</t>
  </si>
  <si>
    <t xml:space="preserve">Distribution Improvements in Oil or Propane Heated Homes **1,3 </t>
  </si>
  <si>
    <t xml:space="preserve">Installed in accordance with all applicable state and local codes </t>
  </si>
  <si>
    <t>Distribution Improvements (NG or Electricity Heated Homes) **1,3</t>
  </si>
  <si>
    <t>Installed in accordance with all applicable state and local codes.</t>
  </si>
  <si>
    <t>Duct Sealing **1</t>
  </si>
  <si>
    <t xml:space="preserve">UL 181B Mastic or other permanent sealant; use of duct tape is disallowed </t>
  </si>
  <si>
    <t>Solar Thermal **1</t>
  </si>
  <si>
    <t xml:space="preserve">OG-300 certification from SRCC. SF 0.5. Warranty: 10 years-collector, 6 years-storage tank. 2 years-control. 1 year-piping and parts. </t>
  </si>
  <si>
    <t>Pipe Insulation - Natural Gas **1</t>
  </si>
  <si>
    <t xml:space="preserve">Water Heater - Natural Gas </t>
  </si>
  <si>
    <t xml:space="preserve">Water Heater </t>
  </si>
  <si>
    <t xml:space="preserve">&lt;51 gallon EF.63 / &gt;51 gallon EF.53 </t>
  </si>
  <si>
    <t>Pipe Insulation - Electric **1</t>
  </si>
  <si>
    <t>Water Heater - Natural Gas, Instantaneous</t>
  </si>
  <si>
    <t xml:space="preserve">Instantaneous: EF .78 </t>
  </si>
  <si>
    <t>LED TRC Eligible?</t>
  </si>
  <si>
    <t xml:space="preserve">Central Air Conditioner (split system) **1,4 </t>
  </si>
  <si>
    <t xml:space="preserve">AHRI Certificate Required. 14.5 SEER / 12 EER. Except in Con Edison and Central Hudson electric territory, this measure is subject to site-specific analysis and pre-approval by CSG in order to determine eligibility. </t>
  </si>
  <si>
    <t xml:space="preserve">Water Heater - Electric </t>
  </si>
  <si>
    <t xml:space="preserve">EF .93 </t>
  </si>
  <si>
    <t>Yes-on the Eligible LED list</t>
  </si>
  <si>
    <t>Programmable Thermostat **1</t>
  </si>
  <si>
    <t xml:space="preserve">5+2 day programmable thermostat. Limited to one thermostat installed per unit. </t>
  </si>
  <si>
    <t xml:space="preserve">Hot Water Tank Insulation - Natural Gas or Electric </t>
  </si>
  <si>
    <t xml:space="preserve">R-10 </t>
  </si>
  <si>
    <t xml:space="preserve">Insulation (attic, wall, floor, band joist, basement, crawl space) </t>
  </si>
  <si>
    <t>Must be accompanied by blower door assisted air sealing per BPI and program guidelines.  Those measures falling outside of the "Program Rules for Insulation Policy" must pass the "TRC Screening Tool" (see tab below).</t>
  </si>
  <si>
    <t xml:space="preserve">Dishwasher </t>
  </si>
  <si>
    <t>Appliances &amp; Lighting</t>
  </si>
  <si>
    <t xml:space="preserve">ENERGY STAR Qualified </t>
  </si>
  <si>
    <t xml:space="preserve">Air Sealing </t>
  </si>
  <si>
    <t xml:space="preserve">Supervised by professional; blower door assisted per BPI and program guidelines </t>
  </si>
  <si>
    <t xml:space="preserve">Clothes washer </t>
  </si>
  <si>
    <t xml:space="preserve">Water Heater - Propane or Oil </t>
  </si>
  <si>
    <t>LEDs **5</t>
  </si>
  <si>
    <t>Water Heater - Propane or Oil, Instantaneous</t>
  </si>
  <si>
    <t>Light Fixtures **5</t>
  </si>
  <si>
    <t xml:space="preserve">ENERGY STAR Qualified for compact fluorescent, or electronic ballast for fluorescent tubes </t>
  </si>
  <si>
    <t xml:space="preserve">Water Heater - Indirect-Fired Tank </t>
  </si>
  <si>
    <t xml:space="preserve">UL Approved </t>
  </si>
  <si>
    <t xml:space="preserve">Smoke Detectors, Radon Detectors, and CO Detectors </t>
  </si>
  <si>
    <t>Health and Safety</t>
  </si>
  <si>
    <t xml:space="preserve">Hard wired or battery operated </t>
  </si>
  <si>
    <t xml:space="preserve">Hot Water Tank Insulation – Oil or Propane </t>
  </si>
  <si>
    <t xml:space="preserve">Ventilation Fans (Whole house fans or similar attic exhaust fans are not eligible) </t>
  </si>
  <si>
    <t xml:space="preserve">ENERGY STAR Qualified (must vent to exterior of building shell) </t>
  </si>
  <si>
    <t>Heat Pump Water Heater</t>
  </si>
  <si>
    <t>Subject to site-specific TRC analysis and pre-approval by CSG in order to determine eligibility.  See "TRC Screening Tool" tab.</t>
  </si>
  <si>
    <t xml:space="preserve">Repairs/upgrades to heating and/or DHW systems to correct spillage, inadequate draft, CO failures </t>
  </si>
  <si>
    <t xml:space="preserve">Per code and/or manufacturer specifications, as appropriate </t>
  </si>
  <si>
    <t xml:space="preserve">Faucet Aerator </t>
  </si>
  <si>
    <t xml:space="preserve">Conservation </t>
  </si>
  <si>
    <t xml:space="preserve">Measures to provide sufficient combustion air and prevent CAZ depressurization, spillage or inadequate draft </t>
  </si>
  <si>
    <t xml:space="preserve">Allowed when BPI-required combustion safety tests indicate problem(s) with CAZ depressurization, draft or spillage, per BPI standards </t>
  </si>
  <si>
    <t xml:space="preserve">Low Flow Showerhead </t>
  </si>
  <si>
    <t xml:space="preserve">Maximum flow rate of 1.5 gallons per minute. Aerating type showerheads not eligible. </t>
  </si>
  <si>
    <t xml:space="preserve">Gas leak repair </t>
  </si>
  <si>
    <t xml:space="preserve">Repaired in compliance with applicable codes </t>
  </si>
  <si>
    <t>Refrigerator **5</t>
  </si>
  <si>
    <t xml:space="preserve">Appliances &amp; Lighting </t>
  </si>
  <si>
    <t xml:space="preserve">ENERGY STAR Qualified. Existing refrigerators must be greater than 10 years old to be eligible for replacement. </t>
  </si>
  <si>
    <t xml:space="preserve">Dry vent repair </t>
  </si>
  <si>
    <t>Freezer **5</t>
  </si>
  <si>
    <t xml:space="preserve">Heat/Energy Recovery Ventilator </t>
  </si>
  <si>
    <t>Dehumidifier **5</t>
  </si>
  <si>
    <t xml:space="preserve">Gas Oven Replacements, venting repairs and repairs to reduce carbon monoxide </t>
  </si>
  <si>
    <t xml:space="preserve">UL Listed Gas Ovens </t>
  </si>
  <si>
    <t>Room Air Conditioner **5</t>
  </si>
  <si>
    <t>Other</t>
  </si>
  <si>
    <t>CFLs **5</t>
  </si>
  <si>
    <t>Please refer to the Contractor Support Site portal for a list of eligible LEDs.</t>
  </si>
  <si>
    <t>NYSERDA Project Number</t>
  </si>
  <si>
    <t>Cash Flow Eligibility</t>
  </si>
  <si>
    <t xml:space="preserve">Loans &gt;$13,000 Payback Must be &lt;=15 Years  </t>
  </si>
  <si>
    <r>
      <rPr>
        <b/>
        <sz val="10"/>
        <color indexed="8"/>
        <rFont val="Times New Roman"/>
        <family val="1"/>
      </rPr>
      <t>OBR-</t>
    </r>
    <r>
      <rPr>
        <sz val="10"/>
        <color indexed="8"/>
        <rFont val="Times New Roman"/>
        <family val="1"/>
      </rPr>
      <t xml:space="preserve"> 1/12th Rule                                                   </t>
    </r>
    <r>
      <rPr>
        <b/>
        <sz val="10"/>
        <color indexed="8"/>
        <rFont val="Times New Roman"/>
        <family val="1"/>
      </rPr>
      <t xml:space="preserve">Smart Energy- </t>
    </r>
    <r>
      <rPr>
        <sz val="10"/>
        <color indexed="8"/>
        <rFont val="Times New Roman"/>
        <family val="1"/>
      </rPr>
      <t xml:space="preserve">loan term &lt;= average measure life </t>
    </r>
  </si>
  <si>
    <t>Natural Gas</t>
  </si>
  <si>
    <t>Electric</t>
  </si>
  <si>
    <t>Oil</t>
  </si>
  <si>
    <t>Propane</t>
  </si>
  <si>
    <t>Annual Value of Energy Displaced</t>
  </si>
  <si>
    <t>customer contributionn required</t>
  </si>
  <si>
    <t>Minimum Customer Contribution Needed</t>
  </si>
  <si>
    <t>#2 Oil</t>
  </si>
  <si>
    <t>Drop-down for C9</t>
  </si>
  <si>
    <t>Drop-down for C17</t>
  </si>
  <si>
    <t>Conversion to Btu</t>
  </si>
  <si>
    <t>Drop Options</t>
  </si>
  <si>
    <t>Please Select</t>
  </si>
  <si>
    <t>kWh</t>
  </si>
  <si>
    <t>Gallons</t>
  </si>
  <si>
    <t>Cords</t>
  </si>
  <si>
    <t>per kWh</t>
  </si>
  <si>
    <t>per Gallon</t>
  </si>
  <si>
    <t>per Cord</t>
  </si>
  <si>
    <t>MMBtu</t>
  </si>
  <si>
    <t>Tons</t>
  </si>
  <si>
    <t>per Ton</t>
  </si>
  <si>
    <t>NYSERDA RHNY Incentive</t>
  </si>
  <si>
    <t>RHNY Installer/Contractor Information</t>
  </si>
  <si>
    <t>Btu / kWh</t>
  </si>
  <si>
    <t>Btu / gallon</t>
  </si>
  <si>
    <t>Btu / cord</t>
  </si>
  <si>
    <t>Existing (Pre-work) Heating Source(s)</t>
  </si>
  <si>
    <t>OR</t>
  </si>
  <si>
    <t>Cord Wood</t>
  </si>
  <si>
    <t>Primary Useful MMBtus (Annual)</t>
  </si>
  <si>
    <t>Calculated Historical Annual Primary Fuel Cost</t>
  </si>
  <si>
    <t>Calculated Historical Annual Supplemental Fuel Cost</t>
  </si>
  <si>
    <t>Total MMBtu's Needed</t>
  </si>
  <si>
    <t>Anticipated Annual Fuel Cost ($)</t>
  </si>
  <si>
    <t>Electricity</t>
  </si>
  <si>
    <t>Projected Annual Fuel Savings in Dollars Saved</t>
  </si>
  <si>
    <t xml:space="preserve"> #2 Oil</t>
  </si>
  <si>
    <t>Historical Fuel Use (Gallons, kWh, Full Cords, etc.)</t>
  </si>
  <si>
    <t>Local Fuel Price ($ per Gallon, kWh, Full Cord, etc.)</t>
  </si>
  <si>
    <t>Historical Supplemental Fuel Use (kWh, Full Cords, Tons of Pellets, etc.)</t>
  </si>
  <si>
    <t>Local Fuel Price ($ per kWh, Full  Cord, Ton of Pellets, etc.)</t>
  </si>
  <si>
    <t>Supplemental Heating -  Useful MMBtus (Annual)</t>
  </si>
  <si>
    <t>Projected Savings Due to Heating System Conversion</t>
  </si>
  <si>
    <t xml:space="preserve"> Installer/Contractor Notes</t>
  </si>
  <si>
    <t>Post-Incentive Costs:</t>
  </si>
  <si>
    <t>Standardized Values for Fuels:</t>
  </si>
  <si>
    <t>Actual 3 Year Average May Be Used.</t>
  </si>
  <si>
    <t>Pellet Stove REBATE</t>
  </si>
  <si>
    <t>RebateAMT</t>
  </si>
  <si>
    <t>Renewable Heat NY - Pellet Stove Project and REBATE Information</t>
  </si>
  <si>
    <t>Market-rate customer, recycling required</t>
  </si>
  <si>
    <t>Income qualified customer, no recycling necessary</t>
  </si>
  <si>
    <t>Income qualified customer, applying the option of recycling</t>
  </si>
  <si>
    <t xml:space="preserve">Pellet Stove REBATE Type: </t>
  </si>
  <si>
    <t>Pellet</t>
  </si>
  <si>
    <t xml:space="preserve">Btu/ton </t>
  </si>
  <si>
    <t>MainHeatingSystem</t>
  </si>
  <si>
    <t>HeatingFuelType</t>
  </si>
  <si>
    <t>non-ordered list</t>
  </si>
  <si>
    <t>ordered list for v-lookup</t>
  </si>
  <si>
    <t xml:space="preserve">Total Square Foot of Home </t>
  </si>
  <si>
    <t>Percent of Home Heated  by New Unit</t>
  </si>
  <si>
    <t>%</t>
  </si>
  <si>
    <t>Calculated Biomass Fuel Needed (Pellets in Tons)</t>
  </si>
  <si>
    <t>Primary Fuel Used:</t>
  </si>
  <si>
    <t xml:space="preserve">Secondary Fuel Used - If Any: </t>
  </si>
  <si>
    <t>Fuel For Balance of BTU's:</t>
  </si>
  <si>
    <t>MUST MATCH A FUEL ABOVE</t>
  </si>
  <si>
    <t>Simple Payback for Total Cost of Project (Years)</t>
  </si>
  <si>
    <t>Simple Payback for Project Cost Less Incentive (Years)</t>
  </si>
  <si>
    <t>v0.1 (2015)</t>
  </si>
  <si>
    <t>Total MMBtu's Needed as Supplied by New Stove or Insert (from Pellets)</t>
  </si>
  <si>
    <t>Vlookup for H10</t>
  </si>
  <si>
    <t>Vlookup C17:  I18,I19,I20</t>
  </si>
  <si>
    <t>Vlookup C24:  I25,I26,I27</t>
  </si>
  <si>
    <t>Drop-down for C24</t>
  </si>
  <si>
    <t xml:space="preserve">16,000,000 Btu/ton x 0.45 efficiency = 7,200,000 Btu/ton </t>
  </si>
  <si>
    <t xml:space="preserve">Btu / ton </t>
  </si>
  <si>
    <t>3412 Btu / kWh x 1.0 efficiency = 3412 Btu / kWh</t>
  </si>
  <si>
    <t>22,000,000 btu/cord x 0.5 efficiency = 11,000,000 Btu / cord</t>
  </si>
  <si>
    <t>NewHeatingSystem</t>
  </si>
  <si>
    <t>Calculating New Fuel Costs</t>
  </si>
  <si>
    <t xml:space="preserve">16,000,000 Btu/ton x 0.70 efficiency = 11,200,000 Btu/ton </t>
  </si>
  <si>
    <t>Kerosene</t>
  </si>
  <si>
    <t>For table at C32 center, max fuel values…</t>
  </si>
  <si>
    <t>139,000 Btu / gallon oil x 0.80 efficiency  =  111,200 Btu / gallon</t>
  </si>
  <si>
    <t>134,000 Btu / gallon kerosene x 0.80 efficiency = 107,200</t>
  </si>
  <si>
    <t>Btu/ gallon</t>
  </si>
  <si>
    <t xml:space="preserve"> </t>
  </si>
  <si>
    <t>91,500 Btu / gallon propane x 0.85 efficiency = 77,775 Btu / gallon</t>
  </si>
  <si>
    <t>Annual Fuel Use - Average The Units Used Over Several Years</t>
  </si>
  <si>
    <t xml:space="preserve">For issues contact: </t>
  </si>
  <si>
    <t>pelletstoves@nyserda.ny.gov</t>
  </si>
  <si>
    <t>Local Fuel Price $ / Ton of Pellets, Bagged or Bulk:</t>
  </si>
  <si>
    <r>
      <rPr>
        <u/>
        <sz val="12"/>
        <color indexed="8"/>
        <rFont val="Times New Roman"/>
        <family val="1"/>
      </rPr>
      <t>Minimum</t>
    </r>
    <r>
      <rPr>
        <sz val="12"/>
        <color indexed="8"/>
        <rFont val="Times New Roman"/>
        <family val="1"/>
      </rPr>
      <t xml:space="preserve"> Price $ / Ton here </t>
    </r>
    <r>
      <rPr>
        <b/>
        <sz val="12"/>
        <color indexed="8"/>
        <rFont val="Times New Roman"/>
        <family val="1"/>
      </rPr>
      <t>$210.00</t>
    </r>
  </si>
  <si>
    <t>Month</t>
  </si>
  <si>
    <t>Wood Delivered</t>
  </si>
  <si>
    <t>$/gallon</t>
  </si>
  <si>
    <t>$/kWh</t>
  </si>
  <si>
    <t>$/Mcf</t>
  </si>
  <si>
    <t>2014-2015 AVERAGE</t>
  </si>
  <si>
    <t xml:space="preserve">         NYS  Retail Prices (units)</t>
  </si>
  <si>
    <t>minus 5%</t>
  </si>
  <si>
    <t>minus 10%</t>
  </si>
  <si>
    <t>minus 15%</t>
  </si>
  <si>
    <t>Aug 2014 to July 2015</t>
  </si>
  <si>
    <t>$3.66 / Gallon</t>
  </si>
  <si>
    <t>$4.16 / Gallon</t>
  </si>
  <si>
    <t>$2.97 / Gallon</t>
  </si>
  <si>
    <t>$0.211 / kWh</t>
  </si>
  <si>
    <t xml:space="preserve"> $250 / Cord, delivered</t>
  </si>
  <si>
    <t>Wood Pellet  $260 / Ton</t>
  </si>
  <si>
    <t>non-ordered list   Drop Box</t>
  </si>
  <si>
    <t>Max Rebate</t>
  </si>
  <si>
    <t>Rebate</t>
  </si>
  <si>
    <t>Home Owner Average Fuel Costs</t>
  </si>
  <si>
    <t>Table: NYS Average Fuel Costs with  10% High Cost Buffer Added</t>
  </si>
  <si>
    <t>*Input of homeowner average fuel costs greater than these (above) will require submission of billing data.</t>
  </si>
  <si>
    <t>*</t>
  </si>
  <si>
    <t>*Local Fuel Price ($ per Gallon, kWh, Full Cord, etc.)</t>
  </si>
  <si>
    <t>*Local Fuel Price ($ per kWh, Full  Cord, Ton of Pellets, etc.)</t>
  </si>
  <si>
    <t>$ / gallon</t>
  </si>
  <si>
    <t>$ / kWh</t>
  </si>
  <si>
    <t>$ / cord</t>
  </si>
  <si>
    <t>$ / ton</t>
  </si>
  <si>
    <t>$ / therm</t>
  </si>
  <si>
    <t>Nat Gas</t>
  </si>
  <si>
    <t xml:space="preserve">(Found on Next Page) </t>
  </si>
  <si>
    <t>Loan Amount  (minimum $1,500)</t>
  </si>
  <si>
    <t>Preapproved Interest Rate</t>
  </si>
  <si>
    <t>On-Bill Recover Loan &amp; Smart Energy Loan – Autopay</t>
  </si>
  <si>
    <t>Smart Energy Loan – Pay by Mail</t>
  </si>
  <si>
    <t>hidden rows for loan calculation -  101 To 184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</si>
</sst>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
    <numFmt numFmtId="167" formatCode="&quot;$&quot;#,##0.00_);[Red]\(&quot;$&quot;#,##0.00\);&quot;&quot;"/>
    <numFmt numFmtId="168" formatCode="#,##0_);[Red]\(#,##0\);&quot;&quot;"/>
    <numFmt numFmtId="169" formatCode="0.0"/>
    <numFmt numFmtId="170" formatCode="0.0000000000E+00"/>
    <numFmt numFmtId="171" formatCode="_(* #,##0.0_);_(* \(#,##0.0\);_(* &quot;-&quot;??_);_(@_)"/>
    <numFmt numFmtId="172" formatCode="_(&quot;$&quot;* #,##0.000_);_(&quot;$&quot;* \(#,##0.000\);_(&quot;$&quot;* &quot;-&quot;??_);_(@_)"/>
    <numFmt numFmtId="173" formatCode="_(&quot;$&quot;* #,##0.00_);_(&quot;$&quot;* \(#,##0.00\);_(&quot;$&quot;* &quot;-&quot;???_);_(@_)"/>
    <numFmt numFmtId="174" formatCode="_(&quot;$&quot;* #,##0.000_);_(&quot;$&quot;* \(#,##0.000\);_(&quot;$&quot;* &quot;-&quot;???_);_(@_)"/>
  </numFmts>
  <fonts count="53">
    <font>
      <sz val="11"/>
      <color theme="1"/>
      <name val="Calibri"/>
      <family val="2"/>
      <scheme val="minor"/>
    </font>
    <font>
      <sz val="12"/>
      <color indexed="8"/>
      <name val="Times New Roman"/>
      <family val="1"/>
    </font>
    <font>
      <b/>
      <sz val="12"/>
      <color indexed="8"/>
      <name val="Times New Roman"/>
      <family val="1"/>
    </font>
    <font>
      <sz val="12"/>
      <name val="Times New Roman"/>
      <family val="1"/>
    </font>
    <font>
      <sz val="10"/>
      <color indexed="8"/>
      <name val="Times New Roman"/>
      <family val="1"/>
    </font>
    <font>
      <b/>
      <sz val="10"/>
      <color indexed="8"/>
      <name val="Times New Roman"/>
      <family val="1"/>
    </font>
    <font>
      <sz val="9"/>
      <name val="Geneva"/>
      <family val="2"/>
    </font>
    <font>
      <sz val="9"/>
      <color indexed="12"/>
      <name val="Geneva"/>
      <family val="2"/>
    </font>
    <font>
      <b/>
      <sz val="9"/>
      <color indexed="12"/>
      <name val="Geneva"/>
      <family val="2"/>
    </font>
    <font>
      <sz val="10"/>
      <name val="Arial"/>
      <family val="2"/>
    </font>
    <font>
      <sz val="11"/>
      <color indexed="8"/>
      <name val="Calibri"/>
      <family val="2"/>
    </font>
    <font>
      <sz val="9"/>
      <color indexed="10"/>
      <name val="Geneva"/>
      <family val="2"/>
    </font>
    <font>
      <sz val="10"/>
      <name val="Geneva"/>
      <family val="2"/>
    </font>
    <font>
      <sz val="10"/>
      <color indexed="62"/>
      <name val="Arial"/>
      <family val="2"/>
    </font>
    <font>
      <sz val="10"/>
      <color indexed="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u/>
      <sz val="12"/>
      <color indexed="8"/>
      <name val="Times New Roman"/>
      <family val="1"/>
    </font>
    <font>
      <b/>
      <sz val="12"/>
      <name val="Times New Roman"/>
      <family val="1"/>
    </font>
    <font>
      <sz val="11"/>
      <color theme="1"/>
      <name val="Calibri"/>
      <family val="2"/>
      <scheme val="minor"/>
    </font>
    <font>
      <u/>
      <sz val="7.05"/>
      <color theme="10"/>
      <name val="Calibri"/>
      <family val="2"/>
    </font>
    <font>
      <u/>
      <sz val="11"/>
      <color theme="10"/>
      <name val="Calibri"/>
      <family val="2"/>
    </font>
    <font>
      <sz val="12"/>
      <color theme="1"/>
      <name val="Times New Roman"/>
      <family val="1"/>
    </font>
    <font>
      <b/>
      <sz val="12"/>
      <color theme="1"/>
      <name val="Times New Roman"/>
      <family val="1"/>
    </font>
    <font>
      <sz val="12"/>
      <color rgb="FF000000"/>
      <name val="Times New Roman"/>
      <family val="1"/>
    </font>
    <font>
      <sz val="10"/>
      <color theme="1"/>
      <name val="Times New Roman"/>
      <family val="1"/>
    </font>
    <font>
      <sz val="12"/>
      <color rgb="FFFF0000"/>
      <name val="Times New Roman"/>
      <family val="1"/>
    </font>
    <font>
      <sz val="16"/>
      <color theme="1"/>
      <name val="Calibri"/>
      <family val="2"/>
      <scheme val="minor"/>
    </font>
    <font>
      <b/>
      <sz val="16"/>
      <color theme="1"/>
      <name val="Calibri"/>
      <family val="2"/>
      <scheme val="minor"/>
    </font>
    <font>
      <sz val="16"/>
      <name val="Calibri"/>
      <family val="2"/>
      <scheme val="minor"/>
    </font>
    <font>
      <b/>
      <sz val="14"/>
      <color theme="1"/>
      <name val="Calibri"/>
      <family val="2"/>
      <scheme val="minor"/>
    </font>
    <font>
      <sz val="14"/>
      <color rgb="FF000000"/>
      <name val="Calibri"/>
      <family val="2"/>
      <scheme val="minor"/>
    </font>
    <font>
      <sz val="14"/>
      <color theme="1"/>
      <name val="Calibri"/>
      <family val="2"/>
      <scheme val="minor"/>
    </font>
    <font>
      <sz val="11"/>
      <color theme="1"/>
      <name val="Times New Roman"/>
      <family val="1"/>
    </font>
    <font>
      <b/>
      <sz val="11"/>
      <color theme="1"/>
      <name val="Times New Roman"/>
      <family val="1"/>
    </font>
    <font>
      <sz val="11"/>
      <color rgb="FF000000"/>
      <name val="Times New Roman"/>
      <family val="1"/>
    </font>
    <font>
      <sz val="14"/>
      <color theme="1"/>
      <name val="Times New Roman"/>
      <family val="1"/>
    </font>
    <font>
      <u/>
      <sz val="12"/>
      <color theme="10"/>
      <name val="Calibri"/>
      <family val="2"/>
    </font>
    <font>
      <b/>
      <sz val="12"/>
      <color rgb="FFFF0000"/>
      <name val="Times New Roman"/>
      <family val="1"/>
    </font>
    <font>
      <u/>
      <sz val="12"/>
      <color theme="1"/>
      <name val="Times New Roman"/>
      <family val="1"/>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7"/>
        <bgColor indexed="64"/>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29"/>
        <bgColor indexed="64"/>
      </patternFill>
    </fill>
    <fill>
      <patternFill patternType="solid">
        <fgColor theme="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3" tint="0.59999389629810485"/>
        <bgColor indexed="64"/>
      </patternFill>
    </fill>
  </fills>
  <borders count="72">
    <border>
      <left/>
      <right/>
      <top/>
      <bottom/>
      <diagonal/>
    </border>
    <border>
      <left style="hair">
        <color indexed="64"/>
      </left>
      <right style="thin">
        <color indexed="64"/>
      </right>
      <top/>
      <bottom/>
      <diagonal/>
    </border>
    <border>
      <left style="thin">
        <color indexed="22"/>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thin">
        <color indexed="63"/>
      </left>
      <right style="thin">
        <color indexed="63"/>
      </right>
      <top style="thin">
        <color indexed="63"/>
      </top>
      <bottom style="thin">
        <color indexed="63"/>
      </bottom>
      <diagonal/>
    </border>
    <border>
      <left style="thin">
        <color indexed="64"/>
      </left>
      <right/>
      <top/>
      <bottom style="hair">
        <color indexed="64"/>
      </bottom>
      <diagonal/>
    </border>
    <border>
      <left/>
      <right/>
      <top style="thin">
        <color indexed="23"/>
      </top>
      <bottom style="thin">
        <color indexed="12"/>
      </bottom>
      <diagonal/>
    </border>
    <border>
      <left/>
      <right/>
      <top style="thin">
        <color indexed="21"/>
      </top>
      <bottom/>
      <diagonal/>
    </border>
    <border>
      <left/>
      <right/>
      <top style="thin">
        <color indexed="62"/>
      </top>
      <bottom style="double">
        <color indexed="62"/>
      </bottom>
      <diagonal/>
    </border>
    <border>
      <left style="hair">
        <color indexed="64"/>
      </left>
      <right/>
      <top/>
      <bottom style="hair">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s>
  <cellStyleXfs count="94">
    <xf numFmtId="0" fontId="0" fillId="0" borderId="0"/>
    <xf numFmtId="10" fontId="6" fillId="0" borderId="1" applyFont="0" applyFill="0" applyBorder="0" applyAlignment="0" applyProtection="0">
      <alignment horizontal="right"/>
    </xf>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3" fontId="7" fillId="0" borderId="0" applyNumberFormat="0" applyFill="0" applyBorder="0" applyAlignment="0" applyProtection="0"/>
    <xf numFmtId="3" fontId="8" fillId="0" borderId="0" applyNumberFormat="0" applyFill="0" applyBorder="0" applyAlignment="0" applyProtection="0"/>
    <xf numFmtId="166" fontId="6" fillId="0" borderId="2" applyNumberFormat="0" applyFont="0" applyFill="0" applyAlignment="0">
      <protection locked="0"/>
    </xf>
    <xf numFmtId="0" fontId="18" fillId="20" borderId="3" applyNumberFormat="0" applyAlignment="0" applyProtection="0"/>
    <xf numFmtId="0" fontId="19" fillId="21" borderId="4" applyNumberFormat="0" applyAlignment="0" applyProtection="0"/>
    <xf numFmtId="43" fontId="3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7" fontId="9" fillId="0" borderId="0" applyFont="0" applyBorder="0" applyAlignment="0">
      <alignment horizontal="center"/>
    </xf>
    <xf numFmtId="167" fontId="9" fillId="0" borderId="0" applyFont="0" applyBorder="0" applyAlignment="0">
      <alignment horizontal="center"/>
    </xf>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13" fillId="7" borderId="3" applyNumberFormat="0" applyAlignment="0" applyProtection="0"/>
    <xf numFmtId="4" fontId="7" fillId="22" borderId="8" applyNumberFormat="0" applyFont="0" applyBorder="0" applyAlignment="0" applyProtection="0"/>
    <xf numFmtId="0" fontId="25" fillId="0" borderId="9" applyNumberFormat="0" applyFill="0" applyAlignment="0" applyProtection="0"/>
    <xf numFmtId="0" fontId="26" fillId="23" borderId="0" applyNumberFormat="0" applyBorder="0" applyAlignment="0" applyProtection="0"/>
    <xf numFmtId="0" fontId="32" fillId="0" borderId="0"/>
    <xf numFmtId="0" fontId="32" fillId="0" borderId="0"/>
    <xf numFmtId="0" fontId="9"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2" fillId="0" borderId="0"/>
    <xf numFmtId="0" fontId="9" fillId="24" borderId="10" applyNumberFormat="0" applyFont="0" applyAlignment="0" applyProtection="0"/>
    <xf numFmtId="168" fontId="9" fillId="0" borderId="11" applyFont="0" applyFill="0" applyBorder="0" applyAlignment="0" applyProtection="0">
      <alignment horizontal="center"/>
    </xf>
    <xf numFmtId="168" fontId="9" fillId="0" borderId="11" applyFont="0" applyFill="0" applyBorder="0" applyAlignment="0" applyProtection="0">
      <alignment horizontal="center"/>
    </xf>
    <xf numFmtId="3" fontId="6" fillId="25" borderId="8" applyNumberFormat="0" applyFont="0" applyBorder="0" applyAlignment="0" applyProtection="0"/>
    <xf numFmtId="0" fontId="27" fillId="20" borderId="12" applyNumberFormat="0" applyAlignment="0" applyProtection="0"/>
    <xf numFmtId="9" fontId="3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32" fillId="0" borderId="0" applyFont="0" applyFill="0" applyBorder="0" applyAlignment="0" applyProtection="0"/>
    <xf numFmtId="10" fontId="6" fillId="26" borderId="0" applyNumberFormat="0" applyFont="0" applyBorder="0" applyAlignment="0" applyProtection="0"/>
    <xf numFmtId="3" fontId="11" fillId="0" borderId="13" applyNumberFormat="0" applyFill="0" applyBorder="0" applyAlignment="0" applyProtection="0">
      <protection locked="0"/>
    </xf>
    <xf numFmtId="169" fontId="7" fillId="0" borderId="14" applyNumberFormat="0" applyFont="0" applyFill="0" applyAlignment="0" applyProtection="0"/>
    <xf numFmtId="0" fontId="28" fillId="0" borderId="0" applyNumberFormat="0" applyFill="0" applyBorder="0" applyAlignment="0" applyProtection="0"/>
    <xf numFmtId="3" fontId="6" fillId="0" borderId="15" applyNumberFormat="0" applyFont="0" applyFill="0" applyAlignment="0" applyProtection="0">
      <alignment horizontal="right"/>
    </xf>
    <xf numFmtId="0" fontId="29" fillId="0" borderId="16" applyNumberFormat="0" applyFill="0" applyAlignment="0" applyProtection="0"/>
    <xf numFmtId="0" fontId="12" fillId="0" borderId="17" applyNumberFormat="0" applyFont="0" applyFill="0" applyAlignment="0">
      <protection locked="0"/>
    </xf>
    <xf numFmtId="0" fontId="14" fillId="0" borderId="0" applyNumberFormat="0" applyFill="0" applyBorder="0" applyAlignment="0" applyProtection="0"/>
  </cellStyleXfs>
  <cellXfs count="406">
    <xf numFmtId="0" fontId="0" fillId="0" borderId="0" xfId="0"/>
    <xf numFmtId="0" fontId="35" fillId="0" borderId="0" xfId="62" applyFont="1" applyAlignment="1" applyProtection="1">
      <alignment vertical="center"/>
      <protection hidden="1"/>
    </xf>
    <xf numFmtId="2" fontId="35" fillId="0" borderId="0" xfId="62" applyNumberFormat="1" applyFont="1" applyAlignment="1" applyProtection="1">
      <alignment vertical="center"/>
      <protection hidden="1"/>
    </xf>
    <xf numFmtId="8" fontId="35" fillId="0" borderId="0" xfId="62" applyNumberFormat="1" applyFont="1" applyAlignment="1" applyProtection="1">
      <alignment vertical="center"/>
      <protection hidden="1"/>
    </xf>
    <xf numFmtId="164" fontId="35" fillId="0" borderId="0" xfId="62" applyNumberFormat="1" applyFont="1" applyAlignment="1" applyProtection="1">
      <alignment vertical="center"/>
      <protection hidden="1"/>
    </xf>
    <xf numFmtId="0" fontId="35" fillId="0" borderId="18" xfId="62" applyFont="1" applyBorder="1" applyAlignment="1" applyProtection="1">
      <alignment vertical="center"/>
      <protection hidden="1"/>
    </xf>
    <xf numFmtId="0" fontId="35" fillId="0" borderId="0" xfId="62" applyFont="1" applyBorder="1" applyAlignment="1" applyProtection="1">
      <alignment vertical="center"/>
      <protection hidden="1"/>
    </xf>
    <xf numFmtId="0" fontId="35" fillId="0" borderId="19" xfId="62" applyFont="1" applyBorder="1" applyAlignment="1" applyProtection="1">
      <alignment vertical="center"/>
      <protection hidden="1"/>
    </xf>
    <xf numFmtId="0" fontId="35" fillId="0" borderId="20" xfId="62" applyFont="1" applyBorder="1" applyAlignment="1" applyProtection="1">
      <alignment vertical="center"/>
      <protection hidden="1"/>
    </xf>
    <xf numFmtId="0" fontId="35" fillId="0" borderId="21" xfId="62" applyFont="1" applyBorder="1" applyAlignment="1" applyProtection="1">
      <alignment vertical="center"/>
      <protection hidden="1"/>
    </xf>
    <xf numFmtId="0" fontId="35" fillId="0" borderId="21" xfId="62" applyFont="1" applyBorder="1" applyAlignment="1" applyProtection="1">
      <alignment horizontal="center" vertical="center"/>
      <protection hidden="1"/>
    </xf>
    <xf numFmtId="164" fontId="35" fillId="0" borderId="21" xfId="62" applyNumberFormat="1" applyFont="1" applyFill="1" applyBorder="1" applyAlignment="1" applyProtection="1">
      <alignment horizontal="center" vertical="center"/>
      <protection hidden="1"/>
    </xf>
    <xf numFmtId="164" fontId="35" fillId="0" borderId="0" xfId="62" applyNumberFormat="1" applyFont="1" applyBorder="1" applyAlignment="1" applyProtection="1">
      <alignment horizontal="center" vertical="center"/>
      <protection hidden="1"/>
    </xf>
    <xf numFmtId="0" fontId="35" fillId="0" borderId="21" xfId="62" applyFont="1" applyFill="1" applyBorder="1" applyAlignment="1" applyProtection="1">
      <alignment vertical="center"/>
      <protection hidden="1"/>
    </xf>
    <xf numFmtId="0" fontId="35" fillId="0" borderId="0" xfId="62" applyFont="1" applyFill="1" applyBorder="1" applyAlignment="1" applyProtection="1">
      <alignment vertical="center"/>
      <protection hidden="1"/>
    </xf>
    <xf numFmtId="0" fontId="35" fillId="0" borderId="18" xfId="62" applyFont="1" applyBorder="1" applyAlignment="1" applyProtection="1">
      <alignment vertical="center" wrapText="1"/>
      <protection hidden="1"/>
    </xf>
    <xf numFmtId="0" fontId="35" fillId="0" borderId="22" xfId="62" applyFont="1" applyBorder="1" applyAlignment="1" applyProtection="1">
      <alignment vertical="center"/>
      <protection hidden="1"/>
    </xf>
    <xf numFmtId="0" fontId="35" fillId="0" borderId="23" xfId="62" applyFont="1" applyBorder="1" applyAlignment="1" applyProtection="1">
      <alignment horizontal="center" vertical="center"/>
      <protection hidden="1"/>
    </xf>
    <xf numFmtId="0" fontId="35" fillId="0" borderId="24" xfId="62" applyFont="1" applyBorder="1" applyAlignment="1" applyProtection="1">
      <alignment horizontal="center" vertical="center"/>
      <protection hidden="1"/>
    </xf>
    <xf numFmtId="0" fontId="35" fillId="0" borderId="0" xfId="62" applyFont="1" applyBorder="1" applyAlignment="1" applyProtection="1">
      <alignment horizontal="center" vertical="center"/>
      <protection hidden="1"/>
    </xf>
    <xf numFmtId="0" fontId="35" fillId="0" borderId="20" xfId="62" applyFont="1" applyBorder="1" applyAlignment="1" applyProtection="1">
      <alignment horizontal="center" vertical="center"/>
      <protection hidden="1"/>
    </xf>
    <xf numFmtId="0" fontId="35" fillId="0" borderId="23" xfId="62" applyFont="1" applyBorder="1" applyAlignment="1" applyProtection="1">
      <alignment vertical="center"/>
      <protection hidden="1"/>
    </xf>
    <xf numFmtId="0" fontId="35" fillId="0" borderId="24" xfId="62" applyFont="1" applyBorder="1" applyAlignment="1" applyProtection="1">
      <alignment vertical="center"/>
      <protection hidden="1"/>
    </xf>
    <xf numFmtId="10" fontId="35" fillId="0" borderId="0" xfId="62" applyNumberFormat="1" applyFont="1" applyAlignment="1" applyProtection="1">
      <alignment vertical="center"/>
      <protection hidden="1"/>
    </xf>
    <xf numFmtId="10" fontId="35" fillId="0" borderId="0" xfId="85" applyNumberFormat="1" applyFont="1" applyFill="1" applyBorder="1" applyAlignment="1" applyProtection="1">
      <alignment vertical="center"/>
      <protection hidden="1"/>
    </xf>
    <xf numFmtId="0" fontId="35" fillId="0" borderId="25" xfId="62" applyFont="1" applyBorder="1" applyAlignment="1" applyProtection="1">
      <alignment horizontal="center" vertical="center"/>
      <protection hidden="1"/>
    </xf>
    <xf numFmtId="0" fontId="35" fillId="0" borderId="26" xfId="62" applyFont="1" applyBorder="1" applyAlignment="1" applyProtection="1">
      <alignment horizontal="center" vertical="center"/>
      <protection hidden="1"/>
    </xf>
    <xf numFmtId="0" fontId="35" fillId="0" borderId="27" xfId="62" applyFont="1" applyBorder="1" applyAlignment="1" applyProtection="1">
      <alignment horizontal="center" vertical="center"/>
      <protection hidden="1"/>
    </xf>
    <xf numFmtId="0" fontId="35" fillId="0" borderId="28" xfId="62" applyFont="1" applyBorder="1" applyAlignment="1" applyProtection="1">
      <alignment horizontal="center" vertical="center"/>
      <protection hidden="1"/>
    </xf>
    <xf numFmtId="0" fontId="35" fillId="0" borderId="29" xfId="62" applyFont="1" applyBorder="1" applyAlignment="1" applyProtection="1">
      <alignment vertical="center"/>
      <protection hidden="1"/>
    </xf>
    <xf numFmtId="0" fontId="35" fillId="0" borderId="30" xfId="62" applyFont="1" applyBorder="1" applyAlignment="1" applyProtection="1">
      <alignment horizontal="center" vertical="center"/>
      <protection hidden="1"/>
    </xf>
    <xf numFmtId="0" fontId="35" fillId="0" borderId="31" xfId="62" applyFont="1" applyBorder="1" applyAlignment="1" applyProtection="1">
      <alignment horizontal="center" vertical="center"/>
      <protection hidden="1"/>
    </xf>
    <xf numFmtId="0" fontId="35" fillId="0" borderId="19" xfId="62" applyFont="1" applyBorder="1" applyAlignment="1" applyProtection="1">
      <alignment horizontal="center" vertical="center"/>
      <protection hidden="1"/>
    </xf>
    <xf numFmtId="0" fontId="36" fillId="0" borderId="29" xfId="62" applyFont="1" applyBorder="1" applyAlignment="1" applyProtection="1">
      <alignment vertical="center"/>
      <protection hidden="1"/>
    </xf>
    <xf numFmtId="2" fontId="35" fillId="0" borderId="32" xfId="62" applyNumberFormat="1" applyFont="1" applyBorder="1" applyAlignment="1" applyProtection="1">
      <alignment horizontal="center" vertical="center"/>
      <protection hidden="1"/>
    </xf>
    <xf numFmtId="2" fontId="35" fillId="0" borderId="33" xfId="62" applyNumberFormat="1" applyFont="1" applyBorder="1" applyAlignment="1" applyProtection="1">
      <alignment horizontal="center" vertical="center"/>
      <protection hidden="1"/>
    </xf>
    <xf numFmtId="2" fontId="35" fillId="0" borderId="11" xfId="62" applyNumberFormat="1" applyFont="1" applyBorder="1" applyAlignment="1" applyProtection="1">
      <alignment horizontal="center" vertical="center"/>
      <protection hidden="1"/>
    </xf>
    <xf numFmtId="2" fontId="37" fillId="0" borderId="32" xfId="62" applyNumberFormat="1" applyFont="1" applyFill="1" applyBorder="1" applyAlignment="1" applyProtection="1">
      <alignment horizontal="center" vertical="center"/>
      <protection hidden="1"/>
    </xf>
    <xf numFmtId="2" fontId="37" fillId="0" borderId="33" xfId="62" applyNumberFormat="1" applyFont="1" applyFill="1" applyBorder="1" applyAlignment="1" applyProtection="1">
      <alignment horizontal="center" vertical="center"/>
      <protection hidden="1"/>
    </xf>
    <xf numFmtId="2" fontId="37" fillId="0" borderId="11" xfId="62" applyNumberFormat="1" applyFont="1" applyFill="1" applyBorder="1" applyAlignment="1" applyProtection="1">
      <alignment horizontal="center" vertical="center"/>
      <protection hidden="1"/>
    </xf>
    <xf numFmtId="2" fontId="37" fillId="0" borderId="21" xfId="62" applyNumberFormat="1" applyFont="1" applyFill="1" applyBorder="1" applyAlignment="1" applyProtection="1">
      <alignment horizontal="center" vertical="center"/>
      <protection hidden="1"/>
    </xf>
    <xf numFmtId="0" fontId="38" fillId="0" borderId="29" xfId="62" applyFont="1" applyBorder="1" applyAlignment="1" applyProtection="1">
      <alignment horizontal="center" vertical="center" wrapText="1"/>
      <protection hidden="1"/>
    </xf>
    <xf numFmtId="165" fontId="35" fillId="0" borderId="32" xfId="62" applyNumberFormat="1" applyFont="1" applyBorder="1" applyAlignment="1" applyProtection="1">
      <alignment horizontal="center" vertical="center"/>
      <protection hidden="1"/>
    </xf>
    <xf numFmtId="165" fontId="35" fillId="0" borderId="33" xfId="62" applyNumberFormat="1" applyFont="1" applyBorder="1" applyAlignment="1" applyProtection="1">
      <alignment horizontal="center" vertical="center"/>
      <protection hidden="1"/>
    </xf>
    <xf numFmtId="165" fontId="35" fillId="0" borderId="11" xfId="62" applyNumberFormat="1" applyFont="1" applyBorder="1" applyAlignment="1" applyProtection="1">
      <alignment horizontal="center" vertical="center"/>
      <protection hidden="1"/>
    </xf>
    <xf numFmtId="165" fontId="35" fillId="0" borderId="34" xfId="62" applyNumberFormat="1" applyFont="1" applyBorder="1" applyAlignment="1" applyProtection="1">
      <alignment horizontal="center" vertical="center"/>
      <protection hidden="1"/>
    </xf>
    <xf numFmtId="0" fontId="38" fillId="0" borderId="29" xfId="62" quotePrefix="1" applyFont="1" applyBorder="1" applyAlignment="1" applyProtection="1">
      <alignment horizontal="center" vertical="center" wrapText="1"/>
      <protection hidden="1"/>
    </xf>
    <xf numFmtId="164" fontId="35" fillId="0" borderId="32" xfId="62" applyNumberFormat="1" applyFont="1" applyBorder="1" applyAlignment="1" applyProtection="1">
      <alignment horizontal="center" vertical="center"/>
      <protection hidden="1"/>
    </xf>
    <xf numFmtId="164" fontId="35" fillId="0" borderId="33" xfId="62" applyNumberFormat="1" applyFont="1" applyBorder="1" applyAlignment="1" applyProtection="1">
      <alignment horizontal="center" vertical="center"/>
      <protection hidden="1"/>
    </xf>
    <xf numFmtId="164" fontId="35" fillId="0" borderId="11" xfId="62" applyNumberFormat="1" applyFont="1" applyBorder="1" applyAlignment="1" applyProtection="1">
      <alignment horizontal="center" vertical="center"/>
      <protection hidden="1"/>
    </xf>
    <xf numFmtId="164" fontId="35" fillId="0" borderId="34" xfId="62" applyNumberFormat="1" applyFont="1" applyBorder="1" applyAlignment="1" applyProtection="1">
      <alignment horizontal="center" vertical="center"/>
      <protection hidden="1"/>
    </xf>
    <xf numFmtId="0" fontId="38" fillId="0" borderId="29" xfId="62" applyFont="1" applyBorder="1" applyAlignment="1" applyProtection="1">
      <alignment horizontal="center" vertical="center"/>
      <protection hidden="1"/>
    </xf>
    <xf numFmtId="0" fontId="38" fillId="0" borderId="29" xfId="62" applyFont="1" applyBorder="1" applyAlignment="1" applyProtection="1">
      <alignment horizontal="right" vertical="center"/>
      <protection hidden="1"/>
    </xf>
    <xf numFmtId="165" fontId="38" fillId="0" borderId="29" xfId="62" applyNumberFormat="1" applyFont="1" applyBorder="1" applyAlignment="1" applyProtection="1">
      <alignment horizontal="right" vertical="center"/>
      <protection hidden="1"/>
    </xf>
    <xf numFmtId="2" fontId="35" fillId="0" borderId="34" xfId="62" applyNumberFormat="1" applyFont="1" applyBorder="1" applyAlignment="1" applyProtection="1">
      <alignment horizontal="center" vertical="center"/>
      <protection hidden="1"/>
    </xf>
    <xf numFmtId="165" fontId="38" fillId="0" borderId="35" xfId="62" applyNumberFormat="1" applyFont="1" applyBorder="1" applyAlignment="1" applyProtection="1">
      <alignment horizontal="right" vertical="center"/>
      <protection hidden="1"/>
    </xf>
    <xf numFmtId="164" fontId="35" fillId="0" borderId="36" xfId="62" applyNumberFormat="1" applyFont="1" applyBorder="1" applyAlignment="1" applyProtection="1">
      <alignment horizontal="center" vertical="center"/>
      <protection hidden="1"/>
    </xf>
    <xf numFmtId="164" fontId="35" fillId="0" borderId="37" xfId="62" applyNumberFormat="1" applyFont="1" applyBorder="1" applyAlignment="1" applyProtection="1">
      <alignment horizontal="center" vertical="center"/>
      <protection hidden="1"/>
    </xf>
    <xf numFmtId="164" fontId="35" fillId="0" borderId="24" xfId="62" applyNumberFormat="1" applyFont="1" applyBorder="1" applyAlignment="1" applyProtection="1">
      <alignment horizontal="center" vertical="center"/>
      <protection hidden="1"/>
    </xf>
    <xf numFmtId="164" fontId="35" fillId="0" borderId="38" xfId="62" applyNumberFormat="1" applyFont="1" applyBorder="1" applyAlignment="1" applyProtection="1">
      <alignment horizontal="center" vertical="center"/>
      <protection hidden="1"/>
    </xf>
    <xf numFmtId="0" fontId="36" fillId="27" borderId="29" xfId="62" applyFont="1" applyFill="1" applyBorder="1" applyAlignment="1" applyProtection="1">
      <alignment vertical="center" wrapText="1"/>
      <protection hidden="1"/>
    </xf>
    <xf numFmtId="2" fontId="3" fillId="27" borderId="32" xfId="62" applyNumberFormat="1" applyFont="1" applyFill="1" applyBorder="1" applyAlignment="1" applyProtection="1">
      <alignment horizontal="center" vertical="center"/>
      <protection hidden="1"/>
    </xf>
    <xf numFmtId="2" fontId="3" fillId="27" borderId="33" xfId="62" applyNumberFormat="1" applyFont="1" applyFill="1" applyBorder="1" applyAlignment="1" applyProtection="1">
      <alignment horizontal="center" vertical="center"/>
      <protection hidden="1"/>
    </xf>
    <xf numFmtId="2" fontId="3" fillId="27" borderId="11" xfId="62" applyNumberFormat="1" applyFont="1" applyFill="1" applyBorder="1" applyAlignment="1" applyProtection="1">
      <alignment horizontal="center" vertical="center"/>
      <protection hidden="1"/>
    </xf>
    <xf numFmtId="2" fontId="3" fillId="27" borderId="34" xfId="62" applyNumberFormat="1" applyFont="1" applyFill="1" applyBorder="1" applyAlignment="1" applyProtection="1">
      <alignment horizontal="center" vertical="center"/>
      <protection hidden="1"/>
    </xf>
    <xf numFmtId="0" fontId="35" fillId="0" borderId="0" xfId="62" applyFont="1" applyFill="1" applyAlignment="1" applyProtection="1">
      <alignment vertical="center"/>
      <protection hidden="1"/>
    </xf>
    <xf numFmtId="0" fontId="38" fillId="27" borderId="29" xfId="62" applyFont="1" applyFill="1" applyBorder="1" applyAlignment="1" applyProtection="1">
      <alignment vertical="center" wrapText="1"/>
      <protection hidden="1"/>
    </xf>
    <xf numFmtId="2" fontId="3" fillId="27" borderId="21" xfId="62" applyNumberFormat="1" applyFont="1" applyFill="1" applyBorder="1" applyAlignment="1" applyProtection="1">
      <alignment horizontal="center" vertical="center"/>
      <protection hidden="1"/>
    </xf>
    <xf numFmtId="0" fontId="35" fillId="28" borderId="0" xfId="62" applyFont="1" applyFill="1" applyAlignment="1" applyProtection="1">
      <alignment vertical="center"/>
      <protection hidden="1"/>
    </xf>
    <xf numFmtId="0" fontId="38" fillId="27" borderId="29" xfId="62" applyFont="1" applyFill="1" applyBorder="1" applyAlignment="1" applyProtection="1">
      <alignment horizontal="center" vertical="center" wrapText="1"/>
      <protection hidden="1"/>
    </xf>
    <xf numFmtId="165" fontId="35" fillId="27" borderId="32" xfId="62" applyNumberFormat="1" applyFont="1" applyFill="1" applyBorder="1" applyAlignment="1" applyProtection="1">
      <alignment horizontal="center" vertical="center"/>
      <protection hidden="1"/>
    </xf>
    <xf numFmtId="165" fontId="35" fillId="27" borderId="11" xfId="62" applyNumberFormat="1" applyFont="1" applyFill="1" applyBorder="1" applyAlignment="1" applyProtection="1">
      <alignment horizontal="center" vertical="center"/>
      <protection hidden="1"/>
    </xf>
    <xf numFmtId="165" fontId="35" fillId="27" borderId="33" xfId="62" applyNumberFormat="1" applyFont="1" applyFill="1" applyBorder="1" applyAlignment="1" applyProtection="1">
      <alignment horizontal="center" vertical="center"/>
      <protection hidden="1"/>
    </xf>
    <xf numFmtId="165" fontId="35" fillId="27" borderId="34" xfId="62" applyNumberFormat="1" applyFont="1" applyFill="1" applyBorder="1" applyAlignment="1" applyProtection="1">
      <alignment horizontal="center" vertical="center"/>
      <protection hidden="1"/>
    </xf>
    <xf numFmtId="0" fontId="38" fillId="27" borderId="29" xfId="62" quotePrefix="1" applyFont="1" applyFill="1" applyBorder="1" applyAlignment="1" applyProtection="1">
      <alignment horizontal="center" vertical="center" wrapText="1"/>
      <protection hidden="1"/>
    </xf>
    <xf numFmtId="164" fontId="35" fillId="27" borderId="32" xfId="62" applyNumberFormat="1" applyFont="1" applyFill="1" applyBorder="1" applyAlignment="1" applyProtection="1">
      <alignment horizontal="center" vertical="center"/>
      <protection hidden="1"/>
    </xf>
    <xf numFmtId="164" fontId="35" fillId="27" borderId="11" xfId="62" applyNumberFormat="1" applyFont="1" applyFill="1" applyBorder="1" applyAlignment="1" applyProtection="1">
      <alignment horizontal="center" vertical="center"/>
      <protection hidden="1"/>
    </xf>
    <xf numFmtId="164" fontId="35" fillId="27" borderId="33" xfId="62" applyNumberFormat="1" applyFont="1" applyFill="1" applyBorder="1" applyAlignment="1" applyProtection="1">
      <alignment horizontal="center" vertical="center"/>
      <protection hidden="1"/>
    </xf>
    <xf numFmtId="164" fontId="35" fillId="27" borderId="34" xfId="62" applyNumberFormat="1" applyFont="1" applyFill="1" applyBorder="1" applyAlignment="1" applyProtection="1">
      <alignment horizontal="center" vertical="center"/>
      <protection hidden="1"/>
    </xf>
    <xf numFmtId="0" fontId="38" fillId="27" borderId="35" xfId="62" applyFont="1" applyFill="1" applyBorder="1" applyAlignment="1" applyProtection="1">
      <alignment horizontal="center" vertical="center"/>
      <protection hidden="1"/>
    </xf>
    <xf numFmtId="165" fontId="35" fillId="27" borderId="36" xfId="62" applyNumberFormat="1" applyFont="1" applyFill="1" applyBorder="1" applyAlignment="1" applyProtection="1">
      <alignment horizontal="center" vertical="center"/>
      <protection hidden="1"/>
    </xf>
    <xf numFmtId="165" fontId="35" fillId="27" borderId="39" xfId="62" applyNumberFormat="1" applyFont="1" applyFill="1" applyBorder="1" applyAlignment="1" applyProtection="1">
      <alignment horizontal="center" vertical="center"/>
      <protection hidden="1"/>
    </xf>
    <xf numFmtId="165" fontId="35" fillId="27" borderId="37" xfId="62" applyNumberFormat="1" applyFont="1" applyFill="1" applyBorder="1" applyAlignment="1" applyProtection="1">
      <alignment horizontal="center" vertical="center"/>
      <protection hidden="1"/>
    </xf>
    <xf numFmtId="165" fontId="35" fillId="27" borderId="38" xfId="62" applyNumberFormat="1" applyFont="1" applyFill="1" applyBorder="1" applyAlignment="1" applyProtection="1">
      <alignment horizontal="center" vertical="center"/>
      <protection hidden="1"/>
    </xf>
    <xf numFmtId="0" fontId="36" fillId="29" borderId="29" xfId="62" applyFont="1" applyFill="1" applyBorder="1" applyAlignment="1" applyProtection="1">
      <alignment horizontal="center" vertical="center" textRotation="90" wrapText="1"/>
      <protection hidden="1"/>
    </xf>
    <xf numFmtId="0" fontId="38" fillId="28" borderId="29" xfId="62" applyFont="1" applyFill="1" applyBorder="1" applyAlignment="1" applyProtection="1">
      <alignment horizontal="right" vertical="center"/>
      <protection hidden="1"/>
    </xf>
    <xf numFmtId="164" fontId="35" fillId="28" borderId="32" xfId="62" applyNumberFormat="1" applyFont="1" applyFill="1" applyBorder="1" applyAlignment="1" applyProtection="1">
      <alignment horizontal="center" vertical="center"/>
      <protection hidden="1"/>
    </xf>
    <xf numFmtId="165" fontId="38" fillId="28" borderId="29" xfId="62" applyNumberFormat="1" applyFont="1" applyFill="1" applyBorder="1" applyAlignment="1" applyProtection="1">
      <alignment horizontal="right" vertical="center"/>
      <protection hidden="1"/>
    </xf>
    <xf numFmtId="0" fontId="36" fillId="29" borderId="35" xfId="62" applyFont="1" applyFill="1" applyBorder="1" applyAlignment="1" applyProtection="1">
      <alignment horizontal="center" vertical="center" textRotation="90" wrapText="1"/>
      <protection hidden="1"/>
    </xf>
    <xf numFmtId="165" fontId="38" fillId="28" borderId="35" xfId="62" applyNumberFormat="1" applyFont="1" applyFill="1" applyBorder="1" applyAlignment="1" applyProtection="1">
      <alignment horizontal="right" vertical="center"/>
      <protection hidden="1"/>
    </xf>
    <xf numFmtId="2" fontId="35" fillId="0" borderId="36" xfId="62" applyNumberFormat="1" applyFont="1" applyBorder="1" applyAlignment="1" applyProtection="1">
      <alignment horizontal="center" vertical="center"/>
      <protection hidden="1"/>
    </xf>
    <xf numFmtId="2" fontId="3" fillId="28" borderId="36" xfId="62" applyNumberFormat="1" applyFont="1" applyFill="1" applyBorder="1" applyAlignment="1" applyProtection="1">
      <alignment horizontal="center" vertical="center"/>
      <protection hidden="1"/>
    </xf>
    <xf numFmtId="0" fontId="36" fillId="29" borderId="0" xfId="62" applyFont="1" applyFill="1" applyBorder="1" applyAlignment="1" applyProtection="1">
      <alignment horizontal="center" vertical="center" textRotation="90" wrapText="1"/>
      <protection hidden="1"/>
    </xf>
    <xf numFmtId="0" fontId="36" fillId="28" borderId="0" xfId="62" applyFont="1" applyFill="1" applyBorder="1" applyAlignment="1" applyProtection="1">
      <alignment horizontal="center" vertical="center" textRotation="90" wrapText="1"/>
      <protection hidden="1"/>
    </xf>
    <xf numFmtId="165" fontId="38" fillId="28" borderId="0" xfId="62" applyNumberFormat="1" applyFont="1" applyFill="1" applyBorder="1" applyAlignment="1" applyProtection="1">
      <alignment horizontal="right" vertical="center"/>
      <protection hidden="1"/>
    </xf>
    <xf numFmtId="165" fontId="35" fillId="0" borderId="0" xfId="62" applyNumberFormat="1" applyFont="1" applyAlignment="1" applyProtection="1">
      <alignment vertical="center"/>
      <protection hidden="1"/>
    </xf>
    <xf numFmtId="0" fontId="35" fillId="29" borderId="40" xfId="62" applyFont="1" applyFill="1" applyBorder="1" applyAlignment="1" applyProtection="1">
      <alignment vertical="center"/>
      <protection hidden="1"/>
    </xf>
    <xf numFmtId="0" fontId="36" fillId="29" borderId="40" xfId="62" applyFont="1" applyFill="1" applyBorder="1" applyAlignment="1" applyProtection="1">
      <alignment horizontal="center" vertical="center"/>
      <protection hidden="1"/>
    </xf>
    <xf numFmtId="0" fontId="35" fillId="0" borderId="41" xfId="62" applyFont="1" applyBorder="1" applyAlignment="1" applyProtection="1">
      <alignment vertical="center"/>
      <protection hidden="1"/>
    </xf>
    <xf numFmtId="164" fontId="35" fillId="0" borderId="0" xfId="62" applyNumberFormat="1" applyFont="1" applyBorder="1" applyAlignment="1" applyProtection="1">
      <alignment vertical="center"/>
      <protection hidden="1"/>
    </xf>
    <xf numFmtId="1" fontId="35" fillId="0" borderId="0" xfId="62" applyNumberFormat="1" applyFont="1" applyAlignment="1" applyProtection="1">
      <alignment vertical="center"/>
      <protection hidden="1"/>
    </xf>
    <xf numFmtId="10" fontId="35" fillId="0" borderId="29" xfId="81" applyNumberFormat="1" applyFont="1" applyBorder="1" applyAlignment="1" applyProtection="1">
      <alignment horizontal="center" vertical="center"/>
      <protection hidden="1"/>
    </xf>
    <xf numFmtId="10" fontId="35" fillId="0" borderId="40" xfId="81" applyNumberFormat="1" applyFont="1" applyBorder="1" applyAlignment="1" applyProtection="1">
      <alignment horizontal="center" vertical="center"/>
      <protection hidden="1"/>
    </xf>
    <xf numFmtId="10" fontId="35" fillId="0" borderId="21" xfId="81" applyNumberFormat="1" applyFont="1" applyBorder="1" applyAlignment="1" applyProtection="1">
      <alignment horizontal="center" vertical="center"/>
      <protection hidden="1"/>
    </xf>
    <xf numFmtId="10" fontId="35" fillId="0" borderId="0" xfId="81" applyNumberFormat="1" applyFont="1" applyBorder="1" applyAlignment="1" applyProtection="1">
      <alignment horizontal="center" vertical="center"/>
      <protection hidden="1"/>
    </xf>
    <xf numFmtId="10" fontId="35" fillId="0" borderId="21" xfId="62" applyNumberFormat="1" applyFont="1" applyFill="1" applyBorder="1" applyAlignment="1" applyProtection="1">
      <alignment vertical="center"/>
      <protection hidden="1"/>
    </xf>
    <xf numFmtId="10" fontId="35" fillId="0" borderId="18" xfId="81" applyNumberFormat="1" applyFont="1" applyBorder="1" applyAlignment="1" applyProtection="1">
      <alignment horizontal="center" vertical="center"/>
      <protection hidden="1"/>
    </xf>
    <xf numFmtId="10" fontId="35" fillId="30" borderId="40" xfId="81" applyNumberFormat="1" applyFont="1" applyFill="1" applyBorder="1" applyAlignment="1" applyProtection="1">
      <alignment horizontal="center" vertical="center"/>
      <protection locked="0" hidden="1"/>
    </xf>
    <xf numFmtId="10" fontId="35" fillId="0" borderId="0" xfId="81" applyNumberFormat="1" applyFont="1" applyFill="1" applyBorder="1" applyAlignment="1" applyProtection="1">
      <alignment horizontal="center" vertical="center"/>
      <protection hidden="1"/>
    </xf>
    <xf numFmtId="0" fontId="35" fillId="0" borderId="35" xfId="62" applyFont="1" applyBorder="1" applyAlignment="1" applyProtection="1">
      <alignment vertical="center"/>
      <protection hidden="1"/>
    </xf>
    <xf numFmtId="0" fontId="39" fillId="0" borderId="23" xfId="62" applyFont="1" applyBorder="1" applyAlignment="1" applyProtection="1">
      <alignment horizontal="center" vertical="center"/>
      <protection hidden="1"/>
    </xf>
    <xf numFmtId="10" fontId="35" fillId="0" borderId="0" xfId="62" applyNumberFormat="1" applyFont="1" applyFill="1" applyBorder="1" applyAlignment="1" applyProtection="1">
      <alignment horizontal="center" vertical="center"/>
      <protection hidden="1"/>
    </xf>
    <xf numFmtId="8" fontId="35" fillId="0" borderId="21" xfId="62" applyNumberFormat="1" applyFont="1" applyBorder="1" applyAlignment="1" applyProtection="1">
      <alignment horizontal="center" vertical="center"/>
      <protection hidden="1"/>
    </xf>
    <xf numFmtId="8" fontId="35" fillId="0" borderId="0" xfId="62" applyNumberFormat="1" applyFont="1" applyBorder="1" applyAlignment="1" applyProtection="1">
      <alignment horizontal="center" vertical="center"/>
      <protection hidden="1"/>
    </xf>
    <xf numFmtId="164" fontId="35" fillId="0" borderId="23" xfId="62" applyNumberFormat="1" applyFont="1" applyBorder="1" applyAlignment="1" applyProtection="1">
      <alignment horizontal="center" vertical="center"/>
      <protection hidden="1"/>
    </xf>
    <xf numFmtId="164" fontId="35" fillId="0" borderId="21" xfId="62" applyNumberFormat="1" applyFont="1" applyBorder="1" applyAlignment="1" applyProtection="1">
      <alignment horizontal="center" vertical="center"/>
      <protection hidden="1"/>
    </xf>
    <xf numFmtId="0" fontId="35" fillId="30" borderId="40" xfId="62" applyFont="1" applyFill="1" applyBorder="1" applyAlignment="1" applyProtection="1">
      <alignment vertical="center"/>
      <protection locked="0" hidden="1"/>
    </xf>
    <xf numFmtId="0" fontId="35" fillId="0" borderId="29" xfId="62" applyFont="1" applyBorder="1" applyAlignment="1" applyProtection="1">
      <alignment horizontal="left" vertical="center" wrapText="1"/>
      <protection hidden="1"/>
    </xf>
    <xf numFmtId="164" fontId="35" fillId="0" borderId="29" xfId="62" applyNumberFormat="1" applyFont="1" applyFill="1" applyBorder="1" applyAlignment="1" applyProtection="1">
      <alignment vertical="center"/>
      <protection hidden="1"/>
    </xf>
    <xf numFmtId="0" fontId="35" fillId="0" borderId="29" xfId="62" applyFont="1" applyBorder="1" applyAlignment="1" applyProtection="1">
      <alignment horizontal="left" vertical="center"/>
      <protection hidden="1"/>
    </xf>
    <xf numFmtId="0" fontId="35" fillId="0" borderId="29" xfId="62" applyFont="1" applyFill="1" applyBorder="1" applyAlignment="1" applyProtection="1">
      <alignment vertical="center"/>
      <protection hidden="1"/>
    </xf>
    <xf numFmtId="4" fontId="35" fillId="0" borderId="0" xfId="62" applyNumberFormat="1" applyFont="1" applyBorder="1" applyAlignment="1" applyProtection="1">
      <alignment horizontal="center" vertical="center"/>
      <protection hidden="1"/>
    </xf>
    <xf numFmtId="0" fontId="35" fillId="0" borderId="35" xfId="62" applyFont="1" applyFill="1" applyBorder="1" applyAlignment="1" applyProtection="1">
      <alignment vertical="center"/>
      <protection hidden="1"/>
    </xf>
    <xf numFmtId="4" fontId="35" fillId="0" borderId="23" xfId="62" applyNumberFormat="1" applyFont="1" applyBorder="1" applyAlignment="1" applyProtection="1">
      <alignment horizontal="center" vertical="center"/>
      <protection hidden="1"/>
    </xf>
    <xf numFmtId="165" fontId="35" fillId="0" borderId="0" xfId="62" applyNumberFormat="1" applyFont="1" applyBorder="1" applyAlignment="1" applyProtection="1">
      <alignment vertical="center"/>
      <protection hidden="1"/>
    </xf>
    <xf numFmtId="0" fontId="35" fillId="0" borderId="42" xfId="62" applyFont="1" applyBorder="1" applyAlignment="1" applyProtection="1">
      <alignment vertical="center"/>
      <protection hidden="1"/>
    </xf>
    <xf numFmtId="0" fontId="35" fillId="0" borderId="22" xfId="62" applyFont="1" applyBorder="1" applyAlignment="1" applyProtection="1">
      <alignment vertical="center" wrapText="1"/>
      <protection hidden="1"/>
    </xf>
    <xf numFmtId="0" fontId="35" fillId="0" borderId="23" xfId="62" applyFont="1" applyBorder="1" applyAlignment="1" applyProtection="1">
      <alignment horizontal="center" vertical="center"/>
      <protection locked="0" hidden="1"/>
    </xf>
    <xf numFmtId="0" fontId="9" fillId="0" borderId="0" xfId="58"/>
    <xf numFmtId="0" fontId="35" fillId="0" borderId="0" xfId="62" applyFont="1" applyAlignment="1" applyProtection="1">
      <alignment vertical="center"/>
      <protection hidden="1"/>
    </xf>
    <xf numFmtId="0" fontId="35" fillId="0" borderId="0" xfId="62" applyFont="1" applyBorder="1" applyAlignment="1" applyProtection="1">
      <alignment vertical="center"/>
      <protection hidden="1"/>
    </xf>
    <xf numFmtId="0" fontId="35" fillId="28" borderId="0" xfId="62" applyFont="1" applyFill="1" applyBorder="1" applyAlignment="1" applyProtection="1">
      <alignment vertical="center"/>
      <protection hidden="1"/>
    </xf>
    <xf numFmtId="0" fontId="35" fillId="28" borderId="0" xfId="62" applyFont="1" applyFill="1" applyBorder="1" applyAlignment="1" applyProtection="1">
      <alignment horizontal="center" vertical="center"/>
      <protection hidden="1"/>
    </xf>
    <xf numFmtId="0" fontId="35" fillId="28" borderId="0" xfId="62" applyFont="1" applyFill="1" applyBorder="1" applyAlignment="1" applyProtection="1">
      <alignment horizontal="center" vertical="center" wrapText="1"/>
      <protection hidden="1"/>
    </xf>
    <xf numFmtId="10" fontId="40" fillId="30" borderId="0" xfId="81" applyNumberFormat="1" applyFont="1" applyFill="1" applyAlignment="1">
      <alignment horizontal="right"/>
    </xf>
    <xf numFmtId="1" fontId="40" fillId="30" borderId="0" xfId="62" applyNumberFormat="1" applyFont="1" applyFill="1" applyAlignment="1">
      <alignment horizontal="right"/>
    </xf>
    <xf numFmtId="0" fontId="40" fillId="0" borderId="0" xfId="62" applyFont="1"/>
    <xf numFmtId="0" fontId="40" fillId="30" borderId="0" xfId="62" applyFont="1" applyFill="1"/>
    <xf numFmtId="0" fontId="40" fillId="0" borderId="0" xfId="62" applyFont="1" applyFill="1"/>
    <xf numFmtId="10" fontId="40" fillId="0" borderId="0" xfId="62" applyNumberFormat="1" applyFont="1"/>
    <xf numFmtId="0" fontId="41" fillId="0" borderId="0" xfId="62" applyFont="1"/>
    <xf numFmtId="0" fontId="32" fillId="0" borderId="0" xfId="62"/>
    <xf numFmtId="0" fontId="40" fillId="0" borderId="0" xfId="62" applyFont="1" applyAlignment="1"/>
    <xf numFmtId="0" fontId="42" fillId="31" borderId="43" xfId="62" applyFont="1" applyFill="1" applyBorder="1" applyAlignment="1" applyProtection="1">
      <alignment horizontal="left" vertical="center"/>
      <protection locked="0"/>
    </xf>
    <xf numFmtId="0" fontId="43" fillId="0" borderId="0" xfId="62" applyFont="1" applyAlignment="1"/>
    <xf numFmtId="0" fontId="41" fillId="0" borderId="0" xfId="62" applyFont="1" applyAlignment="1"/>
    <xf numFmtId="0" fontId="44" fillId="0" borderId="0" xfId="62" applyFont="1" applyAlignment="1"/>
    <xf numFmtId="0" fontId="45" fillId="0" borderId="0" xfId="62" applyFont="1" applyAlignment="1"/>
    <xf numFmtId="0" fontId="40" fillId="0" borderId="0" xfId="62" applyFont="1" applyAlignment="1">
      <alignment horizontal="center"/>
    </xf>
    <xf numFmtId="2" fontId="3" fillId="28" borderId="0" xfId="62" applyNumberFormat="1" applyFont="1" applyFill="1" applyBorder="1" applyAlignment="1" applyProtection="1">
      <alignment horizontal="center" vertical="center"/>
      <protection hidden="1"/>
    </xf>
    <xf numFmtId="0" fontId="35" fillId="0" borderId="21" xfId="62" applyFont="1" applyBorder="1" applyAlignment="1" applyProtection="1">
      <alignment horizontal="center" vertical="center"/>
      <protection hidden="1"/>
    </xf>
    <xf numFmtId="0" fontId="35" fillId="0" borderId="0" xfId="62" applyFont="1" applyBorder="1" applyAlignment="1" applyProtection="1">
      <alignment horizontal="center" vertical="center"/>
      <protection locked="0" hidden="1"/>
    </xf>
    <xf numFmtId="0" fontId="35" fillId="0" borderId="0" xfId="62" applyFont="1" applyFill="1" applyBorder="1" applyAlignment="1" applyProtection="1">
      <alignment horizontal="center" vertical="center"/>
      <protection locked="0" hidden="1"/>
    </xf>
    <xf numFmtId="0" fontId="3" fillId="0" borderId="18" xfId="62" applyFont="1" applyBorder="1" applyAlignment="1" applyProtection="1">
      <alignment vertical="center"/>
      <protection hidden="1"/>
    </xf>
    <xf numFmtId="0" fontId="3" fillId="28" borderId="0" xfId="62" applyFont="1" applyFill="1" applyBorder="1" applyAlignment="1" applyProtection="1">
      <alignment vertical="center"/>
      <protection hidden="1"/>
    </xf>
    <xf numFmtId="2" fontId="3" fillId="28" borderId="32" xfId="62" applyNumberFormat="1" applyFont="1" applyFill="1" applyBorder="1" applyAlignment="1" applyProtection="1">
      <alignment horizontal="center" vertical="center"/>
      <protection hidden="1"/>
    </xf>
    <xf numFmtId="2" fontId="3" fillId="28" borderId="44" xfId="62" applyNumberFormat="1" applyFont="1" applyFill="1" applyBorder="1" applyAlignment="1" applyProtection="1">
      <alignment horizontal="center" vertical="center"/>
      <protection hidden="1"/>
    </xf>
    <xf numFmtId="2" fontId="3" fillId="28" borderId="45" xfId="62" applyNumberFormat="1" applyFont="1" applyFill="1" applyBorder="1" applyAlignment="1" applyProtection="1">
      <alignment horizontal="center" vertical="center"/>
      <protection hidden="1"/>
    </xf>
    <xf numFmtId="2" fontId="3" fillId="28" borderId="46" xfId="62" applyNumberFormat="1" applyFont="1" applyFill="1" applyBorder="1" applyAlignment="1" applyProtection="1">
      <alignment horizontal="center" vertical="center"/>
      <protection hidden="1"/>
    </xf>
    <xf numFmtId="2" fontId="3" fillId="28" borderId="47" xfId="62" applyNumberFormat="1" applyFont="1" applyFill="1" applyBorder="1" applyAlignment="1" applyProtection="1">
      <alignment horizontal="center" vertical="center"/>
      <protection hidden="1"/>
    </xf>
    <xf numFmtId="165" fontId="38" fillId="28" borderId="41" xfId="62" applyNumberFormat="1" applyFont="1" applyFill="1" applyBorder="1" applyAlignment="1" applyProtection="1">
      <alignment horizontal="right" vertical="center"/>
      <protection hidden="1"/>
    </xf>
    <xf numFmtId="165" fontId="38" fillId="28" borderId="40" xfId="62" applyNumberFormat="1" applyFont="1" applyFill="1" applyBorder="1" applyAlignment="1" applyProtection="1">
      <alignment horizontal="right" vertical="center"/>
      <protection hidden="1"/>
    </xf>
    <xf numFmtId="0" fontId="31" fillId="32" borderId="48" xfId="62" applyFont="1" applyFill="1" applyBorder="1" applyAlignment="1" applyProtection="1">
      <alignment horizontal="center" vertical="center"/>
      <protection hidden="1"/>
    </xf>
    <xf numFmtId="0" fontId="31" fillId="32" borderId="46" xfId="62" applyFont="1" applyFill="1" applyBorder="1" applyAlignment="1" applyProtection="1">
      <alignment horizontal="center" vertical="center"/>
      <protection hidden="1"/>
    </xf>
    <xf numFmtId="0" fontId="35" fillId="0" borderId="0" xfId="62" applyFont="1" applyBorder="1" applyAlignment="1" applyProtection="1">
      <alignment horizontal="center" vertical="center"/>
      <protection hidden="1"/>
    </xf>
    <xf numFmtId="0" fontId="35" fillId="0" borderId="0" xfId="62" applyFont="1" applyBorder="1" applyAlignment="1" applyProtection="1">
      <alignment vertical="center" wrapText="1"/>
      <protection hidden="1"/>
    </xf>
    <xf numFmtId="0" fontId="31" fillId="32" borderId="49" xfId="62" applyFont="1" applyFill="1" applyBorder="1" applyAlignment="1" applyProtection="1">
      <alignment horizontal="left" vertical="center"/>
      <protection hidden="1"/>
    </xf>
    <xf numFmtId="0" fontId="35" fillId="0" borderId="0" xfId="0" applyFont="1" applyProtection="1"/>
    <xf numFmtId="0" fontId="35" fillId="0" borderId="0" xfId="62" applyFont="1" applyAlignment="1" applyProtection="1">
      <alignment vertical="center"/>
    </xf>
    <xf numFmtId="2" fontId="35" fillId="0" borderId="0" xfId="62" applyNumberFormat="1" applyFont="1" applyAlignment="1" applyProtection="1">
      <alignment vertical="center"/>
    </xf>
    <xf numFmtId="8" fontId="35" fillId="0" borderId="0" xfId="62" applyNumberFormat="1" applyFont="1" applyAlignment="1" applyProtection="1">
      <alignment vertical="center"/>
    </xf>
    <xf numFmtId="0" fontId="35" fillId="32" borderId="49" xfId="0" applyFont="1" applyFill="1" applyBorder="1" applyAlignment="1" applyProtection="1">
      <alignment horizontal="center"/>
    </xf>
    <xf numFmtId="0" fontId="35" fillId="32" borderId="48" xfId="0" applyFont="1" applyFill="1" applyBorder="1" applyAlignment="1" applyProtection="1">
      <alignment horizontal="center"/>
    </xf>
    <xf numFmtId="0" fontId="35" fillId="32" borderId="46" xfId="0" applyFont="1" applyFill="1" applyBorder="1" applyAlignment="1" applyProtection="1">
      <alignment horizontal="center"/>
    </xf>
    <xf numFmtId="0" fontId="36" fillId="32" borderId="49" xfId="62" applyFont="1" applyFill="1" applyBorder="1" applyAlignment="1" applyProtection="1">
      <alignment horizontal="left" vertical="center"/>
    </xf>
    <xf numFmtId="0" fontId="36" fillId="32" borderId="48" xfId="62" applyFont="1" applyFill="1" applyBorder="1" applyAlignment="1" applyProtection="1">
      <alignment horizontal="center" vertical="center"/>
    </xf>
    <xf numFmtId="0" fontId="36" fillId="32" borderId="46" xfId="62" applyFont="1" applyFill="1" applyBorder="1" applyAlignment="1" applyProtection="1">
      <alignment horizontal="center" vertical="center"/>
    </xf>
    <xf numFmtId="0" fontId="35" fillId="0" borderId="0" xfId="0" applyFont="1" applyBorder="1" applyProtection="1"/>
    <xf numFmtId="0" fontId="35" fillId="0" borderId="42" xfId="62" applyFont="1" applyBorder="1" applyAlignment="1" applyProtection="1">
      <alignment vertical="center"/>
    </xf>
    <xf numFmtId="0" fontId="35" fillId="0" borderId="20" xfId="62" applyFont="1" applyBorder="1" applyAlignment="1" applyProtection="1">
      <alignment vertical="center"/>
    </xf>
    <xf numFmtId="0" fontId="35" fillId="0" borderId="19" xfId="62" applyFont="1" applyBorder="1" applyAlignment="1" applyProtection="1">
      <alignment vertical="center"/>
    </xf>
    <xf numFmtId="0" fontId="35" fillId="0" borderId="0" xfId="0" applyFont="1" applyFill="1" applyBorder="1" applyProtection="1"/>
    <xf numFmtId="0" fontId="35" fillId="0" borderId="18" xfId="62" applyFont="1" applyBorder="1" applyAlignment="1" applyProtection="1">
      <alignment vertical="center"/>
    </xf>
    <xf numFmtId="0" fontId="35" fillId="0" borderId="21" xfId="62" applyFont="1" applyBorder="1" applyAlignment="1" applyProtection="1">
      <alignment horizontal="center" vertical="center"/>
    </xf>
    <xf numFmtId="0" fontId="35" fillId="0" borderId="0" xfId="62" applyFont="1" applyBorder="1" applyAlignment="1" applyProtection="1">
      <alignment horizontal="center" vertical="center"/>
    </xf>
    <xf numFmtId="0" fontId="35" fillId="0" borderId="0" xfId="62" applyFont="1" applyBorder="1" applyAlignment="1" applyProtection="1">
      <alignment vertical="center"/>
    </xf>
    <xf numFmtId="0" fontId="35" fillId="0" borderId="0" xfId="62" applyFont="1" applyFill="1" applyBorder="1" applyAlignment="1" applyProtection="1">
      <alignment vertical="center"/>
    </xf>
    <xf numFmtId="0" fontId="35" fillId="0" borderId="21" xfId="62" applyFont="1" applyFill="1" applyBorder="1" applyAlignment="1" applyProtection="1">
      <alignment vertical="center"/>
    </xf>
    <xf numFmtId="0" fontId="35" fillId="0" borderId="18" xfId="62" applyFont="1" applyBorder="1" applyAlignment="1" applyProtection="1">
      <alignment vertical="center" wrapText="1"/>
    </xf>
    <xf numFmtId="0" fontId="35" fillId="0" borderId="22" xfId="62" applyFont="1" applyBorder="1" applyAlignment="1" applyProtection="1">
      <alignment vertical="center" wrapText="1"/>
    </xf>
    <xf numFmtId="0" fontId="35" fillId="0" borderId="23" xfId="62" applyFont="1" applyBorder="1" applyAlignment="1" applyProtection="1">
      <alignment horizontal="center" vertical="center"/>
    </xf>
    <xf numFmtId="0" fontId="35" fillId="0" borderId="24" xfId="62" applyFont="1" applyBorder="1" applyAlignment="1" applyProtection="1">
      <alignment horizontal="center" vertical="center"/>
    </xf>
    <xf numFmtId="0" fontId="35" fillId="32" borderId="49" xfId="0" applyFont="1" applyFill="1" applyBorder="1" applyProtection="1"/>
    <xf numFmtId="0" fontId="35" fillId="32" borderId="48" xfId="0" applyFont="1" applyFill="1" applyBorder="1" applyProtection="1"/>
    <xf numFmtId="0" fontId="35" fillId="32" borderId="46" xfId="0" applyFont="1" applyFill="1" applyBorder="1" applyProtection="1"/>
    <xf numFmtId="0" fontId="35" fillId="0" borderId="42" xfId="0" applyFont="1" applyFill="1" applyBorder="1" applyProtection="1"/>
    <xf numFmtId="0" fontId="36" fillId="0" borderId="20" xfId="0" applyFont="1" applyFill="1" applyBorder="1" applyAlignment="1" applyProtection="1">
      <alignment horizontal="left"/>
    </xf>
    <xf numFmtId="0" fontId="35" fillId="0" borderId="20" xfId="0" applyFont="1" applyFill="1" applyBorder="1" applyProtection="1"/>
    <xf numFmtId="0" fontId="35" fillId="0" borderId="19" xfId="0" applyFont="1" applyFill="1" applyBorder="1" applyProtection="1"/>
    <xf numFmtId="0" fontId="35" fillId="0" borderId="18" xfId="0" applyFont="1" applyBorder="1" applyProtection="1"/>
    <xf numFmtId="0" fontId="36" fillId="0" borderId="0" xfId="0" applyFont="1" applyBorder="1" applyProtection="1"/>
    <xf numFmtId="0" fontId="35" fillId="0" borderId="21" xfId="0" applyFont="1" applyBorder="1" applyProtection="1"/>
    <xf numFmtId="164" fontId="35" fillId="30" borderId="43" xfId="0" applyNumberFormat="1" applyFont="1" applyFill="1" applyBorder="1" applyProtection="1">
      <protection locked="0"/>
    </xf>
    <xf numFmtId="4" fontId="35" fillId="0" borderId="43" xfId="0" applyNumberFormat="1" applyFont="1" applyFill="1" applyBorder="1" applyProtection="1"/>
    <xf numFmtId="164" fontId="35" fillId="0" borderId="43" xfId="0" applyNumberFormat="1" applyFont="1" applyFill="1" applyBorder="1" applyProtection="1"/>
    <xf numFmtId="164" fontId="36" fillId="0" borderId="43" xfId="0" applyNumberFormat="1" applyFont="1" applyBorder="1" applyProtection="1"/>
    <xf numFmtId="0" fontId="35" fillId="29" borderId="41" xfId="0" applyFont="1" applyFill="1" applyBorder="1" applyProtection="1"/>
    <xf numFmtId="0" fontId="35" fillId="0" borderId="49" xfId="0" applyFont="1" applyBorder="1" applyProtection="1"/>
    <xf numFmtId="0" fontId="35" fillId="0" borderId="46" xfId="0" applyFont="1" applyBorder="1" applyProtection="1"/>
    <xf numFmtId="0" fontId="35" fillId="0" borderId="48" xfId="0" applyFont="1" applyBorder="1" applyProtection="1"/>
    <xf numFmtId="0" fontId="35" fillId="0" borderId="48" xfId="0" applyFont="1" applyFill="1" applyBorder="1" applyProtection="1"/>
    <xf numFmtId="0" fontId="35" fillId="0" borderId="22" xfId="0" applyFont="1" applyBorder="1" applyProtection="1"/>
    <xf numFmtId="0" fontId="35" fillId="0" borderId="23" xfId="0" applyFont="1" applyBorder="1" applyProtection="1"/>
    <xf numFmtId="0" fontId="35" fillId="0" borderId="24" xfId="0" applyFont="1" applyBorder="1" applyProtection="1"/>
    <xf numFmtId="0" fontId="36" fillId="32" borderId="48" xfId="0" applyFont="1" applyFill="1" applyBorder="1" applyProtection="1"/>
    <xf numFmtId="0" fontId="36" fillId="0" borderId="20" xfId="0" applyFont="1" applyFill="1" applyBorder="1" applyProtection="1"/>
    <xf numFmtId="4" fontId="35" fillId="0" borderId="43" xfId="0" applyNumberFormat="1" applyFont="1" applyBorder="1" applyProtection="1"/>
    <xf numFmtId="164" fontId="35" fillId="0" borderId="43" xfId="0" applyNumberFormat="1" applyFont="1" applyBorder="1" applyProtection="1"/>
    <xf numFmtId="0" fontId="36" fillId="0" borderId="49" xfId="0" applyFont="1" applyBorder="1" applyProtection="1"/>
    <xf numFmtId="0" fontId="35" fillId="0" borderId="50" xfId="0" applyFont="1" applyBorder="1" applyProtection="1"/>
    <xf numFmtId="0" fontId="36" fillId="0" borderId="49" xfId="62" applyFont="1" applyBorder="1" applyAlignment="1" applyProtection="1">
      <alignment vertical="center"/>
      <protection hidden="1"/>
    </xf>
    <xf numFmtId="0" fontId="35" fillId="0" borderId="0" xfId="62" applyNumberFormat="1" applyFont="1" applyFill="1" applyBorder="1" applyAlignment="1" applyProtection="1">
      <alignment vertical="center" wrapText="1"/>
      <protection hidden="1"/>
    </xf>
    <xf numFmtId="0" fontId="35" fillId="0" borderId="0" xfId="32" applyNumberFormat="1" applyFont="1" applyFill="1" applyBorder="1" applyAlignment="1" applyProtection="1">
      <alignment vertical="center" wrapText="1"/>
      <protection hidden="1"/>
    </xf>
    <xf numFmtId="0" fontId="35" fillId="0" borderId="51" xfId="62" applyFont="1" applyBorder="1" applyAlignment="1" applyProtection="1">
      <alignment vertical="center"/>
      <protection hidden="1"/>
    </xf>
    <xf numFmtId="0" fontId="35" fillId="0" borderId="52" xfId="0" applyFont="1" applyBorder="1" applyProtection="1"/>
    <xf numFmtId="0" fontId="35" fillId="0" borderId="53" xfId="62" applyFont="1" applyBorder="1" applyAlignment="1" applyProtection="1">
      <alignment vertical="center"/>
      <protection hidden="1"/>
    </xf>
    <xf numFmtId="3" fontId="35" fillId="0" borderId="54" xfId="0" applyNumberFormat="1" applyFont="1" applyBorder="1" applyProtection="1"/>
    <xf numFmtId="0" fontId="35" fillId="0" borderId="25" xfId="62" applyFont="1" applyBorder="1" applyAlignment="1" applyProtection="1">
      <alignment vertical="center"/>
      <protection hidden="1"/>
    </xf>
    <xf numFmtId="3" fontId="35" fillId="0" borderId="55" xfId="0" applyNumberFormat="1" applyFont="1" applyBorder="1" applyProtection="1"/>
    <xf numFmtId="0" fontId="35" fillId="0" borderId="56" xfId="0" applyFont="1" applyFill="1" applyBorder="1" applyProtection="1"/>
    <xf numFmtId="3" fontId="35" fillId="0" borderId="57" xfId="0" applyNumberFormat="1" applyFont="1" applyBorder="1" applyProtection="1"/>
    <xf numFmtId="0" fontId="35" fillId="0" borderId="27" xfId="0" applyFont="1" applyBorder="1" applyProtection="1"/>
    <xf numFmtId="0" fontId="39" fillId="0" borderId="0" xfId="62" applyFont="1" applyBorder="1" applyAlignment="1" applyProtection="1">
      <alignment vertical="center"/>
      <protection hidden="1"/>
    </xf>
    <xf numFmtId="170" fontId="35" fillId="0" borderId="0" xfId="0" applyNumberFormat="1" applyFont="1" applyBorder="1" applyProtection="1"/>
    <xf numFmtId="0" fontId="39" fillId="0" borderId="40" xfId="62" applyFont="1" applyBorder="1" applyAlignment="1" applyProtection="1">
      <alignment vertical="center"/>
      <protection hidden="1"/>
    </xf>
    <xf numFmtId="0" fontId="35" fillId="0" borderId="58" xfId="62" applyFont="1" applyBorder="1" applyAlignment="1" applyProtection="1">
      <alignment vertical="center"/>
      <protection hidden="1"/>
    </xf>
    <xf numFmtId="0" fontId="35" fillId="0" borderId="59" xfId="62" applyFont="1" applyBorder="1" applyAlignment="1" applyProtection="1">
      <alignment vertical="center"/>
      <protection hidden="1"/>
    </xf>
    <xf numFmtId="0" fontId="36" fillId="0" borderId="43" xfId="0" applyFont="1" applyBorder="1" applyAlignment="1" applyProtection="1">
      <alignment horizontal="right"/>
    </xf>
    <xf numFmtId="0" fontId="35" fillId="0" borderId="22" xfId="0" applyFont="1" applyBorder="1" applyProtection="1"/>
    <xf numFmtId="165" fontId="36" fillId="0" borderId="43" xfId="0" applyNumberFormat="1" applyFont="1" applyFill="1" applyBorder="1" applyProtection="1"/>
    <xf numFmtId="164" fontId="36" fillId="0" borderId="43" xfId="0" applyNumberFormat="1" applyFont="1" applyFill="1" applyBorder="1" applyProtection="1"/>
    <xf numFmtId="0" fontId="35" fillId="0" borderId="0" xfId="0" applyFont="1" applyBorder="1" applyAlignment="1" applyProtection="1"/>
    <xf numFmtId="164" fontId="35" fillId="0" borderId="0" xfId="0" applyNumberFormat="1" applyFont="1" applyBorder="1" applyAlignment="1" applyProtection="1">
      <alignment horizontal="left" indent="1"/>
    </xf>
    <xf numFmtId="0" fontId="35" fillId="0" borderId="50" xfId="0" applyFont="1" applyBorder="1" applyAlignment="1" applyProtection="1">
      <alignment horizontal="left"/>
    </xf>
    <xf numFmtId="0" fontId="36" fillId="0" borderId="49" xfId="0" applyFont="1" applyBorder="1" applyAlignment="1" applyProtection="1">
      <alignment horizontal="left"/>
    </xf>
    <xf numFmtId="0" fontId="36" fillId="0" borderId="48" xfId="0" applyFont="1" applyBorder="1" applyAlignment="1" applyProtection="1">
      <alignment horizontal="left"/>
    </xf>
    <xf numFmtId="0" fontId="35" fillId="0" borderId="60" xfId="0" applyFont="1" applyBorder="1" applyProtection="1"/>
    <xf numFmtId="0" fontId="35" fillId="0" borderId="61" xfId="0" applyFont="1" applyBorder="1" applyProtection="1"/>
    <xf numFmtId="0" fontId="35" fillId="0" borderId="19" xfId="0" applyFont="1" applyBorder="1" applyProtection="1"/>
    <xf numFmtId="0" fontId="35" fillId="0" borderId="62" xfId="0" applyFont="1" applyBorder="1" applyAlignment="1" applyProtection="1">
      <alignment horizontal="left"/>
    </xf>
    <xf numFmtId="0" fontId="36" fillId="0" borderId="48" xfId="0" applyFont="1" applyBorder="1" applyProtection="1"/>
    <xf numFmtId="0" fontId="35" fillId="0" borderId="63" xfId="0" applyFont="1" applyBorder="1" applyAlignment="1" applyProtection="1">
      <alignment horizontal="left"/>
    </xf>
    <xf numFmtId="3" fontId="35" fillId="0" borderId="0" xfId="0" applyNumberFormat="1" applyFont="1" applyBorder="1" applyProtection="1"/>
    <xf numFmtId="0" fontId="35" fillId="0" borderId="62" xfId="0" applyFont="1" applyBorder="1" applyProtection="1"/>
    <xf numFmtId="0" fontId="35" fillId="0" borderId="54" xfId="0" applyFont="1" applyBorder="1" applyProtection="1"/>
    <xf numFmtId="0" fontId="35" fillId="0" borderId="0" xfId="0" applyFont="1" applyBorder="1" applyAlignment="1" applyProtection="1">
      <alignment horizontal="left"/>
    </xf>
    <xf numFmtId="0" fontId="35" fillId="30" borderId="43" xfId="0" applyFont="1" applyFill="1" applyBorder="1" applyAlignment="1" applyProtection="1">
      <alignment horizontal="center"/>
      <protection locked="0"/>
    </xf>
    <xf numFmtId="0" fontId="35" fillId="0" borderId="0" xfId="0" applyFont="1" applyFill="1" applyBorder="1" applyAlignment="1" applyProtection="1">
      <alignment horizontal="left"/>
    </xf>
    <xf numFmtId="0" fontId="35" fillId="0" borderId="64" xfId="62" applyFont="1" applyBorder="1" applyAlignment="1" applyProtection="1">
      <alignment vertical="center"/>
      <protection hidden="1"/>
    </xf>
    <xf numFmtId="0" fontId="36" fillId="0" borderId="41" xfId="62" applyFont="1" applyBorder="1" applyAlignment="1" applyProtection="1">
      <alignment vertical="center"/>
      <protection hidden="1"/>
    </xf>
    <xf numFmtId="0" fontId="36" fillId="32" borderId="48" xfId="0" applyFont="1" applyFill="1" applyBorder="1" applyAlignment="1" applyProtection="1">
      <alignment horizontal="left"/>
    </xf>
    <xf numFmtId="0" fontId="46" fillId="29" borderId="35" xfId="0" applyFont="1" applyFill="1" applyBorder="1" applyProtection="1"/>
    <xf numFmtId="0" fontId="46" fillId="29" borderId="29" xfId="0" applyFont="1" applyFill="1" applyBorder="1" applyAlignment="1" applyProtection="1">
      <alignment horizontal="center"/>
    </xf>
    <xf numFmtId="0" fontId="36" fillId="0" borderId="21" xfId="0" applyFont="1" applyBorder="1" applyProtection="1"/>
    <xf numFmtId="0" fontId="35" fillId="0" borderId="0" xfId="0" applyFont="1" applyBorder="1" applyAlignment="1" applyProtection="1">
      <alignment horizontal="right"/>
    </xf>
    <xf numFmtId="0" fontId="36" fillId="0" borderId="0" xfId="0" applyFont="1" applyBorder="1" applyAlignment="1" applyProtection="1">
      <alignment horizontal="left"/>
    </xf>
    <xf numFmtId="164" fontId="35" fillId="28" borderId="43" xfId="0" applyNumberFormat="1" applyFont="1" applyFill="1" applyBorder="1" applyProtection="1"/>
    <xf numFmtId="3" fontId="35" fillId="0" borderId="0" xfId="0" applyNumberFormat="1" applyFont="1" applyBorder="1" applyAlignment="1" applyProtection="1">
      <alignment horizontal="center"/>
    </xf>
    <xf numFmtId="0" fontId="35" fillId="0" borderId="0" xfId="0" applyFont="1" applyBorder="1" applyAlignment="1" applyProtection="1">
      <alignment horizontal="center"/>
    </xf>
    <xf numFmtId="0" fontId="35" fillId="0" borderId="0" xfId="0" applyFont="1" applyAlignment="1" applyProtection="1">
      <alignment horizontal="center"/>
    </xf>
    <xf numFmtId="0" fontId="35" fillId="0" borderId="0" xfId="0" applyFont="1" applyFill="1" applyBorder="1" applyAlignment="1" applyProtection="1">
      <alignment horizontal="center"/>
    </xf>
    <xf numFmtId="0" fontId="35" fillId="0" borderId="42" xfId="0" applyFont="1" applyBorder="1" applyProtection="1"/>
    <xf numFmtId="0" fontId="35" fillId="0" borderId="20" xfId="0" applyFont="1" applyBorder="1" applyProtection="1"/>
    <xf numFmtId="169" fontId="35" fillId="0" borderId="65" xfId="0" applyNumberFormat="1" applyFont="1" applyBorder="1" applyAlignment="1" applyProtection="1">
      <alignment horizontal="center"/>
    </xf>
    <xf numFmtId="0" fontId="35" fillId="0" borderId="65" xfId="0" applyFont="1" applyBorder="1" applyAlignment="1" applyProtection="1">
      <alignment horizontal="center"/>
    </xf>
    <xf numFmtId="169" fontId="36" fillId="0" borderId="65" xfId="0" applyNumberFormat="1" applyFont="1" applyBorder="1" applyAlignment="1" applyProtection="1">
      <alignment horizontal="center"/>
    </xf>
    <xf numFmtId="0" fontId="35" fillId="0" borderId="0" xfId="0" applyFont="1" applyAlignment="1" applyProtection="1">
      <alignment horizontal="right"/>
    </xf>
    <xf numFmtId="171" fontId="35" fillId="28" borderId="43" xfId="32" applyNumberFormat="1" applyFont="1" applyFill="1" applyBorder="1" applyProtection="1"/>
    <xf numFmtId="169" fontId="35" fillId="30" borderId="43" xfId="0" applyNumberFormat="1" applyFont="1" applyFill="1" applyBorder="1" applyProtection="1">
      <protection locked="0"/>
    </xf>
    <xf numFmtId="169" fontId="36" fillId="0" borderId="43" xfId="0" applyNumberFormat="1" applyFont="1" applyBorder="1" applyProtection="1"/>
    <xf numFmtId="0" fontId="36" fillId="0" borderId="21" xfId="0" applyFont="1" applyBorder="1" applyAlignment="1" applyProtection="1">
      <alignment horizontal="center"/>
    </xf>
    <xf numFmtId="0" fontId="36" fillId="0" borderId="43" xfId="0" applyFont="1" applyBorder="1" applyAlignment="1" applyProtection="1">
      <alignment horizontal="right" wrapText="1"/>
    </xf>
    <xf numFmtId="0" fontId="35" fillId="0" borderId="43" xfId="0" applyFont="1" applyBorder="1" applyAlignment="1" applyProtection="1">
      <alignment horizontal="right"/>
    </xf>
    <xf numFmtId="0" fontId="35" fillId="0" borderId="66" xfId="62" applyFont="1" applyBorder="1" applyAlignment="1" applyProtection="1">
      <alignment vertical="center"/>
      <protection hidden="1"/>
    </xf>
    <xf numFmtId="0" fontId="35" fillId="0" borderId="49" xfId="0" applyFont="1" applyBorder="1" applyAlignment="1" applyProtection="1">
      <alignment horizontal="left"/>
    </xf>
    <xf numFmtId="0" fontId="35" fillId="0" borderId="48" xfId="0" applyFont="1" applyBorder="1" applyAlignment="1" applyProtection="1">
      <alignment horizontal="left"/>
    </xf>
    <xf numFmtId="0" fontId="35" fillId="0" borderId="46" xfId="0" applyFont="1" applyBorder="1" applyAlignment="1" applyProtection="1">
      <alignment horizontal="left"/>
    </xf>
    <xf numFmtId="0" fontId="35" fillId="0" borderId="62" xfId="0" applyFont="1" applyFill="1" applyBorder="1" applyProtection="1"/>
    <xf numFmtId="0" fontId="35" fillId="0" borderId="56" xfId="0" applyFont="1" applyBorder="1" applyProtection="1"/>
    <xf numFmtId="0" fontId="47" fillId="28" borderId="0" xfId="0" applyFont="1" applyFill="1" applyBorder="1" applyAlignment="1" applyProtection="1">
      <alignment horizontal="left"/>
    </xf>
    <xf numFmtId="0" fontId="48" fillId="0" borderId="67" xfId="0" applyFont="1" applyBorder="1" applyAlignment="1" applyProtection="1"/>
    <xf numFmtId="1" fontId="35" fillId="30" borderId="43" xfId="0" applyNumberFormat="1" applyFont="1" applyFill="1" applyBorder="1" applyAlignment="1" applyProtection="1">
      <alignment horizontal="center"/>
      <protection locked="0"/>
    </xf>
    <xf numFmtId="9" fontId="35" fillId="30" borderId="43" xfId="0" applyNumberFormat="1" applyFont="1" applyFill="1" applyBorder="1" applyProtection="1">
      <protection locked="0"/>
    </xf>
    <xf numFmtId="0" fontId="35" fillId="0" borderId="23" xfId="0" applyFont="1" applyBorder="1" applyAlignment="1" applyProtection="1">
      <alignment horizontal="right" vertical="top"/>
    </xf>
    <xf numFmtId="0" fontId="49" fillId="0" borderId="23" xfId="0" applyFont="1" applyBorder="1" applyAlignment="1" applyProtection="1">
      <alignment vertical="top"/>
    </xf>
    <xf numFmtId="0" fontId="35" fillId="0" borderId="0" xfId="0" applyFont="1" applyAlignment="1" applyProtection="1">
      <alignment vertical="top"/>
    </xf>
    <xf numFmtId="0" fontId="50" fillId="0" borderId="23" xfId="50" applyFont="1" applyBorder="1" applyAlignment="1" applyProtection="1">
      <alignment horizontal="left" vertical="top"/>
    </xf>
    <xf numFmtId="0" fontId="35" fillId="0" borderId="0" xfId="0" applyFont="1" applyAlignment="1" applyProtection="1">
      <alignment horizontal="left"/>
    </xf>
    <xf numFmtId="0" fontId="36" fillId="0" borderId="0" xfId="0" applyFont="1" applyBorder="1" applyAlignment="1" applyProtection="1">
      <alignment horizontal="right"/>
    </xf>
    <xf numFmtId="0" fontId="39" fillId="0" borderId="0" xfId="0" applyFont="1" applyBorder="1" applyProtection="1"/>
    <xf numFmtId="0" fontId="3" fillId="0" borderId="0" xfId="0" applyFont="1" applyBorder="1" applyProtection="1"/>
    <xf numFmtId="0" fontId="35" fillId="28" borderId="0" xfId="0" applyFont="1" applyFill="1" applyBorder="1" applyAlignment="1" applyProtection="1">
      <alignment horizontal="center"/>
    </xf>
    <xf numFmtId="0" fontId="35" fillId="0" borderId="63" xfId="0" applyFont="1" applyBorder="1" applyProtection="1"/>
    <xf numFmtId="165" fontId="35" fillId="0" borderId="0" xfId="0" applyNumberFormat="1" applyFont="1" applyBorder="1" applyProtection="1"/>
    <xf numFmtId="0" fontId="36" fillId="0" borderId="42" xfId="0" applyFont="1" applyBorder="1" applyAlignment="1" applyProtection="1">
      <alignment horizontal="left"/>
    </xf>
    <xf numFmtId="0" fontId="36" fillId="0" borderId="20" xfId="0" applyFont="1" applyBorder="1" applyAlignment="1" applyProtection="1">
      <alignment horizontal="left"/>
    </xf>
    <xf numFmtId="0" fontId="35" fillId="0" borderId="43" xfId="0" applyFont="1" applyBorder="1" applyProtection="1"/>
    <xf numFmtId="0" fontId="35" fillId="0" borderId="43" xfId="0" applyFont="1" applyBorder="1" applyAlignment="1" applyProtection="1">
      <alignment horizontal="left"/>
    </xf>
    <xf numFmtId="0" fontId="35" fillId="0" borderId="67" xfId="0" applyFont="1" applyBorder="1" applyAlignment="1" applyProtection="1">
      <alignment horizontal="left"/>
    </xf>
    <xf numFmtId="0" fontId="48" fillId="0" borderId="68" xfId="0" applyFont="1" applyBorder="1" applyAlignment="1" applyProtection="1"/>
    <xf numFmtId="0" fontId="35" fillId="0" borderId="68" xfId="0" applyFont="1" applyBorder="1" applyProtection="1"/>
    <xf numFmtId="0" fontId="46" fillId="0" borderId="22" xfId="0" applyFont="1" applyBorder="1" applyProtection="1"/>
    <xf numFmtId="0" fontId="35" fillId="0" borderId="23" xfId="0" applyFont="1" applyBorder="1" applyAlignment="1" applyProtection="1">
      <alignment horizontal="left"/>
    </xf>
    <xf numFmtId="0" fontId="39" fillId="0" borderId="49" xfId="62" applyFont="1" applyBorder="1" applyAlignment="1" applyProtection="1">
      <alignment vertical="center"/>
      <protection hidden="1"/>
    </xf>
    <xf numFmtId="0" fontId="35" fillId="0" borderId="69" xfId="0" applyFont="1" applyBorder="1" applyAlignment="1" applyProtection="1">
      <alignment horizontal="left"/>
    </xf>
    <xf numFmtId="0" fontId="35" fillId="0" borderId="69" xfId="0" applyFont="1" applyBorder="1" applyProtection="1"/>
    <xf numFmtId="0" fontId="46" fillId="0" borderId="18" xfId="0" applyFont="1" applyBorder="1" applyProtection="1"/>
    <xf numFmtId="0" fontId="35" fillId="0" borderId="70" xfId="0" applyFont="1" applyBorder="1" applyProtection="1"/>
    <xf numFmtId="165" fontId="35" fillId="0" borderId="67" xfId="0" applyNumberFormat="1" applyFont="1" applyBorder="1" applyAlignment="1" applyProtection="1">
      <alignment horizontal="right"/>
    </xf>
    <xf numFmtId="165" fontId="35" fillId="0" borderId="68" xfId="0" applyNumberFormat="1" applyFont="1" applyBorder="1" applyAlignment="1" applyProtection="1">
      <alignment horizontal="right"/>
    </xf>
    <xf numFmtId="165" fontId="35" fillId="0" borderId="22" xfId="0" applyNumberFormat="1" applyFont="1" applyBorder="1" applyAlignment="1" applyProtection="1">
      <alignment horizontal="right"/>
    </xf>
    <xf numFmtId="0" fontId="35" fillId="0" borderId="53" xfId="0" applyFont="1" applyBorder="1" applyProtection="1"/>
    <xf numFmtId="6" fontId="35" fillId="0" borderId="18" xfId="0" applyNumberFormat="1" applyFont="1" applyBorder="1" applyAlignment="1" applyProtection="1">
      <alignment horizontal="right"/>
    </xf>
    <xf numFmtId="0" fontId="36" fillId="0" borderId="43" xfId="0" applyFont="1" applyBorder="1" applyAlignment="1" applyProtection="1">
      <alignment horizontal="center"/>
    </xf>
    <xf numFmtId="0" fontId="35" fillId="0" borderId="43" xfId="0" applyFont="1" applyBorder="1" applyAlignment="1" applyProtection="1">
      <alignment horizontal="center"/>
    </xf>
    <xf numFmtId="4" fontId="36" fillId="0" borderId="43" xfId="0" applyNumberFormat="1" applyFont="1" applyBorder="1" applyAlignment="1" applyProtection="1">
      <alignment horizontal="right" wrapText="1"/>
    </xf>
    <xf numFmtId="17" fontId="35" fillId="0" borderId="43" xfId="0" applyNumberFormat="1" applyFont="1" applyBorder="1" applyAlignment="1" applyProtection="1">
      <alignment horizontal="right"/>
    </xf>
    <xf numFmtId="172" fontId="35" fillId="0" borderId="43" xfId="0" applyNumberFormat="1" applyFont="1" applyBorder="1" applyAlignment="1" applyProtection="1">
      <alignment horizontal="right"/>
    </xf>
    <xf numFmtId="44" fontId="35" fillId="0" borderId="43" xfId="0" applyNumberFormat="1" applyFont="1" applyBorder="1" applyAlignment="1" applyProtection="1">
      <alignment horizontal="right"/>
    </xf>
    <xf numFmtId="172" fontId="35" fillId="0" borderId="43" xfId="0" applyNumberFormat="1" applyFont="1" applyBorder="1" applyAlignment="1">
      <alignment horizontal="right"/>
    </xf>
    <xf numFmtId="17" fontId="3" fillId="0" borderId="43" xfId="0" applyNumberFormat="1" applyFont="1" applyBorder="1" applyAlignment="1" applyProtection="1">
      <alignment horizontal="right"/>
    </xf>
    <xf numFmtId="172" fontId="3" fillId="0" borderId="43" xfId="0" applyNumberFormat="1" applyFont="1" applyBorder="1" applyAlignment="1">
      <alignment horizontal="right"/>
    </xf>
    <xf numFmtId="44" fontId="3" fillId="0" borderId="43" xfId="0" applyNumberFormat="1" applyFont="1" applyBorder="1" applyAlignment="1">
      <alignment horizontal="right"/>
    </xf>
    <xf numFmtId="17" fontId="35" fillId="0" borderId="43" xfId="0" applyNumberFormat="1" applyFont="1" applyBorder="1" applyProtection="1"/>
    <xf numFmtId="172" fontId="35" fillId="0" borderId="43" xfId="0" applyNumberFormat="1" applyFont="1" applyBorder="1" applyProtection="1"/>
    <xf numFmtId="44" fontId="35" fillId="0" borderId="43" xfId="0" applyNumberFormat="1" applyFont="1" applyBorder="1" applyProtection="1"/>
    <xf numFmtId="17" fontId="35" fillId="0" borderId="43" xfId="62" applyNumberFormat="1" applyFont="1" applyBorder="1" applyAlignment="1" applyProtection="1">
      <alignment vertical="center"/>
      <protection hidden="1"/>
    </xf>
    <xf numFmtId="172" fontId="35" fillId="0" borderId="43" xfId="62" applyNumberFormat="1" applyFont="1" applyBorder="1" applyAlignment="1" applyProtection="1">
      <alignment vertical="center"/>
      <protection hidden="1"/>
    </xf>
    <xf numFmtId="17" fontId="35" fillId="0" borderId="43" xfId="0" applyNumberFormat="1" applyFont="1" applyFill="1" applyBorder="1" applyProtection="1"/>
    <xf numFmtId="0" fontId="36" fillId="0" borderId="43" xfId="0" applyFont="1" applyBorder="1" applyProtection="1"/>
    <xf numFmtId="0" fontId="36" fillId="0" borderId="43" xfId="0" applyFont="1" applyFill="1" applyBorder="1" applyProtection="1"/>
    <xf numFmtId="9" fontId="35" fillId="0" borderId="43" xfId="62" applyNumberFormat="1" applyFont="1" applyFill="1" applyBorder="1" applyAlignment="1" applyProtection="1">
      <alignment vertical="center" wrapText="1"/>
      <protection hidden="1"/>
    </xf>
    <xf numFmtId="173" fontId="35" fillId="0" borderId="43" xfId="32" applyNumberFormat="1" applyFont="1" applyFill="1" applyBorder="1" applyAlignment="1" applyProtection="1">
      <alignment vertical="center" wrapText="1"/>
      <protection hidden="1"/>
    </xf>
    <xf numFmtId="173" fontId="35" fillId="0" borderId="43" xfId="0" applyNumberFormat="1" applyFont="1" applyBorder="1" applyProtection="1"/>
    <xf numFmtId="174" fontId="35" fillId="0" borderId="43" xfId="0" applyNumberFormat="1" applyFont="1" applyBorder="1" applyProtection="1"/>
    <xf numFmtId="9" fontId="51" fillId="0" borderId="43" xfId="62" applyNumberFormat="1" applyFont="1" applyFill="1" applyBorder="1" applyAlignment="1" applyProtection="1">
      <alignment vertical="center" wrapText="1"/>
      <protection hidden="1"/>
    </xf>
    <xf numFmtId="44" fontId="51" fillId="0" borderId="43" xfId="32" applyNumberFormat="1" applyFont="1" applyFill="1" applyBorder="1" applyAlignment="1" applyProtection="1">
      <alignment vertical="center" wrapText="1"/>
      <protection hidden="1"/>
    </xf>
    <xf numFmtId="44" fontId="51" fillId="0" borderId="43" xfId="0" applyNumberFormat="1" applyFont="1" applyBorder="1" applyProtection="1"/>
    <xf numFmtId="172" fontId="51" fillId="0" borderId="43" xfId="0" applyNumberFormat="1" applyFont="1" applyBorder="1" applyProtection="1"/>
    <xf numFmtId="44" fontId="35" fillId="0" borderId="43" xfId="32" applyNumberFormat="1" applyFont="1" applyFill="1" applyBorder="1" applyAlignment="1" applyProtection="1">
      <alignment vertical="center" wrapText="1"/>
      <protection hidden="1"/>
    </xf>
    <xf numFmtId="0" fontId="35" fillId="0" borderId="43" xfId="62" applyNumberFormat="1" applyFont="1" applyFill="1" applyBorder="1" applyAlignment="1" applyProtection="1">
      <alignment vertical="center" wrapText="1"/>
      <protection hidden="1"/>
    </xf>
    <xf numFmtId="8" fontId="35" fillId="0" borderId="0" xfId="62" applyNumberFormat="1" applyFont="1" applyFill="1" applyBorder="1" applyAlignment="1" applyProtection="1">
      <alignment horizontal="center" vertical="center"/>
      <protection hidden="1"/>
    </xf>
    <xf numFmtId="10" fontId="35" fillId="0" borderId="0" xfId="78" applyNumberFormat="1" applyFont="1" applyProtection="1"/>
    <xf numFmtId="10" fontId="35" fillId="0" borderId="40" xfId="62" applyNumberFormat="1" applyFont="1" applyFill="1" applyBorder="1" applyAlignment="1" applyProtection="1">
      <alignment horizontal="center" vertical="center"/>
      <protection locked="0" hidden="1"/>
    </xf>
    <xf numFmtId="0" fontId="35" fillId="30" borderId="56" xfId="62" applyFont="1" applyFill="1" applyBorder="1" applyAlignment="1" applyProtection="1">
      <alignment horizontal="center" vertical="center"/>
      <protection locked="0"/>
    </xf>
    <xf numFmtId="0" fontId="47" fillId="30" borderId="43" xfId="0" applyFont="1" applyFill="1" applyBorder="1" applyAlignment="1" applyProtection="1">
      <alignment horizontal="left"/>
      <protection locked="0"/>
    </xf>
    <xf numFmtId="0" fontId="36" fillId="32" borderId="48" xfId="0" applyFont="1" applyFill="1" applyBorder="1" applyAlignment="1" applyProtection="1">
      <alignment horizontal="left"/>
    </xf>
    <xf numFmtId="0" fontId="35" fillId="0" borderId="56" xfId="62" applyFont="1" applyBorder="1" applyAlignment="1" applyProtection="1">
      <alignment horizontal="center" vertical="center"/>
      <protection hidden="1"/>
    </xf>
    <xf numFmtId="0" fontId="36" fillId="29" borderId="49" xfId="62" applyFont="1" applyFill="1" applyBorder="1" applyAlignment="1" applyProtection="1">
      <alignment horizontal="center" vertical="center"/>
      <protection hidden="1"/>
    </xf>
    <xf numFmtId="0" fontId="36" fillId="29" borderId="48" xfId="62" applyFont="1" applyFill="1" applyBorder="1" applyAlignment="1" applyProtection="1">
      <alignment horizontal="center" vertical="center"/>
      <protection hidden="1"/>
    </xf>
    <xf numFmtId="0" fontId="36" fillId="29" borderId="46" xfId="62" applyFont="1" applyFill="1" applyBorder="1" applyAlignment="1" applyProtection="1">
      <alignment horizontal="center" vertical="center"/>
      <protection hidden="1"/>
    </xf>
    <xf numFmtId="0" fontId="35" fillId="28" borderId="42" xfId="62" applyFont="1" applyFill="1" applyBorder="1" applyAlignment="1" applyProtection="1">
      <alignment horizontal="left" vertical="top" wrapText="1"/>
      <protection locked="0" hidden="1"/>
    </xf>
    <xf numFmtId="0" fontId="35" fillId="28" borderId="20" xfId="62" applyFont="1" applyFill="1" applyBorder="1" applyAlignment="1" applyProtection="1">
      <alignment horizontal="left" vertical="top" wrapText="1"/>
      <protection locked="0" hidden="1"/>
    </xf>
    <xf numFmtId="0" fontId="35" fillId="28" borderId="19" xfId="62" applyFont="1" applyFill="1" applyBorder="1" applyAlignment="1" applyProtection="1">
      <alignment horizontal="left" vertical="top" wrapText="1"/>
      <protection locked="0" hidden="1"/>
    </xf>
    <xf numFmtId="0" fontId="35" fillId="28" borderId="18" xfId="62" applyFont="1" applyFill="1" applyBorder="1" applyAlignment="1" applyProtection="1">
      <alignment horizontal="left" vertical="top" wrapText="1"/>
      <protection locked="0" hidden="1"/>
    </xf>
    <xf numFmtId="0" fontId="35" fillId="28" borderId="0" xfId="62" applyFont="1" applyFill="1" applyBorder="1" applyAlignment="1" applyProtection="1">
      <alignment horizontal="left" vertical="top" wrapText="1"/>
      <protection locked="0" hidden="1"/>
    </xf>
    <xf numFmtId="0" fontId="35" fillId="28" borderId="21" xfId="62" applyFont="1" applyFill="1" applyBorder="1" applyAlignment="1" applyProtection="1">
      <alignment horizontal="left" vertical="top" wrapText="1"/>
      <protection locked="0" hidden="1"/>
    </xf>
    <xf numFmtId="0" fontId="35" fillId="28" borderId="22" xfId="62" applyFont="1" applyFill="1" applyBorder="1" applyAlignment="1" applyProtection="1">
      <alignment horizontal="left" vertical="top" wrapText="1"/>
      <protection locked="0" hidden="1"/>
    </xf>
    <xf numFmtId="0" fontId="35" fillId="28" borderId="23" xfId="62" applyFont="1" applyFill="1" applyBorder="1" applyAlignment="1" applyProtection="1">
      <alignment horizontal="left" vertical="top" wrapText="1"/>
      <protection locked="0" hidden="1"/>
    </xf>
    <xf numFmtId="0" fontId="35" fillId="28" borderId="24" xfId="62" applyFont="1" applyFill="1" applyBorder="1" applyAlignment="1" applyProtection="1">
      <alignment horizontal="left" vertical="top" wrapText="1"/>
      <protection locked="0" hidden="1"/>
    </xf>
    <xf numFmtId="0" fontId="36" fillId="32" borderId="49" xfId="62" applyFont="1" applyFill="1" applyBorder="1" applyAlignment="1" applyProtection="1">
      <alignment horizontal="center" vertical="center"/>
      <protection hidden="1"/>
    </xf>
    <xf numFmtId="0" fontId="36" fillId="32" borderId="48" xfId="62" applyFont="1" applyFill="1" applyBorder="1" applyAlignment="1" applyProtection="1">
      <alignment horizontal="center" vertical="center"/>
      <protection hidden="1"/>
    </xf>
    <xf numFmtId="0" fontId="36" fillId="32" borderId="46" xfId="62" applyFont="1" applyFill="1" applyBorder="1" applyAlignment="1" applyProtection="1">
      <alignment horizontal="center" vertical="center"/>
      <protection hidden="1"/>
    </xf>
    <xf numFmtId="0" fontId="35" fillId="28" borderId="56" xfId="62" applyFont="1" applyFill="1" applyBorder="1" applyAlignment="1" applyProtection="1">
      <alignment horizontal="center" vertical="center"/>
      <protection locked="0" hidden="1"/>
    </xf>
    <xf numFmtId="0" fontId="35" fillId="28" borderId="0" xfId="62" applyFont="1" applyFill="1" applyBorder="1" applyAlignment="1" applyProtection="1">
      <alignment horizontal="left" vertical="center" wrapText="1"/>
      <protection hidden="1"/>
    </xf>
    <xf numFmtId="0" fontId="52" fillId="28" borderId="56" xfId="62" applyFont="1" applyFill="1" applyBorder="1" applyAlignment="1" applyProtection="1">
      <alignment horizontal="center" vertical="center" wrapText="1"/>
      <protection locked="0" hidden="1"/>
    </xf>
    <xf numFmtId="0" fontId="36" fillId="29" borderId="41" xfId="62" applyFont="1" applyFill="1" applyBorder="1" applyAlignment="1" applyProtection="1">
      <alignment horizontal="center" vertical="center" textRotation="90" wrapText="1"/>
      <protection hidden="1"/>
    </xf>
    <xf numFmtId="0" fontId="36" fillId="29" borderId="29" xfId="62" applyFont="1" applyFill="1" applyBorder="1" applyAlignment="1" applyProtection="1">
      <alignment horizontal="center" vertical="center" textRotation="90" wrapText="1"/>
      <protection hidden="1"/>
    </xf>
    <xf numFmtId="0" fontId="36" fillId="29" borderId="35" xfId="62" applyFont="1" applyFill="1" applyBorder="1" applyAlignment="1" applyProtection="1">
      <alignment horizontal="center" vertical="center" textRotation="90" wrapText="1"/>
      <protection hidden="1"/>
    </xf>
    <xf numFmtId="0" fontId="36" fillId="0" borderId="67" xfId="62" applyFont="1" applyBorder="1" applyAlignment="1" applyProtection="1">
      <alignment horizontal="center" vertical="center"/>
      <protection hidden="1"/>
    </xf>
    <xf numFmtId="0" fontId="36" fillId="0" borderId="63" xfId="62" applyFont="1" applyBorder="1" applyAlignment="1" applyProtection="1">
      <alignment horizontal="center" vertical="center"/>
      <protection hidden="1"/>
    </xf>
    <xf numFmtId="0" fontId="36" fillId="0" borderId="60" xfId="62" applyFont="1" applyBorder="1" applyAlignment="1" applyProtection="1">
      <alignment horizontal="center" vertical="center"/>
      <protection hidden="1"/>
    </xf>
    <xf numFmtId="1" fontId="35" fillId="30" borderId="49" xfId="62" applyNumberFormat="1" applyFont="1" applyFill="1" applyBorder="1" applyAlignment="1" applyProtection="1">
      <alignment horizontal="center" vertical="center"/>
      <protection locked="0" hidden="1"/>
    </xf>
    <xf numFmtId="1" fontId="35" fillId="30" borderId="48" xfId="62" applyNumberFormat="1" applyFont="1" applyFill="1" applyBorder="1" applyAlignment="1" applyProtection="1">
      <alignment horizontal="center" vertical="center"/>
      <protection locked="0" hidden="1"/>
    </xf>
    <xf numFmtId="164" fontId="35" fillId="0" borderId="49" xfId="62" applyNumberFormat="1" applyFont="1" applyFill="1" applyBorder="1" applyAlignment="1" applyProtection="1">
      <alignment horizontal="center" vertical="center"/>
      <protection hidden="1"/>
    </xf>
    <xf numFmtId="164" fontId="35" fillId="0" borderId="48" xfId="62" applyNumberFormat="1" applyFont="1" applyFill="1" applyBorder="1" applyAlignment="1" applyProtection="1">
      <alignment horizontal="center" vertical="center"/>
      <protection hidden="1"/>
    </xf>
    <xf numFmtId="164" fontId="35" fillId="0" borderId="46" xfId="62" applyNumberFormat="1" applyFont="1" applyFill="1" applyBorder="1" applyAlignment="1" applyProtection="1">
      <alignment horizontal="center" vertical="center"/>
      <protection hidden="1"/>
    </xf>
    <xf numFmtId="0" fontId="35" fillId="0" borderId="56" xfId="62" applyNumberFormat="1" applyFont="1" applyBorder="1" applyAlignment="1" applyProtection="1">
      <alignment horizontal="center" vertical="center"/>
      <protection hidden="1"/>
    </xf>
    <xf numFmtId="0" fontId="3" fillId="0" borderId="18" xfId="62" applyFont="1" applyBorder="1" applyAlignment="1" applyProtection="1">
      <alignment horizontal="center" vertical="center"/>
      <protection hidden="1"/>
    </xf>
    <xf numFmtId="0" fontId="3" fillId="0" borderId="0" xfId="62" applyFont="1" applyBorder="1" applyAlignment="1" applyProtection="1">
      <alignment horizontal="center" vertical="center"/>
      <protection hidden="1"/>
    </xf>
    <xf numFmtId="0" fontId="3" fillId="0" borderId="21" xfId="62" applyFont="1" applyBorder="1" applyAlignment="1" applyProtection="1">
      <alignment horizontal="center" vertical="center"/>
      <protection hidden="1"/>
    </xf>
    <xf numFmtId="164" fontId="3" fillId="30" borderId="54" xfId="62" applyNumberFormat="1" applyFont="1" applyFill="1" applyBorder="1" applyAlignment="1" applyProtection="1">
      <alignment horizontal="center" vertical="center"/>
      <protection locked="0" hidden="1"/>
    </xf>
    <xf numFmtId="164" fontId="3" fillId="30" borderId="71" xfId="62" applyNumberFormat="1" applyFont="1" applyFill="1" applyBorder="1" applyAlignment="1" applyProtection="1">
      <alignment horizontal="center" vertical="center"/>
      <protection locked="0" hidden="1"/>
    </xf>
    <xf numFmtId="164" fontId="35" fillId="0" borderId="54" xfId="62" applyNumberFormat="1" applyFont="1" applyFill="1" applyBorder="1" applyAlignment="1" applyProtection="1">
      <alignment horizontal="center" vertical="center"/>
      <protection hidden="1"/>
    </xf>
    <xf numFmtId="164" fontId="35" fillId="0" borderId="71" xfId="62" applyNumberFormat="1" applyFont="1" applyFill="1" applyBorder="1" applyAlignment="1" applyProtection="1">
      <alignment horizontal="center" vertical="center"/>
      <protection hidden="1"/>
    </xf>
    <xf numFmtId="2" fontId="35" fillId="28" borderId="54" xfId="62" applyNumberFormat="1" applyFont="1" applyFill="1" applyBorder="1" applyAlignment="1" applyProtection="1">
      <alignment horizontal="center" vertical="center"/>
      <protection hidden="1"/>
    </xf>
    <xf numFmtId="2" fontId="35" fillId="28" borderId="71" xfId="62" applyNumberFormat="1" applyFont="1" applyFill="1" applyBorder="1" applyAlignment="1" applyProtection="1">
      <alignment horizontal="center" vertical="center"/>
      <protection hidden="1"/>
    </xf>
    <xf numFmtId="0" fontId="35" fillId="30" borderId="54" xfId="62" applyFont="1" applyFill="1" applyBorder="1" applyAlignment="1" applyProtection="1">
      <alignment horizontal="center" vertical="center"/>
      <protection locked="0" hidden="1"/>
    </xf>
    <xf numFmtId="0" fontId="35" fillId="30" borderId="71" xfId="62" applyFont="1" applyFill="1" applyBorder="1" applyAlignment="1" applyProtection="1">
      <alignment horizontal="center" vertical="center"/>
      <protection locked="0" hidden="1"/>
    </xf>
    <xf numFmtId="8" fontId="35" fillId="0" borderId="54" xfId="62" applyNumberFormat="1" applyFont="1" applyFill="1" applyBorder="1" applyAlignment="1" applyProtection="1">
      <alignment horizontal="center" vertical="center"/>
      <protection hidden="1"/>
    </xf>
    <xf numFmtId="8" fontId="35" fillId="0" borderId="71" xfId="62" applyNumberFormat="1" applyFont="1" applyFill="1" applyBorder="1" applyAlignment="1" applyProtection="1">
      <alignment horizontal="center" vertical="center"/>
      <protection hidden="1"/>
    </xf>
    <xf numFmtId="0" fontId="51" fillId="0" borderId="18" xfId="62" applyFont="1" applyBorder="1" applyAlignment="1" applyProtection="1">
      <alignment horizontal="center" vertical="center" wrapText="1"/>
      <protection hidden="1"/>
    </xf>
    <xf numFmtId="0" fontId="51" fillId="0" borderId="0" xfId="62" applyFont="1" applyBorder="1" applyAlignment="1" applyProtection="1">
      <alignment horizontal="center" vertical="center" wrapText="1"/>
      <protection hidden="1"/>
    </xf>
    <xf numFmtId="0" fontId="51" fillId="0" borderId="21" xfId="62" applyFont="1" applyBorder="1" applyAlignment="1" applyProtection="1">
      <alignment horizontal="center" vertical="center" wrapText="1"/>
      <protection hidden="1"/>
    </xf>
    <xf numFmtId="10" fontId="3" fillId="30" borderId="54" xfId="78" applyNumberFormat="1" applyFont="1" applyFill="1" applyBorder="1" applyAlignment="1" applyProtection="1">
      <alignment horizontal="center" vertical="center"/>
      <protection locked="0" hidden="1"/>
    </xf>
    <xf numFmtId="10" fontId="3" fillId="30" borderId="71" xfId="78" applyNumberFormat="1" applyFont="1" applyFill="1" applyBorder="1" applyAlignment="1" applyProtection="1">
      <alignment horizontal="center" vertical="center"/>
      <protection locked="0" hidden="1"/>
    </xf>
  </cellXfs>
  <cellStyles count="94">
    <cellStyle name="0.00%" xfId="1"/>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Blue Font" xfId="27"/>
    <cellStyle name="Blue, Bold" xfId="28"/>
    <cellStyle name="Bottom Border, Unlocked" xfId="29"/>
    <cellStyle name="Calculation 2" xfId="30"/>
    <cellStyle name="Check Cell 2" xfId="31"/>
    <cellStyle name="Comma" xfId="32" builtinId="3"/>
    <cellStyle name="Comma 2" xfId="33"/>
    <cellStyle name="Comma 2 2" xfId="34"/>
    <cellStyle name="Comma 3" xfId="35"/>
    <cellStyle name="Comma 4" xfId="36"/>
    <cellStyle name="Comma 5" xfId="37"/>
    <cellStyle name="Currency 2" xfId="38"/>
    <cellStyle name="Currency 2 2" xfId="39"/>
    <cellStyle name="Currency 3" xfId="40"/>
    <cellStyle name="Currency 4" xfId="41"/>
    <cellStyle name="DollarHideZero" xfId="42"/>
    <cellStyle name="DollarHideZero 2" xfId="43"/>
    <cellStyle name="Explanatory Text 2" xfId="44"/>
    <cellStyle name="Good 2" xfId="45"/>
    <cellStyle name="Heading 1 2" xfId="46"/>
    <cellStyle name="Heading 2 2" xfId="47"/>
    <cellStyle name="Heading 3 2" xfId="48"/>
    <cellStyle name="Heading 4 2" xfId="49"/>
    <cellStyle name="Hyperlink" xfId="50" builtinId="8"/>
    <cellStyle name="Hyperlink 2" xfId="51"/>
    <cellStyle name="Input 2" xfId="52"/>
    <cellStyle name="Installed" xfId="53"/>
    <cellStyle name="Linked Cell 2" xfId="54"/>
    <cellStyle name="Neutral 2" xfId="55"/>
    <cellStyle name="Normal" xfId="0" builtinId="0"/>
    <cellStyle name="Normal 18" xfId="56"/>
    <cellStyle name="Normal 18 2" xfId="57"/>
    <cellStyle name="Normal 2" xfId="58"/>
    <cellStyle name="Normal 2 2" xfId="59"/>
    <cellStyle name="Normal 2 2 2" xfId="60"/>
    <cellStyle name="Normal 2 3" xfId="61"/>
    <cellStyle name="Normal 2 4" xfId="62"/>
    <cellStyle name="Normal 3" xfId="63"/>
    <cellStyle name="Normal 3 2" xfId="64"/>
    <cellStyle name="Normal 4" xfId="65"/>
    <cellStyle name="Normal 4 2" xfId="66"/>
    <cellStyle name="Normal 5" xfId="67"/>
    <cellStyle name="Normal 5 2" xfId="68"/>
    <cellStyle name="Normal 6" xfId="69"/>
    <cellStyle name="Normal 6 2" xfId="70"/>
    <cellStyle name="Normal 7" xfId="71"/>
    <cellStyle name="Normal 8" xfId="72"/>
    <cellStyle name="Note 2" xfId="73"/>
    <cellStyle name="NumberHideZero" xfId="74"/>
    <cellStyle name="NumberHideZero 2" xfId="75"/>
    <cellStyle name="Ordered" xfId="76"/>
    <cellStyle name="Output 2" xfId="77"/>
    <cellStyle name="Percent" xfId="78" builtinId="5"/>
    <cellStyle name="Percent 2" xfId="79"/>
    <cellStyle name="Percent 2 2" xfId="80"/>
    <cellStyle name="Percent 2 3" xfId="81"/>
    <cellStyle name="Percent 3" xfId="82"/>
    <cellStyle name="Percent 4" xfId="83"/>
    <cellStyle name="Percent 5" xfId="84"/>
    <cellStyle name="Percent 6" xfId="85"/>
    <cellStyle name="Received" xfId="86"/>
    <cellStyle name="Red Font" xfId="87"/>
    <cellStyle name="Subtotal" xfId="88"/>
    <cellStyle name="Title 2" xfId="89"/>
    <cellStyle name="Top Border. Aqua" xfId="90"/>
    <cellStyle name="Total 2" xfId="91"/>
    <cellStyle name="Unlocked" xfId="92"/>
    <cellStyle name="Warning Text 2" xfId="93"/>
  </cellStyles>
  <dxfs count="7">
    <dxf>
      <font>
        <b/>
        <i val="0"/>
        <color rgb="FFFF0000"/>
      </font>
    </dxf>
    <dxf>
      <font>
        <color theme="0"/>
      </font>
      <fill>
        <patternFill>
          <bgColor rgb="FFFF0000"/>
        </patternFill>
      </fill>
    </dxf>
    <dxf>
      <font>
        <color rgb="FF00B050"/>
      </font>
      <fill>
        <patternFill>
          <bgColor theme="2"/>
        </patternFill>
      </fill>
    </dxf>
    <dxf>
      <font>
        <condense val="0"/>
        <extend val="0"/>
        <color rgb="FF9C0006"/>
      </font>
      <fill>
        <patternFill>
          <bgColor rgb="FFFFC7CE"/>
        </patternFill>
      </fill>
    </dxf>
    <dxf>
      <font>
        <color rgb="FFFF0000"/>
      </font>
      <fill>
        <patternFill>
          <bgColor theme="2"/>
        </patternFill>
      </fill>
    </dxf>
    <dxf>
      <font>
        <color rgb="FFFF0000"/>
      </font>
      <fill>
        <patternFill patternType="solid">
          <bgColor theme="0"/>
        </patternFill>
      </fill>
    </dxf>
    <dxf>
      <font>
        <color rgb="FF008000"/>
      </font>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171450</xdr:colOff>
      <xdr:row>0</xdr:row>
      <xdr:rowOff>57150</xdr:rowOff>
    </xdr:from>
    <xdr:to>
      <xdr:col>5</xdr:col>
      <xdr:colOff>180975</xdr:colOff>
      <xdr:row>4</xdr:row>
      <xdr:rowOff>142875</xdr:rowOff>
    </xdr:to>
    <xdr:grpSp>
      <xdr:nvGrpSpPr>
        <xdr:cNvPr id="1065" name="Group 1"/>
        <xdr:cNvGrpSpPr>
          <a:grpSpLocks/>
        </xdr:cNvGrpSpPr>
      </xdr:nvGrpSpPr>
      <xdr:grpSpPr bwMode="auto">
        <a:xfrm>
          <a:off x="930473" y="57150"/>
          <a:ext cx="4608315" cy="859631"/>
          <a:chOff x="4705350" y="695325"/>
          <a:chExt cx="3686175" cy="1457325"/>
        </a:xfrm>
      </xdr:grpSpPr>
      <xdr:sp macro="" textlink="">
        <xdr:nvSpPr>
          <xdr:cNvPr id="3" name="Horizontal Scroll 2"/>
          <xdr:cNvSpPr/>
        </xdr:nvSpPr>
        <xdr:spPr>
          <a:xfrm>
            <a:off x="4705350" y="695325"/>
            <a:ext cx="3686175" cy="1457325"/>
          </a:xfrm>
          <a:prstGeom prst="horizontalScroll">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en-US" sz="1600">
                <a:solidFill>
                  <a:schemeClr val="tx1"/>
                </a:solidFill>
              </a:rPr>
              <a:t>KEY</a:t>
            </a:r>
            <a:endParaRPr lang="en-US" sz="1200">
              <a:solidFill>
                <a:schemeClr val="tx1"/>
              </a:solidFill>
            </a:endParaRPr>
          </a:p>
        </xdr:txBody>
      </xdr:sp>
      <xdr:sp macro="" textlink="">
        <xdr:nvSpPr>
          <xdr:cNvPr id="4" name="TextBox 3"/>
          <xdr:cNvSpPr txBox="1"/>
        </xdr:nvSpPr>
        <xdr:spPr>
          <a:xfrm>
            <a:off x="5323528" y="1431823"/>
            <a:ext cx="2610087" cy="219382"/>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a:t>Yellow Cells</a:t>
            </a:r>
            <a:r>
              <a:rPr lang="en-US" sz="1100" baseline="0"/>
              <a:t> are Re</a:t>
            </a:r>
            <a:r>
              <a:rPr lang="en-US" sz="1100"/>
              <a:t>quired</a:t>
            </a:r>
            <a:r>
              <a:rPr lang="en-US" sz="1100" baseline="0"/>
              <a:t> Input</a:t>
            </a:r>
            <a:endParaRPr lang="en-US" sz="1100"/>
          </a:p>
        </xdr:txBody>
      </xdr:sp>
    </xdr:grpSp>
    <xdr:clientData/>
  </xdr:twoCellAnchor>
  <xdr:twoCellAnchor editAs="oneCell">
    <xdr:from>
      <xdr:col>10</xdr:col>
      <xdr:colOff>923925</xdr:colOff>
      <xdr:row>0</xdr:row>
      <xdr:rowOff>161925</xdr:rowOff>
    </xdr:from>
    <xdr:to>
      <xdr:col>14</xdr:col>
      <xdr:colOff>171450</xdr:colOff>
      <xdr:row>5</xdr:row>
      <xdr:rowOff>66675</xdr:rowOff>
    </xdr:to>
    <xdr:pic>
      <xdr:nvPicPr>
        <xdr:cNvPr id="1066" name="Picture 6" descr="NYSERDA Logo_2.5i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96625" y="161925"/>
          <a:ext cx="36290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57150</xdr:colOff>
      <xdr:row>0</xdr:row>
      <xdr:rowOff>180975</xdr:rowOff>
    </xdr:from>
    <xdr:to>
      <xdr:col>10</xdr:col>
      <xdr:colOff>895350</xdr:colOff>
      <xdr:row>4</xdr:row>
      <xdr:rowOff>114300</xdr:rowOff>
    </xdr:to>
    <xdr:pic>
      <xdr:nvPicPr>
        <xdr:cNvPr id="210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58225" y="180975"/>
          <a:ext cx="29337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171450</xdr:colOff>
      <xdr:row>0</xdr:row>
      <xdr:rowOff>57150</xdr:rowOff>
    </xdr:from>
    <xdr:to>
      <xdr:col>5</xdr:col>
      <xdr:colOff>180975</xdr:colOff>
      <xdr:row>4</xdr:row>
      <xdr:rowOff>142875</xdr:rowOff>
    </xdr:to>
    <xdr:grpSp>
      <xdr:nvGrpSpPr>
        <xdr:cNvPr id="2104" name="Group 4"/>
        <xdr:cNvGrpSpPr>
          <a:grpSpLocks/>
        </xdr:cNvGrpSpPr>
      </xdr:nvGrpSpPr>
      <xdr:grpSpPr bwMode="auto">
        <a:xfrm>
          <a:off x="850106" y="57150"/>
          <a:ext cx="4795838" cy="847725"/>
          <a:chOff x="4705350" y="695325"/>
          <a:chExt cx="3686175" cy="1457325"/>
        </a:xfrm>
      </xdr:grpSpPr>
      <xdr:sp macro="" textlink="">
        <xdr:nvSpPr>
          <xdr:cNvPr id="6" name="Horizontal Scroll 5"/>
          <xdr:cNvSpPr/>
        </xdr:nvSpPr>
        <xdr:spPr>
          <a:xfrm>
            <a:off x="4705350" y="695325"/>
            <a:ext cx="3686175" cy="1457325"/>
          </a:xfrm>
          <a:prstGeom prst="horizontalScroll">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en-US" sz="1600">
                <a:solidFill>
                  <a:schemeClr val="tx1"/>
                </a:solidFill>
              </a:rPr>
              <a:t>KEY</a:t>
            </a:r>
            <a:endParaRPr lang="en-US" sz="1200">
              <a:solidFill>
                <a:schemeClr val="tx1"/>
              </a:solidFill>
            </a:endParaRPr>
          </a:p>
        </xdr:txBody>
      </xdr:sp>
      <xdr:sp macro="" textlink="">
        <xdr:nvSpPr>
          <xdr:cNvPr id="7" name="TextBox 6"/>
          <xdr:cNvSpPr txBox="1"/>
        </xdr:nvSpPr>
        <xdr:spPr>
          <a:xfrm>
            <a:off x="5320934" y="1432175"/>
            <a:ext cx="2616232" cy="229242"/>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a:t>Yellow Cells</a:t>
            </a:r>
            <a:r>
              <a:rPr lang="en-US" sz="1100" baseline="0"/>
              <a:t> are Re</a:t>
            </a:r>
            <a:r>
              <a:rPr lang="en-US" sz="1100"/>
              <a:t>quired</a:t>
            </a:r>
            <a:r>
              <a:rPr lang="en-US" sz="1100" baseline="0"/>
              <a:t> Input</a:t>
            </a:r>
            <a:endParaRPr lang="en-US" sz="1100"/>
          </a:p>
        </xdr:txBody>
      </xdr:sp>
    </xdr:grpSp>
    <xdr:clientData/>
  </xdr:twoCellAnchor>
  <xdr:twoCellAnchor>
    <xdr:from>
      <xdr:col>1</xdr:col>
      <xdr:colOff>8773</xdr:colOff>
      <xdr:row>51</xdr:row>
      <xdr:rowOff>19050</xdr:rowOff>
    </xdr:from>
    <xdr:to>
      <xdr:col>11</xdr:col>
      <xdr:colOff>238126</xdr:colOff>
      <xdr:row>53</xdr:row>
      <xdr:rowOff>171450</xdr:rowOff>
    </xdr:to>
    <xdr:sp macro="" textlink="">
      <xdr:nvSpPr>
        <xdr:cNvPr id="8" name="TextBox 7"/>
        <xdr:cNvSpPr txBox="1"/>
      </xdr:nvSpPr>
      <xdr:spPr>
        <a:xfrm>
          <a:off x="170698" y="7448550"/>
          <a:ext cx="10735428" cy="533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1">
              <a:solidFill>
                <a:schemeClr val="dk1"/>
              </a:solidFill>
              <a:latin typeface="Times New Roman" pitchFamily="18" charset="0"/>
              <a:ea typeface="+mn-ea"/>
              <a:cs typeface="Times New Roman" pitchFamily="18" charset="0"/>
            </a:rPr>
            <a:t>*Note: </a:t>
          </a:r>
          <a:r>
            <a:rPr lang="en-US" sz="1400">
              <a:solidFill>
                <a:schemeClr val="dk1"/>
              </a:solidFill>
              <a:effectLst/>
              <a:latin typeface="Times New Roman" pitchFamily="18" charset="0"/>
              <a:ea typeface="+mn-ea"/>
              <a:cs typeface="Times New Roman" pitchFamily="18" charset="0"/>
            </a:rPr>
            <a:t>The monthly payment is an estimate and may be adjusted in the Loan Agreement.  The annual value of energy displaced will vary based upon your  household,</a:t>
          </a:r>
          <a:r>
            <a:rPr lang="en-US" sz="1400" baseline="0">
              <a:solidFill>
                <a:schemeClr val="dk1"/>
              </a:solidFill>
              <a:effectLst/>
              <a:latin typeface="Times New Roman" pitchFamily="18" charset="0"/>
              <a:ea typeface="+mn-ea"/>
              <a:cs typeface="Times New Roman" pitchFamily="18" charset="0"/>
            </a:rPr>
            <a:t> the </a:t>
          </a:r>
          <a:r>
            <a:rPr lang="en-US" sz="1400">
              <a:solidFill>
                <a:schemeClr val="dk1"/>
              </a:solidFill>
              <a:effectLst/>
              <a:latin typeface="Times New Roman" pitchFamily="18" charset="0"/>
              <a:ea typeface="+mn-ea"/>
              <a:cs typeface="Times New Roman" pitchFamily="18" charset="0"/>
            </a:rPr>
            <a:t>system operation, and the cost of</a:t>
          </a:r>
          <a:r>
            <a:rPr lang="en-US" sz="1400" baseline="0">
              <a:solidFill>
                <a:schemeClr val="dk1"/>
              </a:solidFill>
              <a:effectLst/>
              <a:latin typeface="Times New Roman" pitchFamily="18" charset="0"/>
              <a:ea typeface="+mn-ea"/>
              <a:cs typeface="Times New Roman" pitchFamily="18" charset="0"/>
            </a:rPr>
            <a:t> fuel </a:t>
          </a:r>
          <a:r>
            <a:rPr lang="en-US" sz="1400">
              <a:solidFill>
                <a:schemeClr val="dk1"/>
              </a:solidFill>
              <a:effectLst/>
              <a:latin typeface="Times New Roman" pitchFamily="18" charset="0"/>
              <a:ea typeface="+mn-ea"/>
              <a:cs typeface="Times New Roman" pitchFamily="18" charset="0"/>
            </a:rPr>
            <a:t>which is subject to change.</a:t>
          </a:r>
          <a:endParaRPr lang="en-US" sz="1400">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elletstoves@nyserda.ny.gov"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Q224"/>
  <sheetViews>
    <sheetView showGridLines="0" tabSelected="1" zoomScale="64" zoomScaleNormal="64" workbookViewId="0">
      <selection activeCell="H27" sqref="H27"/>
    </sheetView>
  </sheetViews>
  <sheetFormatPr defaultRowHeight="15.75"/>
  <cols>
    <col min="1" max="1" width="2.28515625" style="167" customWidth="1"/>
    <col min="2" max="2" width="9.140625" style="167" customWidth="1"/>
    <col min="3" max="3" width="36.140625" style="167" customWidth="1"/>
    <col min="4" max="4" width="16.42578125" style="167" bestFit="1" customWidth="1"/>
    <col min="5" max="5" width="16.28515625" style="167" customWidth="1"/>
    <col min="6" max="6" width="12.28515625" style="167" customWidth="1"/>
    <col min="7" max="7" width="14.140625" style="167" customWidth="1"/>
    <col min="8" max="8" width="20" style="167" customWidth="1"/>
    <col min="9" max="9" width="13.42578125" style="167" customWidth="1"/>
    <col min="10" max="10" width="12.42578125" style="167" customWidth="1"/>
    <col min="11" max="11" width="27.5703125" style="167" customWidth="1"/>
    <col min="12" max="15" width="12.7109375" style="167" customWidth="1"/>
    <col min="16" max="16" width="9.140625" style="167"/>
    <col min="17" max="17" width="9.140625" style="167" customWidth="1"/>
    <col min="18" max="16384" width="9.140625" style="167"/>
  </cols>
  <sheetData>
    <row r="1" spans="2:17">
      <c r="C1" s="168"/>
      <c r="D1" s="168"/>
      <c r="E1" s="168"/>
      <c r="F1" s="168"/>
      <c r="M1" s="168"/>
      <c r="N1" s="168"/>
      <c r="O1" s="168"/>
      <c r="P1" s="129"/>
      <c r="Q1" s="129"/>
    </row>
    <row r="2" spans="2:17">
      <c r="C2" s="168"/>
      <c r="D2" s="168"/>
      <c r="E2" s="168"/>
      <c r="F2" s="168"/>
      <c r="M2" s="169"/>
      <c r="N2" s="170"/>
      <c r="O2" s="170"/>
      <c r="P2" s="2"/>
      <c r="Q2" s="129"/>
    </row>
    <row r="3" spans="2:17">
      <c r="C3" s="168"/>
      <c r="D3" s="168"/>
      <c r="E3" s="168"/>
      <c r="F3" s="168"/>
      <c r="M3" s="169"/>
      <c r="N3" s="168"/>
      <c r="O3" s="168"/>
      <c r="P3" s="129"/>
      <c r="Q3" s="129"/>
    </row>
    <row r="4" spans="2:17">
      <c r="C4" s="168"/>
      <c r="D4" s="168"/>
      <c r="E4" s="168"/>
      <c r="F4" s="168"/>
      <c r="M4" s="168"/>
      <c r="N4" s="168"/>
      <c r="O4" s="168"/>
      <c r="P4" s="129"/>
      <c r="Q4" s="129"/>
    </row>
    <row r="5" spans="2:17">
      <c r="C5" s="168"/>
      <c r="D5" s="168"/>
      <c r="E5" s="168"/>
      <c r="F5" s="168"/>
      <c r="M5" s="168"/>
      <c r="N5" s="168"/>
      <c r="O5" s="168"/>
      <c r="P5" s="129"/>
      <c r="Q5" s="129"/>
    </row>
    <row r="6" spans="2:17" ht="16.5" thickBot="1">
      <c r="M6" s="168"/>
      <c r="N6" s="168"/>
      <c r="O6" s="168"/>
      <c r="P6" s="129"/>
      <c r="Q6" s="129"/>
    </row>
    <row r="7" spans="2:17" ht="16.5" thickBot="1">
      <c r="B7" s="171"/>
      <c r="C7" s="260" t="s">
        <v>225</v>
      </c>
      <c r="D7" s="172"/>
      <c r="E7" s="172"/>
      <c r="F7" s="172"/>
      <c r="G7" s="172"/>
      <c r="H7" s="172"/>
      <c r="I7" s="173"/>
      <c r="K7" s="174" t="s">
        <v>1</v>
      </c>
      <c r="L7" s="175"/>
      <c r="M7" s="175"/>
      <c r="N7" s="175"/>
      <c r="O7" s="176"/>
    </row>
    <row r="8" spans="2:17">
      <c r="B8" s="199"/>
      <c r="C8" s="177"/>
      <c r="D8" s="177"/>
      <c r="E8" s="177"/>
      <c r="F8" s="177"/>
      <c r="G8" s="177"/>
      <c r="H8" s="177"/>
      <c r="I8" s="201"/>
      <c r="K8" s="178"/>
      <c r="L8" s="179"/>
      <c r="M8" s="179"/>
      <c r="N8" s="179"/>
      <c r="O8" s="180"/>
    </row>
    <row r="9" spans="2:17">
      <c r="B9" s="199"/>
      <c r="C9" s="177" t="s">
        <v>229</v>
      </c>
      <c r="D9" s="177"/>
      <c r="E9" s="177"/>
      <c r="F9" s="265" t="s">
        <v>4</v>
      </c>
      <c r="G9" s="289"/>
      <c r="H9" s="202"/>
      <c r="I9" s="201"/>
      <c r="K9" s="182" t="s">
        <v>3</v>
      </c>
      <c r="L9" s="354"/>
      <c r="M9" s="354"/>
      <c r="N9" s="354"/>
      <c r="O9" s="183"/>
    </row>
    <row r="10" spans="2:17">
      <c r="B10" s="199"/>
      <c r="C10" s="355" t="s">
        <v>187</v>
      </c>
      <c r="D10" s="355"/>
      <c r="E10" s="355"/>
      <c r="G10" s="264" t="s">
        <v>289</v>
      </c>
      <c r="H10" s="217">
        <f>VLOOKUP(C10,C103:G106,4,FALSE)</f>
        <v>0</v>
      </c>
      <c r="I10" s="201"/>
      <c r="K10" s="182"/>
      <c r="L10" s="184"/>
      <c r="M10" s="184"/>
      <c r="N10" s="184"/>
      <c r="O10" s="183"/>
    </row>
    <row r="11" spans="2:17">
      <c r="B11" s="199"/>
      <c r="C11" s="177"/>
      <c r="D11" s="177"/>
      <c r="E11" s="177"/>
      <c r="F11" s="177"/>
      <c r="G11" s="298" t="s">
        <v>290</v>
      </c>
      <c r="H11" s="240">
        <f>IF(H9&gt;=H10,H10,(IF(H9&lt;H10,H9,"false")))</f>
        <v>0</v>
      </c>
      <c r="I11" s="201"/>
      <c r="K11" s="182" t="s">
        <v>5</v>
      </c>
      <c r="L11" s="354"/>
      <c r="M11" s="354"/>
      <c r="N11" s="354"/>
      <c r="O11" s="183"/>
    </row>
    <row r="12" spans="2:17">
      <c r="B12" s="199"/>
      <c r="C12" s="177"/>
      <c r="I12" s="201"/>
      <c r="K12" s="182"/>
      <c r="L12" s="185"/>
      <c r="M12" s="185"/>
      <c r="N12" s="186"/>
      <c r="O12" s="187"/>
    </row>
    <row r="13" spans="2:17">
      <c r="B13" s="199"/>
      <c r="C13" s="177"/>
      <c r="D13" s="177"/>
      <c r="E13" s="264" t="s">
        <v>220</v>
      </c>
      <c r="G13" s="264" t="s">
        <v>303</v>
      </c>
      <c r="H13" s="240">
        <f>H9-H11</f>
        <v>0</v>
      </c>
      <c r="I13" s="201"/>
      <c r="K13" s="188" t="s">
        <v>41</v>
      </c>
      <c r="L13" s="354"/>
      <c r="M13" s="354"/>
      <c r="N13" s="354"/>
      <c r="O13" s="183"/>
    </row>
    <row r="14" spans="2:17" ht="16.5" customHeight="1" thickBot="1">
      <c r="B14" s="199"/>
      <c r="C14" s="177"/>
      <c r="I14" s="201"/>
      <c r="K14" s="189"/>
      <c r="L14" s="190"/>
      <c r="M14" s="190"/>
      <c r="N14" s="190"/>
      <c r="O14" s="191"/>
    </row>
    <row r="15" spans="2:17" ht="16.5" customHeight="1" thickBot="1">
      <c r="B15" s="192"/>
      <c r="C15" s="356" t="s">
        <v>202</v>
      </c>
      <c r="D15" s="356"/>
      <c r="E15" s="193"/>
      <c r="F15" s="193"/>
      <c r="G15" s="193"/>
      <c r="H15" s="193"/>
      <c r="I15" s="194"/>
      <c r="K15" s="168"/>
      <c r="L15" s="168"/>
      <c r="M15" s="168"/>
      <c r="N15" s="168"/>
      <c r="O15" s="168"/>
    </row>
    <row r="16" spans="2:17" ht="16.5" thickBot="1">
      <c r="B16" s="195"/>
      <c r="C16" s="196"/>
      <c r="D16" s="196"/>
      <c r="E16" s="197"/>
      <c r="F16" s="197"/>
      <c r="G16" s="197"/>
      <c r="H16" s="197"/>
      <c r="I16" s="198"/>
      <c r="K16" s="166" t="s">
        <v>198</v>
      </c>
      <c r="L16" s="175"/>
      <c r="M16" s="175"/>
      <c r="N16" s="175"/>
      <c r="O16" s="176"/>
    </row>
    <row r="17" spans="2:15">
      <c r="B17" s="199"/>
      <c r="C17" s="200" t="s">
        <v>240</v>
      </c>
      <c r="D17" s="265" t="s">
        <v>266</v>
      </c>
      <c r="F17" s="200"/>
      <c r="G17" s="200"/>
      <c r="H17" s="200"/>
      <c r="I17" s="201"/>
      <c r="K17" s="199"/>
      <c r="L17" s="177"/>
      <c r="M17" s="177"/>
      <c r="N17" s="177"/>
      <c r="O17" s="201"/>
    </row>
    <row r="18" spans="2:15">
      <c r="B18" s="199"/>
      <c r="C18" s="256" t="s">
        <v>187</v>
      </c>
      <c r="D18" s="177"/>
      <c r="E18" s="177"/>
      <c r="F18" s="177"/>
      <c r="G18" s="177"/>
      <c r="H18" s="177"/>
      <c r="I18" s="201"/>
      <c r="K18" s="182" t="s">
        <v>3</v>
      </c>
      <c r="L18" s="354"/>
      <c r="M18" s="354"/>
      <c r="N18" s="354"/>
      <c r="O18" s="183"/>
    </row>
    <row r="19" spans="2:15">
      <c r="B19" s="199"/>
      <c r="C19" s="177" t="s">
        <v>213</v>
      </c>
      <c r="D19" s="177"/>
      <c r="E19" s="177"/>
      <c r="F19" s="177"/>
      <c r="G19" s="177"/>
      <c r="H19" s="278"/>
      <c r="I19" s="201" t="str">
        <f>IF(VLOOKUP(C18,C120:H126,5)=0,"",VLOOKUP(C18,C120:H126,5))</f>
        <v/>
      </c>
      <c r="K19" s="182"/>
      <c r="L19" s="184"/>
      <c r="M19" s="184"/>
      <c r="N19" s="184"/>
      <c r="O19" s="183"/>
    </row>
    <row r="20" spans="2:15">
      <c r="B20" s="199"/>
      <c r="C20" s="177" t="s">
        <v>295</v>
      </c>
      <c r="D20" s="177"/>
      <c r="E20" s="177"/>
      <c r="F20" s="177"/>
      <c r="G20" s="264" t="s">
        <v>294</v>
      </c>
      <c r="H20" s="202"/>
      <c r="I20" s="201" t="str">
        <f>IF(VLOOKUP(C18,C120:H126,6)=0,"",VLOOKUP(C18,C120:H126,6))</f>
        <v/>
      </c>
      <c r="K20" s="182" t="s">
        <v>5</v>
      </c>
      <c r="L20" s="354"/>
      <c r="M20" s="354"/>
      <c r="N20" s="354"/>
      <c r="O20" s="183"/>
    </row>
    <row r="21" spans="2:15">
      <c r="B21" s="199"/>
      <c r="C21" s="181" t="s">
        <v>205</v>
      </c>
      <c r="D21" s="177"/>
      <c r="E21" s="177"/>
      <c r="F21" s="177"/>
      <c r="G21" s="264"/>
      <c r="H21" s="203">
        <f>VLOOKUP(C18,C120:D126,2)*H19/1000000</f>
        <v>0</v>
      </c>
      <c r="I21" s="201" t="s">
        <v>194</v>
      </c>
      <c r="K21" s="182"/>
      <c r="L21" s="185"/>
      <c r="M21" s="185"/>
      <c r="N21" s="186"/>
      <c r="O21" s="187"/>
    </row>
    <row r="22" spans="2:15">
      <c r="B22" s="199"/>
      <c r="C22" s="177" t="s">
        <v>206</v>
      </c>
      <c r="D22" s="177"/>
      <c r="E22" s="177"/>
      <c r="F22" s="177"/>
      <c r="G22" s="177"/>
      <c r="H22" s="204">
        <f>+H19*H20</f>
        <v>0</v>
      </c>
      <c r="I22" s="201"/>
      <c r="K22" s="188" t="s">
        <v>41</v>
      </c>
      <c r="L22" s="354"/>
      <c r="M22" s="354"/>
      <c r="N22" s="354"/>
      <c r="O22" s="183"/>
    </row>
    <row r="23" spans="2:15" ht="16.5" thickBot="1">
      <c r="B23" s="199"/>
      <c r="C23" s="177"/>
      <c r="D23" s="177"/>
      <c r="E23" s="177"/>
      <c r="F23" s="177"/>
      <c r="G23" s="177"/>
      <c r="H23" s="177"/>
      <c r="I23" s="201"/>
      <c r="K23" s="238"/>
      <c r="L23" s="212"/>
      <c r="M23" s="212"/>
      <c r="N23" s="212"/>
      <c r="O23" s="213"/>
    </row>
    <row r="24" spans="2:15">
      <c r="B24" s="199"/>
      <c r="C24" s="200" t="s">
        <v>241</v>
      </c>
      <c r="D24" s="177"/>
      <c r="E24" s="177"/>
      <c r="F24" s="177"/>
      <c r="G24" s="177"/>
      <c r="H24" s="177"/>
      <c r="I24" s="201"/>
    </row>
    <row r="25" spans="2:15">
      <c r="B25" s="199"/>
      <c r="C25" s="256" t="s">
        <v>187</v>
      </c>
      <c r="D25" s="177"/>
      <c r="E25" s="177"/>
      <c r="F25" s="177"/>
      <c r="G25" s="177"/>
      <c r="H25" s="177"/>
      <c r="I25" s="201"/>
    </row>
    <row r="26" spans="2:15">
      <c r="B26" s="199"/>
      <c r="C26" s="177" t="s">
        <v>215</v>
      </c>
      <c r="D26" s="177"/>
      <c r="E26" s="177"/>
      <c r="F26" s="177"/>
      <c r="G26" s="177"/>
      <c r="H26" s="278"/>
      <c r="I26" s="201" t="str">
        <f>IF(VLOOKUP(C25,C120:H126,5)=0,"",VLOOKUP(C25,C120:H126,5))</f>
        <v/>
      </c>
    </row>
    <row r="27" spans="2:15">
      <c r="B27" s="199"/>
      <c r="C27" s="177" t="s">
        <v>296</v>
      </c>
      <c r="D27" s="177"/>
      <c r="E27" s="177"/>
      <c r="F27" s="177"/>
      <c r="G27" s="264" t="s">
        <v>294</v>
      </c>
      <c r="H27" s="202"/>
      <c r="I27" s="201" t="str">
        <f>IF(VLOOKUP(C25,C120:H126,6)=0,"",VLOOKUP(C25,C120:H126,6))</f>
        <v/>
      </c>
    </row>
    <row r="28" spans="2:15">
      <c r="B28" s="199"/>
      <c r="C28" s="181" t="s">
        <v>217</v>
      </c>
      <c r="D28" s="177"/>
      <c r="E28" s="177"/>
      <c r="F28" s="177"/>
      <c r="G28" s="177"/>
      <c r="H28" s="203">
        <f>+H26*VLOOKUP(C25,C120:D126,2)/1000000</f>
        <v>0</v>
      </c>
      <c r="I28" s="201" t="s">
        <v>194</v>
      </c>
    </row>
    <row r="29" spans="2:15">
      <c r="B29" s="199"/>
      <c r="C29" s="177" t="s">
        <v>207</v>
      </c>
      <c r="D29" s="177"/>
      <c r="E29" s="177"/>
      <c r="F29" s="177"/>
      <c r="G29" s="177"/>
      <c r="H29" s="204">
        <f>+H26*H27</f>
        <v>0</v>
      </c>
      <c r="I29" s="201"/>
    </row>
    <row r="30" spans="2:15">
      <c r="B30" s="199"/>
      <c r="C30" s="177"/>
      <c r="D30" s="177"/>
      <c r="E30" s="177"/>
      <c r="F30" s="177"/>
      <c r="G30" s="177"/>
      <c r="H30" s="177"/>
      <c r="I30" s="201"/>
    </row>
    <row r="31" spans="2:15">
      <c r="B31" s="199"/>
      <c r="C31" s="200" t="s">
        <v>291</v>
      </c>
      <c r="D31" s="177"/>
      <c r="E31" s="177"/>
      <c r="F31" s="177"/>
      <c r="G31" s="177"/>
      <c r="H31" s="205">
        <f>+H22+H29</f>
        <v>0</v>
      </c>
      <c r="I31" s="201"/>
    </row>
    <row r="32" spans="2:15" ht="16.5" thickBot="1">
      <c r="B32" s="199"/>
      <c r="C32" s="177" t="s">
        <v>292</v>
      </c>
      <c r="D32" s="177"/>
      <c r="E32" s="177"/>
      <c r="I32" s="201"/>
    </row>
    <row r="33" spans="2:12" ht="16.5" thickBot="1">
      <c r="B33" s="199"/>
      <c r="C33" s="206" t="s">
        <v>221</v>
      </c>
      <c r="D33" s="207" t="s">
        <v>182</v>
      </c>
      <c r="E33" s="208" t="s">
        <v>282</v>
      </c>
      <c r="F33" s="207" t="s">
        <v>210</v>
      </c>
      <c r="G33" s="210" t="s">
        <v>285</v>
      </c>
      <c r="H33" s="208"/>
      <c r="I33" s="201"/>
    </row>
    <row r="34" spans="2:12" ht="16.5" thickBot="1">
      <c r="B34" s="199"/>
      <c r="C34" s="262" t="s">
        <v>203</v>
      </c>
      <c r="D34" s="207" t="s">
        <v>259</v>
      </c>
      <c r="E34" s="208" t="s">
        <v>283</v>
      </c>
      <c r="F34" s="207" t="s">
        <v>204</v>
      </c>
      <c r="G34" s="209" t="s">
        <v>286</v>
      </c>
      <c r="H34" s="208"/>
      <c r="I34" s="201"/>
    </row>
    <row r="35" spans="2:12" ht="16.5" thickBot="1">
      <c r="B35" s="199"/>
      <c r="C35" s="261" t="s">
        <v>222</v>
      </c>
      <c r="D35" s="207" t="s">
        <v>178</v>
      </c>
      <c r="E35" s="208" t="s">
        <v>284</v>
      </c>
      <c r="F35" s="284" t="s">
        <v>287</v>
      </c>
      <c r="G35" s="285"/>
      <c r="H35" s="286"/>
      <c r="I35" s="201"/>
    </row>
    <row r="36" spans="2:12">
      <c r="B36" s="199"/>
      <c r="D36" s="177"/>
      <c r="E36" s="301" t="s">
        <v>293</v>
      </c>
      <c r="F36" s="177"/>
      <c r="G36" s="181"/>
      <c r="H36" s="177"/>
      <c r="I36" s="201"/>
    </row>
    <row r="37" spans="2:12" ht="19.5" thickBot="1">
      <c r="B37" s="211"/>
      <c r="D37" s="293" t="s">
        <v>267</v>
      </c>
      <c r="E37" s="296" t="s">
        <v>268</v>
      </c>
      <c r="F37" s="294"/>
      <c r="G37" s="212"/>
      <c r="H37" s="212"/>
      <c r="I37" s="213"/>
      <c r="L37" s="295"/>
    </row>
    <row r="38" spans="2:12" ht="16.5" thickBot="1">
      <c r="B38" s="192"/>
      <c r="C38" s="214" t="s">
        <v>218</v>
      </c>
      <c r="D38" s="193"/>
      <c r="E38" s="193"/>
      <c r="F38" s="193"/>
      <c r="G38" s="193"/>
      <c r="H38" s="193"/>
      <c r="I38" s="194"/>
    </row>
    <row r="39" spans="2:12">
      <c r="B39" s="195"/>
      <c r="C39" s="215"/>
      <c r="D39" s="197"/>
      <c r="E39" s="197"/>
      <c r="F39" s="197"/>
      <c r="G39" s="197"/>
      <c r="H39" s="197"/>
      <c r="I39" s="198"/>
    </row>
    <row r="40" spans="2:12">
      <c r="B40" s="199"/>
      <c r="C40" s="200" t="str">
        <f>+C10</f>
        <v>Please Select</v>
      </c>
      <c r="D40" s="200"/>
      <c r="E40" s="200"/>
      <c r="F40" s="200"/>
      <c r="G40" s="177"/>
      <c r="H40" s="177"/>
      <c r="I40" s="201"/>
    </row>
    <row r="41" spans="2:12">
      <c r="B41" s="199"/>
      <c r="C41" s="181" t="s">
        <v>208</v>
      </c>
      <c r="D41" s="177"/>
      <c r="E41" s="177"/>
      <c r="F41" s="177"/>
      <c r="G41" s="177"/>
      <c r="H41" s="216">
        <f>+H21+H28</f>
        <v>0</v>
      </c>
      <c r="I41" s="201" t="s">
        <v>194</v>
      </c>
    </row>
    <row r="42" spans="2:12">
      <c r="B42" s="199"/>
      <c r="C42" s="264" t="s">
        <v>236</v>
      </c>
      <c r="D42" s="291"/>
      <c r="E42" s="255" t="s">
        <v>237</v>
      </c>
      <c r="F42" s="177"/>
      <c r="G42" s="177"/>
      <c r="H42" s="292"/>
      <c r="I42" s="280" t="s">
        <v>238</v>
      </c>
    </row>
    <row r="43" spans="2:12">
      <c r="B43" s="199"/>
      <c r="C43" s="200"/>
      <c r="D43" s="200"/>
      <c r="E43" s="200"/>
      <c r="F43" s="200"/>
      <c r="G43" s="177"/>
      <c r="H43" s="177"/>
      <c r="I43" s="201"/>
    </row>
    <row r="44" spans="2:12">
      <c r="B44" s="199"/>
      <c r="C44" s="181" t="s">
        <v>247</v>
      </c>
      <c r="D44" s="177"/>
      <c r="E44" s="177"/>
      <c r="F44" s="177"/>
      <c r="G44" s="177"/>
      <c r="H44" s="216">
        <f>+H41*H42</f>
        <v>0</v>
      </c>
      <c r="I44" s="201" t="s">
        <v>194</v>
      </c>
    </row>
    <row r="45" spans="2:12">
      <c r="B45" s="199"/>
      <c r="C45" s="200" t="s">
        <v>239</v>
      </c>
      <c r="D45" s="200"/>
      <c r="E45" s="200"/>
      <c r="F45" s="177"/>
      <c r="G45" s="177"/>
      <c r="H45" s="279">
        <f>+(H44*1000000)/(16000000*0.7)</f>
        <v>0</v>
      </c>
      <c r="I45" s="263" t="s">
        <v>195</v>
      </c>
    </row>
    <row r="46" spans="2:12">
      <c r="B46" s="199"/>
      <c r="C46" s="177" t="s">
        <v>269</v>
      </c>
      <c r="D46" s="177"/>
      <c r="E46" s="177" t="s">
        <v>270</v>
      </c>
      <c r="F46" s="177"/>
      <c r="G46" s="177"/>
      <c r="H46" s="202"/>
      <c r="I46" s="201" t="s">
        <v>196</v>
      </c>
    </row>
    <row r="47" spans="2:12">
      <c r="B47" s="199"/>
      <c r="C47" s="177" t="s">
        <v>209</v>
      </c>
      <c r="D47" s="177"/>
      <c r="E47" s="177"/>
      <c r="F47" s="177"/>
      <c r="G47" s="177"/>
      <c r="H47" s="217">
        <f>+H45*H46</f>
        <v>0</v>
      </c>
      <c r="I47" s="201"/>
    </row>
    <row r="48" spans="2:12">
      <c r="B48" s="199"/>
      <c r="C48" s="177"/>
      <c r="D48" s="177"/>
      <c r="E48" s="177"/>
      <c r="F48" s="177"/>
      <c r="G48" s="177"/>
      <c r="H48" s="177"/>
      <c r="I48" s="201"/>
    </row>
    <row r="49" spans="2:15" ht="16.5" thickBot="1">
      <c r="B49" s="199"/>
      <c r="C49" s="200" t="s">
        <v>242</v>
      </c>
      <c r="D49" s="177"/>
      <c r="E49" s="200"/>
      <c r="F49" s="200"/>
      <c r="G49" s="200"/>
      <c r="H49" s="200"/>
      <c r="I49" s="201"/>
    </row>
    <row r="50" spans="2:15">
      <c r="B50" s="199"/>
      <c r="C50" s="256" t="s">
        <v>187</v>
      </c>
      <c r="E50" s="177" t="s">
        <v>243</v>
      </c>
      <c r="F50" s="177"/>
      <c r="G50" s="177"/>
      <c r="H50" s="216">
        <f>H41-H44</f>
        <v>0</v>
      </c>
      <c r="I50" s="201" t="s">
        <v>194</v>
      </c>
      <c r="J50" s="276"/>
      <c r="K50" s="271"/>
      <c r="L50" s="272"/>
      <c r="M50" s="272"/>
      <c r="N50" s="272"/>
      <c r="O50" s="248"/>
    </row>
    <row r="51" spans="2:15">
      <c r="B51" s="199"/>
      <c r="C51" s="177" t="s">
        <v>216</v>
      </c>
      <c r="D51" s="177"/>
      <c r="E51" s="177"/>
      <c r="F51" s="177"/>
      <c r="G51" s="177"/>
      <c r="H51" s="277" t="e">
        <f>+((H50*1000000)/(VLOOKUP(C50,C120:H126,2)))</f>
        <v>#DIV/0!</v>
      </c>
      <c r="I51" s="201" t="str">
        <f>IF(VLOOKUP(C50,C120:H126,5)=0,"",VLOOKUP(C50,C120:H126,5))</f>
        <v/>
      </c>
      <c r="K51" s="199" t="s">
        <v>244</v>
      </c>
      <c r="L51" s="177"/>
      <c r="M51" s="177"/>
      <c r="N51" s="177"/>
      <c r="O51" s="273" t="e">
        <f>+H9/H55</f>
        <v>#DIV/0!</v>
      </c>
    </row>
    <row r="52" spans="2:15">
      <c r="B52" s="199"/>
      <c r="C52" s="177" t="s">
        <v>214</v>
      </c>
      <c r="D52" s="177"/>
      <c r="H52" s="266">
        <f>IF(C50=C18,H20,(IF(C50=C25,H27,"match fuel")))</f>
        <v>0</v>
      </c>
      <c r="I52" s="201" t="str">
        <f>IF(VLOOKUP(C50,C120:H126,6)=0,"",VLOOKUP(C50,C120:H126,6))</f>
        <v/>
      </c>
      <c r="K52" s="199" t="s">
        <v>245</v>
      </c>
      <c r="L52" s="177"/>
      <c r="M52" s="177"/>
      <c r="N52" s="177"/>
      <c r="O52" s="275" t="e">
        <f>+H13/H55</f>
        <v>#DIV/0!</v>
      </c>
    </row>
    <row r="53" spans="2:15">
      <c r="B53" s="199"/>
      <c r="C53" s="177" t="s">
        <v>206</v>
      </c>
      <c r="D53" s="177"/>
      <c r="E53" s="177"/>
      <c r="F53" s="177"/>
      <c r="G53" s="177"/>
      <c r="H53" s="204" t="e">
        <f>H52*H51</f>
        <v>#DIV/0!</v>
      </c>
      <c r="I53" s="201"/>
      <c r="K53" s="199" t="s">
        <v>40</v>
      </c>
      <c r="L53" s="177"/>
      <c r="M53" s="177"/>
      <c r="N53" s="177"/>
      <c r="O53" s="274">
        <v>20</v>
      </c>
    </row>
    <row r="54" spans="2:15" ht="16.5" thickBot="1">
      <c r="B54" s="199"/>
      <c r="C54" s="177"/>
      <c r="D54" s="177"/>
      <c r="E54" s="177"/>
      <c r="F54" s="177"/>
      <c r="G54" s="177"/>
      <c r="H54" s="177"/>
      <c r="I54" s="201"/>
      <c r="K54" s="238"/>
      <c r="L54" s="212"/>
      <c r="M54" s="212"/>
      <c r="N54" s="212"/>
      <c r="O54" s="213"/>
    </row>
    <row r="55" spans="2:15">
      <c r="B55" s="199"/>
      <c r="C55" s="200" t="s">
        <v>211</v>
      </c>
      <c r="D55" s="177"/>
      <c r="E55" s="177"/>
      <c r="F55" s="177"/>
      <c r="G55" s="264" t="s">
        <v>303</v>
      </c>
      <c r="H55" s="239" t="e">
        <f>H31-(H47+H53)</f>
        <v>#DIV/0!</v>
      </c>
      <c r="I55" s="201"/>
    </row>
    <row r="56" spans="2:15">
      <c r="B56" s="199"/>
      <c r="C56" s="177"/>
      <c r="D56" s="177"/>
      <c r="E56" s="177"/>
      <c r="F56" s="177"/>
      <c r="G56" s="177"/>
      <c r="H56" s="177"/>
      <c r="I56" s="201"/>
    </row>
    <row r="57" spans="2:15" ht="16.5" thickBot="1">
      <c r="B57" s="211"/>
      <c r="C57" s="212"/>
      <c r="D57" s="212"/>
      <c r="E57" s="212"/>
      <c r="F57" s="212"/>
      <c r="G57" s="212"/>
      <c r="H57" s="212"/>
      <c r="I57" s="213"/>
    </row>
    <row r="58" spans="2:15">
      <c r="I58" s="241" t="s">
        <v>246</v>
      </c>
    </row>
    <row r="59" spans="2:15" ht="16.5" customHeight="1"/>
    <row r="60" spans="2:15" ht="14.25" customHeight="1"/>
    <row r="100" spans="3:11">
      <c r="C100" s="167" t="s">
        <v>308</v>
      </c>
    </row>
    <row r="101" spans="3:11" ht="15" hidden="1" customHeight="1" thickBot="1">
      <c r="K101" s="167" t="s">
        <v>248</v>
      </c>
    </row>
    <row r="102" spans="3:11" ht="15" hidden="1" customHeight="1" thickBot="1">
      <c r="C102" s="244" t="s">
        <v>223</v>
      </c>
      <c r="D102" s="245"/>
      <c r="E102" s="208"/>
      <c r="F102" s="250" t="s">
        <v>224</v>
      </c>
      <c r="G102" s="208"/>
    </row>
    <row r="103" spans="3:11" ht="15" hidden="1" customHeight="1">
      <c r="C103" s="290" t="s">
        <v>226</v>
      </c>
      <c r="D103" s="251"/>
      <c r="E103" s="302"/>
      <c r="F103" s="318">
        <v>1500</v>
      </c>
      <c r="G103" s="248"/>
    </row>
    <row r="104" spans="3:11" ht="15" hidden="1" customHeight="1">
      <c r="C104" s="316" t="s">
        <v>228</v>
      </c>
      <c r="D104" s="314"/>
      <c r="E104" s="315"/>
      <c r="F104" s="322">
        <v>2500</v>
      </c>
      <c r="G104" s="247"/>
    </row>
    <row r="105" spans="3:11" ht="15" hidden="1" customHeight="1">
      <c r="C105" s="321" t="s">
        <v>227</v>
      </c>
      <c r="D105" s="307"/>
      <c r="E105" s="254"/>
      <c r="F105" s="319">
        <v>2000</v>
      </c>
      <c r="G105" s="247"/>
    </row>
    <row r="106" spans="3:11" ht="15" hidden="1" customHeight="1" thickBot="1">
      <c r="C106" s="317" t="s">
        <v>187</v>
      </c>
      <c r="D106" s="243"/>
      <c r="E106" s="219"/>
      <c r="F106" s="320"/>
      <c r="G106" s="213"/>
    </row>
    <row r="107" spans="3:11" hidden="1">
      <c r="C107" s="177" t="s">
        <v>235</v>
      </c>
      <c r="D107" s="255"/>
      <c r="E107" s="177"/>
      <c r="F107" s="167">
        <v>4</v>
      </c>
      <c r="G107" s="177"/>
    </row>
    <row r="108" spans="3:11" hidden="1"/>
    <row r="109" spans="3:11" ht="15" hidden="1" customHeight="1" thickBot="1">
      <c r="F109" s="177"/>
      <c r="G109" s="177"/>
      <c r="K109" s="167" t="s">
        <v>183</v>
      </c>
    </row>
    <row r="110" spans="3:11" ht="15" hidden="1" customHeight="1" thickBot="1">
      <c r="C110" s="304" t="s">
        <v>223</v>
      </c>
      <c r="D110" s="305"/>
      <c r="E110" s="248"/>
      <c r="F110" s="200"/>
      <c r="G110" s="177"/>
    </row>
    <row r="111" spans="3:11" ht="15" hidden="1" customHeight="1" thickBot="1">
      <c r="C111" s="313" t="s">
        <v>186</v>
      </c>
      <c r="D111" s="245"/>
      <c r="E111" s="208"/>
      <c r="F111" s="200"/>
      <c r="G111" s="177"/>
    </row>
    <row r="112" spans="3:11" ht="15" hidden="1" customHeight="1">
      <c r="C112" s="308" t="s">
        <v>187</v>
      </c>
      <c r="D112" s="251"/>
      <c r="E112" s="246"/>
      <c r="F112" s="200"/>
      <c r="G112" s="177"/>
    </row>
    <row r="113" spans="3:11" ht="15" hidden="1" customHeight="1">
      <c r="C113" s="309" t="s">
        <v>226</v>
      </c>
      <c r="D113" s="249"/>
      <c r="E113" s="247"/>
      <c r="F113" s="303"/>
      <c r="G113" s="177"/>
    </row>
    <row r="114" spans="3:11" ht="15" hidden="1" customHeight="1">
      <c r="C114" s="310" t="s">
        <v>227</v>
      </c>
      <c r="D114" s="249"/>
      <c r="E114" s="247"/>
      <c r="F114" s="303"/>
      <c r="G114" s="177"/>
    </row>
    <row r="115" spans="3:11" ht="15" hidden="1" customHeight="1" thickBot="1">
      <c r="C115" s="311" t="s">
        <v>228</v>
      </c>
      <c r="D115" s="312"/>
      <c r="E115" s="213"/>
      <c r="F115" s="303"/>
      <c r="G115" s="177"/>
    </row>
    <row r="116" spans="3:11" hidden="1">
      <c r="C116" s="177" t="s">
        <v>288</v>
      </c>
      <c r="D116" s="255"/>
      <c r="E116" s="177"/>
      <c r="F116" s="177"/>
      <c r="G116" s="177"/>
    </row>
    <row r="117" spans="3:11" ht="15" hidden="1" customHeight="1">
      <c r="K117" s="167" t="s">
        <v>249</v>
      </c>
    </row>
    <row r="118" spans="3:11" ht="15" hidden="1" customHeight="1" thickBot="1">
      <c r="C118" s="221"/>
      <c r="D118" s="222"/>
      <c r="K118" s="167" t="s">
        <v>250</v>
      </c>
    </row>
    <row r="119" spans="3:11" ht="15" hidden="1" customHeight="1" thickBot="1">
      <c r="C119" s="220" t="s">
        <v>232</v>
      </c>
      <c r="D119" s="218" t="s">
        <v>185</v>
      </c>
      <c r="E119" s="209"/>
      <c r="F119" s="208"/>
      <c r="K119" s="167" t="s">
        <v>255</v>
      </c>
    </row>
    <row r="120" spans="3:11" ht="15" hidden="1" customHeight="1">
      <c r="C120" s="223" t="s">
        <v>204</v>
      </c>
      <c r="D120" s="228">
        <v>5500000</v>
      </c>
      <c r="E120" s="288" t="s">
        <v>201</v>
      </c>
      <c r="F120" s="224"/>
      <c r="G120" s="167" t="s">
        <v>190</v>
      </c>
      <c r="H120" s="181" t="s">
        <v>193</v>
      </c>
      <c r="K120" s="167" t="s">
        <v>254</v>
      </c>
    </row>
    <row r="121" spans="3:11" ht="15" hidden="1" customHeight="1">
      <c r="C121" s="223" t="s">
        <v>176</v>
      </c>
      <c r="D121" s="228">
        <v>3412</v>
      </c>
      <c r="E121" s="229" t="s">
        <v>199</v>
      </c>
      <c r="F121" s="224"/>
      <c r="G121" s="167" t="s">
        <v>188</v>
      </c>
      <c r="H121" s="181" t="s">
        <v>191</v>
      </c>
      <c r="K121" s="167" t="s">
        <v>262</v>
      </c>
    </row>
    <row r="122" spans="3:11" ht="15" hidden="1" customHeight="1">
      <c r="C122" s="225" t="s">
        <v>259</v>
      </c>
      <c r="D122" s="226">
        <v>107200</v>
      </c>
      <c r="E122" s="287" t="s">
        <v>263</v>
      </c>
      <c r="F122" s="247"/>
      <c r="G122" s="167" t="s">
        <v>189</v>
      </c>
      <c r="H122" s="181" t="s">
        <v>192</v>
      </c>
      <c r="K122" s="167" t="s">
        <v>261</v>
      </c>
    </row>
    <row r="123" spans="3:11" ht="15" hidden="1" customHeight="1">
      <c r="C123" s="225" t="s">
        <v>177</v>
      </c>
      <c r="D123" s="226">
        <v>111200</v>
      </c>
      <c r="E123" s="253" t="s">
        <v>200</v>
      </c>
      <c r="F123" s="247"/>
      <c r="G123" s="167" t="s">
        <v>189</v>
      </c>
      <c r="H123" s="181" t="s">
        <v>192</v>
      </c>
      <c r="K123" s="167" t="s">
        <v>252</v>
      </c>
    </row>
    <row r="124" spans="3:11" ht="15" hidden="1" customHeight="1">
      <c r="C124" s="225" t="s">
        <v>230</v>
      </c>
      <c r="D124" s="226">
        <v>7200000</v>
      </c>
      <c r="E124" s="253" t="s">
        <v>253</v>
      </c>
      <c r="F124" s="247"/>
      <c r="G124" s="167" t="s">
        <v>195</v>
      </c>
      <c r="H124" s="181" t="s">
        <v>196</v>
      </c>
    </row>
    <row r="125" spans="3:11" ht="15" hidden="1" customHeight="1">
      <c r="C125" s="225" t="s">
        <v>187</v>
      </c>
      <c r="D125" s="254"/>
      <c r="E125" s="253"/>
      <c r="F125" s="247"/>
      <c r="K125" s="167" t="s">
        <v>265</v>
      </c>
    </row>
    <row r="126" spans="3:11" ht="15" hidden="1" customHeight="1" thickBot="1">
      <c r="C126" s="227" t="s">
        <v>178</v>
      </c>
      <c r="D126" s="230">
        <v>77775</v>
      </c>
      <c r="E126" s="219" t="s">
        <v>200</v>
      </c>
      <c r="F126" s="231"/>
      <c r="G126" s="167" t="s">
        <v>189</v>
      </c>
      <c r="H126" s="181" t="s">
        <v>192</v>
      </c>
    </row>
    <row r="127" spans="3:11" ht="15" hidden="1" customHeight="1">
      <c r="C127" s="130" t="s">
        <v>235</v>
      </c>
      <c r="D127" s="267">
        <v>2</v>
      </c>
      <c r="E127" s="268">
        <v>3</v>
      </c>
      <c r="F127" s="268">
        <v>4</v>
      </c>
      <c r="G127" s="269">
        <v>5</v>
      </c>
      <c r="H127" s="270">
        <v>6</v>
      </c>
    </row>
    <row r="128" spans="3:11" ht="15" hidden="1" customHeight="1">
      <c r="C128" s="130"/>
      <c r="D128" s="252"/>
      <c r="E128" s="177"/>
      <c r="F128" s="177"/>
      <c r="H128" s="181"/>
    </row>
    <row r="129" spans="3:17" ht="15" hidden="1" customHeight="1">
      <c r="C129" s="130"/>
      <c r="D129" s="252"/>
      <c r="E129" s="177"/>
      <c r="F129" s="177"/>
      <c r="H129" s="181"/>
    </row>
    <row r="130" spans="3:17" ht="15" hidden="1" customHeight="1" thickBot="1">
      <c r="D130" s="177"/>
      <c r="E130" s="177"/>
      <c r="F130" s="177"/>
      <c r="G130" s="177"/>
      <c r="K130" s="167" t="s">
        <v>184</v>
      </c>
    </row>
    <row r="131" spans="3:17" ht="15" hidden="1" customHeight="1" thickBot="1">
      <c r="C131" s="259" t="s">
        <v>233</v>
      </c>
      <c r="D131" s="200"/>
      <c r="E131" s="177"/>
      <c r="F131" s="177"/>
      <c r="G131" s="177"/>
      <c r="K131" s="167" t="s">
        <v>251</v>
      </c>
    </row>
    <row r="132" spans="3:17" ht="15" hidden="1" customHeight="1" thickBot="1">
      <c r="C132" s="234" t="s">
        <v>186</v>
      </c>
      <c r="D132" s="200"/>
      <c r="E132" s="177"/>
      <c r="F132" s="177"/>
      <c r="G132" s="177"/>
    </row>
    <row r="133" spans="3:17" ht="15" hidden="1" customHeight="1">
      <c r="C133" s="235" t="s">
        <v>187</v>
      </c>
      <c r="D133" s="252"/>
      <c r="E133" s="181"/>
      <c r="F133" s="177"/>
      <c r="G133" s="177"/>
      <c r="H133" s="181"/>
    </row>
    <row r="134" spans="3:17" ht="15" hidden="1" customHeight="1">
      <c r="C134" s="236" t="s">
        <v>177</v>
      </c>
      <c r="D134" s="252"/>
      <c r="E134" s="177"/>
      <c r="F134" s="177"/>
      <c r="G134" s="177"/>
      <c r="H134" s="181"/>
      <c r="Q134" s="167" t="s">
        <v>264</v>
      </c>
    </row>
    <row r="135" spans="3:17" ht="15" hidden="1" customHeight="1">
      <c r="C135" s="236" t="s">
        <v>259</v>
      </c>
      <c r="D135" s="252"/>
      <c r="E135" s="177"/>
      <c r="F135" s="177"/>
      <c r="G135" s="177"/>
      <c r="H135" s="181"/>
    </row>
    <row r="136" spans="3:17" ht="15" hidden="1" customHeight="1">
      <c r="C136" s="236" t="s">
        <v>178</v>
      </c>
      <c r="D136" s="177"/>
      <c r="E136" s="177"/>
      <c r="F136" s="177"/>
      <c r="G136" s="177"/>
    </row>
    <row r="137" spans="3:17" ht="15" hidden="1" customHeight="1">
      <c r="C137" s="236" t="s">
        <v>176</v>
      </c>
      <c r="D137" s="252"/>
      <c r="E137" s="177"/>
      <c r="F137" s="177"/>
      <c r="G137" s="177"/>
      <c r="H137" s="181"/>
    </row>
    <row r="138" spans="3:17" ht="15" hidden="1" customHeight="1">
      <c r="C138" s="283" t="s">
        <v>204</v>
      </c>
      <c r="D138" s="252"/>
      <c r="E138" s="177"/>
      <c r="F138" s="177"/>
      <c r="G138" s="177"/>
      <c r="H138" s="181"/>
    </row>
    <row r="139" spans="3:17" ht="15" hidden="1" customHeight="1" thickBot="1">
      <c r="C139" s="258" t="s">
        <v>230</v>
      </c>
      <c r="D139" s="252"/>
      <c r="E139" s="177"/>
      <c r="F139" s="177"/>
      <c r="G139" s="177"/>
      <c r="H139" s="181"/>
    </row>
    <row r="140" spans="3:17" ht="15" hidden="1" customHeight="1">
      <c r="C140" s="130" t="s">
        <v>234</v>
      </c>
      <c r="D140" s="252"/>
      <c r="E140" s="177"/>
      <c r="F140" s="177"/>
      <c r="G140" s="255"/>
      <c r="H140" s="257"/>
    </row>
    <row r="141" spans="3:17" ht="15" hidden="1" customHeight="1">
      <c r="C141" s="130"/>
      <c r="D141" s="252"/>
      <c r="E141" s="177"/>
      <c r="F141" s="177"/>
      <c r="H141" s="181"/>
    </row>
    <row r="142" spans="3:17" ht="15" hidden="1" customHeight="1" thickBot="1">
      <c r="C142" s="130"/>
      <c r="D142" s="252"/>
      <c r="E142" s="177"/>
      <c r="F142" s="177"/>
      <c r="H142" s="181"/>
      <c r="K142" s="167" t="s">
        <v>257</v>
      </c>
    </row>
    <row r="143" spans="3:17" ht="15" hidden="1" customHeight="1" thickBot="1">
      <c r="C143" s="220" t="s">
        <v>256</v>
      </c>
      <c r="D143" s="218" t="s">
        <v>185</v>
      </c>
      <c r="E143" s="209"/>
      <c r="F143" s="208"/>
      <c r="K143" s="167" t="s">
        <v>258</v>
      </c>
    </row>
    <row r="144" spans="3:17" ht="15" hidden="1" customHeight="1">
      <c r="C144" s="225" t="s">
        <v>230</v>
      </c>
      <c r="D144" s="226">
        <v>11200000</v>
      </c>
      <c r="E144" s="253" t="s">
        <v>231</v>
      </c>
      <c r="F144" s="247"/>
      <c r="G144" s="167" t="s">
        <v>195</v>
      </c>
      <c r="H144" s="181" t="s">
        <v>196</v>
      </c>
      <c r="K144" s="233"/>
    </row>
    <row r="145" spans="1:11" ht="15" hidden="1" customHeight="1">
      <c r="C145" s="232"/>
    </row>
    <row r="146" spans="1:11" ht="15" hidden="1" customHeight="1">
      <c r="C146" s="232"/>
      <c r="K146" s="242" t="s">
        <v>260</v>
      </c>
    </row>
    <row r="147" spans="1:11" ht="15" hidden="1" customHeight="1">
      <c r="A147" s="297"/>
      <c r="K147" s="177"/>
    </row>
    <row r="148" spans="1:11" ht="31.5" hidden="1" customHeight="1">
      <c r="B148" s="268"/>
      <c r="C148" s="323"/>
      <c r="D148" s="323" t="s">
        <v>277</v>
      </c>
      <c r="E148" s="324"/>
      <c r="F148" s="306"/>
      <c r="G148" s="323" t="s">
        <v>281</v>
      </c>
      <c r="H148" s="282"/>
      <c r="I148" s="282"/>
      <c r="J148" s="237"/>
      <c r="K148" s="177"/>
    </row>
    <row r="149" spans="1:11" ht="31.5" hidden="1" customHeight="1">
      <c r="B149" s="177"/>
      <c r="C149" s="281" t="s">
        <v>271</v>
      </c>
      <c r="D149" s="281" t="s">
        <v>212</v>
      </c>
      <c r="E149" s="281" t="s">
        <v>259</v>
      </c>
      <c r="F149" s="281" t="s">
        <v>178</v>
      </c>
      <c r="G149" s="281" t="s">
        <v>210</v>
      </c>
      <c r="H149" s="281" t="s">
        <v>272</v>
      </c>
      <c r="I149" s="281" t="s">
        <v>230</v>
      </c>
      <c r="J149" s="325" t="s">
        <v>302</v>
      </c>
      <c r="K149" s="242"/>
    </row>
    <row r="150" spans="1:11" ht="15" hidden="1" customHeight="1">
      <c r="B150" s="177"/>
      <c r="C150" s="282"/>
      <c r="D150" s="282" t="s">
        <v>273</v>
      </c>
      <c r="E150" s="282" t="s">
        <v>273</v>
      </c>
      <c r="F150" s="282" t="s">
        <v>273</v>
      </c>
      <c r="G150" s="282" t="s">
        <v>274</v>
      </c>
      <c r="H150" s="282"/>
      <c r="I150" s="282"/>
      <c r="J150" s="282" t="s">
        <v>275</v>
      </c>
      <c r="K150" s="242"/>
    </row>
    <row r="151" spans="1:11" ht="15" hidden="1" customHeight="1">
      <c r="B151" s="177"/>
      <c r="C151" s="326">
        <v>41852</v>
      </c>
      <c r="D151" s="327">
        <v>3.83</v>
      </c>
      <c r="E151" s="327">
        <v>4.2210000000000001</v>
      </c>
      <c r="F151" s="327">
        <v>2.887</v>
      </c>
      <c r="G151" s="327">
        <v>0.19500000000000001</v>
      </c>
      <c r="H151" s="327"/>
      <c r="I151" s="327"/>
      <c r="J151" s="328">
        <v>18.88</v>
      </c>
      <c r="K151" s="177"/>
    </row>
    <row r="152" spans="1:11" ht="15" hidden="1" customHeight="1">
      <c r="B152" s="177"/>
      <c r="C152" s="326">
        <v>41883</v>
      </c>
      <c r="D152" s="327">
        <v>3.778</v>
      </c>
      <c r="E152" s="327">
        <v>4.1660000000000004</v>
      </c>
      <c r="F152" s="327">
        <v>2.895</v>
      </c>
      <c r="G152" s="327">
        <v>0.19399999999999998</v>
      </c>
      <c r="H152" s="327"/>
      <c r="I152" s="327"/>
      <c r="J152" s="328">
        <v>17.86</v>
      </c>
      <c r="K152" s="177"/>
    </row>
    <row r="153" spans="1:11" ht="15" hidden="1" customHeight="1">
      <c r="B153" s="177"/>
      <c r="C153" s="326">
        <v>41913</v>
      </c>
      <c r="D153" s="327">
        <v>3.6480000000000001</v>
      </c>
      <c r="E153" s="327">
        <v>4.0629999999999997</v>
      </c>
      <c r="F153" s="327">
        <v>2.8849999999999998</v>
      </c>
      <c r="G153" s="327">
        <v>0.19399999999999998</v>
      </c>
      <c r="H153" s="327"/>
      <c r="I153" s="327"/>
      <c r="J153" s="328">
        <v>15.99</v>
      </c>
      <c r="K153" s="177"/>
    </row>
    <row r="154" spans="1:11" ht="15" hidden="1" customHeight="1">
      <c r="B154" s="177"/>
      <c r="C154" s="326">
        <v>41944</v>
      </c>
      <c r="D154" s="329">
        <v>3.5539999999999998</v>
      </c>
      <c r="E154" s="329">
        <v>3.984</v>
      </c>
      <c r="F154" s="329">
        <v>2.81</v>
      </c>
      <c r="G154" s="329">
        <v>0.19500000000000001</v>
      </c>
      <c r="H154" s="327"/>
      <c r="I154" s="327"/>
      <c r="J154" s="328">
        <v>12.27</v>
      </c>
      <c r="K154" s="300"/>
    </row>
    <row r="155" spans="1:11" ht="15" hidden="1" customHeight="1">
      <c r="B155" s="177"/>
      <c r="C155" s="330">
        <v>41974</v>
      </c>
      <c r="D155" s="331">
        <v>3.3610000000000002</v>
      </c>
      <c r="E155" s="331">
        <v>3.8410000000000002</v>
      </c>
      <c r="F155" s="331">
        <v>2.78</v>
      </c>
      <c r="G155" s="331">
        <v>0.193</v>
      </c>
      <c r="H155" s="331"/>
      <c r="I155" s="331"/>
      <c r="J155" s="332">
        <v>10.66</v>
      </c>
      <c r="K155" s="177"/>
    </row>
    <row r="156" spans="1:11" ht="15" hidden="1" customHeight="1">
      <c r="B156" s="177"/>
      <c r="C156" s="326">
        <v>42005</v>
      </c>
      <c r="D156" s="327">
        <v>3.1060000000000003</v>
      </c>
      <c r="E156" s="327">
        <v>3.6260000000000003</v>
      </c>
      <c r="F156" s="327">
        <v>2.7230000000000003</v>
      </c>
      <c r="G156" s="327">
        <v>0.193</v>
      </c>
      <c r="H156" s="327"/>
      <c r="I156" s="327"/>
      <c r="J156" s="328">
        <v>10.51</v>
      </c>
      <c r="K156" s="177"/>
    </row>
    <row r="157" spans="1:11" ht="15" hidden="1" customHeight="1">
      <c r="B157" s="177"/>
      <c r="C157" s="326">
        <v>42036</v>
      </c>
      <c r="D157" s="327">
        <v>3.113</v>
      </c>
      <c r="E157" s="327">
        <v>3.5539999999999998</v>
      </c>
      <c r="F157" s="327">
        <v>2.7039999999999997</v>
      </c>
      <c r="G157" s="327">
        <v>0.19800000000000001</v>
      </c>
      <c r="H157" s="327"/>
      <c r="I157" s="327"/>
      <c r="J157" s="328">
        <v>9.7899999999999991</v>
      </c>
      <c r="K157" s="177"/>
    </row>
    <row r="158" spans="1:11" ht="15" hidden="1" customHeight="1">
      <c r="B158" s="177"/>
      <c r="C158" s="326">
        <v>42064</v>
      </c>
      <c r="D158" s="327">
        <v>3.2319999999999998</v>
      </c>
      <c r="E158" s="327">
        <v>3.7170000000000001</v>
      </c>
      <c r="F158" s="327">
        <v>2.7080000000000002</v>
      </c>
      <c r="G158" s="327">
        <v>0.192</v>
      </c>
      <c r="H158" s="327"/>
      <c r="I158" s="327"/>
      <c r="J158" s="328">
        <v>9.34</v>
      </c>
      <c r="K158" s="177"/>
    </row>
    <row r="159" spans="1:11" ht="15" hidden="1" customHeight="1">
      <c r="B159" s="177"/>
      <c r="C159" s="326">
        <v>42095</v>
      </c>
      <c r="D159" s="327">
        <v>3.0030000000000001</v>
      </c>
      <c r="E159" s="327">
        <v>3.5389999999999997</v>
      </c>
      <c r="F159" s="327">
        <v>2.6189999999999998</v>
      </c>
      <c r="G159" s="327">
        <v>0.17800000000000002</v>
      </c>
      <c r="H159" s="327"/>
      <c r="I159" s="327"/>
      <c r="J159" s="328">
        <v>10.18</v>
      </c>
      <c r="K159" s="177"/>
    </row>
    <row r="160" spans="1:11" ht="15" hidden="1" customHeight="1">
      <c r="B160" s="177"/>
      <c r="C160" s="333">
        <v>42125</v>
      </c>
      <c r="D160" s="334">
        <v>2.9889999999999999</v>
      </c>
      <c r="E160" s="334">
        <v>3.4739999999999998</v>
      </c>
      <c r="F160" s="334">
        <v>2.4990000000000001</v>
      </c>
      <c r="G160" s="334">
        <v>0.18100000000000002</v>
      </c>
      <c r="H160" s="334"/>
      <c r="I160" s="334"/>
      <c r="J160" s="335">
        <v>12.7</v>
      </c>
      <c r="K160" s="177"/>
    </row>
    <row r="161" spans="2:11" ht="15" hidden="1" customHeight="1">
      <c r="B161" s="177"/>
      <c r="C161" s="333">
        <v>42156</v>
      </c>
      <c r="D161" s="334">
        <v>2.9369999999999998</v>
      </c>
      <c r="E161" s="334">
        <v>3.423</v>
      </c>
      <c r="F161" s="334">
        <v>2.3980000000000001</v>
      </c>
      <c r="G161" s="334">
        <v>0.188</v>
      </c>
      <c r="H161" s="334"/>
      <c r="I161" s="334"/>
      <c r="J161" s="335">
        <v>16.28</v>
      </c>
      <c r="K161" s="177"/>
    </row>
    <row r="162" spans="2:11" ht="15" hidden="1" customHeight="1">
      <c r="B162" s="177"/>
      <c r="C162" s="336">
        <v>42186</v>
      </c>
      <c r="D162" s="337">
        <v>2.8289999999999997</v>
      </c>
      <c r="E162" s="334">
        <v>3.3360000000000003</v>
      </c>
      <c r="F162" s="334">
        <v>2.3359999999999999</v>
      </c>
      <c r="G162" s="334">
        <v>0.18759999999999999</v>
      </c>
      <c r="H162" s="334">
        <v>225</v>
      </c>
      <c r="I162" s="335">
        <v>235</v>
      </c>
      <c r="J162" s="335">
        <v>17.100000000000001</v>
      </c>
      <c r="K162" s="177"/>
    </row>
    <row r="163" spans="2:11" ht="15" hidden="1" customHeight="1">
      <c r="B163" s="177"/>
      <c r="C163" s="338"/>
      <c r="D163" s="339" t="s">
        <v>297</v>
      </c>
      <c r="E163" s="339" t="s">
        <v>297</v>
      </c>
      <c r="F163" s="339" t="s">
        <v>297</v>
      </c>
      <c r="G163" s="339" t="s">
        <v>298</v>
      </c>
      <c r="H163" s="339" t="s">
        <v>299</v>
      </c>
      <c r="I163" s="339" t="s">
        <v>300</v>
      </c>
      <c r="J163" s="339" t="s">
        <v>301</v>
      </c>
      <c r="K163" s="177"/>
    </row>
    <row r="164" spans="2:11" ht="15" hidden="1" customHeight="1">
      <c r="B164" s="177"/>
      <c r="C164" s="340" t="s">
        <v>276</v>
      </c>
      <c r="D164" s="335">
        <v>3.3273076923076919</v>
      </c>
      <c r="E164" s="335">
        <v>3.7859999999999996</v>
      </c>
      <c r="F164" s="335">
        <v>2.7026153846153846</v>
      </c>
      <c r="G164" s="334">
        <v>0.19166153846153847</v>
      </c>
      <c r="H164" s="335">
        <v>225</v>
      </c>
      <c r="I164" s="335">
        <v>235</v>
      </c>
      <c r="J164" s="335">
        <v>1.3888461538461538</v>
      </c>
      <c r="K164" s="177"/>
    </row>
    <row r="165" spans="2:11" ht="15" hidden="1" customHeight="1">
      <c r="B165" s="177"/>
      <c r="C165" s="341">
        <v>0.05</v>
      </c>
      <c r="D165" s="342">
        <v>3.4936730769230766</v>
      </c>
      <c r="E165" s="343">
        <v>3.9752999999999998</v>
      </c>
      <c r="F165" s="343">
        <v>2.8377461538461541</v>
      </c>
      <c r="G165" s="344">
        <v>0.20124461538461541</v>
      </c>
      <c r="H165" s="335">
        <v>236.25</v>
      </c>
      <c r="I165" s="335">
        <v>246.75</v>
      </c>
      <c r="J165" s="343">
        <v>1.4582884615384617</v>
      </c>
      <c r="K165" s="299"/>
    </row>
    <row r="166" spans="2:11" ht="15" hidden="1" customHeight="1">
      <c r="B166" s="177"/>
      <c r="C166" s="345">
        <v>0.1</v>
      </c>
      <c r="D166" s="346">
        <v>3.6600384615384614</v>
      </c>
      <c r="E166" s="347">
        <v>4.1646000000000001</v>
      </c>
      <c r="F166" s="347">
        <v>2.9728769230769232</v>
      </c>
      <c r="G166" s="348">
        <v>0.21082769230769233</v>
      </c>
      <c r="H166" s="347">
        <v>247.50000000000003</v>
      </c>
      <c r="I166" s="347">
        <v>258.5</v>
      </c>
      <c r="J166" s="347">
        <v>1.5277307692307693</v>
      </c>
      <c r="K166" s="177"/>
    </row>
    <row r="167" spans="2:11" ht="15" hidden="1" customHeight="1">
      <c r="B167" s="177"/>
      <c r="C167" s="341">
        <v>0.15</v>
      </c>
      <c r="D167" s="349">
        <v>3.8264038461538452</v>
      </c>
      <c r="E167" s="335">
        <v>4.3538999999999994</v>
      </c>
      <c r="F167" s="335">
        <v>3.1080076923076922</v>
      </c>
      <c r="G167" s="334">
        <v>0.22041076923076922</v>
      </c>
      <c r="H167" s="335">
        <v>258.75</v>
      </c>
      <c r="I167" s="335">
        <v>270.25</v>
      </c>
      <c r="J167" s="335">
        <v>1.5971730769230768</v>
      </c>
      <c r="K167" s="177"/>
    </row>
    <row r="168" spans="2:11" ht="15.75" hidden="1" customHeight="1">
      <c r="B168" s="177"/>
      <c r="C168" s="350"/>
      <c r="D168" s="222"/>
      <c r="E168" s="177"/>
      <c r="F168" s="177"/>
      <c r="G168" s="177"/>
      <c r="I168" s="306"/>
      <c r="J168" s="177"/>
    </row>
    <row r="169" spans="2:11" ht="15.75" hidden="1" customHeight="1">
      <c r="C169" s="282" t="s">
        <v>278</v>
      </c>
      <c r="I169" s="335">
        <f>I164*0.95</f>
        <v>223.25</v>
      </c>
    </row>
    <row r="170" spans="2:11" ht="15.75" hidden="1" customHeight="1">
      <c r="C170" s="282" t="s">
        <v>279</v>
      </c>
      <c r="I170" s="347">
        <f>I164*0.9</f>
        <v>211.5</v>
      </c>
    </row>
    <row r="171" spans="2:11" ht="15.75" hidden="1" customHeight="1">
      <c r="C171" s="282" t="s">
        <v>280</v>
      </c>
      <c r="I171" s="335">
        <f>I164*0.85</f>
        <v>199.75</v>
      </c>
    </row>
    <row r="172" spans="2:11" ht="15.75" hidden="1" customHeight="1"/>
    <row r="173" spans="2:11" ht="15.75" hidden="1" customHeight="1"/>
    <row r="174" spans="2:11" ht="15.75" hidden="1" customHeight="1"/>
    <row r="175" spans="2:11" ht="15.75" hidden="1" customHeight="1"/>
    <row r="176" spans="2:11" ht="15.75" hidden="1" customHeight="1"/>
    <row r="177" spans="3:5" ht="15.75" hidden="1" customHeight="1">
      <c r="C177" s="352">
        <v>3.49E-2</v>
      </c>
      <c r="D177" s="352">
        <v>3.9899999999999998E-2</v>
      </c>
      <c r="E177" s="352">
        <v>3.49E-2</v>
      </c>
    </row>
    <row r="178" spans="3:5" ht="15.75" hidden="1" customHeight="1">
      <c r="C178" s="352">
        <v>3.9899999999999998E-2</v>
      </c>
      <c r="D178" s="352">
        <v>3.9899999999999998E-2</v>
      </c>
      <c r="E178" s="352">
        <v>3.49E-2</v>
      </c>
    </row>
    <row r="179" spans="3:5" ht="15.75" hidden="1" customHeight="1">
      <c r="C179" s="352">
        <v>4.99E-2</v>
      </c>
      <c r="D179" s="352">
        <v>5.4899999999999997E-2</v>
      </c>
      <c r="E179" s="352">
        <v>4.99E-2</v>
      </c>
    </row>
    <row r="180" spans="3:5" ht="15.75" hidden="1" customHeight="1">
      <c r="C180" s="352">
        <v>5.4899999999999997E-2</v>
      </c>
      <c r="D180" s="352">
        <v>5.4899999999999997E-2</v>
      </c>
      <c r="E180" s="352">
        <v>4.99E-2</v>
      </c>
    </row>
    <row r="181" spans="3:5" ht="15.75" hidden="1" customHeight="1">
      <c r="C181" s="352">
        <v>5.9900000000000002E-2</v>
      </c>
      <c r="D181" s="352">
        <v>6.4899999999999999E-2</v>
      </c>
      <c r="E181" s="352">
        <v>5.9900000000000002E-2</v>
      </c>
    </row>
    <row r="182" spans="3:5" ht="15.75" hidden="1" customHeight="1">
      <c r="C182" s="352">
        <v>6.4899999999999999E-2</v>
      </c>
      <c r="D182" s="352">
        <v>6.4899999999999999E-2</v>
      </c>
      <c r="E182" s="352">
        <v>5.9900000000000002E-2</v>
      </c>
    </row>
    <row r="183" spans="3:5" ht="15.75" hidden="1" customHeight="1">
      <c r="C183" s="352">
        <v>7.9899999999999999E-2</v>
      </c>
      <c r="D183" s="352">
        <v>8.4900000000000003E-2</v>
      </c>
      <c r="E183" s="352">
        <v>7.9899999999999999E-2</v>
      </c>
    </row>
    <row r="184" spans="3:5" ht="15.75" hidden="1" customHeight="1">
      <c r="C184" s="352">
        <v>8.4900000000000003E-2</v>
      </c>
      <c r="D184" s="352">
        <v>8.4900000000000003E-2</v>
      </c>
      <c r="E184" s="352">
        <v>7.9899999999999999E-2</v>
      </c>
    </row>
    <row r="185" spans="3:5" ht="15.75" customHeight="1"/>
    <row r="186" spans="3:5" ht="15.75" customHeight="1"/>
    <row r="187" spans="3:5" ht="15.75" customHeight="1"/>
    <row r="188" spans="3:5" ht="15.75" customHeight="1"/>
    <row r="189" spans="3:5" ht="15.75" customHeight="1"/>
    <row r="190" spans="3:5" ht="15.75" customHeight="1"/>
    <row r="191" spans="3:5" ht="15.75" customHeight="1"/>
    <row r="192" spans="3:5"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sheetData>
  <sheetProtection algorithmName="SHA-512" hashValue="7vOXer3K1Qsf3ohPEm8UNzhLEHVjET8g9xnAL/6dW5C3YmR9RE6RRM+6BK9nhTxKyljYF/LNIZRFvbYW9brUkA==" saltValue="4CZUsATvdm57jmKrylSeMw==" spinCount="100000" sheet="1" objects="1" scenarios="1"/>
  <dataConsolidate/>
  <mergeCells count="8">
    <mergeCell ref="L9:N9"/>
    <mergeCell ref="L11:N11"/>
    <mergeCell ref="L13:N13"/>
    <mergeCell ref="L22:N22"/>
    <mergeCell ref="L20:N20"/>
    <mergeCell ref="L18:N18"/>
    <mergeCell ref="C10:E10"/>
    <mergeCell ref="C15:D15"/>
  </mergeCells>
  <dataValidations count="2">
    <dataValidation type="list" allowBlank="1" showInputMessage="1" showErrorMessage="1" sqref="C25 C50 C18">
      <formula1>HeatingFuelType</formula1>
    </dataValidation>
    <dataValidation type="list" showInputMessage="1" showErrorMessage="1" sqref="C10:E10">
      <formula1>REBATE</formula1>
    </dataValidation>
  </dataValidations>
  <hyperlinks>
    <hyperlink ref="E37" r:id="rId1"/>
  </hyperlinks>
  <printOptions horizontalCentered="1"/>
  <pageMargins left="0.25" right="0.25" top="0.75" bottom="0.25" header="0" footer="0"/>
  <pageSetup scale="5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Y102"/>
  <sheetViews>
    <sheetView showGridLines="0" topLeftCell="A19" zoomScale="80" zoomScaleNormal="80" zoomScalePageLayoutView="70" workbookViewId="0">
      <selection activeCell="D17" sqref="D17:E17"/>
    </sheetView>
  </sheetViews>
  <sheetFormatPr defaultRowHeight="15.75"/>
  <cols>
    <col min="1" max="1" width="2.42578125" style="1" customWidth="1"/>
    <col min="2" max="2" width="7.7109375" style="1" customWidth="1"/>
    <col min="3" max="3" width="40.28515625" style="1" customWidth="1"/>
    <col min="4" max="12" width="15.7109375" style="1" customWidth="1"/>
    <col min="13" max="13" width="7.28515625" style="1" bestFit="1" customWidth="1"/>
    <col min="14" max="21" width="16.5703125" style="1" customWidth="1"/>
    <col min="22" max="23" width="9.140625" style="1"/>
    <col min="24" max="24" width="11.5703125" style="1" customWidth="1"/>
    <col min="25" max="25" width="3.42578125" style="1" bestFit="1" customWidth="1"/>
    <col min="26" max="16384" width="9.140625" style="1"/>
  </cols>
  <sheetData>
    <row r="1" spans="3:25" ht="15" customHeight="1"/>
    <row r="2" spans="3:25" ht="15" customHeight="1">
      <c r="G2" s="2"/>
      <c r="H2" s="2"/>
      <c r="I2" s="3"/>
      <c r="J2" s="3"/>
      <c r="K2" s="2"/>
    </row>
    <row r="3" spans="3:25" ht="15" customHeight="1">
      <c r="H3" s="2"/>
      <c r="Y3" s="1">
        <v>15</v>
      </c>
    </row>
    <row r="4" spans="3:25" ht="15" customHeight="1"/>
    <row r="5" spans="3:25" ht="15" customHeight="1">
      <c r="X5" s="129" t="s">
        <v>176</v>
      </c>
    </row>
    <row r="6" spans="3:25" ht="15" customHeight="1" thickBot="1">
      <c r="G6" s="4"/>
      <c r="X6" s="129" t="s">
        <v>175</v>
      </c>
    </row>
    <row r="7" spans="3:25" ht="15" customHeight="1" thickBot="1">
      <c r="C7" s="370" t="s">
        <v>0</v>
      </c>
      <c r="D7" s="371"/>
      <c r="E7" s="371"/>
      <c r="F7" s="372"/>
      <c r="H7" s="370" t="s">
        <v>1</v>
      </c>
      <c r="I7" s="371"/>
      <c r="J7" s="371"/>
      <c r="K7" s="371"/>
      <c r="L7" s="372"/>
      <c r="X7" s="129" t="s">
        <v>177</v>
      </c>
    </row>
    <row r="8" spans="3:25" ht="15" customHeight="1">
      <c r="C8" s="5"/>
      <c r="D8" s="130"/>
      <c r="E8" s="130"/>
      <c r="F8" s="7"/>
      <c r="H8" s="125"/>
      <c r="I8" s="8"/>
      <c r="J8" s="8"/>
      <c r="K8" s="8"/>
      <c r="L8" s="7"/>
      <c r="X8" s="129" t="s">
        <v>178</v>
      </c>
    </row>
    <row r="9" spans="3:25" ht="15" customHeight="1">
      <c r="C9" s="5" t="s">
        <v>2</v>
      </c>
      <c r="D9" s="397" t="s">
        <v>48</v>
      </c>
      <c r="E9" s="398"/>
      <c r="F9" s="9"/>
      <c r="H9" s="5" t="s">
        <v>3</v>
      </c>
      <c r="I9" s="387">
        <f>'RHNY Calculator'!L9</f>
        <v>0</v>
      </c>
      <c r="J9" s="387"/>
      <c r="K9" s="387"/>
      <c r="L9" s="10"/>
    </row>
    <row r="10" spans="3:25" s="129" customFormat="1" ht="15" customHeight="1">
      <c r="C10" s="5"/>
      <c r="D10" s="130"/>
      <c r="E10" s="152"/>
      <c r="F10" s="9"/>
      <c r="H10" s="5"/>
      <c r="I10" s="151"/>
      <c r="J10" s="151"/>
      <c r="K10" s="151"/>
      <c r="L10" s="150"/>
    </row>
    <row r="11" spans="3:25" ht="15" customHeight="1">
      <c r="C11" s="5" t="s">
        <v>4</v>
      </c>
      <c r="D11" s="393">
        <f>'RHNY Calculator'!H9</f>
        <v>0</v>
      </c>
      <c r="E11" s="394"/>
      <c r="F11" s="11"/>
      <c r="G11" s="4"/>
      <c r="H11" s="5" t="s">
        <v>5</v>
      </c>
      <c r="I11" s="357">
        <f>'RHNY Calculator'!L11</f>
        <v>0</v>
      </c>
      <c r="J11" s="357"/>
      <c r="K11" s="357"/>
      <c r="L11" s="10"/>
    </row>
    <row r="12" spans="3:25" ht="15" customHeight="1">
      <c r="C12" s="388"/>
      <c r="D12" s="389"/>
      <c r="E12" s="389"/>
      <c r="F12" s="390"/>
      <c r="H12" s="5"/>
      <c r="I12" s="6"/>
      <c r="J12" s="6"/>
      <c r="K12" s="14"/>
      <c r="L12" s="13"/>
    </row>
    <row r="13" spans="3:25" ht="15" customHeight="1">
      <c r="C13" s="153" t="s">
        <v>197</v>
      </c>
      <c r="D13" s="393">
        <f>'RHNY Calculator'!H10</f>
        <v>0</v>
      </c>
      <c r="E13" s="394"/>
      <c r="F13" s="11"/>
      <c r="H13" s="15" t="s">
        <v>41</v>
      </c>
      <c r="I13" s="357">
        <f>'RHNY Calculator'!L13</f>
        <v>0</v>
      </c>
      <c r="J13" s="357"/>
      <c r="K13" s="357"/>
      <c r="L13" s="10"/>
    </row>
    <row r="14" spans="3:25" ht="15" customHeight="1" thickBot="1">
      <c r="C14" s="5"/>
      <c r="D14" s="130"/>
      <c r="E14" s="130"/>
      <c r="F14" s="11"/>
      <c r="H14" s="126"/>
      <c r="I14" s="127"/>
      <c r="J14" s="127"/>
      <c r="K14" s="127"/>
      <c r="L14" s="18"/>
    </row>
    <row r="15" spans="3:25" s="129" customFormat="1" ht="15" customHeight="1">
      <c r="C15" s="5" t="s">
        <v>304</v>
      </c>
      <c r="D15" s="399" t="str">
        <f>LoanPrincipal</f>
        <v/>
      </c>
      <c r="E15" s="400"/>
      <c r="F15" s="11"/>
      <c r="H15" s="165"/>
      <c r="I15" s="151"/>
      <c r="J15" s="151"/>
      <c r="K15" s="151"/>
      <c r="L15" s="164"/>
    </row>
    <row r="16" spans="3:25" s="129" customFormat="1" ht="15" customHeight="1">
      <c r="C16" s="5"/>
      <c r="D16" s="351"/>
      <c r="E16" s="351"/>
      <c r="F16" s="11"/>
      <c r="H16" s="165"/>
      <c r="I16" s="151"/>
      <c r="J16" s="151"/>
      <c r="K16" s="151"/>
      <c r="L16" s="164"/>
    </row>
    <row r="17" spans="1:21" s="129" customFormat="1" ht="15" customHeight="1">
      <c r="C17" s="5" t="s">
        <v>305</v>
      </c>
      <c r="D17" s="404">
        <v>7.9899999999999999E-2</v>
      </c>
      <c r="E17" s="405"/>
      <c r="F17" s="11"/>
      <c r="H17" s="165"/>
      <c r="I17" s="151"/>
      <c r="J17" s="151"/>
      <c r="K17" s="151"/>
      <c r="L17" s="164"/>
    </row>
    <row r="18" spans="1:21" s="129" customFormat="1" ht="15" customHeight="1" thickBot="1">
      <c r="C18" s="5"/>
      <c r="D18" s="130"/>
      <c r="E18" s="130"/>
      <c r="F18" s="11"/>
    </row>
    <row r="19" spans="1:21" ht="15" customHeight="1" thickBot="1">
      <c r="B19" s="6"/>
      <c r="C19" s="5" t="s">
        <v>6</v>
      </c>
      <c r="D19" s="391"/>
      <c r="E19" s="392"/>
      <c r="F19" s="9"/>
      <c r="H19" s="166" t="s">
        <v>198</v>
      </c>
      <c r="I19" s="162"/>
      <c r="J19" s="162"/>
      <c r="K19" s="162"/>
      <c r="L19" s="163"/>
      <c r="S19" s="4"/>
    </row>
    <row r="20" spans="1:21" ht="15" customHeight="1">
      <c r="B20" s="6"/>
      <c r="C20" s="401"/>
      <c r="D20" s="402"/>
      <c r="E20" s="402"/>
      <c r="F20" s="403"/>
      <c r="H20" s="125"/>
      <c r="I20" s="8"/>
      <c r="J20" s="8"/>
      <c r="K20" s="8"/>
      <c r="L20" s="7"/>
      <c r="S20" s="4"/>
    </row>
    <row r="21" spans="1:21" ht="15" customHeight="1">
      <c r="B21" s="6"/>
      <c r="C21" s="5" t="s">
        <v>179</v>
      </c>
      <c r="D21" s="393" t="e">
        <f>'RHNY Calculator'!H55</f>
        <v>#DIV/0!</v>
      </c>
      <c r="E21" s="394"/>
      <c r="F21" s="9"/>
      <c r="H21" s="5" t="s">
        <v>3</v>
      </c>
      <c r="I21" s="357">
        <f>'RHNY Calculator'!L18</f>
        <v>0</v>
      </c>
      <c r="J21" s="357"/>
      <c r="K21" s="357"/>
      <c r="L21" s="150"/>
      <c r="S21" s="4"/>
    </row>
    <row r="22" spans="1:21" ht="15" customHeight="1" thickBot="1">
      <c r="B22" s="6"/>
      <c r="C22" s="5"/>
      <c r="D22" s="130"/>
      <c r="E22" s="130"/>
      <c r="F22" s="9"/>
      <c r="H22" s="16"/>
      <c r="I22" s="21"/>
      <c r="J22" s="21"/>
      <c r="K22" s="21"/>
      <c r="L22" s="22"/>
      <c r="S22" s="4"/>
    </row>
    <row r="23" spans="1:21" ht="15" customHeight="1">
      <c r="B23" s="6"/>
      <c r="C23" s="5" t="s">
        <v>40</v>
      </c>
      <c r="D23" s="395">
        <v>20</v>
      </c>
      <c r="E23" s="396"/>
      <c r="F23" s="9"/>
      <c r="M23" s="6"/>
      <c r="S23" s="4"/>
    </row>
    <row r="24" spans="1:21" ht="15" customHeight="1" thickBot="1">
      <c r="B24" s="6"/>
      <c r="C24" s="16"/>
      <c r="D24" s="21"/>
      <c r="E24" s="21"/>
      <c r="F24" s="22"/>
      <c r="M24" s="6"/>
      <c r="O24" s="23"/>
      <c r="R24" s="4"/>
    </row>
    <row r="25" spans="1:21" ht="15" customHeight="1" thickBot="1">
      <c r="B25" s="21"/>
      <c r="C25" s="21"/>
      <c r="D25" s="21"/>
      <c r="E25" s="21"/>
      <c r="F25" s="21"/>
      <c r="G25" s="21"/>
      <c r="H25" s="21"/>
      <c r="I25" s="21"/>
      <c r="J25" s="21"/>
      <c r="K25" s="21"/>
      <c r="L25" s="21"/>
      <c r="Q25" s="14"/>
      <c r="R25" s="24"/>
      <c r="U25" s="4"/>
    </row>
    <row r="26" spans="1:21" ht="15" customHeight="1">
      <c r="A26" s="6"/>
      <c r="B26" s="376" t="s">
        <v>7</v>
      </c>
      <c r="C26" s="8"/>
      <c r="D26" s="379" t="str">
        <f>"On-Bill Recovery Loan at "&amp;TEXT(VLOOKUP(D17,'RHNY Calculator'!C177:E184,3,FALSE),"0.00%"&amp;"")</f>
        <v>On-Bill Recovery Loan at 7.99%</v>
      </c>
      <c r="E26" s="380"/>
      <c r="F26" s="381"/>
      <c r="G26" s="380" t="str">
        <f>"Smart Energy Loan at "&amp;TEXT(VLOOKUP(D17,'RHNY Calculator'!C177:E184,3,FALSE),"0.00%"&amp;"")</f>
        <v>Smart Energy Loan at 7.99%</v>
      </c>
      <c r="H26" s="380"/>
      <c r="I26" s="381"/>
      <c r="J26" s="379" t="str">
        <f>"Smart Energy Loan at "&amp;TEXT(VLOOKUP(D17,'RHNY Calculator'!C177:E184,2,FALSE),"0.00%"&amp;"")</f>
        <v>Smart Energy Loan at 8.49%</v>
      </c>
      <c r="K26" s="380"/>
      <c r="L26" s="381"/>
      <c r="M26" s="6"/>
    </row>
    <row r="27" spans="1:21" ht="15" customHeight="1" thickBot="1">
      <c r="A27" s="6"/>
      <c r="B27" s="377"/>
      <c r="C27" s="16"/>
      <c r="D27" s="25" t="s">
        <v>8</v>
      </c>
      <c r="E27" s="26" t="s">
        <v>9</v>
      </c>
      <c r="F27" s="27" t="s">
        <v>10</v>
      </c>
      <c r="G27" s="25" t="s">
        <v>8</v>
      </c>
      <c r="H27" s="28" t="s">
        <v>9</v>
      </c>
      <c r="I27" s="27" t="s">
        <v>10</v>
      </c>
      <c r="J27" s="25" t="s">
        <v>8</v>
      </c>
      <c r="K27" s="26" t="s">
        <v>9</v>
      </c>
      <c r="L27" s="27" t="s">
        <v>10</v>
      </c>
      <c r="M27" s="6"/>
    </row>
    <row r="28" spans="1:21" ht="15" customHeight="1">
      <c r="A28" s="6"/>
      <c r="B28" s="377"/>
      <c r="C28" s="29"/>
      <c r="D28" s="30"/>
      <c r="E28" s="31"/>
      <c r="F28" s="10"/>
      <c r="G28" s="30"/>
      <c r="H28" s="31"/>
      <c r="I28" s="10"/>
      <c r="J28" s="30"/>
      <c r="K28" s="31"/>
      <c r="L28" s="32"/>
      <c r="M28" s="6"/>
    </row>
    <row r="29" spans="1:21" ht="15" customHeight="1">
      <c r="A29" s="6"/>
      <c r="B29" s="377"/>
      <c r="C29" s="33" t="s">
        <v>11</v>
      </c>
      <c r="D29" s="34" t="e">
        <f>IF(OR(PCost&lt;=0,AND(LC_PSavings&lt;=0,OR(SavingsAnnual&lt;=0,WeightedAvgMLife&lt;=0))),"Error!",D35)</f>
        <v>#DIV/0!</v>
      </c>
      <c r="E29" s="35" t="e">
        <f t="shared" ref="E29:L29" si="0">IF(OR(PCost&lt;=0,AND(LC_PSavings&lt;=0,OR(SavingsAnnual&lt;=0,WeightedAvgMLife&lt;=0))),"Error!",E35)</f>
        <v>#DIV/0!</v>
      </c>
      <c r="F29" s="36" t="e">
        <f t="shared" si="0"/>
        <v>#DIV/0!</v>
      </c>
      <c r="G29" s="37" t="e">
        <f>IF(OR(PCost&lt;=0,AND(LC_PSavings&lt;=0,OR(SavingsAnnual&lt;=0,WeightedAvgMLife&lt;=0))),"Error!",G35)</f>
        <v>#DIV/0!</v>
      </c>
      <c r="H29" s="38" t="e">
        <f t="shared" si="0"/>
        <v>#DIV/0!</v>
      </c>
      <c r="I29" s="39" t="e">
        <f t="shared" si="0"/>
        <v>#DIV/0!</v>
      </c>
      <c r="J29" s="37" t="e">
        <f t="shared" si="0"/>
        <v>#DIV/0!</v>
      </c>
      <c r="K29" s="38" t="e">
        <f t="shared" si="0"/>
        <v>#DIV/0!</v>
      </c>
      <c r="L29" s="40" t="e">
        <f t="shared" si="0"/>
        <v>#DIV/0!</v>
      </c>
      <c r="M29" s="6"/>
    </row>
    <row r="30" spans="1:21" ht="15" customHeight="1">
      <c r="A30" s="6"/>
      <c r="B30" s="377"/>
      <c r="C30" s="41" t="s">
        <v>12</v>
      </c>
      <c r="D30" s="42" t="e">
        <f>IF(D29="Error!","Error!",IF(D33&gt;=(LoanPrincipal),"",CEILING((LoanPrincipal)-D33+CustCont,1)))</f>
        <v>#DIV/0!</v>
      </c>
      <c r="E30" s="43" t="e">
        <f>IF(E29="Error!","Error!",IF(E33&gt;=(LoanPrincipal),"",CEILING((LoanPrincipal)-E33+CustCont,1)))</f>
        <v>#DIV/0!</v>
      </c>
      <c r="F30" s="44" t="e">
        <f>IF(F29="Error!","Error!",IF(F33&gt;=(LoanPrincipal),"",CEILING((LoanPrincipal)-F33+CustCont,1)))</f>
        <v>#DIV/0!</v>
      </c>
      <c r="G30" s="42" t="e">
        <f t="shared" ref="G30:L30" si="1">IF(G29="Error!","Error!",IF(G35&gt;=1,"",CEILING((LoanPrincipal)-G33+CustCont,1)))</f>
        <v>#DIV/0!</v>
      </c>
      <c r="H30" s="43" t="e">
        <f t="shared" si="1"/>
        <v>#DIV/0!</v>
      </c>
      <c r="I30" s="44" t="e">
        <f t="shared" si="1"/>
        <v>#DIV/0!</v>
      </c>
      <c r="J30" s="42" t="e">
        <f t="shared" si="1"/>
        <v>#DIV/0!</v>
      </c>
      <c r="K30" s="43" t="e">
        <f t="shared" si="1"/>
        <v>#DIV/0!</v>
      </c>
      <c r="L30" s="45" t="e">
        <f t="shared" si="1"/>
        <v>#DIV/0!</v>
      </c>
      <c r="M30" s="6"/>
    </row>
    <row r="31" spans="1:21" ht="15" customHeight="1">
      <c r="A31" s="6"/>
      <c r="B31" s="377"/>
      <c r="C31" s="46" t="s">
        <v>13</v>
      </c>
      <c r="D31" s="47"/>
      <c r="E31" s="48"/>
      <c r="F31" s="49"/>
      <c r="G31" s="47"/>
      <c r="H31" s="48"/>
      <c r="I31" s="49"/>
      <c r="J31" s="47"/>
      <c r="K31" s="48"/>
      <c r="L31" s="50"/>
      <c r="M31" s="6"/>
    </row>
    <row r="32" spans="1:21" ht="15" customHeight="1">
      <c r="A32" s="6"/>
      <c r="B32" s="377"/>
      <c r="C32" s="51" t="s">
        <v>14</v>
      </c>
      <c r="D32" s="42" t="e">
        <f>IF(D29="Error!","Error!",IF(SavingsAnnual&gt;=D34,"",CEILING(D34,1)))</f>
        <v>#DIV/0!</v>
      </c>
      <c r="E32" s="43" t="e">
        <f>IF(E29="Error!","Error!",IF(SavingsAnnual&gt;=E34,"",CEILING(E34,1)))</f>
        <v>#DIV/0!</v>
      </c>
      <c r="F32" s="44" t="e">
        <f>IF(F29="Error!","Error!",IF(SavingsAnnual&gt;=F34,"",CEILING(F34,1)))</f>
        <v>#DIV/0!</v>
      </c>
      <c r="G32" s="42" t="e">
        <f t="shared" ref="G32:L32" si="2">IF(G29="Error!","Error!",IF(G35&gt;=1,"",CEILING(G34,1)))</f>
        <v>#DIV/0!</v>
      </c>
      <c r="H32" s="43" t="e">
        <f t="shared" si="2"/>
        <v>#DIV/0!</v>
      </c>
      <c r="I32" s="44" t="e">
        <f t="shared" si="2"/>
        <v>#DIV/0!</v>
      </c>
      <c r="J32" s="42" t="e">
        <f t="shared" si="2"/>
        <v>#DIV/0!</v>
      </c>
      <c r="K32" s="44" t="e">
        <f t="shared" si="2"/>
        <v>#DIV/0!</v>
      </c>
      <c r="L32" s="45" t="e">
        <f t="shared" si="2"/>
        <v>#DIV/0!</v>
      </c>
      <c r="M32" s="6"/>
      <c r="N32" s="6"/>
    </row>
    <row r="33" spans="1:14" ht="15" customHeight="1">
      <c r="A33" s="6"/>
      <c r="B33" s="377"/>
      <c r="C33" s="52" t="s">
        <v>15</v>
      </c>
      <c r="D33" s="47" t="e">
        <f>IF(OR((LoanPrincipal)&lt;=0,WeightedAvgMLife&lt;=0),"N/A",PV(VLOOKUP(D17,'RHNY Calculator'!C177:E184,3,FALSE)/12,5*12,-(FV(0.008,WeightedAvgMLife,-SavingsAnnual)/(5*12))))</f>
        <v>#DIV/0!</v>
      </c>
      <c r="E33" s="48" t="e">
        <f>IF(OR((LoanPrincipal)&lt;=0,WeightedAvgMLife&lt;=0),"N/A",PV(VLOOKUP(D17,'RHNY Calculator'!C177:E184,3,FALSE)/12,10*12,-(FV(0.008,WeightedAvgMLife,-SavingsAnnual)/(10*12))))</f>
        <v>#DIV/0!</v>
      </c>
      <c r="F33" s="49" t="e">
        <f>IF(OR((LoanPrincipal)&lt;=0,WeightedAvgMLife&lt;=0),"N/A",PV(VLOOKUP(D17,'RHNY Calculator'!C177:E184,3,FALSE)/12,15*12,-(FV(0.008,WeightedAvgMLife,-SavingsAnnual)/(15*12))))</f>
        <v>#DIV/0!</v>
      </c>
      <c r="G33" s="47" t="e">
        <f>IF(OR((LoanPrincipal)&lt;=0,WeightedAvgMLife&lt;=0),"N/A",PV(VLOOKUP(D17,'RHNY Calculator'!C177:E184,3,FALSE)/12,5*12,-(FV(0.008,WeightedAvgMLife,-SavingsAnnual)/(5*12))))</f>
        <v>#DIV/0!</v>
      </c>
      <c r="H33" s="48" t="e">
        <f>IF(OR((LoanPrincipal)&lt;=0,WeightedAvgMLife&lt;=0),"N/A",PV(VLOOKUP(D17,'RHNY Calculator'!C177:E184,3,FALSE)/12,10*12,-(FV(0.008,WeightedAvgMLife,-SavingsAnnual)/(10*12))))</f>
        <v>#DIV/0!</v>
      </c>
      <c r="I33" s="49" t="e">
        <f>IF(OR((LoanPrincipal)&lt;=0,WeightedAvgMLife&lt;=0),"N/A",PV(VLOOKUP(D17,'RHNY Calculator'!C177:E184,3,FALSE)/12,15*12,-(FV(0.008,WeightedAvgMLife,-SavingsAnnual)/(15*12))))</f>
        <v>#DIV/0!</v>
      </c>
      <c r="J33" s="47" t="e">
        <f>IF(OR((LoanPrincipal)&lt;=0,WeightedAvgMLife&lt;=0),"N/A",PV(VLOOKUP(D17,'RHNY Calculator'!C177:E184,2,FALSE)/12,5*12,-(FV(0.008,WeightedAvgMLife,-SavingsAnnual)/(5*12))))</f>
        <v>#DIV/0!</v>
      </c>
      <c r="K33" s="49" t="e">
        <f>IF(OR((LoanPrincipal)&lt;=0,WeightedAvgMLife&lt;=0),"N/A",PV(VLOOKUP(D17,'RHNY Calculator'!C177:E184,2,FALSE)/12,10*12,-(FV(0.008,WeightedAvgMLife,-SavingsAnnual)/(10*12))))</f>
        <v>#DIV/0!</v>
      </c>
      <c r="L33" s="50" t="e">
        <f>IF(OR((LoanPrincipal)&lt;=0,WeightedAvgMLife&lt;=0),"N/A",PV(VLOOKUP(D17,'RHNY Calculator'!C177:E184,2,FALSE)/12,15*12,-(FV(0.008,WeightedAvgMLife,-SavingsAnnual)/(15*12))))</f>
        <v>#DIV/0!</v>
      </c>
      <c r="M33" s="6"/>
      <c r="N33" s="6"/>
    </row>
    <row r="34" spans="1:14" ht="15" customHeight="1">
      <c r="A34" s="6"/>
      <c r="B34" s="377"/>
      <c r="C34" s="53" t="s">
        <v>16</v>
      </c>
      <c r="D34" s="47" t="e">
        <f>IF(OR((LoanPrincipal)&lt;=0,WeightedAvgMLife&lt;=0),"N/A",PMT(0.008,WeightedAvgMLife,,-PMT(VLOOKUP(D17,'RHNY Calculator'!C177:E184,3,FALSE)/12,5*12,-(LoanPrincipal))*5*12))</f>
        <v>#VALUE!</v>
      </c>
      <c r="E34" s="48" t="e">
        <f>IF(OR((LoanPrincipal)&lt;=0,WeightedAvgMLife&lt;=0),"N/A",PMT(0.008,WeightedAvgMLife,,-PMT(VLOOKUP(D17,'RHNY Calculator'!C177:E184,3,FALSE)/12,10*12,-(LoanPrincipal))*10*12))</f>
        <v>#VALUE!</v>
      </c>
      <c r="F34" s="49" t="e">
        <f>IF(OR((LoanPrincipal)&lt;=0,WeightedAvgMLife&lt;=0),"N/A",PMT(0.008,WeightedAvgMLife,,-PMT(VLOOKUP(D17,'RHNY Calculator'!C177:E184,3,FALSE)/12,15*12,-(LoanPrincipal))*15*12))</f>
        <v>#VALUE!</v>
      </c>
      <c r="G34" s="47" t="e">
        <f>IF(OR((LoanPrincipal)&lt;=0,WeightedAvgMLife&lt;=0),"N/A",PMT(0.008,WeightedAvgMLife,,-PMT(VLOOKUP(D17,'RHNY Calculator'!C177:E184,3,FALSE)/12,5*12,-(LoanPrincipal))*5*12))</f>
        <v>#VALUE!</v>
      </c>
      <c r="H34" s="48" t="e">
        <f>IF(OR((LoanPrincipal)&lt;=0,WeightedAvgMLife&lt;=0),"N/A",PMT(0.008,WeightedAvgMLife,,-PMT(VLOOKUP(D17,'RHNY Calculator'!C177:E184,3,FALSE)/12,10*12,-(LoanPrincipal))*10*12))</f>
        <v>#VALUE!</v>
      </c>
      <c r="I34" s="49" t="e">
        <f>IF(OR((LoanPrincipal)&lt;=0,WeightedAvgMLife&lt;=0),"N/A",PMT(0.008,WeightedAvgMLife,,-PMT(VLOOKUP(D17,'RHNY Calculator'!C177:E184,3,FALSE)/12,15*12,-(LoanPrincipal))*15*12))</f>
        <v>#VALUE!</v>
      </c>
      <c r="J34" s="47" t="e">
        <f>IF(OR((LoanPrincipal)&lt;=0,WeightedAvgMLife&lt;=0),"N/A",PMT(0.008,WeightedAvgMLife,,-PMT(VLOOKUP(D17,'RHNY Calculator'!C177:E184,2,FALSE)/12,5*12,-(LoanPrincipal))*5*12))</f>
        <v>#VALUE!</v>
      </c>
      <c r="K34" s="49" t="e">
        <f>IF(OR((LoanPrincipal)&lt;=0,WeightedAvgMLife&lt;=0),"N/A",PMT(0.008,WeightedAvgMLife,,-PMT(VLOOKUP(D17,'RHNY Calculator'!C177:E184,2,FALSE)/12,10*12,-(LoanPrincipal))*10*12))</f>
        <v>#VALUE!</v>
      </c>
      <c r="L34" s="50" t="e">
        <f>IF(OR((LoanPrincipal)&lt;=0,WeightedAvgMLife&lt;=0),"N/A",PMT(0.008,WeightedAvgMLife,,-PMT(VLOOKUP(D17,'RHNY Calculator'!C177:E184,2,FALSE)/12,15*12,-(LoanPrincipal))*15*12))</f>
        <v>#VALUE!</v>
      </c>
      <c r="M34" s="14"/>
      <c r="N34" s="6"/>
    </row>
    <row r="35" spans="1:14" ht="15" customHeight="1">
      <c r="A35" s="6"/>
      <c r="B35" s="377"/>
      <c r="C35" s="53" t="s">
        <v>11</v>
      </c>
      <c r="D35" s="34" t="e">
        <f>IF(LC_PSavings&gt;0,ROUND((LC_PSavings)/(PMT(VLOOKUP(D17,'RHNY Calculator'!C177:E184,3,FALSE)/12,5*12,-(LoanPrincipal))*5*12),2),ROUND((FV(0.008,WeightedAvgMLife,-SavingsAnnual)/(PMT(VLOOKUP(D17,'RHNY Calculator'!C177:E184,3,FALSE)/12,5*12,-(LoanPrincipal))*5*12)),2))</f>
        <v>#DIV/0!</v>
      </c>
      <c r="E35" s="35" t="e">
        <f>IF(LC_PSavings&gt;0,ROUND((LC_PSavings)/(PMT(VLOOKUP(D17,'RHNY Calculator'!C177:E184,3,FALSE)/12,10*12,-(LoanPrincipal))*10*12),2),ROUND((FV(0.008,WeightedAvgMLife,-SavingsAnnual)/(PMT(VLOOKUP(D17,'RHNY Calculator'!C177:E184,3,FALSE)/12,10*12,-(LoanPrincipal))*10*12)),2))</f>
        <v>#DIV/0!</v>
      </c>
      <c r="F35" s="36" t="e">
        <f>IF(LC_PSavings&gt;0,ROUND((LC_PSavings)/(PMT(VLOOKUP(D17,'RHNY Calculator'!C177:E184,3,FALSE)/12,15*12,-(LoanPrincipal))*15*12),2),ROUND((FV(0.008,WeightedAvgMLife,-SavingsAnnual)/(PMT(VLOOKUP(D17,'RHNY Calculator'!C177:E184,3,FALSE)/12,15*12,-(LoanPrincipal))*15*12)),2))</f>
        <v>#DIV/0!</v>
      </c>
      <c r="G35" s="34" t="e">
        <f>IF(LC_PSavings&gt;0,ROUND((LC_PSavings)/(PMT(VLOOKUP(D17,'RHNY Calculator'!C177:E184,3,FALSE)/12,5*12,-(LoanPrincipal))*5*12),2),ROUND((FV(0.008,WeightedAvgMLife,-SavingsAnnual)/(PMT(VLOOKUP(D17,'RHNY Calculator'!C177:E184,3,FALSE)/12,5*12,-(LoanPrincipal))*5*12)),2))</f>
        <v>#DIV/0!</v>
      </c>
      <c r="H35" s="35" t="e">
        <f>IF(LC_PSavings&gt;0,ROUND((LC_PSavings)/(PMT(VLOOKUP(D17,'RHNY Calculator'!C177:E184,3,FALSE)/12,10*12,-(LoanPrincipal))*10*12),2),ROUND((FV(0.008,WeightedAvgMLife,-SavingsAnnual)/(PMT(VLOOKUP(D17,'RHNY Calculator'!C177:E184,3,FALSE)/12,10*12,-(LoanPrincipal))*10*12)),2))</f>
        <v>#DIV/0!</v>
      </c>
      <c r="I35" s="36" t="e">
        <f>IF(LC_PSavings&gt;0,ROUND((LC_PSavings)/(PMT(VLOOKUP(D17,'RHNY Calculator'!C177:E184,3,FALSE)/12,15*12,-(LoanPrincipal))*15*12),2),ROUND((FV(0.008,WeightedAvgMLife,-SavingsAnnual)/(PMT(VLOOKUP(D17,'RHNY Calculator'!C177:E184,3,FALSE)/12,15*12,-(LoanPrincipal))*15*12)),2))</f>
        <v>#DIV/0!</v>
      </c>
      <c r="J35" s="34" t="e">
        <f>IF(LC_PSavings&gt;0,ROUND((LC_PSavings)/(PMT(VLOOKUP(D17,'RHNY Calculator'!C177:E184,2,FALSE)/12,5*12,-(LoanPrincipal))*5*12),2),ROUND((FV(0.008,WeightedAvgMLife,-SavingsAnnual)/(PMT(VLOOKUP(D17,'RHNY Calculator'!C177:E184,2,FALSE)/12,5*12,-(LoanPrincipal))*5*12)),2))</f>
        <v>#DIV/0!</v>
      </c>
      <c r="K35" s="36" t="e">
        <f>IF(LC_PSavings&gt;0,ROUND((LC_PSavings)/(PMT(VLOOKUP(D17,'RHNY Calculator'!C177:E184,2,FALSE)/12,10*12,-(LoanPrincipal))*10*12),2),ROUND((FV(0.008,WeightedAvgMLife,-SavingsAnnual)/(PMT(VLOOKUP(D17,'RHNY Calculator'!C177:E184,2,FALSE)/12,10*12,-(LoanPrincipal))*10*12)),2))</f>
        <v>#DIV/0!</v>
      </c>
      <c r="L35" s="54" t="e">
        <f>IF(LC_PSavings&gt;0,ROUND((LC_PSavings)/(PMT(VLOOKUP(D17,'RHNY Calculator'!C177:E184,2,FALSE)/12,15*12,-(LoanPrincipal))*15*12),2),ROUND((FV(0.008,WeightedAvgMLife,-SavingsAnnual)/(PMT(VLOOKUP(D17,'RHNY Calculator'!C177:E184,2,FALSE)/12,15*12,-(LoanPrincipal))*15*12)),2))</f>
        <v>#DIV/0!</v>
      </c>
      <c r="M35" s="14"/>
      <c r="N35" s="6"/>
    </row>
    <row r="36" spans="1:14" ht="15" customHeight="1" thickBot="1">
      <c r="A36" s="6"/>
      <c r="B36" s="377"/>
      <c r="C36" s="55"/>
      <c r="D36" s="56"/>
      <c r="E36" s="57"/>
      <c r="F36" s="58"/>
      <c r="G36" s="56"/>
      <c r="H36" s="57"/>
      <c r="I36" s="58"/>
      <c r="J36" s="56"/>
      <c r="K36" s="57"/>
      <c r="L36" s="59"/>
      <c r="M36" s="14"/>
      <c r="N36" s="6"/>
    </row>
    <row r="37" spans="1:14" ht="15" customHeight="1">
      <c r="B37" s="377"/>
      <c r="C37" s="60" t="s">
        <v>172</v>
      </c>
      <c r="D37" s="61" t="str">
        <f>IF(D45="Error!","Error!",IF(AND(D45&gt;=0,WeightedAvgMLife&gt;=5),"YES","NO"))</f>
        <v>Error!</v>
      </c>
      <c r="E37" s="62" t="str">
        <f>IF(E45="Error!","Error!",IF(AND(E45&gt;=0,WeightedAvgMLife&gt;=10),"YES","NO"))</f>
        <v>Error!</v>
      </c>
      <c r="F37" s="63" t="str">
        <f>IF(F45="Error!","Error!",IF(AND(F45&gt;=0,WeightedAvgMLife&gt;=15),"YES","NO"))</f>
        <v>Error!</v>
      </c>
      <c r="G37" s="61" t="str">
        <f>IF(WeightedAvgMLife&lt;5,"NO",IF(G40="N/A","YES",IF(G45="Error!","Error!",IF(AND(G45&lt;=15,WeightedAvgMLife&gt;=5),"YES","NO"))))</f>
        <v>Error!</v>
      </c>
      <c r="H37" s="62" t="str">
        <f>IF(WeightedAvgMLife&lt;10,"NO",IF(H40="N/A","YES",IF(H45="Error!","Error!",IF(AND(H45&lt;=15,WeightedAvgMLife&gt;=10),"YES","NO"))))</f>
        <v>Error!</v>
      </c>
      <c r="I37" s="63" t="str">
        <f>IF(WeightedAvgMLife&lt;15,"NO",IF(I40="N/A","YES",IF(I45="Error!","Error!",IF(AND(I45&lt;=15,WeightedAvgMLife&gt;=15),"YES","NO"))))</f>
        <v>Error!</v>
      </c>
      <c r="J37" s="61" t="str">
        <f>IF(WeightedAvgMLife&lt;5,"NO",IF(J40="N/A","YES",IF(J45="Error!","Error!",IF(AND(J45&lt;=15,WeightedAvgMLife&gt;=5),"YES","NO"))))</f>
        <v>Error!</v>
      </c>
      <c r="K37" s="62" t="str">
        <f>IF(WeightedAvgMLife&lt;10,"NO",IF(K40="N/A","YES",IF(K45="Error!","Error!",IF(AND(K45&lt;=15,WeightedAvgMLife&gt;=10),"YES","NO"))))</f>
        <v>Error!</v>
      </c>
      <c r="L37" s="64" t="str">
        <f>IF(WeightedAvgMLife&lt;15,"NO",IF(L40="N/A","YES",IF(L45="Error!","Error!",IF(AND(L45&lt;=15,WeightedAvgMLife&gt;=15),"YES","NO"))))</f>
        <v>Error!</v>
      </c>
      <c r="M37" s="65"/>
    </row>
    <row r="38" spans="1:14" ht="28.5" customHeight="1">
      <c r="B38" s="377"/>
      <c r="C38" s="66" t="s">
        <v>173</v>
      </c>
      <c r="D38" s="61"/>
      <c r="E38" s="62"/>
      <c r="F38" s="63"/>
      <c r="G38" s="61"/>
      <c r="H38" s="62"/>
      <c r="I38" s="67"/>
      <c r="J38" s="61"/>
      <c r="K38" s="62"/>
      <c r="L38" s="67"/>
      <c r="M38" s="65"/>
    </row>
    <row r="39" spans="1:14" ht="43.5" customHeight="1">
      <c r="B39" s="377"/>
      <c r="C39" s="66" t="s">
        <v>174</v>
      </c>
      <c r="D39" s="61"/>
      <c r="E39" s="62"/>
      <c r="F39" s="63"/>
      <c r="G39" s="61"/>
      <c r="H39" s="62"/>
      <c r="I39" s="67"/>
      <c r="J39" s="61"/>
      <c r="K39" s="62"/>
      <c r="L39" s="64"/>
      <c r="M39" s="65"/>
    </row>
    <row r="40" spans="1:14" s="68" customFormat="1" ht="15" customHeight="1">
      <c r="B40" s="377"/>
      <c r="C40" s="69" t="s">
        <v>12</v>
      </c>
      <c r="D40" s="70" t="str">
        <f>IF(D45="Error!","Error!",IF(D43&gt;=(LoanPrincipal),"",CEILING((LoanPrincipal)-D43+CustCont,1)))</f>
        <v>Error!</v>
      </c>
      <c r="E40" s="72" t="str">
        <f>IF(E45="Error!","Error!",IF(E43&gt;=(LoanPrincipal),"",CEILING((LoanPrincipal)-E43+CustCont,1)))</f>
        <v>Error!</v>
      </c>
      <c r="F40" s="71" t="str">
        <f>IF(F45="Error!","Error!",IF(F43&gt;=(LoanPrincipal),"",CEILING((LoanPrincipal)-F43+CustCont,1)))</f>
        <v>Error!</v>
      </c>
      <c r="G40" s="70" t="str">
        <f t="shared" ref="G40:L40" si="3">IF(G45="Error!","Error!",IF((LoanPrincipal)&lt;=13000,"N/A",IF(G45&lt;=15,"",IF(LoanPrincipal-CEILING((LoanPrincipal)-G43+CustCont,1)&lt;13000,LoanPrincipal-13000+CustCont,CEILING((LoanPrincipal)-G43+CustCont,1)))))</f>
        <v>Error!</v>
      </c>
      <c r="H40" s="72" t="str">
        <f t="shared" si="3"/>
        <v>Error!</v>
      </c>
      <c r="I40" s="71" t="str">
        <f t="shared" si="3"/>
        <v>Error!</v>
      </c>
      <c r="J40" s="70" t="str">
        <f t="shared" si="3"/>
        <v>Error!</v>
      </c>
      <c r="K40" s="72" t="str">
        <f t="shared" si="3"/>
        <v>Error!</v>
      </c>
      <c r="L40" s="73" t="str">
        <f t="shared" si="3"/>
        <v>Error!</v>
      </c>
    </row>
    <row r="41" spans="1:14" ht="15" customHeight="1">
      <c r="B41" s="377"/>
      <c r="C41" s="74" t="s">
        <v>13</v>
      </c>
      <c r="D41" s="75"/>
      <c r="E41" s="77"/>
      <c r="F41" s="76"/>
      <c r="G41" s="75"/>
      <c r="H41" s="77"/>
      <c r="I41" s="76"/>
      <c r="J41" s="75"/>
      <c r="K41" s="77"/>
      <c r="L41" s="78"/>
      <c r="M41" s="65"/>
    </row>
    <row r="42" spans="1:14" s="68" customFormat="1" ht="15" customHeight="1" thickBot="1">
      <c r="B42" s="378"/>
      <c r="C42" s="79" t="s">
        <v>14</v>
      </c>
      <c r="D42" s="80" t="str">
        <f>IF(D45="Error!","Error!",IF(D44&lt;=SavingsAnnual,"",CEILING(D44,1)))</f>
        <v>Error!</v>
      </c>
      <c r="E42" s="82" t="str">
        <f>IF(E45="Error!","Error!",IF(E44&lt;=SavingsAnnual,"",CEILING(E44,1)))</f>
        <v>Error!</v>
      </c>
      <c r="F42" s="81" t="str">
        <f>IF(F45="Error!","Error!",IF(F44&lt;=SavingsAnnual,"",CEILING(F44,1)))</f>
        <v>Error!</v>
      </c>
      <c r="G42" s="80" t="str">
        <f t="shared" ref="G42:L42" si="4">IF(G45="Error!","Error!",IF((LoanPrincipal)&lt;=13000,"N/A",IF(G45&lt;=15,"",CEILING(G44,1))))</f>
        <v>Error!</v>
      </c>
      <c r="H42" s="82" t="str">
        <f t="shared" si="4"/>
        <v>Error!</v>
      </c>
      <c r="I42" s="81" t="str">
        <f t="shared" si="4"/>
        <v>Error!</v>
      </c>
      <c r="J42" s="80" t="str">
        <f t="shared" si="4"/>
        <v>Error!</v>
      </c>
      <c r="K42" s="82" t="str">
        <f t="shared" si="4"/>
        <v>Error!</v>
      </c>
      <c r="L42" s="83" t="str">
        <f t="shared" si="4"/>
        <v>Error!</v>
      </c>
    </row>
    <row r="43" spans="1:14" s="68" customFormat="1" ht="15" customHeight="1">
      <c r="B43" s="84"/>
      <c r="C43" s="85" t="s">
        <v>17</v>
      </c>
      <c r="D43" s="86" t="e">
        <f>PV(VLOOKUP(D17,'RHNY Calculator'!C177:E184,3,FALSE)/12,5*12,-(FV(0.008,5,-(SavingsAnnual))/(5*12)))</f>
        <v>#DIV/0!</v>
      </c>
      <c r="E43" s="86" t="e">
        <f>PV(VLOOKUP(D17,'RHNY Calculator'!C177:E184,3,FALSE)/12,10*12,-(FV(0.008,10,-(SavingsAnnual))/(10*12)))</f>
        <v>#DIV/0!</v>
      </c>
      <c r="F43" s="86" t="e">
        <f>PV(VLOOKUP(D17,'RHNY Calculator'!C177:E184,3,FALSE)/12,15*12,-(FV(0.008,15,-(SavingsAnnual))/(15*12)))</f>
        <v>#DIV/0!</v>
      </c>
      <c r="G43" s="86" t="str">
        <f t="shared" ref="G43:L43" si="5">IF(G45="Error!","Error!",(SavingsAnnual*15))</f>
        <v>Error!</v>
      </c>
      <c r="H43" s="86" t="str">
        <f t="shared" si="5"/>
        <v>Error!</v>
      </c>
      <c r="I43" s="86" t="str">
        <f t="shared" si="5"/>
        <v>Error!</v>
      </c>
      <c r="J43" s="86" t="str">
        <f t="shared" si="5"/>
        <v>Error!</v>
      </c>
      <c r="K43" s="86" t="str">
        <f t="shared" si="5"/>
        <v>Error!</v>
      </c>
      <c r="L43" s="86" t="str">
        <f t="shared" si="5"/>
        <v>Error!</v>
      </c>
    </row>
    <row r="44" spans="1:14" s="68" customFormat="1" ht="15" customHeight="1">
      <c r="B44" s="84"/>
      <c r="C44" s="87" t="s">
        <v>18</v>
      </c>
      <c r="D44" s="47" t="e">
        <f>PMT(0.008,5,,-PMT(VLOOKUP(D17,'RHNY Calculator'!C177:E184,3,FALSE)/12,5*12,-(LoanPrincipal))*5*12)</f>
        <v>#VALUE!</v>
      </c>
      <c r="E44" s="47" t="e">
        <f>PMT(0.008,10,,-PMT(VLOOKUP(D17,'RHNY Calculator'!C177:E184,3,FALSE)/12,10*12,-(LoanPrincipal))*10*12)</f>
        <v>#VALUE!</v>
      </c>
      <c r="F44" s="47" t="e">
        <f>PMT(0.008,15,,-PMT(VLOOKUP(D17,'RHNY Calculator'!C177:E184,3,FALSE)/12,15*12,-(LoanPrincipal))*15*12)</f>
        <v>#VALUE!</v>
      </c>
      <c r="G44" s="86" t="str">
        <f t="shared" ref="G44:L44" si="6">IF(G45="Error!","Error!",(LoanPrincipal)/15)</f>
        <v>Error!</v>
      </c>
      <c r="H44" s="86" t="str">
        <f t="shared" si="6"/>
        <v>Error!</v>
      </c>
      <c r="I44" s="86" t="str">
        <f t="shared" si="6"/>
        <v>Error!</v>
      </c>
      <c r="J44" s="86" t="str">
        <f t="shared" si="6"/>
        <v>Error!</v>
      </c>
      <c r="K44" s="86" t="str">
        <f t="shared" si="6"/>
        <v>Error!</v>
      </c>
      <c r="L44" s="86" t="str">
        <f t="shared" si="6"/>
        <v>Error!</v>
      </c>
    </row>
    <row r="45" spans="1:14" s="68" customFormat="1" ht="15" customHeight="1" thickBot="1">
      <c r="B45" s="88"/>
      <c r="C45" s="89" t="s">
        <v>19</v>
      </c>
      <c r="D45" s="90" t="str">
        <f>IFERROR((FV(0.008,5,-SavingsAnnual)/(5*12))-PMT(VLOOKUP(D17,'RHNY Calculator'!C177:E184,3,FALSE)/12,5*12,-(LoanPrincipal)),"Error!")</f>
        <v>Error!</v>
      </c>
      <c r="E45" s="90" t="str">
        <f>IFERROR((FV(0.008,10,-SavingsAnnual)/(10*12))-PMT(VLOOKUP(D17,'RHNY Calculator'!C177:E184,3,FALSE)/12,10*12,-(LoanPrincipal)),"Error!")</f>
        <v>Error!</v>
      </c>
      <c r="F45" s="90" t="str">
        <f>IFERROR((FV(0.008,15,-SavingsAnnual)/(15*12))-PMT(VLOOKUP(D17,'RHNY Calculator'!C177:E184,3,FALSE)/12,15*12,-(LoanPrincipal)),"Error!")</f>
        <v>Error!</v>
      </c>
      <c r="G45" s="91" t="str">
        <f t="shared" ref="G45:L45" si="7">IFERROR((LoanPrincipal)/SavingsAnnual,"Error!")</f>
        <v>Error!</v>
      </c>
      <c r="H45" s="91" t="str">
        <f t="shared" si="7"/>
        <v>Error!</v>
      </c>
      <c r="I45" s="91" t="str">
        <f t="shared" si="7"/>
        <v>Error!</v>
      </c>
      <c r="J45" s="91" t="str">
        <f t="shared" si="7"/>
        <v>Error!</v>
      </c>
      <c r="K45" s="91" t="str">
        <f t="shared" si="7"/>
        <v>Error!</v>
      </c>
      <c r="L45" s="91" t="str">
        <f t="shared" si="7"/>
        <v>Error!</v>
      </c>
    </row>
    <row r="46" spans="1:14" s="68" customFormat="1" ht="15" customHeight="1">
      <c r="B46" s="92"/>
      <c r="C46" s="85" t="s">
        <v>20</v>
      </c>
      <c r="D46" s="86" t="str">
        <f>IF(D48="Error!","Error!",(SavingsAnnual*5))</f>
        <v>Error!</v>
      </c>
      <c r="E46" s="86" t="str">
        <f>IF(E48="Error!","Error!",(SavingsAnnual*10))</f>
        <v>Error!</v>
      </c>
      <c r="F46" s="86" t="str">
        <f>IF(F48="Error!","Error!",(SavingsAnnual*15))</f>
        <v>Error!</v>
      </c>
    </row>
    <row r="47" spans="1:14" s="68" customFormat="1" ht="15" customHeight="1">
      <c r="B47" s="92"/>
      <c r="C47" s="87" t="s">
        <v>21</v>
      </c>
      <c r="D47" s="86" t="str">
        <f>IF(D48="Error!","Error!",(LoanPrincipal)/5)</f>
        <v>Error!</v>
      </c>
      <c r="E47" s="86" t="str">
        <f>IF(E48="Error!","Error!",(LoanPrincipal)/10)</f>
        <v>Error!</v>
      </c>
      <c r="F47" s="86" t="str">
        <f>IF(F48="Error!","Error!",(LoanPrincipal)/15)</f>
        <v>Error!</v>
      </c>
    </row>
    <row r="48" spans="1:14" ht="15" customHeight="1" thickBot="1">
      <c r="B48" s="93"/>
      <c r="C48" s="87" t="s">
        <v>22</v>
      </c>
      <c r="D48" s="155" t="str">
        <f>IFERROR((LoanPrincipal)/SavingsAnnual,"Error!")</f>
        <v>Error!</v>
      </c>
      <c r="E48" s="155" t="str">
        <f>IFERROR((LoanPrincipal)/SavingsAnnual,"Error!")</f>
        <v>Error!</v>
      </c>
      <c r="F48" s="155" t="str">
        <f>IFERROR((LoanPrincipal)/SavingsAnnual,"Error!")</f>
        <v>Error!</v>
      </c>
    </row>
    <row r="49" spans="2:19" s="129" customFormat="1" ht="15" customHeight="1" thickBot="1">
      <c r="B49" s="93"/>
      <c r="C49" s="160" t="s">
        <v>180</v>
      </c>
      <c r="D49" s="159" t="e">
        <f>MAX(D30,D40)</f>
        <v>#DIV/0!</v>
      </c>
      <c r="E49" s="156" t="e">
        <f t="shared" ref="E49:L49" si="8">MAX(E30,E40)</f>
        <v>#DIV/0!</v>
      </c>
      <c r="F49" s="156" t="e">
        <f t="shared" si="8"/>
        <v>#DIV/0!</v>
      </c>
      <c r="G49" s="156" t="e">
        <f t="shared" si="8"/>
        <v>#DIV/0!</v>
      </c>
      <c r="H49" s="156" t="e">
        <f t="shared" si="8"/>
        <v>#DIV/0!</v>
      </c>
      <c r="I49" s="156" t="e">
        <f t="shared" si="8"/>
        <v>#DIV/0!</v>
      </c>
      <c r="J49" s="156" t="e">
        <f t="shared" si="8"/>
        <v>#DIV/0!</v>
      </c>
      <c r="K49" s="156" t="e">
        <f t="shared" si="8"/>
        <v>#DIV/0!</v>
      </c>
      <c r="L49" s="157" t="e">
        <f t="shared" si="8"/>
        <v>#DIV/0!</v>
      </c>
    </row>
    <row r="50" spans="2:19" s="129" customFormat="1" ht="15" customHeight="1" thickBot="1">
      <c r="B50" s="93"/>
      <c r="C50" s="161" t="s">
        <v>181</v>
      </c>
      <c r="D50" s="158" t="e">
        <f>IF(LoanPrincipal&gt;25000,MAX(MIN(D49:L49),(LoanPrincipal-25000+CustCont)),MIN(D49:L49))</f>
        <v>#DIV/0!</v>
      </c>
      <c r="E50" s="149"/>
      <c r="F50" s="149"/>
      <c r="G50" s="149"/>
      <c r="H50" s="149"/>
      <c r="I50" s="149"/>
      <c r="J50" s="149"/>
      <c r="K50" s="149"/>
      <c r="L50" s="149"/>
    </row>
    <row r="51" spans="2:19" s="129" customFormat="1" ht="15" customHeight="1">
      <c r="B51" s="93"/>
      <c r="C51" s="94"/>
      <c r="D51" s="149"/>
      <c r="E51" s="149"/>
      <c r="F51" s="149"/>
    </row>
    <row r="52" spans="2:19" ht="15" customHeight="1">
      <c r="B52" s="93"/>
      <c r="C52" s="94"/>
      <c r="D52" s="6"/>
      <c r="E52" s="6"/>
      <c r="F52" s="6"/>
      <c r="G52" s="6"/>
      <c r="H52" s="6"/>
      <c r="I52" s="6"/>
      <c r="J52" s="6"/>
      <c r="K52" s="6"/>
      <c r="L52" s="6"/>
    </row>
    <row r="53" spans="2:19" ht="15" customHeight="1">
      <c r="B53" s="93"/>
      <c r="C53" s="94"/>
      <c r="D53" s="6"/>
      <c r="E53" s="6"/>
      <c r="F53" s="6"/>
      <c r="G53" s="6"/>
      <c r="H53" s="6"/>
      <c r="I53" s="6"/>
      <c r="J53" s="6"/>
      <c r="K53" s="6"/>
      <c r="L53" s="6"/>
    </row>
    <row r="54" spans="2:19" ht="15" customHeight="1">
      <c r="B54" s="6"/>
      <c r="C54" s="95"/>
      <c r="D54" s="95"/>
      <c r="E54" s="95"/>
      <c r="F54" s="95"/>
      <c r="H54" s="95"/>
      <c r="I54" s="95"/>
      <c r="J54" s="95"/>
      <c r="K54" s="95"/>
      <c r="L54" s="95"/>
    </row>
    <row r="55" spans="2:19" s="129" customFormat="1" ht="15" customHeight="1" thickBot="1">
      <c r="B55" s="130"/>
      <c r="C55" s="95"/>
      <c r="D55" s="95"/>
      <c r="E55" s="95"/>
      <c r="F55" s="95"/>
      <c r="H55" s="95"/>
      <c r="I55" s="95"/>
      <c r="J55" s="95"/>
      <c r="K55" s="95"/>
      <c r="L55" s="95"/>
    </row>
    <row r="56" spans="2:19" ht="15" customHeight="1" thickBot="1">
      <c r="B56" s="370" t="s">
        <v>23</v>
      </c>
      <c r="C56" s="371"/>
      <c r="D56" s="371"/>
      <c r="E56" s="371"/>
      <c r="F56" s="371"/>
      <c r="G56" s="371"/>
      <c r="H56" s="371"/>
      <c r="I56" s="371"/>
      <c r="J56" s="371"/>
      <c r="K56" s="371"/>
      <c r="L56" s="372"/>
      <c r="N56" s="4"/>
      <c r="Q56" s="14"/>
      <c r="R56" s="24"/>
    </row>
    <row r="57" spans="2:19" ht="15" customHeight="1" thickBot="1">
      <c r="B57" s="96"/>
      <c r="C57" s="97"/>
      <c r="D57" s="358" t="s">
        <v>306</v>
      </c>
      <c r="E57" s="359"/>
      <c r="F57" s="360"/>
      <c r="G57" s="358" t="s">
        <v>307</v>
      </c>
      <c r="H57" s="359"/>
      <c r="I57" s="360"/>
      <c r="J57" s="359" t="s">
        <v>24</v>
      </c>
      <c r="K57" s="359"/>
      <c r="L57" s="360"/>
      <c r="N57" s="4"/>
      <c r="O57" s="4"/>
      <c r="Q57" s="14"/>
      <c r="R57" s="14"/>
    </row>
    <row r="58" spans="2:19" ht="15" customHeight="1" thickBot="1">
      <c r="B58" s="376" t="s">
        <v>25</v>
      </c>
      <c r="C58" s="98"/>
      <c r="D58" s="6"/>
      <c r="E58" s="8"/>
      <c r="F58" s="7"/>
      <c r="G58" s="8"/>
      <c r="H58" s="8"/>
      <c r="I58" s="7"/>
      <c r="J58" s="8"/>
      <c r="K58" s="8"/>
      <c r="L58" s="7"/>
      <c r="N58" s="4"/>
      <c r="O58" s="4"/>
      <c r="Q58" s="14"/>
      <c r="R58" s="14"/>
    </row>
    <row r="59" spans="2:19" ht="15" customHeight="1" thickBot="1">
      <c r="B59" s="377"/>
      <c r="C59" s="29" t="s">
        <v>26</v>
      </c>
      <c r="D59" s="99"/>
      <c r="E59" s="384" t="str">
        <f>IF(PCost=0,"",IF(FinFee="No",PCost-SUM(INCENTIVE,CustCont),PCost-SUM(INCENTIVE,CustCont)+150))</f>
        <v/>
      </c>
      <c r="F59" s="385"/>
      <c r="G59" s="385"/>
      <c r="H59" s="385"/>
      <c r="I59" s="385"/>
      <c r="J59" s="385"/>
      <c r="K59" s="386"/>
      <c r="L59" s="11"/>
      <c r="N59" s="100"/>
      <c r="O59" s="100"/>
      <c r="Q59" s="14"/>
      <c r="R59" s="14"/>
      <c r="S59" s="100"/>
    </row>
    <row r="60" spans="2:19" ht="15" customHeight="1" thickBot="1">
      <c r="B60" s="377"/>
      <c r="C60" s="29"/>
      <c r="D60" s="6"/>
      <c r="E60" s="6"/>
      <c r="F60" s="9"/>
      <c r="G60" s="6"/>
      <c r="H60" s="6"/>
      <c r="I60" s="9"/>
      <c r="J60" s="6"/>
      <c r="K60" s="6"/>
      <c r="L60" s="9"/>
      <c r="O60" s="3"/>
      <c r="Q60" s="14"/>
      <c r="R60" s="14"/>
    </row>
    <row r="61" spans="2:19" ht="15" customHeight="1" thickBot="1">
      <c r="B61" s="377"/>
      <c r="C61" s="29" t="s">
        <v>27</v>
      </c>
      <c r="D61" s="19"/>
      <c r="E61" s="382">
        <v>15</v>
      </c>
      <c r="F61" s="383"/>
      <c r="G61" s="383"/>
      <c r="H61" s="383"/>
      <c r="I61" s="383"/>
      <c r="J61" s="383"/>
      <c r="K61" s="383"/>
      <c r="L61" s="101"/>
      <c r="N61" s="2"/>
      <c r="O61" s="3"/>
      <c r="Q61" s="14"/>
      <c r="R61" s="14"/>
    </row>
    <row r="62" spans="2:19" ht="15" customHeight="1" thickBot="1">
      <c r="B62" s="377"/>
      <c r="C62" s="29"/>
      <c r="D62" s="6"/>
      <c r="E62" s="19"/>
      <c r="F62" s="32"/>
      <c r="G62" s="19"/>
      <c r="H62" s="19"/>
      <c r="I62" s="10"/>
      <c r="J62" s="19"/>
      <c r="K62" s="19"/>
      <c r="L62" s="10"/>
      <c r="N62" s="2"/>
      <c r="O62" s="3"/>
      <c r="Q62" s="14"/>
      <c r="R62" s="14"/>
    </row>
    <row r="63" spans="2:19" ht="15" customHeight="1" thickBot="1">
      <c r="B63" s="377"/>
      <c r="C63" s="29" t="s">
        <v>28</v>
      </c>
      <c r="D63" s="19"/>
      <c r="E63" s="102">
        <f>VLOOKUP(D17,'RHNY Calculator'!C177:E184,3,FALSE)</f>
        <v>7.9899999999999999E-2</v>
      </c>
      <c r="F63" s="103"/>
      <c r="G63" s="104"/>
      <c r="H63" s="353">
        <f>VLOOKUP(D17,'RHNY Calculator'!C177:E184,2,FALSE)</f>
        <v>8.4900000000000003E-2</v>
      </c>
      <c r="I63" s="105"/>
      <c r="J63" s="106"/>
      <c r="K63" s="107">
        <v>0.1</v>
      </c>
      <c r="L63" s="101"/>
      <c r="N63" s="2"/>
      <c r="O63" s="3"/>
      <c r="Q63" s="108"/>
      <c r="R63" s="14"/>
    </row>
    <row r="64" spans="2:19" ht="15" customHeight="1" thickBot="1">
      <c r="B64" s="378"/>
      <c r="C64" s="109"/>
      <c r="D64" s="21"/>
      <c r="E64" s="110"/>
      <c r="F64" s="18"/>
      <c r="G64" s="17"/>
      <c r="H64" s="6"/>
      <c r="I64" s="18"/>
      <c r="J64" s="17"/>
      <c r="K64" s="17"/>
      <c r="L64" s="18"/>
      <c r="N64" s="3"/>
      <c r="O64" s="3"/>
      <c r="Q64" s="111"/>
      <c r="R64" s="14"/>
    </row>
    <row r="65" spans="1:20" ht="15" customHeight="1">
      <c r="B65" s="376" t="s">
        <v>29</v>
      </c>
      <c r="C65" s="98"/>
      <c r="D65" s="8"/>
      <c r="E65" s="20"/>
      <c r="F65" s="32"/>
      <c r="G65" s="20"/>
      <c r="H65" s="20"/>
      <c r="I65" s="32"/>
      <c r="J65" s="20"/>
      <c r="K65" s="20"/>
      <c r="L65" s="32"/>
      <c r="N65" s="3"/>
      <c r="Q65" s="14"/>
      <c r="R65" s="14"/>
    </row>
    <row r="66" spans="1:20" ht="15" customHeight="1">
      <c r="B66" s="377"/>
      <c r="C66" s="29" t="s">
        <v>30</v>
      </c>
      <c r="D66" s="19"/>
      <c r="E66" s="12" t="e">
        <f>PMT(E63/12,E61*12,-LoanPrincipal)</f>
        <v>#VALUE!</v>
      </c>
      <c r="F66" s="112"/>
      <c r="G66" s="113"/>
      <c r="H66" s="12" t="e">
        <f>PMT(H63/12,$E$61*12,-LoanPrincipal)</f>
        <v>#VALUE!</v>
      </c>
      <c r="I66" s="112"/>
      <c r="J66" s="113"/>
      <c r="K66" s="12" t="e">
        <f>PMT(K63/12,E61*12,-LoanPrincipal)</f>
        <v>#VALUE!</v>
      </c>
      <c r="L66" s="112"/>
      <c r="N66" s="3"/>
      <c r="O66" s="3"/>
      <c r="Q66" s="14"/>
      <c r="R66" s="14"/>
    </row>
    <row r="67" spans="1:20" ht="15" customHeight="1">
      <c r="B67" s="377"/>
      <c r="C67" s="29"/>
      <c r="D67" s="6"/>
      <c r="E67" s="19"/>
      <c r="F67" s="10"/>
      <c r="G67" s="19"/>
      <c r="H67" s="19"/>
      <c r="I67" s="10"/>
      <c r="J67" s="19"/>
      <c r="K67" s="19"/>
      <c r="L67" s="10"/>
      <c r="N67" s="4"/>
      <c r="O67" s="3"/>
      <c r="Q67" s="14"/>
      <c r="R67" s="14"/>
    </row>
    <row r="68" spans="1:20" ht="15" customHeight="1" thickBot="1">
      <c r="B68" s="377"/>
      <c r="C68" s="29" t="s">
        <v>31</v>
      </c>
      <c r="D68" s="19"/>
      <c r="E68" s="114" t="e">
        <f>(E66*(E61*12))</f>
        <v>#VALUE!</v>
      </c>
      <c r="F68" s="115"/>
      <c r="G68" s="12"/>
      <c r="H68" s="114" t="e">
        <f>($H$66*($E$61*12))</f>
        <v>#VALUE!</v>
      </c>
      <c r="I68" s="115"/>
      <c r="J68" s="12"/>
      <c r="K68" s="114" t="e">
        <f>(K66*(E61*12))</f>
        <v>#VALUE!</v>
      </c>
      <c r="L68" s="115"/>
      <c r="N68" s="4"/>
      <c r="Q68" s="14"/>
      <c r="R68" s="14"/>
    </row>
    <row r="69" spans="1:20" ht="15" customHeight="1">
      <c r="A69" s="9"/>
      <c r="B69" s="377"/>
      <c r="C69" s="29"/>
      <c r="D69" s="6"/>
      <c r="E69" s="19"/>
      <c r="F69" s="10"/>
      <c r="G69" s="19"/>
      <c r="H69" s="19"/>
      <c r="I69" s="10"/>
      <c r="J69" s="19"/>
      <c r="K69" s="19"/>
      <c r="L69" s="10"/>
      <c r="O69" s="4"/>
    </row>
    <row r="70" spans="1:20" ht="15" customHeight="1">
      <c r="A70" s="9"/>
      <c r="B70" s="377"/>
      <c r="C70" s="29" t="s">
        <v>32</v>
      </c>
      <c r="D70" s="19"/>
      <c r="E70" s="12" t="e">
        <f>E68-E59</f>
        <v>#VALUE!</v>
      </c>
      <c r="F70" s="115"/>
      <c r="G70" s="12"/>
      <c r="H70" s="12" t="e">
        <f>H68-E59</f>
        <v>#VALUE!</v>
      </c>
      <c r="I70" s="115"/>
      <c r="J70" s="12"/>
      <c r="K70" s="12" t="e">
        <f>K68-E59</f>
        <v>#VALUE!</v>
      </c>
      <c r="L70" s="115"/>
      <c r="O70" s="4"/>
    </row>
    <row r="71" spans="1:20" ht="15" customHeight="1" thickBot="1">
      <c r="A71" s="9"/>
      <c r="B71" s="378"/>
      <c r="C71" s="29"/>
      <c r="D71" s="6"/>
      <c r="E71" s="19"/>
      <c r="F71" s="10"/>
      <c r="G71" s="19"/>
      <c r="H71" s="19"/>
      <c r="I71" s="10"/>
      <c r="J71" s="19"/>
      <c r="K71" s="19"/>
      <c r="L71" s="10"/>
      <c r="O71" s="4"/>
    </row>
    <row r="72" spans="1:20" ht="15" customHeight="1" thickBot="1">
      <c r="A72" s="9"/>
      <c r="B72" s="376" t="s">
        <v>33</v>
      </c>
      <c r="C72" s="98"/>
      <c r="D72" s="8"/>
      <c r="E72" s="20"/>
      <c r="F72" s="32"/>
      <c r="G72" s="20"/>
      <c r="H72" s="20"/>
      <c r="I72" s="32"/>
      <c r="J72" s="20"/>
      <c r="K72" s="20"/>
      <c r="L72" s="32"/>
    </row>
    <row r="73" spans="1:20" ht="15" customHeight="1" thickBot="1">
      <c r="A73" s="9"/>
      <c r="B73" s="377"/>
      <c r="C73" s="116" t="s">
        <v>34</v>
      </c>
      <c r="D73" s="99"/>
      <c r="E73" s="6"/>
      <c r="F73" s="9"/>
      <c r="G73" s="6"/>
      <c r="H73" s="6"/>
      <c r="I73" s="9"/>
      <c r="J73" s="6"/>
      <c r="K73" s="6"/>
      <c r="L73" s="9"/>
    </row>
    <row r="74" spans="1:20" ht="15" customHeight="1" thickBot="1">
      <c r="A74" s="9"/>
      <c r="B74" s="377"/>
      <c r="C74" s="29"/>
      <c r="D74" s="6"/>
      <c r="E74" s="19"/>
      <c r="F74" s="10"/>
      <c r="G74" s="19"/>
      <c r="H74" s="19"/>
      <c r="I74" s="10"/>
      <c r="J74" s="19"/>
      <c r="K74" s="19"/>
      <c r="L74" s="10"/>
      <c r="N74" s="6"/>
    </row>
    <row r="75" spans="1:20" ht="15" customHeight="1" thickBot="1">
      <c r="A75" s="9"/>
      <c r="B75" s="377"/>
      <c r="C75" s="117" t="s">
        <v>35</v>
      </c>
      <c r="D75" s="6"/>
      <c r="E75" s="384" t="e">
        <f>IF(C73= "Monthly", FV(0.008,E61,-SavingsAnnual)/(E61*12), IF(C73="Annual", FV(0.008,E61,-SavingsAnnual)/(E61), IF(C73="Loan Term", FV(0.008,E61,-SavingsAnnual), "Error")))</f>
        <v>#DIV/0!</v>
      </c>
      <c r="F75" s="385"/>
      <c r="G75" s="385"/>
      <c r="H75" s="385"/>
      <c r="I75" s="385"/>
      <c r="J75" s="385"/>
      <c r="K75" s="386"/>
      <c r="L75" s="118"/>
      <c r="T75" s="3"/>
    </row>
    <row r="76" spans="1:20" ht="15" customHeight="1">
      <c r="A76" s="9"/>
      <c r="B76" s="377"/>
      <c r="C76" s="119"/>
      <c r="D76" s="6"/>
      <c r="E76" s="19"/>
      <c r="F76" s="10"/>
      <c r="G76" s="19"/>
      <c r="H76" s="19"/>
      <c r="I76" s="10"/>
      <c r="J76" s="19"/>
      <c r="K76" s="19"/>
      <c r="L76" s="10"/>
      <c r="T76" s="3"/>
    </row>
    <row r="77" spans="1:20" ht="15" customHeight="1" thickBot="1">
      <c r="A77" s="9"/>
      <c r="B77" s="377"/>
      <c r="C77" s="119" t="s">
        <v>36</v>
      </c>
      <c r="D77" s="19"/>
      <c r="E77" s="114" t="e">
        <f>IF($C$73= "Monthly", E66, IF($C$73="Annual", E66*12, IF($C$73="Loan Term", E66*(E61*12), "Error")))</f>
        <v>#VALUE!</v>
      </c>
      <c r="F77" s="112"/>
      <c r="G77" s="113"/>
      <c r="H77" s="114" t="e">
        <f>IF($C$73= "Monthly", H66, IF($C$73="Annual", H66*12, IF($C$73="Loan Term", H66*(E61*12), "Error")))</f>
        <v>#VALUE!</v>
      </c>
      <c r="I77" s="112"/>
      <c r="J77" s="113"/>
      <c r="K77" s="114" t="e">
        <f>IF(C73= "Monthly", K66, IF(C73="Annual", K66*12, IF(C73="Loan Term", K66*(E61*12), "Error")))</f>
        <v>#VALUE!</v>
      </c>
      <c r="L77" s="112"/>
    </row>
    <row r="78" spans="1:20" ht="15" customHeight="1">
      <c r="A78" s="9"/>
      <c r="B78" s="377"/>
      <c r="C78" s="119"/>
      <c r="D78" s="19"/>
      <c r="E78" s="19"/>
      <c r="F78" s="10"/>
      <c r="G78" s="19"/>
      <c r="H78" s="19"/>
      <c r="I78" s="10"/>
      <c r="J78" s="19"/>
      <c r="K78" s="19"/>
      <c r="L78" s="10"/>
      <c r="N78" s="6"/>
    </row>
    <row r="79" spans="1:20" ht="15" customHeight="1">
      <c r="A79" s="9"/>
      <c r="B79" s="377"/>
      <c r="C79" s="119" t="s">
        <v>37</v>
      </c>
      <c r="D79" s="19"/>
      <c r="E79" s="12" t="e">
        <f>$E$75-E77</f>
        <v>#DIV/0!</v>
      </c>
      <c r="F79" s="115"/>
      <c r="G79" s="12"/>
      <c r="H79" s="12" t="e">
        <f>$E$75-H77</f>
        <v>#DIV/0!</v>
      </c>
      <c r="I79" s="115"/>
      <c r="J79" s="12"/>
      <c r="K79" s="12" t="e">
        <f>$E$75-K77</f>
        <v>#DIV/0!</v>
      </c>
      <c r="L79" s="115"/>
      <c r="M79" s="6"/>
      <c r="N79" s="3"/>
    </row>
    <row r="80" spans="1:20" ht="15" customHeight="1">
      <c r="A80" s="9"/>
      <c r="B80" s="377"/>
      <c r="C80" s="119"/>
      <c r="D80" s="19"/>
      <c r="E80" s="12"/>
      <c r="F80" s="115"/>
      <c r="G80" s="12"/>
      <c r="H80" s="12"/>
      <c r="I80" s="115"/>
      <c r="J80" s="12"/>
      <c r="K80" s="12"/>
      <c r="L80" s="115"/>
    </row>
    <row r="81" spans="1:19" ht="15" customHeight="1">
      <c r="A81" s="9"/>
      <c r="B81" s="377"/>
      <c r="C81" s="29" t="s">
        <v>38</v>
      </c>
      <c r="D81" s="6"/>
      <c r="E81" s="12" t="e">
        <f>FV(0.008,WeightedAvgMLife,-SavingsAnnual,,0)</f>
        <v>#DIV/0!</v>
      </c>
      <c r="F81" s="9"/>
      <c r="H81" s="12" t="e">
        <f>LC_PSavings</f>
        <v>#DIV/0!</v>
      </c>
      <c r="I81" s="9"/>
      <c r="J81" s="6"/>
      <c r="K81" s="12" t="e">
        <f>LC_PSavings</f>
        <v>#DIV/0!</v>
      </c>
      <c r="L81" s="9"/>
      <c r="S81" s="4"/>
    </row>
    <row r="82" spans="1:19" ht="15" customHeight="1">
      <c r="A82" s="6"/>
      <c r="B82" s="377"/>
      <c r="C82" s="119"/>
      <c r="D82" s="19"/>
      <c r="E82" s="12"/>
      <c r="F82" s="115"/>
      <c r="G82" s="12"/>
      <c r="H82" s="12"/>
      <c r="I82" s="115"/>
      <c r="J82" s="12"/>
      <c r="K82" s="12"/>
      <c r="L82" s="115"/>
    </row>
    <row r="83" spans="1:19" ht="15" customHeight="1">
      <c r="A83" s="6"/>
      <c r="B83" s="377"/>
      <c r="C83" s="120" t="s">
        <v>39</v>
      </c>
      <c r="D83" s="6"/>
      <c r="E83" s="121" t="e">
        <f>IF(OR(SavingsAnnual=0,PCost=0),"N/A",LoanPrincipal/SavingsAnnual)</f>
        <v>#DIV/0!</v>
      </c>
      <c r="F83" s="9"/>
      <c r="G83" s="6"/>
      <c r="H83" s="121" t="e">
        <f>IF(OR(SavingsAnnual=0,PCost=0),"N/A",LoanPrincipal/SavingsAnnual)</f>
        <v>#DIV/0!</v>
      </c>
      <c r="I83" s="9"/>
      <c r="J83" s="6"/>
      <c r="K83" s="121" t="e">
        <f>IF(OR(SavingsAnnual=0,PCost=0),"N/A",LoanPrincipal/SavingsAnnual)</f>
        <v>#DIV/0!</v>
      </c>
      <c r="L83" s="9"/>
      <c r="M83" s="6"/>
    </row>
    <row r="84" spans="1:19" ht="15" customHeight="1" thickBot="1">
      <c r="A84" s="9"/>
      <c r="B84" s="378"/>
      <c r="C84" s="122"/>
      <c r="D84" s="21"/>
      <c r="E84" s="123"/>
      <c r="F84" s="22"/>
      <c r="G84" s="21"/>
      <c r="H84" s="123"/>
      <c r="I84" s="22"/>
      <c r="J84" s="21"/>
      <c r="K84" s="21"/>
      <c r="L84" s="22"/>
      <c r="M84" s="6"/>
    </row>
    <row r="85" spans="1:19" ht="15" customHeight="1" thickBot="1">
      <c r="C85" s="95"/>
      <c r="D85" s="124"/>
      <c r="E85" s="124"/>
      <c r="F85" s="124"/>
      <c r="G85" s="6"/>
      <c r="H85" s="124"/>
      <c r="I85" s="124"/>
      <c r="J85" s="95"/>
      <c r="K85" s="95"/>
      <c r="L85" s="95"/>
      <c r="S85" s="4"/>
    </row>
    <row r="86" spans="1:19" ht="16.5" thickBot="1">
      <c r="C86" s="370" t="s">
        <v>42</v>
      </c>
      <c r="D86" s="371"/>
      <c r="E86" s="371"/>
      <c r="F86" s="371"/>
      <c r="G86" s="371"/>
      <c r="H86" s="371"/>
      <c r="I86" s="371"/>
      <c r="J86" s="371"/>
      <c r="K86" s="371"/>
      <c r="L86" s="372"/>
      <c r="S86" s="4"/>
    </row>
    <row r="87" spans="1:19" ht="16.5" thickBot="1">
      <c r="C87" s="154" t="s">
        <v>219</v>
      </c>
      <c r="D87" s="131"/>
      <c r="E87" s="131"/>
      <c r="F87" s="131"/>
      <c r="G87" s="128"/>
      <c r="H87" s="128"/>
      <c r="I87" s="128"/>
      <c r="J87" s="128"/>
      <c r="K87" s="128"/>
      <c r="L87" s="128"/>
      <c r="S87" s="4"/>
    </row>
    <row r="88" spans="1:19">
      <c r="C88" s="361"/>
      <c r="D88" s="362"/>
      <c r="E88" s="362"/>
      <c r="F88" s="362"/>
      <c r="G88" s="362"/>
      <c r="H88" s="362"/>
      <c r="I88" s="362"/>
      <c r="J88" s="362"/>
      <c r="K88" s="362"/>
      <c r="L88" s="363"/>
      <c r="S88" s="4"/>
    </row>
    <row r="89" spans="1:19">
      <c r="C89" s="364"/>
      <c r="D89" s="365"/>
      <c r="E89" s="365"/>
      <c r="F89" s="365"/>
      <c r="G89" s="365"/>
      <c r="H89" s="365"/>
      <c r="I89" s="365"/>
      <c r="J89" s="365"/>
      <c r="K89" s="365"/>
      <c r="L89" s="366"/>
      <c r="S89" s="4"/>
    </row>
    <row r="90" spans="1:19">
      <c r="C90" s="364"/>
      <c r="D90" s="365"/>
      <c r="E90" s="365"/>
      <c r="F90" s="365"/>
      <c r="G90" s="365"/>
      <c r="H90" s="365"/>
      <c r="I90" s="365"/>
      <c r="J90" s="365"/>
      <c r="K90" s="365"/>
      <c r="L90" s="366"/>
      <c r="S90" s="4"/>
    </row>
    <row r="91" spans="1:19">
      <c r="C91" s="364"/>
      <c r="D91" s="365"/>
      <c r="E91" s="365"/>
      <c r="F91" s="365"/>
      <c r="G91" s="365"/>
      <c r="H91" s="365"/>
      <c r="I91" s="365"/>
      <c r="J91" s="365"/>
      <c r="K91" s="365"/>
      <c r="L91" s="366"/>
      <c r="S91" s="4"/>
    </row>
    <row r="92" spans="1:19" ht="16.5" thickBot="1">
      <c r="C92" s="367"/>
      <c r="D92" s="368"/>
      <c r="E92" s="368"/>
      <c r="F92" s="368"/>
      <c r="G92" s="368"/>
      <c r="H92" s="368"/>
      <c r="I92" s="368"/>
      <c r="J92" s="368"/>
      <c r="K92" s="368"/>
      <c r="L92" s="369"/>
      <c r="S92" s="4"/>
    </row>
    <row r="93" spans="1:19">
      <c r="C93" s="133"/>
      <c r="D93" s="133"/>
      <c r="E93" s="133"/>
      <c r="F93" s="133"/>
      <c r="G93" s="133"/>
      <c r="H93" s="133"/>
      <c r="I93" s="133"/>
      <c r="J93" s="133"/>
      <c r="K93" s="133"/>
      <c r="L93" s="133"/>
      <c r="S93" s="4"/>
    </row>
    <row r="94" spans="1:19">
      <c r="C94" s="133"/>
      <c r="D94" s="133"/>
      <c r="E94" s="133"/>
      <c r="F94" s="133"/>
      <c r="G94" s="133"/>
      <c r="H94" s="133"/>
      <c r="I94" s="133"/>
      <c r="J94" s="133"/>
      <c r="K94" s="133"/>
      <c r="L94" s="133"/>
    </row>
    <row r="95" spans="1:19">
      <c r="C95" s="130" t="s">
        <v>43</v>
      </c>
      <c r="E95" s="374" t="s">
        <v>171</v>
      </c>
      <c r="F95" s="374"/>
      <c r="G95" s="375"/>
      <c r="H95" s="375"/>
      <c r="I95" s="128"/>
      <c r="J95" s="131" t="s">
        <v>44</v>
      </c>
      <c r="K95" s="373"/>
      <c r="L95" s="373"/>
    </row>
    <row r="96" spans="1:19" s="129" customFormat="1" ht="3.75" customHeight="1" thickBot="1">
      <c r="C96" s="130"/>
      <c r="D96" s="131"/>
      <c r="E96" s="132"/>
      <c r="F96" s="132"/>
      <c r="G96" s="130"/>
      <c r="H96" s="128"/>
      <c r="I96" s="128"/>
      <c r="J96" s="128"/>
      <c r="K96" s="128"/>
      <c r="L96" s="128"/>
    </row>
    <row r="97" spans="3:12">
      <c r="C97" s="361"/>
      <c r="D97" s="362"/>
      <c r="E97" s="362"/>
      <c r="F97" s="362"/>
      <c r="G97" s="362"/>
      <c r="H97" s="362"/>
      <c r="I97" s="362"/>
      <c r="J97" s="362"/>
      <c r="K97" s="362"/>
      <c r="L97" s="363"/>
    </row>
    <row r="98" spans="3:12">
      <c r="C98" s="364"/>
      <c r="D98" s="365"/>
      <c r="E98" s="365"/>
      <c r="F98" s="365"/>
      <c r="G98" s="365"/>
      <c r="H98" s="365"/>
      <c r="I98" s="365"/>
      <c r="J98" s="365"/>
      <c r="K98" s="365"/>
      <c r="L98" s="366"/>
    </row>
    <row r="99" spans="3:12">
      <c r="C99" s="364"/>
      <c r="D99" s="365"/>
      <c r="E99" s="365"/>
      <c r="F99" s="365"/>
      <c r="G99" s="365"/>
      <c r="H99" s="365"/>
      <c r="I99" s="365"/>
      <c r="J99" s="365"/>
      <c r="K99" s="365"/>
      <c r="L99" s="366"/>
    </row>
    <row r="100" spans="3:12">
      <c r="C100" s="364"/>
      <c r="D100" s="365"/>
      <c r="E100" s="365"/>
      <c r="F100" s="365"/>
      <c r="G100" s="365"/>
      <c r="H100" s="365"/>
      <c r="I100" s="365"/>
      <c r="J100" s="365"/>
      <c r="K100" s="365"/>
      <c r="L100" s="366"/>
    </row>
    <row r="101" spans="3:12" ht="16.5" thickBot="1">
      <c r="C101" s="367"/>
      <c r="D101" s="368"/>
      <c r="E101" s="368"/>
      <c r="F101" s="368"/>
      <c r="G101" s="368"/>
      <c r="H101" s="368"/>
      <c r="I101" s="368"/>
      <c r="J101" s="368"/>
      <c r="K101" s="368"/>
      <c r="L101" s="369"/>
    </row>
    <row r="102" spans="3:12">
      <c r="L102" s="129" t="str">
        <f>'RHNY Calculator'!I58</f>
        <v>v0.1 (2015)</v>
      </c>
    </row>
  </sheetData>
  <dataConsolidate/>
  <mergeCells count="36">
    <mergeCell ref="D19:E19"/>
    <mergeCell ref="D21:E21"/>
    <mergeCell ref="D23:E23"/>
    <mergeCell ref="D9:E9"/>
    <mergeCell ref="D15:E15"/>
    <mergeCell ref="D11:E11"/>
    <mergeCell ref="D13:E13"/>
    <mergeCell ref="C20:F20"/>
    <mergeCell ref="D17:E17"/>
    <mergeCell ref="C7:F7"/>
    <mergeCell ref="H7:L7"/>
    <mergeCell ref="I9:K9"/>
    <mergeCell ref="I11:K11"/>
    <mergeCell ref="I13:K13"/>
    <mergeCell ref="C12:F12"/>
    <mergeCell ref="B58:B64"/>
    <mergeCell ref="E61:K61"/>
    <mergeCell ref="B65:B71"/>
    <mergeCell ref="B72:B84"/>
    <mergeCell ref="E75:K75"/>
    <mergeCell ref="E59:K59"/>
    <mergeCell ref="B26:B42"/>
    <mergeCell ref="D26:F26"/>
    <mergeCell ref="G26:I26"/>
    <mergeCell ref="J26:L26"/>
    <mergeCell ref="B56:L56"/>
    <mergeCell ref="I21:K21"/>
    <mergeCell ref="G57:I57"/>
    <mergeCell ref="J57:L57"/>
    <mergeCell ref="C97:L101"/>
    <mergeCell ref="C88:L92"/>
    <mergeCell ref="C86:L86"/>
    <mergeCell ref="K95:L95"/>
    <mergeCell ref="E95:F95"/>
    <mergeCell ref="D57:F57"/>
    <mergeCell ref="G95:H95"/>
  </mergeCells>
  <conditionalFormatting sqref="G45:L45 D45:F48 D37:L39 D51:F51 D49:L50">
    <cfRule type="containsText" dxfId="6" priority="15" operator="containsText" text="YES">
      <formula>NOT(ISERROR(SEARCH("YES",D37)))</formula>
    </cfRule>
  </conditionalFormatting>
  <conditionalFormatting sqref="G45:L45 D45:F48 D37:L39 D51:F51 D49:L50">
    <cfRule type="containsText" dxfId="5" priority="14" operator="containsText" text="NO">
      <formula>NOT(ISERROR(SEARCH("NO",D37)))</formula>
    </cfRule>
  </conditionalFormatting>
  <conditionalFormatting sqref="D37:L39">
    <cfRule type="containsText" dxfId="4" priority="11" operator="containsText" text="NO">
      <formula>NOT(ISERROR(SEARCH("NO",D37)))</formula>
    </cfRule>
    <cfRule type="containsText" dxfId="3" priority="12" operator="containsText" text="NO">
      <formula>NOT(ISERROR(SEARCH("NO",D37)))</formula>
    </cfRule>
    <cfRule type="containsText" dxfId="2" priority="13" operator="containsText" text="YES">
      <formula>NOT(ISERROR(SEARCH("YES",D37)))</formula>
    </cfRule>
  </conditionalFormatting>
  <conditionalFormatting sqref="D29:L29">
    <cfRule type="cellIs" dxfId="1" priority="10" operator="lessThan">
      <formula>1</formula>
    </cfRule>
  </conditionalFormatting>
  <conditionalFormatting sqref="E59">
    <cfRule type="expression" dxfId="0" priority="4">
      <formula>$E$59&gt;25000</formula>
    </cfRule>
  </conditionalFormatting>
  <dataValidations count="6">
    <dataValidation type="list" allowBlank="1" showInputMessage="1" showErrorMessage="1" sqref="Q63">
      <formula1>Interest</formula1>
    </dataValidation>
    <dataValidation type="decimal" operator="greaterThan" allowBlank="1" showInputMessage="1" showErrorMessage="1" sqref="K63">
      <formula1>0</formula1>
    </dataValidation>
    <dataValidation type="list" allowBlank="1" showInputMessage="1" showErrorMessage="1" sqref="C73">
      <formula1>ValidPeriod</formula1>
    </dataValidation>
    <dataValidation type="list" allowBlank="1" showInputMessage="1" showErrorMessage="1" sqref="E61">
      <formula1>Years</formula1>
    </dataValidation>
    <dataValidation type="decimal" operator="greaterThanOrEqual" allowBlank="1" showInputMessage="1" showErrorMessage="1" sqref="K81 H81 D19 D11 F11 E22 D23">
      <formula1>0</formula1>
    </dataValidation>
    <dataValidation type="list" allowBlank="1" showInputMessage="1" showErrorMessage="1" sqref="D9">
      <formula1>YESNO</formula1>
    </dataValidation>
  </dataValidations>
  <printOptions horizontalCentered="1"/>
  <pageMargins left="0.25" right="0.25" top="0.25" bottom="0.25" header="0" footer="0"/>
  <pageSetup scale="53" orientation="portrait" cellComments="asDisplayed" r:id="rId1"/>
  <ignoredErrors>
    <ignoredError sqref="I21 I13"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'RHNY Calculator'!$C$177:$C$184</xm:f>
          </x14:formula1>
          <xm:sqref>D17:E17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59"/>
  <sheetViews>
    <sheetView zoomScale="55" zoomScaleNormal="55" workbookViewId="0">
      <selection activeCell="G17" sqref="G17"/>
    </sheetView>
  </sheetViews>
  <sheetFormatPr defaultRowHeight="21"/>
  <cols>
    <col min="1" max="1" width="9.42578125" style="136" bestFit="1" customWidth="1"/>
    <col min="2" max="2" width="4.85546875" style="136" bestFit="1" customWidth="1"/>
    <col min="3" max="3" width="3.28515625" style="136" bestFit="1" customWidth="1"/>
    <col min="4" max="4" width="39.5703125" style="136" bestFit="1" customWidth="1"/>
    <col min="5" max="5" width="13.140625" style="136" bestFit="1" customWidth="1"/>
    <col min="6" max="6" width="11.7109375" style="136" customWidth="1"/>
    <col min="7" max="7" width="47.140625" style="136" bestFit="1" customWidth="1"/>
    <col min="8" max="8" width="6.85546875" style="136" bestFit="1" customWidth="1"/>
    <col min="9" max="9" width="13.85546875" style="138" bestFit="1" customWidth="1"/>
    <col min="10" max="10" width="9.42578125" style="136" bestFit="1" customWidth="1"/>
    <col min="11" max="11" width="6.5703125" style="136" bestFit="1" customWidth="1"/>
    <col min="12" max="12" width="61.42578125" style="136" bestFit="1" customWidth="1"/>
    <col min="13" max="13" width="9.140625" style="141"/>
    <col min="14" max="14" width="59.28515625" style="142" customWidth="1"/>
    <col min="15" max="15" width="46.140625" style="142" bestFit="1" customWidth="1"/>
    <col min="16" max="16" width="77.5703125" style="142" customWidth="1"/>
    <col min="17" max="17" width="33.85546875" style="142" bestFit="1" customWidth="1"/>
    <col min="18" max="20" width="9.140625" style="142"/>
    <col min="21" max="21" width="65.85546875" style="142" customWidth="1"/>
    <col min="22" max="22" width="46.5703125" style="142" bestFit="1" customWidth="1"/>
    <col min="23" max="23" width="37.140625" style="142" customWidth="1"/>
    <col min="24" max="24" width="31.5703125" style="142" bestFit="1" customWidth="1"/>
    <col min="25" max="16384" width="9.140625" style="136"/>
  </cols>
  <sheetData>
    <row r="1" spans="1:24">
      <c r="A1" s="134">
        <v>3.49E-2</v>
      </c>
      <c r="B1" s="135">
        <v>5</v>
      </c>
      <c r="C1" s="136">
        <v>0</v>
      </c>
      <c r="D1" s="137" t="s">
        <v>45</v>
      </c>
      <c r="E1" s="137" t="s">
        <v>34</v>
      </c>
      <c r="F1" s="137"/>
      <c r="G1" s="136" t="s">
        <v>46</v>
      </c>
      <c r="H1" s="136" t="s">
        <v>47</v>
      </c>
      <c r="J1" s="139">
        <v>3.49E-2</v>
      </c>
      <c r="K1" s="136" t="s">
        <v>48</v>
      </c>
      <c r="L1" s="140" t="s">
        <v>49</v>
      </c>
      <c r="N1" s="142" t="s">
        <v>50</v>
      </c>
      <c r="U1" s="142" t="s">
        <v>51</v>
      </c>
    </row>
    <row r="2" spans="1:24">
      <c r="A2" s="134">
        <v>3.9899999999999998E-2</v>
      </c>
      <c r="B2" s="135">
        <v>10</v>
      </c>
      <c r="D2" s="137" t="s">
        <v>52</v>
      </c>
      <c r="E2" s="137" t="s">
        <v>53</v>
      </c>
      <c r="F2" s="137"/>
      <c r="G2" s="143"/>
      <c r="H2" s="143"/>
      <c r="I2" s="138" t="s">
        <v>54</v>
      </c>
      <c r="J2" s="139">
        <v>3.9899999999999998E-2</v>
      </c>
      <c r="K2" s="136" t="s">
        <v>55</v>
      </c>
      <c r="L2" s="136" t="s">
        <v>56</v>
      </c>
      <c r="N2" s="144" t="s">
        <v>46</v>
      </c>
      <c r="O2" s="144" t="s">
        <v>57</v>
      </c>
      <c r="P2" s="144" t="s">
        <v>58</v>
      </c>
      <c r="Q2" s="142" t="s">
        <v>59</v>
      </c>
      <c r="U2" s="144" t="s">
        <v>46</v>
      </c>
      <c r="V2" s="144" t="s">
        <v>57</v>
      </c>
      <c r="W2" s="144" t="s">
        <v>58</v>
      </c>
      <c r="X2" s="145" t="s">
        <v>59</v>
      </c>
    </row>
    <row r="3" spans="1:24" ht="24" customHeight="1">
      <c r="B3" s="135">
        <v>15</v>
      </c>
      <c r="E3" s="137" t="s">
        <v>60</v>
      </c>
      <c r="F3" s="137"/>
      <c r="G3" s="143" t="s">
        <v>61</v>
      </c>
      <c r="H3" s="143">
        <v>30</v>
      </c>
      <c r="I3" s="138" t="s">
        <v>62</v>
      </c>
      <c r="L3" s="136" t="s">
        <v>63</v>
      </c>
      <c r="N3" s="144"/>
      <c r="O3" s="144"/>
      <c r="P3" s="144"/>
    </row>
    <row r="4" spans="1:24" ht="24" customHeight="1">
      <c r="G4" s="143" t="s">
        <v>64</v>
      </c>
      <c r="H4" s="143">
        <v>30</v>
      </c>
      <c r="L4" s="136" t="s">
        <v>65</v>
      </c>
      <c r="N4" s="146" t="s">
        <v>66</v>
      </c>
      <c r="O4" s="147" t="s">
        <v>67</v>
      </c>
      <c r="P4" s="147" t="s">
        <v>68</v>
      </c>
      <c r="Q4" s="142">
        <v>20</v>
      </c>
      <c r="U4" s="146" t="s">
        <v>69</v>
      </c>
      <c r="V4" s="147" t="s">
        <v>70</v>
      </c>
      <c r="W4" s="147" t="s">
        <v>71</v>
      </c>
      <c r="X4" s="142">
        <v>20</v>
      </c>
    </row>
    <row r="5" spans="1:24" ht="24" customHeight="1">
      <c r="G5" s="143" t="s">
        <v>72</v>
      </c>
      <c r="H5" s="143">
        <v>30</v>
      </c>
      <c r="I5" s="136"/>
      <c r="N5" s="146" t="s">
        <v>73</v>
      </c>
      <c r="O5" s="147" t="s">
        <v>67</v>
      </c>
      <c r="P5" s="147" t="s">
        <v>68</v>
      </c>
      <c r="Q5" s="142">
        <v>20</v>
      </c>
      <c r="U5" s="146" t="s">
        <v>74</v>
      </c>
      <c r="V5" s="147" t="s">
        <v>70</v>
      </c>
      <c r="W5" s="147" t="s">
        <v>75</v>
      </c>
      <c r="X5" s="142">
        <v>20</v>
      </c>
    </row>
    <row r="6" spans="1:24" ht="24" customHeight="1">
      <c r="G6" s="143" t="s">
        <v>76</v>
      </c>
      <c r="H6" s="143">
        <v>30</v>
      </c>
      <c r="L6" s="140" t="s">
        <v>77</v>
      </c>
      <c r="N6" s="146" t="s">
        <v>78</v>
      </c>
      <c r="O6" s="147" t="s">
        <v>67</v>
      </c>
      <c r="P6" s="147" t="s">
        <v>79</v>
      </c>
      <c r="Q6" s="142">
        <v>20</v>
      </c>
      <c r="U6" s="146" t="s">
        <v>80</v>
      </c>
      <c r="V6" s="147" t="s">
        <v>70</v>
      </c>
      <c r="W6" s="147" t="s">
        <v>81</v>
      </c>
      <c r="X6" s="142">
        <v>20</v>
      </c>
    </row>
    <row r="7" spans="1:24" ht="24" customHeight="1">
      <c r="G7" s="143" t="s">
        <v>82</v>
      </c>
      <c r="H7" s="143">
        <v>30</v>
      </c>
      <c r="L7" s="136" t="s">
        <v>83</v>
      </c>
      <c r="N7" s="146" t="s">
        <v>84</v>
      </c>
      <c r="O7" s="147" t="s">
        <v>67</v>
      </c>
      <c r="P7" s="147" t="s">
        <v>85</v>
      </c>
      <c r="Q7" s="142">
        <v>25</v>
      </c>
      <c r="U7" s="146" t="s">
        <v>86</v>
      </c>
      <c r="V7" s="147" t="s">
        <v>70</v>
      </c>
      <c r="W7" s="147" t="s">
        <v>71</v>
      </c>
      <c r="X7" s="142">
        <v>20</v>
      </c>
    </row>
    <row r="8" spans="1:24" ht="24" customHeight="1">
      <c r="G8" s="143" t="s">
        <v>87</v>
      </c>
      <c r="H8" s="143">
        <v>15</v>
      </c>
      <c r="L8" s="136" t="s">
        <v>63</v>
      </c>
      <c r="N8" s="146" t="s">
        <v>88</v>
      </c>
      <c r="O8" s="147" t="s">
        <v>67</v>
      </c>
      <c r="P8" s="147" t="s">
        <v>79</v>
      </c>
      <c r="Q8" s="142">
        <v>25</v>
      </c>
      <c r="U8" s="146" t="s">
        <v>89</v>
      </c>
      <c r="V8" s="147" t="s">
        <v>67</v>
      </c>
      <c r="W8" s="147" t="s">
        <v>90</v>
      </c>
      <c r="X8" s="142">
        <v>20</v>
      </c>
    </row>
    <row r="9" spans="1:24">
      <c r="L9" s="136" t="s">
        <v>65</v>
      </c>
      <c r="N9" s="146" t="s">
        <v>91</v>
      </c>
      <c r="O9" s="147" t="s">
        <v>67</v>
      </c>
      <c r="P9" s="147" t="s">
        <v>92</v>
      </c>
      <c r="Q9" s="142">
        <v>25</v>
      </c>
      <c r="U9" s="146" t="s">
        <v>93</v>
      </c>
      <c r="V9" s="147" t="s">
        <v>67</v>
      </c>
      <c r="W9" s="147" t="s">
        <v>94</v>
      </c>
      <c r="X9" s="142">
        <v>20</v>
      </c>
    </row>
    <row r="10" spans="1:24">
      <c r="N10" s="146" t="s">
        <v>95</v>
      </c>
      <c r="O10" s="147" t="s">
        <v>67</v>
      </c>
      <c r="P10" s="147" t="s">
        <v>96</v>
      </c>
      <c r="Q10" s="147">
        <v>15</v>
      </c>
      <c r="U10" s="146" t="s">
        <v>97</v>
      </c>
      <c r="V10" s="147" t="s">
        <v>67</v>
      </c>
      <c r="W10" s="147" t="s">
        <v>98</v>
      </c>
      <c r="X10" s="142">
        <v>20</v>
      </c>
    </row>
    <row r="11" spans="1:24">
      <c r="D11" s="142"/>
      <c r="E11" s="142"/>
      <c r="F11" s="148"/>
      <c r="L11" s="140" t="s">
        <v>99</v>
      </c>
      <c r="N11" s="146" t="s">
        <v>100</v>
      </c>
      <c r="O11" s="147" t="s">
        <v>67</v>
      </c>
      <c r="P11" s="147" t="s">
        <v>101</v>
      </c>
      <c r="Q11" s="142">
        <v>20</v>
      </c>
      <c r="U11" s="146" t="s">
        <v>102</v>
      </c>
      <c r="V11" s="147" t="s">
        <v>67</v>
      </c>
      <c r="W11" s="147" t="s">
        <v>103</v>
      </c>
      <c r="X11" s="142">
        <v>20</v>
      </c>
    </row>
    <row r="12" spans="1:24">
      <c r="L12" s="136" t="s">
        <v>63</v>
      </c>
      <c r="N12" s="146" t="s">
        <v>104</v>
      </c>
      <c r="O12" s="147" t="s">
        <v>67</v>
      </c>
      <c r="P12" s="147" t="s">
        <v>105</v>
      </c>
      <c r="Q12" s="142">
        <v>20</v>
      </c>
      <c r="U12" s="146" t="s">
        <v>106</v>
      </c>
      <c r="V12" s="147" t="s">
        <v>67</v>
      </c>
      <c r="W12" s="147" t="s">
        <v>107</v>
      </c>
      <c r="X12" s="142">
        <v>20</v>
      </c>
    </row>
    <row r="13" spans="1:24">
      <c r="L13" s="136" t="s">
        <v>65</v>
      </c>
      <c r="N13" s="146" t="s">
        <v>108</v>
      </c>
      <c r="O13" s="147" t="s">
        <v>67</v>
      </c>
      <c r="P13" s="147" t="s">
        <v>81</v>
      </c>
      <c r="Q13" s="142">
        <v>11</v>
      </c>
      <c r="U13" s="147" t="s">
        <v>109</v>
      </c>
      <c r="V13" s="146" t="s">
        <v>110</v>
      </c>
      <c r="W13" s="147" t="s">
        <v>111</v>
      </c>
      <c r="X13" s="142">
        <v>15</v>
      </c>
    </row>
    <row r="14" spans="1:24">
      <c r="N14" s="146" t="s">
        <v>112</v>
      </c>
      <c r="O14" s="147" t="s">
        <v>67</v>
      </c>
      <c r="P14" s="147" t="s">
        <v>81</v>
      </c>
      <c r="Q14" s="142">
        <v>13</v>
      </c>
      <c r="U14" s="147" t="s">
        <v>113</v>
      </c>
      <c r="V14" s="146" t="s">
        <v>110</v>
      </c>
      <c r="W14" s="146" t="s">
        <v>114</v>
      </c>
      <c r="X14" s="142">
        <v>20</v>
      </c>
    </row>
    <row r="15" spans="1:24">
      <c r="L15" s="140" t="s">
        <v>115</v>
      </c>
      <c r="N15" s="146" t="s">
        <v>116</v>
      </c>
      <c r="O15" s="147" t="s">
        <v>67</v>
      </c>
      <c r="P15" s="147" t="s">
        <v>117</v>
      </c>
      <c r="Q15" s="142">
        <v>15</v>
      </c>
      <c r="U15" s="146" t="s">
        <v>118</v>
      </c>
      <c r="V15" s="146" t="s">
        <v>110</v>
      </c>
      <c r="W15" s="147" t="s">
        <v>119</v>
      </c>
      <c r="X15" s="142">
        <v>15</v>
      </c>
    </row>
    <row r="16" spans="1:24">
      <c r="L16" s="136" t="s">
        <v>120</v>
      </c>
      <c r="N16" s="146" t="s">
        <v>121</v>
      </c>
      <c r="O16" s="147" t="s">
        <v>67</v>
      </c>
      <c r="P16" s="147" t="s">
        <v>122</v>
      </c>
      <c r="Q16" s="142">
        <v>11</v>
      </c>
      <c r="U16" s="146" t="s">
        <v>123</v>
      </c>
      <c r="V16" s="146" t="s">
        <v>110</v>
      </c>
      <c r="W16" s="147" t="s">
        <v>124</v>
      </c>
      <c r="X16" s="142">
        <v>20</v>
      </c>
    </row>
    <row r="17" spans="12:24">
      <c r="L17" s="136" t="s">
        <v>63</v>
      </c>
      <c r="N17" s="146" t="s">
        <v>125</v>
      </c>
      <c r="O17" s="147" t="s">
        <v>70</v>
      </c>
      <c r="P17" s="147" t="s">
        <v>126</v>
      </c>
      <c r="Q17" s="142">
        <v>30</v>
      </c>
      <c r="U17" s="146" t="s">
        <v>127</v>
      </c>
      <c r="V17" s="146" t="s">
        <v>128</v>
      </c>
      <c r="W17" s="147" t="s">
        <v>129</v>
      </c>
      <c r="X17" s="142">
        <v>15</v>
      </c>
    </row>
    <row r="18" spans="12:24">
      <c r="L18" s="136" t="s">
        <v>65</v>
      </c>
      <c r="N18" s="146" t="s">
        <v>130</v>
      </c>
      <c r="O18" s="147" t="s">
        <v>70</v>
      </c>
      <c r="P18" s="147" t="s">
        <v>131</v>
      </c>
      <c r="Q18" s="142">
        <v>15</v>
      </c>
      <c r="U18" s="146" t="s">
        <v>132</v>
      </c>
      <c r="V18" s="146" t="s">
        <v>128</v>
      </c>
      <c r="W18" s="147" t="s">
        <v>129</v>
      </c>
      <c r="X18" s="142">
        <v>15</v>
      </c>
    </row>
    <row r="19" spans="12:24">
      <c r="N19" s="146" t="s">
        <v>133</v>
      </c>
      <c r="O19" s="146" t="s">
        <v>110</v>
      </c>
      <c r="P19" s="147" t="s">
        <v>111</v>
      </c>
      <c r="Q19" s="142">
        <v>15</v>
      </c>
      <c r="U19" s="146" t="s">
        <v>134</v>
      </c>
      <c r="V19" s="146" t="s">
        <v>128</v>
      </c>
      <c r="W19" s="147" t="s">
        <v>129</v>
      </c>
      <c r="X19" s="142">
        <v>7</v>
      </c>
    </row>
    <row r="20" spans="12:24">
      <c r="N20" s="146" t="s">
        <v>135</v>
      </c>
      <c r="O20" s="146" t="s">
        <v>110</v>
      </c>
      <c r="P20" s="146" t="s">
        <v>114</v>
      </c>
      <c r="Q20" s="142">
        <v>20</v>
      </c>
      <c r="U20" s="146" t="s">
        <v>136</v>
      </c>
      <c r="V20" s="146" t="s">
        <v>128</v>
      </c>
      <c r="W20" s="147" t="s">
        <v>137</v>
      </c>
      <c r="X20" s="142">
        <v>20</v>
      </c>
    </row>
    <row r="21" spans="12:24">
      <c r="N21" s="146" t="s">
        <v>138</v>
      </c>
      <c r="O21" s="146" t="s">
        <v>110</v>
      </c>
      <c r="P21" s="147" t="s">
        <v>139</v>
      </c>
      <c r="Q21" s="142">
        <v>13</v>
      </c>
      <c r="U21" s="146" t="s">
        <v>140</v>
      </c>
      <c r="V21" s="146" t="s">
        <v>141</v>
      </c>
      <c r="W21" s="147" t="s">
        <v>142</v>
      </c>
      <c r="X21" s="142">
        <v>0</v>
      </c>
    </row>
    <row r="22" spans="12:24">
      <c r="N22" s="146" t="s">
        <v>143</v>
      </c>
      <c r="O22" s="146" t="s">
        <v>110</v>
      </c>
      <c r="P22" s="147" t="s">
        <v>124</v>
      </c>
      <c r="Q22" s="142">
        <v>20</v>
      </c>
      <c r="U22" s="146" t="s">
        <v>144</v>
      </c>
      <c r="V22" s="146" t="s">
        <v>141</v>
      </c>
      <c r="W22" s="147" t="s">
        <v>145</v>
      </c>
      <c r="X22" s="142">
        <v>0</v>
      </c>
    </row>
    <row r="23" spans="12:24">
      <c r="N23" s="146" t="s">
        <v>146</v>
      </c>
      <c r="O23" s="146" t="s">
        <v>110</v>
      </c>
      <c r="P23" s="146" t="s">
        <v>147</v>
      </c>
      <c r="Q23" s="147">
        <v>10</v>
      </c>
      <c r="U23" s="146" t="s">
        <v>148</v>
      </c>
      <c r="V23" s="146" t="s">
        <v>141</v>
      </c>
      <c r="W23" s="147" t="s">
        <v>149</v>
      </c>
      <c r="X23" s="142">
        <v>0</v>
      </c>
    </row>
    <row r="24" spans="12:24">
      <c r="N24" s="147" t="s">
        <v>150</v>
      </c>
      <c r="O24" s="146" t="s">
        <v>151</v>
      </c>
      <c r="P24" s="147" t="s">
        <v>75</v>
      </c>
      <c r="Q24" s="142">
        <v>10</v>
      </c>
      <c r="U24" s="146" t="s">
        <v>152</v>
      </c>
      <c r="V24" s="146" t="s">
        <v>141</v>
      </c>
      <c r="W24" s="147" t="s">
        <v>153</v>
      </c>
      <c r="X24" s="142">
        <v>0</v>
      </c>
    </row>
    <row r="25" spans="12:24">
      <c r="N25" s="146" t="s">
        <v>154</v>
      </c>
      <c r="O25" s="146" t="s">
        <v>151</v>
      </c>
      <c r="P25" s="147" t="s">
        <v>155</v>
      </c>
      <c r="Q25" s="142">
        <v>10</v>
      </c>
      <c r="U25" s="146" t="s">
        <v>156</v>
      </c>
      <c r="V25" s="146" t="s">
        <v>141</v>
      </c>
      <c r="W25" s="147" t="s">
        <v>157</v>
      </c>
      <c r="X25" s="142">
        <v>0</v>
      </c>
    </row>
    <row r="26" spans="12:24">
      <c r="N26" s="147" t="s">
        <v>158</v>
      </c>
      <c r="O26" s="146" t="s">
        <v>159</v>
      </c>
      <c r="P26" s="147" t="s">
        <v>160</v>
      </c>
      <c r="Q26" s="142">
        <v>17</v>
      </c>
      <c r="U26" s="146" t="s">
        <v>161</v>
      </c>
      <c r="V26" s="146" t="s">
        <v>141</v>
      </c>
      <c r="W26" s="147" t="s">
        <v>157</v>
      </c>
      <c r="X26" s="142">
        <v>0</v>
      </c>
    </row>
    <row r="27" spans="12:24">
      <c r="N27" s="146" t="s">
        <v>162</v>
      </c>
      <c r="O27" s="146" t="s">
        <v>128</v>
      </c>
      <c r="P27" s="147" t="s">
        <v>129</v>
      </c>
      <c r="Q27" s="142">
        <v>15</v>
      </c>
      <c r="U27" s="146" t="s">
        <v>163</v>
      </c>
      <c r="V27" s="146" t="s">
        <v>141</v>
      </c>
      <c r="W27" s="147" t="s">
        <v>75</v>
      </c>
      <c r="X27" s="142">
        <v>0</v>
      </c>
    </row>
    <row r="28" spans="12:24">
      <c r="N28" s="146" t="s">
        <v>164</v>
      </c>
      <c r="O28" s="146" t="s">
        <v>128</v>
      </c>
      <c r="P28" s="147" t="s">
        <v>129</v>
      </c>
      <c r="Q28" s="142">
        <v>15</v>
      </c>
      <c r="U28" s="146" t="s">
        <v>165</v>
      </c>
      <c r="V28" s="146" t="s">
        <v>141</v>
      </c>
      <c r="W28" s="147" t="s">
        <v>166</v>
      </c>
      <c r="X28" s="142">
        <v>0</v>
      </c>
    </row>
    <row r="29" spans="12:24">
      <c r="N29" s="146" t="s">
        <v>167</v>
      </c>
      <c r="O29" s="146" t="s">
        <v>128</v>
      </c>
      <c r="P29" s="147" t="s">
        <v>129</v>
      </c>
      <c r="Q29" s="142">
        <v>9</v>
      </c>
      <c r="U29" s="142" t="s">
        <v>168</v>
      </c>
      <c r="V29" s="142" t="s">
        <v>168</v>
      </c>
    </row>
    <row r="30" spans="12:24">
      <c r="N30" s="146" t="s">
        <v>169</v>
      </c>
      <c r="O30" s="146" t="s">
        <v>128</v>
      </c>
      <c r="P30" s="147" t="s">
        <v>129</v>
      </c>
      <c r="Q30" s="142">
        <v>7</v>
      </c>
    </row>
    <row r="31" spans="12:24">
      <c r="N31" s="146" t="s">
        <v>134</v>
      </c>
      <c r="O31" s="146" t="s">
        <v>128</v>
      </c>
      <c r="P31" s="147" t="s">
        <v>170</v>
      </c>
      <c r="Q31" s="142">
        <v>7</v>
      </c>
    </row>
    <row r="32" spans="12:24">
      <c r="N32" s="142" t="s">
        <v>168</v>
      </c>
      <c r="O32" s="142" t="s">
        <v>168</v>
      </c>
    </row>
    <row r="33" spans="14:16">
      <c r="P33" s="147"/>
    </row>
    <row r="34" spans="14:16">
      <c r="P34" s="147"/>
    </row>
    <row r="35" spans="14:16">
      <c r="N35" s="146"/>
      <c r="P35" s="147"/>
    </row>
    <row r="36" spans="14:16">
      <c r="N36" s="146"/>
      <c r="P36" s="147"/>
    </row>
    <row r="37" spans="14:16">
      <c r="N37" s="146"/>
      <c r="P37" s="147"/>
    </row>
    <row r="38" spans="14:16">
      <c r="N38" s="146"/>
      <c r="P38" s="147"/>
    </row>
    <row r="39" spans="14:16">
      <c r="N39" s="146"/>
      <c r="P39" s="147"/>
    </row>
    <row r="40" spans="14:16">
      <c r="N40" s="146"/>
      <c r="P40" s="147"/>
    </row>
    <row r="41" spans="14:16">
      <c r="N41" s="146"/>
      <c r="P41" s="147"/>
    </row>
    <row r="42" spans="14:16">
      <c r="N42" s="146"/>
      <c r="P42" s="147"/>
    </row>
    <row r="43" spans="14:16">
      <c r="N43" s="146"/>
      <c r="P43" s="146"/>
    </row>
    <row r="44" spans="14:16">
      <c r="N44" s="147"/>
      <c r="P44" s="147"/>
    </row>
    <row r="45" spans="14:16">
      <c r="N45" s="147"/>
      <c r="P45" s="147"/>
    </row>
    <row r="46" spans="14:16">
      <c r="N46" s="146"/>
      <c r="P46" s="147"/>
    </row>
    <row r="47" spans="14:16">
      <c r="N47" s="146"/>
      <c r="P47" s="147"/>
    </row>
    <row r="48" spans="14:16">
      <c r="N48" s="146"/>
      <c r="P48" s="147"/>
    </row>
    <row r="49" spans="14:16">
      <c r="N49" s="146"/>
      <c r="P49" s="147"/>
    </row>
    <row r="50" spans="14:16">
      <c r="N50" s="146"/>
      <c r="P50" s="147"/>
    </row>
    <row r="51" spans="14:16">
      <c r="N51" s="146"/>
      <c r="P51" s="147"/>
    </row>
    <row r="52" spans="14:16">
      <c r="N52" s="146"/>
      <c r="P52" s="147"/>
    </row>
    <row r="53" spans="14:16">
      <c r="N53" s="146"/>
      <c r="P53" s="147"/>
    </row>
    <row r="54" spans="14:16">
      <c r="N54" s="146"/>
      <c r="P54" s="147"/>
    </row>
    <row r="55" spans="14:16">
      <c r="N55" s="146"/>
      <c r="P55" s="147"/>
    </row>
    <row r="56" spans="14:16">
      <c r="N56" s="146"/>
      <c r="P56" s="147"/>
    </row>
    <row r="57" spans="14:16">
      <c r="N57" s="146"/>
      <c r="P57" s="147"/>
    </row>
    <row r="58" spans="14:16">
      <c r="N58" s="146"/>
    </row>
    <row r="59" spans="14:16">
      <c r="N59" s="146"/>
    </row>
  </sheetData>
  <dataValidations count="1">
    <dataValidation type="list" allowBlank="1" showInputMessage="1" showErrorMessage="1" sqref="D11">
      <formula1>ValidRates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RHNY Calculator</vt:lpstr>
      <vt:lpstr>Loan Calculator</vt:lpstr>
      <vt:lpstr>MenuItems</vt:lpstr>
      <vt:lpstr>Account</vt:lpstr>
      <vt:lpstr>CAC_TRC_YES_NO</vt:lpstr>
      <vt:lpstr>CustCont</vt:lpstr>
      <vt:lpstr>FinFee</vt:lpstr>
      <vt:lpstr>HeatingFuelType</vt:lpstr>
      <vt:lpstr>HOI</vt:lpstr>
      <vt:lpstr>HPWH_TRC_YES_NO</vt:lpstr>
      <vt:lpstr>INCENTIVE</vt:lpstr>
      <vt:lpstr>Interest</vt:lpstr>
      <vt:lpstr>LC_PSavings</vt:lpstr>
      <vt:lpstr>LED_TRC_YES_NO</vt:lpstr>
      <vt:lpstr>LoanPrincipal</vt:lpstr>
      <vt:lpstr>MCash</vt:lpstr>
      <vt:lpstr>MeasureList</vt:lpstr>
      <vt:lpstr>MFinance</vt:lpstr>
      <vt:lpstr>minCustCont</vt:lpstr>
      <vt:lpstr>MLifeCash</vt:lpstr>
      <vt:lpstr>MLifeFinance</vt:lpstr>
      <vt:lpstr>PCost</vt:lpstr>
      <vt:lpstr>'Loan Calculator'!Print_Area</vt:lpstr>
      <vt:lpstr>'RHNY Calculator'!Print_Area</vt:lpstr>
      <vt:lpstr>PType</vt:lpstr>
      <vt:lpstr>REBATE</vt:lpstr>
      <vt:lpstr>Save</vt:lpstr>
      <vt:lpstr>SavingsAnnual</vt:lpstr>
      <vt:lpstr>SVCD</vt:lpstr>
      <vt:lpstr>Time</vt:lpstr>
      <vt:lpstr>TRC_Yes_No</vt:lpstr>
      <vt:lpstr>Unsecured</vt:lpstr>
      <vt:lpstr>UnsecuredSIR</vt:lpstr>
      <vt:lpstr>ValidAccounts</vt:lpstr>
      <vt:lpstr>ValidPeriod</vt:lpstr>
      <vt:lpstr>ValidRates</vt:lpstr>
      <vt:lpstr>ValidTerms</vt:lpstr>
      <vt:lpstr>WeightedAvgMLife</vt:lpstr>
      <vt:lpstr>Years</vt:lpstr>
      <vt:lpstr>YESNO</vt:lpstr>
    </vt:vector>
  </TitlesOfParts>
  <Company>Conservation Services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Archie</dc:creator>
  <cp:lastModifiedBy>MAM</cp:lastModifiedBy>
  <cp:lastPrinted>2015-10-16T22:53:34Z</cp:lastPrinted>
  <dcterms:created xsi:type="dcterms:W3CDTF">2013-11-26T20:26:50Z</dcterms:created>
  <dcterms:modified xsi:type="dcterms:W3CDTF">2016-08-30T19:18:34Z</dcterms:modified>
</cp:coreProperties>
</file>