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showInkAnnotation="0" codeName="ThisWorkbook" autoCompressPictures="0" defaultThemeVersion="124226"/>
  <mc:AlternateContent xmlns:mc="http://schemas.openxmlformats.org/markup-compatibility/2006">
    <mc:Choice Requires="x15">
      <x15ac:absPath xmlns:x15ac="http://schemas.microsoft.com/office/spreadsheetml/2010/11/ac" url="F:\Packs\NYSUN_2112_3082\CURRENT WEB VERSIONS_Contractor Forms_RES and Small Commercial\"/>
    </mc:Choice>
  </mc:AlternateContent>
  <xr:revisionPtr revIDLastSave="0" documentId="8_{D16A19B9-02C4-4F7B-BD64-95626776D6EC}" xr6:coauthVersionLast="31" xr6:coauthVersionMax="31" xr10:uidLastSave="{00000000-0000-0000-0000-000000000000}"/>
  <bookViews>
    <workbookView xWindow="0" yWindow="0" windowWidth="28800" windowHeight="11610" activeTab="1" xr2:uid="{00000000-000D-0000-FFFF-FFFF00000000}"/>
  </bookViews>
  <sheets>
    <sheet name="MenuItems" sheetId="2" r:id="rId1"/>
    <sheet name="PV Loan Calculator" sheetId="1" r:id="rId2"/>
  </sheets>
  <definedNames>
    <definedName name="Account">'PV Loan Calculator'!$P$11:$P$13</definedName>
    <definedName name="CAC_TRC_YES_NO">MenuItems!$L$7:$L$9</definedName>
    <definedName name="CustCont">'PV Loan Calculator'!$E$19</definedName>
    <definedName name="FinFee">'PV Loan Calculator'!$E$9</definedName>
    <definedName name="HOI">MenuItems!$K$1:$K$2</definedName>
    <definedName name="HPWH_TRC_YES_NO">MenuItems!$L$12:$L$13</definedName>
    <definedName name="Interest">MenuItems!$A$1:$A$4</definedName>
    <definedName name="kwhprod">'PV Loan Calculator'!$E$15</definedName>
    <definedName name="LC_PSavings">'PV Loan Calculator'!$E$83</definedName>
    <definedName name="LED_TRC_YES_NO">MenuItems!$L$16:$L$18</definedName>
    <definedName name="LoanPrincipal">'PV Loan Calculator'!$E$61</definedName>
    <definedName name="MCash">MenuItems!$N$3:$N$32</definedName>
    <definedName name="MeasureList">MenuItems!$G$2:$G$8</definedName>
    <definedName name="MFinance">MenuItems!$U$3:$U$29</definedName>
    <definedName name="MLifeCash">MenuItems!$N$4:$Q$32</definedName>
    <definedName name="MLifeFinance">MenuItems!$U$4:$X$29</definedName>
    <definedName name="OtherInc">'PV Loan Calculator'!#REF!</definedName>
    <definedName name="PCost">'PV Loan Calculator'!$E$11</definedName>
    <definedName name="_xlnm.Print_Area" localSheetId="1">'PV Loan Calculator'!$B$1:$L$105</definedName>
    <definedName name="PType">MenuItems!$I$2:$I$3</definedName>
    <definedName name="PVINCENTIVE">'PV Loan Calculator'!$E$13</definedName>
    <definedName name="Save">'PV Loan Calculator'!$R$60:$R$62</definedName>
    <definedName name="SavingsAnnual">'PV Loan Calculator'!$E$23</definedName>
    <definedName name="SVCD">'PV Loan Calculator'!$P$11:$P$12</definedName>
    <definedName name="Time">'PV Loan Calculator'!$P$18:$P$22</definedName>
    <definedName name="TRC_Yes_No">MenuItems!$L$2:$L$4</definedName>
    <definedName name="Unsecured">MenuItems!$J$1:$J$2</definedName>
    <definedName name="UnsecuredSIR">'PV Loan Calculator'!$G$31:$L$31</definedName>
    <definedName name="utility">'PV Loan Calculator'!$E$17</definedName>
    <definedName name="ValidAccounts">MenuItems!$D$1:$D$2</definedName>
    <definedName name="ValidPeriod">MenuItems!$E$1:$E$3</definedName>
    <definedName name="ValidRates">MenuItems!$A$1:$A$2</definedName>
    <definedName name="ValidTerms">MenuItems!$B$1:$B$4</definedName>
    <definedName name="WeightedAvgMLife">'PV Loan Calculator'!$E$25</definedName>
    <definedName name="Years">MenuItems!$B$2:$B$4</definedName>
    <definedName name="YESNO">MenuItems!$K$1:$K$2</definedName>
  </definedName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E61" i="1" l="1"/>
  <c r="G28" i="1"/>
  <c r="J28" i="1"/>
  <c r="D28" i="1"/>
  <c r="F46" i="1"/>
  <c r="E46" i="1"/>
  <c r="D46" i="1"/>
  <c r="H65" i="1"/>
  <c r="H68" i="1" s="1"/>
  <c r="E65" i="1"/>
  <c r="E36" i="1"/>
  <c r="L36" i="1"/>
  <c r="K36" i="1"/>
  <c r="J36" i="1"/>
  <c r="I36" i="1"/>
  <c r="H36" i="1"/>
  <c r="G36" i="1"/>
  <c r="F36" i="1"/>
  <c r="D36" i="1"/>
  <c r="E23" i="1"/>
  <c r="F45" i="1" s="1"/>
  <c r="E68" i="1"/>
  <c r="E79" i="1" s="1"/>
  <c r="K68" i="1"/>
  <c r="K70" i="1" s="1"/>
  <c r="K72" i="1" s="1"/>
  <c r="E70" i="1"/>
  <c r="E72" i="1" s="1"/>
  <c r="H70" i="1" l="1"/>
  <c r="H72" i="1" s="1"/>
  <c r="H79" i="1"/>
  <c r="K79" i="1"/>
  <c r="H47" i="1"/>
  <c r="F35" i="1"/>
  <c r="D50" i="1"/>
  <c r="E50" i="1"/>
  <c r="I47" i="1"/>
  <c r="E77" i="1"/>
  <c r="E35" i="1"/>
  <c r="J35" i="1"/>
  <c r="E83" i="1"/>
  <c r="D45" i="1"/>
  <c r="F47" i="1"/>
  <c r="D35" i="1"/>
  <c r="L47" i="1"/>
  <c r="E85" i="1"/>
  <c r="G47" i="1"/>
  <c r="G35" i="1"/>
  <c r="I35" i="1"/>
  <c r="E47" i="1"/>
  <c r="D47" i="1"/>
  <c r="K85" i="1"/>
  <c r="L35" i="1"/>
  <c r="F50" i="1"/>
  <c r="K47" i="1"/>
  <c r="J47" i="1"/>
  <c r="H85" i="1"/>
  <c r="H35" i="1"/>
  <c r="K35" i="1"/>
  <c r="E45" i="1"/>
  <c r="E87" i="1" l="1"/>
  <c r="H81" i="1"/>
  <c r="K81" i="1"/>
  <c r="E81" i="1"/>
  <c r="L45" i="1"/>
  <c r="L44" i="1"/>
  <c r="L46" i="1"/>
  <c r="L42" i="1"/>
  <c r="L39" i="1" s="1"/>
  <c r="H37" i="1"/>
  <c r="K83" i="1"/>
  <c r="L37" i="1"/>
  <c r="L31" i="1"/>
  <c r="I37" i="1"/>
  <c r="I31" i="1" s="1"/>
  <c r="E37" i="1"/>
  <c r="E31" i="1" s="1"/>
  <c r="H83" i="1"/>
  <c r="H31" i="1"/>
  <c r="K37" i="1"/>
  <c r="K31" i="1" s="1"/>
  <c r="G37" i="1"/>
  <c r="G31" i="1" s="1"/>
  <c r="D37" i="1"/>
  <c r="D31" i="1" s="1"/>
  <c r="J37" i="1"/>
  <c r="J31" i="1" s="1"/>
  <c r="F37" i="1"/>
  <c r="F31" i="1" s="1"/>
  <c r="I44" i="1"/>
  <c r="I45" i="1"/>
  <c r="I46" i="1"/>
  <c r="I42" i="1"/>
  <c r="I39" i="1" s="1"/>
  <c r="H45" i="1"/>
  <c r="H46" i="1"/>
  <c r="H42" i="1"/>
  <c r="H39" i="1" s="1"/>
  <c r="H44" i="1"/>
  <c r="F48" i="1"/>
  <c r="F49" i="1"/>
  <c r="E49" i="1"/>
  <c r="E48" i="1"/>
  <c r="K87" i="1"/>
  <c r="E42" i="1"/>
  <c r="E44" i="1"/>
  <c r="E39" i="1"/>
  <c r="J45" i="1"/>
  <c r="J42" i="1"/>
  <c r="J39" i="1" s="1"/>
  <c r="J44" i="1"/>
  <c r="J46" i="1"/>
  <c r="K46" i="1"/>
  <c r="K45" i="1"/>
  <c r="K42" i="1"/>
  <c r="K39" i="1" s="1"/>
  <c r="K44" i="1"/>
  <c r="D42" i="1"/>
  <c r="D44" i="1"/>
  <c r="D39" i="1"/>
  <c r="G46" i="1"/>
  <c r="G42" i="1"/>
  <c r="G39" i="1" s="1"/>
  <c r="G45" i="1"/>
  <c r="G44" i="1"/>
  <c r="F39" i="1"/>
  <c r="F42" i="1"/>
  <c r="F44" i="1"/>
  <c r="D49" i="1"/>
  <c r="D48" i="1"/>
  <c r="H87" i="1"/>
  <c r="K32" i="1" l="1"/>
  <c r="K34" i="1"/>
  <c r="I32" i="1"/>
  <c r="I34" i="1"/>
  <c r="J32" i="1"/>
  <c r="J34" i="1"/>
  <c r="D34" i="1"/>
  <c r="D32" i="1"/>
  <c r="F34" i="1"/>
  <c r="F32" i="1"/>
  <c r="G32" i="1"/>
  <c r="G34" i="1"/>
  <c r="H32" i="1"/>
  <c r="H34" i="1"/>
  <c r="L34" i="1"/>
  <c r="L32" i="1"/>
  <c r="E32" i="1"/>
  <c r="E34" i="1"/>
</calcChain>
</file>

<file path=xl/sharedStrings.xml><?xml version="1.0" encoding="utf-8"?>
<sst xmlns="http://schemas.openxmlformats.org/spreadsheetml/2006/main" count="287" uniqueCount="196">
  <si>
    <t>Project Information</t>
  </si>
  <si>
    <t>Customer Information</t>
  </si>
  <si>
    <t>$150 Processing Fee Financed?</t>
  </si>
  <si>
    <t>Name:</t>
  </si>
  <si>
    <t>Total Cost of Project</t>
  </si>
  <si>
    <t>Address:</t>
  </si>
  <si>
    <t>Customer Contribution</t>
  </si>
  <si>
    <t>Loan Eligibilitity Criteria</t>
  </si>
  <si>
    <t>5 Year</t>
  </si>
  <si>
    <t>10 Year</t>
  </si>
  <si>
    <t>15 Year</t>
  </si>
  <si>
    <t>SIR</t>
  </si>
  <si>
    <t>Required Customer Contribution</t>
  </si>
  <si>
    <t>-or-</t>
  </si>
  <si>
    <t>Required FY Savings</t>
  </si>
  <si>
    <t>LoanPrincipal Compliance Value</t>
  </si>
  <si>
    <t xml:space="preserve"> Savings Compliance value</t>
  </si>
  <si>
    <t>LoanPrincipal Compliance Value (1/12)</t>
  </si>
  <si>
    <t xml:space="preserve"> FY Savings Compliance value (1/12)</t>
  </si>
  <si>
    <t>Monthly Cash flow (1/12)</t>
  </si>
  <si>
    <t>LoanPrincipal Compliance Value (Payback)</t>
  </si>
  <si>
    <t xml:space="preserve"> FY Savings Compliance value (Payback)</t>
  </si>
  <si>
    <t>Payback Period</t>
  </si>
  <si>
    <t>Loan Calculator</t>
  </si>
  <si>
    <t xml:space="preserve"> Personal Loan</t>
  </si>
  <si>
    <t>Loan Information</t>
  </si>
  <si>
    <t>Loan Amount (Above)</t>
  </si>
  <si>
    <t xml:space="preserve">Term in Years    </t>
  </si>
  <si>
    <t>Interest</t>
  </si>
  <si>
    <t>Payment Information</t>
  </si>
  <si>
    <t>Monthly Payment</t>
  </si>
  <si>
    <t>Total Invested</t>
  </si>
  <si>
    <t>Interest Accrued</t>
  </si>
  <si>
    <t>Savings After Improvement</t>
  </si>
  <si>
    <t>Monthly</t>
  </si>
  <si>
    <t>Dollar Savings</t>
  </si>
  <si>
    <t>Loan Payment Amount</t>
  </si>
  <si>
    <t>Net</t>
  </si>
  <si>
    <t>Project Lifetime Energy Savings</t>
  </si>
  <si>
    <t>Simple Payback Period (Years)</t>
  </si>
  <si>
    <t>NYSERDA PV Incentive</t>
  </si>
  <si>
    <t>Customer Utility</t>
  </si>
  <si>
    <t>NYSEG</t>
  </si>
  <si>
    <t>RG&amp;E</t>
  </si>
  <si>
    <t>PV Installer/Contractor Information</t>
  </si>
  <si>
    <t>Annual Value of kWh Generated (Estimated)</t>
  </si>
  <si>
    <t>Average Measure Life (Years)</t>
  </si>
  <si>
    <t>City, State, Zip:</t>
  </si>
  <si>
    <t>Notes</t>
  </si>
  <si>
    <t>PV Installer/Contractor Notes</t>
  </si>
  <si>
    <t>NYSERDA Notes</t>
  </si>
  <si>
    <t xml:space="preserve">Reviewed by </t>
  </si>
  <si>
    <t>Annual kWh Produced by System</t>
  </si>
  <si>
    <t>Savings Account</t>
  </si>
  <si>
    <t>Measure</t>
  </si>
  <si>
    <t>Life</t>
  </si>
  <si>
    <t>Yes</t>
  </si>
  <si>
    <t>Insulation TRC Eligible?</t>
  </si>
  <si>
    <t>CASH BACK HOI AND FINANCING INCENTIVE</t>
  </si>
  <si>
    <t>FINANCING INCENTIVE ONLY</t>
  </si>
  <si>
    <t>Certificate of Deposit (CD)</t>
  </si>
  <si>
    <t>Annual</t>
  </si>
  <si>
    <t>HEMI</t>
  </si>
  <si>
    <t>No</t>
  </si>
  <si>
    <t>Yes-Program Rules for Insulation</t>
  </si>
  <si>
    <t>Category</t>
  </si>
  <si>
    <t>Minimum Efficiency Requirements</t>
  </si>
  <si>
    <t>Measure Life Category</t>
  </si>
  <si>
    <t>Loan Term</t>
  </si>
  <si>
    <t>Envelope - Roof Insulation</t>
  </si>
  <si>
    <t>Assisted</t>
  </si>
  <si>
    <t>Yes-TRC Screening Tool</t>
  </si>
  <si>
    <t xml:space="preserve">Envelope- Rim Joist Insulation </t>
  </si>
  <si>
    <t>No-Fails TRC</t>
  </si>
  <si>
    <t xml:space="preserve">Furnace – Natural Gas **1,2 </t>
  </si>
  <si>
    <t>Primary Heating and Cooling System</t>
  </si>
  <si>
    <t xml:space="preserve">AFUE 92% (as long as not prohibited by local codes). Furnaces with ECM Motor allowed. </t>
  </si>
  <si>
    <t>Replacement Windows</t>
  </si>
  <si>
    <t>Building Shell</t>
  </si>
  <si>
    <t xml:space="preserve">ENERGY STAR for climate/region </t>
  </si>
  <si>
    <t xml:space="preserve">Envelope- Ceiling Insulation </t>
  </si>
  <si>
    <t>Furnace – LP **1,2</t>
  </si>
  <si>
    <t>Storm Windows and Storm Doors</t>
  </si>
  <si>
    <t xml:space="preserve">No minimum efficiency requirement </t>
  </si>
  <si>
    <t xml:space="preserve">Envelope- Floor Insulation </t>
  </si>
  <si>
    <t>CAC TRC Eligible?</t>
  </si>
  <si>
    <t xml:space="preserve">Furnace – Fuel Oil **1,2 </t>
  </si>
  <si>
    <t xml:space="preserve">AFUE 85% </t>
  </si>
  <si>
    <t>Movable Window Insulation</t>
  </si>
  <si>
    <t xml:space="preserve">R-3 </t>
  </si>
  <si>
    <t>Envelope - Wall Insulation</t>
  </si>
  <si>
    <t>Yes-ConEd or Central Hudson Utility Area</t>
  </si>
  <si>
    <t>Boiler - Condensing **1</t>
  </si>
  <si>
    <t xml:space="preserve">AFUE 90% </t>
  </si>
  <si>
    <t>Exterior Doors</t>
  </si>
  <si>
    <t>HVAC - Central AC/HP</t>
  </si>
  <si>
    <t>Boiler – Hot Water **1</t>
  </si>
  <si>
    <t xml:space="preserve">Air Source Heat Pump (electric split systems) **1,2 </t>
  </si>
  <si>
    <t xml:space="preserve">14.5 SEER / 12 EER / 8.5 HSPF </t>
  </si>
  <si>
    <t>Boiler – Steam **1</t>
  </si>
  <si>
    <t xml:space="preserve">AFUE 82% (size must be matched to cumulative capacity of connected radiators, per Institute of Boilers &amp; Radiator Mfrs (IBR) standards) </t>
  </si>
  <si>
    <t xml:space="preserve">Ground Source Heat Pump **1,2 </t>
  </si>
  <si>
    <t xml:space="preserve">ENERGY STAR Qualified (closed-loop, open-loop, or direct expansion) </t>
  </si>
  <si>
    <t>Boiler Reset Controls</t>
  </si>
  <si>
    <t>Programmed properly per manufacturer’s specifications and site conditions. Maximum price of $250.</t>
  </si>
  <si>
    <t>Wood/or Solid Fuel Pellet Stove **1</t>
  </si>
  <si>
    <t xml:space="preserve">EPA phase 2 (Solid fuel pellet stoves are exempt from EPA Phase 2) </t>
  </si>
  <si>
    <t>Heat Pump Water Heater TRC Eligible?</t>
  </si>
  <si>
    <t xml:space="preserve">Distribution Improvements in Oil or Propane Heated Homes **1,3 </t>
  </si>
  <si>
    <t xml:space="preserve">Installed in accordance with all applicable state and local codes </t>
  </si>
  <si>
    <t>Distribution Improvements (NG or Electricity Heated Homes) **1,3</t>
  </si>
  <si>
    <t>Installed in accordance with all applicable state and local codes.</t>
  </si>
  <si>
    <t>Duct Sealing **1</t>
  </si>
  <si>
    <t xml:space="preserve">UL 181B Mastic or other permanent sealant; use of duct tape is disallowed </t>
  </si>
  <si>
    <t>Solar Thermal **1</t>
  </si>
  <si>
    <t xml:space="preserve">OG-300 certification from SRCC. SF 0.5. Warranty: 10 years-collector, 6 years-storage tank. 2 years-control. 1 year-piping and parts. </t>
  </si>
  <si>
    <t>Pipe Insulation - Natural Gas **1</t>
  </si>
  <si>
    <t xml:space="preserve">Water Heater - Natural Gas </t>
  </si>
  <si>
    <t xml:space="preserve">Water Heater </t>
  </si>
  <si>
    <t xml:space="preserve">&lt;51 gallon EF.63 / &gt;51 gallon EF.53 </t>
  </si>
  <si>
    <t>Pipe Insulation - Electric **1</t>
  </si>
  <si>
    <t>Water Heater - Natural Gas, Instantaneous</t>
  </si>
  <si>
    <t xml:space="preserve">Instantaneous: EF .78 </t>
  </si>
  <si>
    <t>LED TRC Eligible?</t>
  </si>
  <si>
    <t xml:space="preserve">Central Air Conditioner (split system) **1,4 </t>
  </si>
  <si>
    <t xml:space="preserve">AHRI Certificate Required. 14.5 SEER / 12 EER. Except in Con Edison and Central Hudson electric territory, this measure is subject to site-specific analysis and pre-approval by CSG in order to determine eligibility. </t>
  </si>
  <si>
    <t xml:space="preserve">Water Heater - Electric </t>
  </si>
  <si>
    <t xml:space="preserve">EF .93 </t>
  </si>
  <si>
    <t>Yes-on the Eligible LED list</t>
  </si>
  <si>
    <t>Programmable Thermostat **1</t>
  </si>
  <si>
    <t xml:space="preserve">5+2 day programmable thermostat. Limited to one thermostat installed per unit. </t>
  </si>
  <si>
    <t xml:space="preserve">Hot Water Tank Insulation - Natural Gas or Electric </t>
  </si>
  <si>
    <t xml:space="preserve">R-10 </t>
  </si>
  <si>
    <t xml:space="preserve">Insulation (attic, wall, floor, band joist, basement, crawl space) </t>
  </si>
  <si>
    <t>Must be accompanied by blower door assisted air sealing per BPI and program guidelines.  Those measures falling outside of the "Program Rules for Insulation Policy" must pass the "TRC Screening Tool" (see tab below).</t>
  </si>
  <si>
    <t xml:space="preserve">Dishwasher </t>
  </si>
  <si>
    <t>Appliances &amp; Lighting</t>
  </si>
  <si>
    <t xml:space="preserve">ENERGY STAR Qualified </t>
  </si>
  <si>
    <t xml:space="preserve">Air Sealing </t>
  </si>
  <si>
    <t xml:space="preserve">Supervised by professional; blower door assisted per BPI and program guidelines </t>
  </si>
  <si>
    <t xml:space="preserve">Clothes washer </t>
  </si>
  <si>
    <t xml:space="preserve">Water Heater - Propane or Oil </t>
  </si>
  <si>
    <t>LEDs **5</t>
  </si>
  <si>
    <t>Water Heater - Propane or Oil, Instantaneous</t>
  </si>
  <si>
    <t>Light Fixtures **5</t>
  </si>
  <si>
    <t xml:space="preserve">ENERGY STAR Qualified for compact fluorescent, or electronic ballast for fluorescent tubes </t>
  </si>
  <si>
    <t xml:space="preserve">Water Heater - Indirect-Fired Tank </t>
  </si>
  <si>
    <t xml:space="preserve">UL Approved </t>
  </si>
  <si>
    <t xml:space="preserve">Smoke Detectors, Radon Detectors, and CO Detectors </t>
  </si>
  <si>
    <t>Health and Safety</t>
  </si>
  <si>
    <t xml:space="preserve">Hard wired or battery operated </t>
  </si>
  <si>
    <t xml:space="preserve">Hot Water Tank Insulation – Oil or Propane </t>
  </si>
  <si>
    <t xml:space="preserve">Ventilation Fans (Whole house fans or similar attic exhaust fans are not eligible) </t>
  </si>
  <si>
    <t xml:space="preserve">ENERGY STAR Qualified (must vent to exterior of building shell) </t>
  </si>
  <si>
    <t>Heat Pump Water Heater</t>
  </si>
  <si>
    <t>Subject to site-specific TRC analysis and pre-approval by CSG in order to determine eligibility.  See "TRC Screening Tool" tab.</t>
  </si>
  <si>
    <t xml:space="preserve">Repairs/upgrades to heating and/or DHW systems to correct spillage, inadequate draft, CO failures </t>
  </si>
  <si>
    <t xml:space="preserve">Per code and/or manufacturer specifications, as appropriate </t>
  </si>
  <si>
    <t xml:space="preserve">Faucet Aerator </t>
  </si>
  <si>
    <t xml:space="preserve">Conservation </t>
  </si>
  <si>
    <t xml:space="preserve">Measures to provide sufficient combustion air and prevent CAZ depressurization, spillage or inadequate draft </t>
  </si>
  <si>
    <t xml:space="preserve">Allowed when BPI-required combustion safety tests indicate problem(s) with CAZ depressurization, draft or spillage, per BPI standards </t>
  </si>
  <si>
    <t xml:space="preserve">Low Flow Showerhead </t>
  </si>
  <si>
    <t xml:space="preserve">Maximum flow rate of 1.5 gallons per minute. Aerating type showerheads not eligible. </t>
  </si>
  <si>
    <t xml:space="preserve">Gas leak repair </t>
  </si>
  <si>
    <t xml:space="preserve">Repaired in compliance with applicable codes </t>
  </si>
  <si>
    <t>Refrigerator **5</t>
  </si>
  <si>
    <t xml:space="preserve">Appliances &amp; Lighting </t>
  </si>
  <si>
    <t xml:space="preserve">ENERGY STAR Qualified. Existing refrigerators must be greater than 10 years old to be eligible for replacement. </t>
  </si>
  <si>
    <t xml:space="preserve">Dry vent repair </t>
  </si>
  <si>
    <t>Freezer **5</t>
  </si>
  <si>
    <t xml:space="preserve">Heat/Energy Recovery Ventilator </t>
  </si>
  <si>
    <t>Dehumidifier **5</t>
  </si>
  <si>
    <t xml:space="preserve">Gas Oven Replacements, venting repairs and repairs to reduce carbon monoxide </t>
  </si>
  <si>
    <t xml:space="preserve">UL Listed Gas Ovens </t>
  </si>
  <si>
    <t>Room Air Conditioner **5</t>
  </si>
  <si>
    <t>Other</t>
  </si>
  <si>
    <t>CFLs **5</t>
  </si>
  <si>
    <t>Please refer to the Contractor Support Site portal for a list of eligible LEDs.</t>
  </si>
  <si>
    <t>NYSERDA Project Number</t>
  </si>
  <si>
    <t>Cash Flow Eligibility</t>
  </si>
  <si>
    <t>Central Hudson</t>
  </si>
  <si>
    <t xml:space="preserve">Loans &gt;$13,000 Payback Must be &lt;=15 Years  </t>
  </si>
  <si>
    <r>
      <rPr>
        <b/>
        <sz val="10"/>
        <color theme="1"/>
        <rFont val="Times New Roman"/>
        <family val="1"/>
      </rPr>
      <t>OBR-</t>
    </r>
    <r>
      <rPr>
        <sz val="10"/>
        <color theme="1"/>
        <rFont val="Times New Roman"/>
        <family val="1"/>
      </rPr>
      <t xml:space="preserve"> 1/12th Rule                                                   </t>
    </r>
    <r>
      <rPr>
        <b/>
        <sz val="10"/>
        <color theme="1"/>
        <rFont val="Times New Roman"/>
        <family val="1"/>
      </rPr>
      <t xml:space="preserve">Smart Energy- </t>
    </r>
    <r>
      <rPr>
        <sz val="10"/>
        <color theme="1"/>
        <rFont val="Times New Roman"/>
        <family val="1"/>
      </rPr>
      <t xml:space="preserve">loan term &lt;= average measure life </t>
    </r>
  </si>
  <si>
    <t>NGRID Upstate</t>
  </si>
  <si>
    <t>O &amp; R</t>
  </si>
  <si>
    <t>PSE&amp;G Long Island</t>
  </si>
  <si>
    <t>PV Installer/Contractor affirms the Loan Type and Loan Term below reflect the customer's desired loan selection.</t>
  </si>
  <si>
    <t>Monthly Loan Divided by Savings</t>
  </si>
  <si>
    <t>ConEd (NYC)</t>
  </si>
  <si>
    <t>ConEd (Westchester)</t>
  </si>
  <si>
    <t>Preapproved Interest Rate</t>
  </si>
  <si>
    <t>On-Bill Recover Loan &amp; Smart Energy Loan – Autopay</t>
  </si>
  <si>
    <t>Smart Energy Loan – Pay by Mail</t>
  </si>
  <si>
    <t>rev 17</t>
  </si>
  <si>
    <t>v13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</si>
</sst>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
    <numFmt numFmtId="167" formatCode="&quot;$&quot;#,##0.00_);[Red]\(&quot;$&quot;#,##0.00\);&quot;&quot;"/>
    <numFmt numFmtId="168" formatCode="#,##0_);[Red]\(#,##0\);&quot;&quot;"/>
    <numFmt numFmtId="169" formatCode="0.0"/>
    <numFmt numFmtId="170" formatCode="&quot;$&quot;#,##0.000;[Red]&quot;$&quot;#,##0.000"/>
  </numFmts>
  <fonts count="42">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sz val="12"/>
      <name val="Times New Roman"/>
      <family val="1"/>
    </font>
    <font>
      <sz val="12"/>
      <color rgb="FF000000"/>
      <name val="Times New Roman"/>
      <family val="1"/>
    </font>
    <font>
      <sz val="10"/>
      <color theme="1"/>
      <name val="Times New Roman"/>
      <family val="1"/>
    </font>
    <font>
      <b/>
      <sz val="10"/>
      <color theme="1"/>
      <name val="Times New Roman"/>
      <family val="1"/>
    </font>
    <font>
      <sz val="12"/>
      <color rgb="FFFF0000"/>
      <name val="Times New Roman"/>
      <family val="1"/>
    </font>
    <font>
      <sz val="9"/>
      <name val="Geneva"/>
      <family val="2"/>
    </font>
    <font>
      <sz val="9"/>
      <color indexed="12"/>
      <name val="Geneva"/>
      <family val="2"/>
    </font>
    <font>
      <b/>
      <sz val="9"/>
      <color indexed="12"/>
      <name val="Geneva"/>
      <family val="2"/>
    </font>
    <font>
      <sz val="10"/>
      <name val="Arial"/>
      <family val="2"/>
    </font>
    <font>
      <sz val="11"/>
      <color indexed="8"/>
      <name val="Calibri"/>
      <family val="2"/>
    </font>
    <font>
      <u/>
      <sz val="11"/>
      <color theme="10"/>
      <name val="Calibri"/>
      <family val="2"/>
    </font>
    <font>
      <sz val="9"/>
      <color indexed="10"/>
      <name val="Geneva"/>
      <family val="2"/>
    </font>
    <font>
      <sz val="10"/>
      <name val="Geneva"/>
      <family val="2"/>
    </font>
    <font>
      <sz val="10"/>
      <color indexed="62"/>
      <name val="Arial"/>
      <family val="2"/>
    </font>
    <font>
      <sz val="10"/>
      <color indexed="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6"/>
      <color theme="1"/>
      <name val="Calibri"/>
      <family val="2"/>
      <scheme val="minor"/>
    </font>
    <font>
      <b/>
      <sz val="16"/>
      <color theme="1"/>
      <name val="Calibri"/>
      <family val="2"/>
      <scheme val="minor"/>
    </font>
    <font>
      <sz val="16"/>
      <name val="Calibri"/>
      <family val="2"/>
      <scheme val="minor"/>
    </font>
    <font>
      <b/>
      <sz val="14"/>
      <color theme="1"/>
      <name val="Calibri"/>
      <family val="2"/>
      <scheme val="minor"/>
    </font>
    <font>
      <sz val="14"/>
      <color rgb="FF000000"/>
      <name val="Calibri"/>
      <family val="2"/>
      <scheme val="minor"/>
    </font>
    <font>
      <sz val="14"/>
      <color theme="1"/>
      <name val="Calibri"/>
      <family val="2"/>
      <scheme val="minor"/>
    </font>
    <font>
      <u/>
      <sz val="12"/>
      <color theme="1"/>
      <name val="Times New Roman"/>
      <family val="1"/>
    </font>
    <font>
      <b/>
      <sz val="18"/>
      <color theme="1"/>
      <name val="Times New Roman"/>
      <family val="1"/>
    </font>
  </fonts>
  <fills count="3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
      <patternFill patternType="solid">
        <fgColor indexed="27"/>
        <bgColor indexed="64"/>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style="hair">
        <color auto="1"/>
      </left>
      <right style="thin">
        <color auto="1"/>
      </right>
      <top/>
      <bottom/>
      <diagonal/>
    </border>
    <border>
      <left style="thin">
        <color indexed="22"/>
      </left>
      <right/>
      <top/>
      <bottom style="thin">
        <color indexed="22"/>
      </bottom>
      <diagonal/>
    </border>
    <border>
      <left style="thin">
        <color indexed="22"/>
      </left>
      <right/>
      <top/>
      <bottom/>
      <diagonal/>
    </border>
    <border>
      <left style="thin">
        <color indexed="22"/>
      </left>
      <right style="thin">
        <color indexed="22"/>
      </right>
      <top style="thin">
        <color indexed="22"/>
      </top>
      <bottom style="thin">
        <color indexed="22"/>
      </bottom>
      <diagonal/>
    </border>
    <border>
      <left style="thin">
        <color auto="1"/>
      </left>
      <right/>
      <top/>
      <bottom style="hair">
        <color auto="1"/>
      </bottom>
      <diagonal/>
    </border>
    <border>
      <left/>
      <right/>
      <top style="thin">
        <color indexed="23"/>
      </top>
      <bottom style="thin">
        <color indexed="12"/>
      </bottom>
      <diagonal/>
    </border>
    <border>
      <left/>
      <right/>
      <top style="thin">
        <color indexed="21"/>
      </top>
      <bottom/>
      <diagonal/>
    </border>
    <border>
      <left style="hair">
        <color auto="1"/>
      </left>
      <right/>
      <top/>
      <bottom style="hair">
        <color auto="1"/>
      </bottom>
      <diagonal/>
    </border>
    <border>
      <left style="medium">
        <color auto="1"/>
      </left>
      <right/>
      <top style="medium">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2">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10" fontId="9" fillId="0" borderId="34" applyFont="0" applyFill="0" applyBorder="0" applyAlignment="0" applyProtection="0">
      <alignment horizontal="right"/>
    </xf>
    <xf numFmtId="3" fontId="10" fillId="0" borderId="0" applyNumberFormat="0" applyFill="0" applyBorder="0" applyAlignment="0" applyProtection="0"/>
    <xf numFmtId="3" fontId="11" fillId="0" borderId="0" applyNumberFormat="0" applyFill="0" applyBorder="0" applyAlignment="0" applyProtection="0"/>
    <xf numFmtId="166" fontId="9" fillId="0" borderId="35" applyNumberFormat="0" applyFont="0" applyFill="0" applyAlignment="0">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7" fontId="12" fillId="0" borderId="0" applyFont="0" applyBorder="0" applyAlignment="0">
      <alignment horizontal="center"/>
    </xf>
    <xf numFmtId="167" fontId="12" fillId="0" borderId="0" applyFont="0" applyBorder="0" applyAlignment="0">
      <alignment horizontal="center"/>
    </xf>
    <xf numFmtId="0" fontId="14" fillId="0" borderId="0" applyNumberFormat="0" applyFill="0" applyBorder="0" applyAlignment="0" applyProtection="0">
      <alignment vertical="top"/>
      <protection locked="0"/>
    </xf>
    <xf numFmtId="4" fontId="10" fillId="6" borderId="36" applyNumberFormat="0" applyFont="0" applyBorder="0" applyAlignment="0" applyProtection="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7" borderId="37" applyNumberFormat="0" applyFont="0" applyAlignment="0" applyProtection="0"/>
    <xf numFmtId="168" fontId="12" fillId="0" borderId="26" applyFont="0" applyFill="0" applyBorder="0" applyAlignment="0" applyProtection="0">
      <alignment horizontal="center"/>
    </xf>
    <xf numFmtId="168" fontId="12" fillId="0" borderId="26" applyFont="0" applyFill="0" applyBorder="0" applyAlignment="0" applyProtection="0">
      <alignment horizontal="center"/>
    </xf>
    <xf numFmtId="3" fontId="9" fillId="8" borderId="36" applyNumberFormat="0" applyFont="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10" fontId="9" fillId="9" borderId="0" applyNumberFormat="0" applyFont="0" applyBorder="0" applyAlignment="0" applyProtection="0"/>
    <xf numFmtId="3" fontId="15" fillId="0" borderId="38" applyNumberFormat="0" applyFill="0" applyBorder="0" applyAlignment="0" applyProtection="0">
      <protection locked="0"/>
    </xf>
    <xf numFmtId="169" fontId="10" fillId="0" borderId="39" applyNumberFormat="0" applyFont="0" applyFill="0" applyAlignment="0" applyProtection="0"/>
    <xf numFmtId="3" fontId="9" fillId="0" borderId="40" applyNumberFormat="0" applyFont="0" applyFill="0" applyAlignment="0" applyProtection="0">
      <alignment horizontal="right"/>
    </xf>
    <xf numFmtId="0" fontId="16" fillId="0" borderId="41" applyNumberFormat="0" applyFont="0" applyFill="0" applyAlignment="0">
      <protection locked="0"/>
    </xf>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9"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7" borderId="0" applyNumberFormat="0" applyBorder="0" applyAlignment="0" applyProtection="0"/>
    <xf numFmtId="0" fontId="21" fillId="11" borderId="0" applyNumberFormat="0" applyBorder="0" applyAlignment="0" applyProtection="0"/>
    <xf numFmtId="0" fontId="22" fillId="28" borderId="43" applyNumberFormat="0" applyAlignment="0" applyProtection="0"/>
    <xf numFmtId="0" fontId="23" fillId="29" borderId="44" applyNumberFormat="0" applyAlignment="0" applyProtection="0"/>
    <xf numFmtId="0" fontId="24" fillId="0" borderId="0" applyNumberFormat="0" applyFill="0" applyBorder="0" applyAlignment="0" applyProtection="0"/>
    <xf numFmtId="0" fontId="25" fillId="12" borderId="0" applyNumberFormat="0" applyBorder="0" applyAlignment="0" applyProtection="0"/>
    <xf numFmtId="0" fontId="26" fillId="0" borderId="45" applyNumberFormat="0" applyFill="0" applyAlignment="0" applyProtection="0"/>
    <xf numFmtId="0" fontId="27" fillId="0" borderId="46" applyNumberFormat="0" applyFill="0" applyAlignment="0" applyProtection="0"/>
    <xf numFmtId="0" fontId="28" fillId="0" borderId="47" applyNumberFormat="0" applyFill="0" applyAlignment="0" applyProtection="0"/>
    <xf numFmtId="0" fontId="28" fillId="0" borderId="0" applyNumberFormat="0" applyFill="0" applyBorder="0" applyAlignment="0" applyProtection="0"/>
    <xf numFmtId="0" fontId="17" fillId="15" borderId="43" applyNumberFormat="0" applyAlignment="0" applyProtection="0"/>
    <xf numFmtId="0" fontId="29" fillId="0" borderId="48" applyNumberFormat="0" applyFill="0" applyAlignment="0" applyProtection="0"/>
    <xf numFmtId="0" fontId="30" fillId="30" borderId="0" applyNumberFormat="0" applyBorder="0" applyAlignment="0" applyProtection="0"/>
    <xf numFmtId="0" fontId="31" fillId="28" borderId="49" applyNumberFormat="0" applyAlignment="0" applyProtection="0"/>
    <xf numFmtId="0" fontId="32" fillId="0" borderId="0" applyNumberFormat="0" applyFill="0" applyBorder="0" applyAlignment="0" applyProtection="0"/>
    <xf numFmtId="0" fontId="33" fillId="0" borderId="50" applyNumberFormat="0" applyFill="0" applyAlignment="0" applyProtection="0"/>
    <xf numFmtId="0" fontId="18" fillId="0" borderId="0" applyNumberFormat="0" applyFill="0" applyBorder="0" applyAlignment="0" applyProtection="0"/>
    <xf numFmtId="9" fontId="1" fillId="0" borderId="0" applyFont="0" applyFill="0" applyBorder="0" applyAlignment="0" applyProtection="0"/>
  </cellStyleXfs>
  <cellXfs count="207">
    <xf numFmtId="0" fontId="0" fillId="0" borderId="0" xfId="0"/>
    <xf numFmtId="0" fontId="2" fillId="0" borderId="0" xfId="1" applyFont="1" applyAlignment="1" applyProtection="1">
      <alignment vertical="center"/>
      <protection hidden="1"/>
    </xf>
    <xf numFmtId="2" fontId="2" fillId="0" borderId="0" xfId="1" applyNumberFormat="1" applyFont="1" applyAlignment="1" applyProtection="1">
      <alignment vertical="center"/>
      <protection hidden="1"/>
    </xf>
    <xf numFmtId="8" fontId="2" fillId="0" borderId="0" xfId="1" applyNumberFormat="1" applyFont="1" applyAlignment="1" applyProtection="1">
      <alignment vertical="center"/>
      <protection hidden="1"/>
    </xf>
    <xf numFmtId="164" fontId="2" fillId="0" borderId="0" xfId="1" applyNumberFormat="1" applyFont="1" applyAlignment="1" applyProtection="1">
      <alignment vertical="center"/>
      <protection hidden="1"/>
    </xf>
    <xf numFmtId="0" fontId="2" fillId="0" borderId="4" xfId="1" applyFont="1" applyBorder="1" applyAlignment="1" applyProtection="1">
      <alignment vertical="center"/>
      <protection hidden="1"/>
    </xf>
    <xf numFmtId="0" fontId="2" fillId="0" borderId="0" xfId="1" applyFont="1" applyBorder="1" applyAlignment="1" applyProtection="1">
      <alignment vertical="center"/>
      <protection hidden="1"/>
    </xf>
    <xf numFmtId="0" fontId="2" fillId="0" borderId="5" xfId="1" applyFont="1" applyBorder="1" applyAlignment="1" applyProtection="1">
      <alignment vertical="center"/>
      <protection hidden="1"/>
    </xf>
    <xf numFmtId="0" fontId="2" fillId="0" borderId="6" xfId="1" applyFont="1" applyBorder="1" applyAlignment="1" applyProtection="1">
      <alignment vertical="center"/>
      <protection hidden="1"/>
    </xf>
    <xf numFmtId="0" fontId="2" fillId="0" borderId="8" xfId="1" applyFont="1" applyBorder="1" applyAlignment="1" applyProtection="1">
      <alignment vertical="center"/>
      <protection hidden="1"/>
    </xf>
    <xf numFmtId="0" fontId="2" fillId="0" borderId="8" xfId="1" applyFont="1" applyBorder="1" applyAlignment="1" applyProtection="1">
      <alignment horizontal="center" vertical="center"/>
      <protection hidden="1"/>
    </xf>
    <xf numFmtId="164" fontId="2" fillId="2" borderId="7" xfId="1" applyNumberFormat="1" applyFont="1" applyFill="1" applyBorder="1" applyAlignment="1" applyProtection="1">
      <alignment horizontal="center" vertical="center"/>
      <protection locked="0" hidden="1"/>
    </xf>
    <xf numFmtId="164" fontId="2" fillId="0" borderId="8" xfId="1" applyNumberFormat="1" applyFont="1" applyFill="1" applyBorder="1" applyAlignment="1" applyProtection="1">
      <alignment horizontal="center" vertical="center"/>
      <protection hidden="1"/>
    </xf>
    <xf numFmtId="164" fontId="2" fillId="0" borderId="0" xfId="1" applyNumberFormat="1" applyFont="1" applyBorder="1" applyAlignment="1" applyProtection="1">
      <alignment horizontal="center" vertical="center"/>
      <protection hidden="1"/>
    </xf>
    <xf numFmtId="0" fontId="2" fillId="0" borderId="8" xfId="1" applyFont="1" applyFill="1" applyBorder="1" applyAlignment="1" applyProtection="1">
      <alignment vertical="center"/>
      <protection hidden="1"/>
    </xf>
    <xf numFmtId="0" fontId="2" fillId="0" borderId="0" xfId="1" applyFont="1" applyFill="1" applyBorder="1" applyAlignment="1" applyProtection="1">
      <alignment vertical="center"/>
      <protection hidden="1"/>
    </xf>
    <xf numFmtId="0" fontId="2" fillId="0" borderId="4" xfId="1" applyFont="1" applyBorder="1" applyAlignment="1" applyProtection="1">
      <alignment vertical="center" wrapText="1"/>
      <protection hidden="1"/>
    </xf>
    <xf numFmtId="0" fontId="2" fillId="0" borderId="10" xfId="1" applyFont="1" applyBorder="1" applyAlignment="1" applyProtection="1">
      <alignment vertical="center"/>
      <protection hidden="1"/>
    </xf>
    <xf numFmtId="0" fontId="2" fillId="0" borderId="11" xfId="1" applyFont="1" applyBorder="1" applyAlignment="1" applyProtection="1">
      <alignment horizontal="center" vertical="center"/>
      <protection hidden="1"/>
    </xf>
    <xf numFmtId="0" fontId="2" fillId="0" borderId="12" xfId="1" applyFont="1" applyBorder="1" applyAlignment="1" applyProtection="1">
      <alignment horizontal="center" vertical="center"/>
      <protection hidden="1"/>
    </xf>
    <xf numFmtId="164" fontId="2" fillId="0" borderId="4" xfId="1" applyNumberFormat="1" applyFont="1" applyBorder="1" applyAlignment="1" applyProtection="1">
      <alignment vertical="center"/>
      <protection hidden="1"/>
    </xf>
    <xf numFmtId="0" fontId="2" fillId="0" borderId="0"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164" fontId="4" fillId="2" borderId="7" xfId="1" applyNumberFormat="1" applyFont="1" applyFill="1" applyBorder="1" applyAlignment="1" applyProtection="1">
      <alignment horizontal="center" vertical="center"/>
      <protection locked="0" hidden="1"/>
    </xf>
    <xf numFmtId="0" fontId="2" fillId="0" borderId="11" xfId="1" applyFont="1" applyBorder="1" applyAlignment="1" applyProtection="1">
      <alignment vertical="center"/>
      <protection hidden="1"/>
    </xf>
    <xf numFmtId="0" fontId="2" fillId="0" borderId="12" xfId="1" applyFont="1" applyBorder="1" applyAlignment="1" applyProtection="1">
      <alignment vertical="center"/>
      <protection hidden="1"/>
    </xf>
    <xf numFmtId="10" fontId="2" fillId="0" borderId="0" xfId="1" applyNumberFormat="1" applyFont="1" applyAlignment="1" applyProtection="1">
      <alignment vertical="center"/>
      <protection hidden="1"/>
    </xf>
    <xf numFmtId="10" fontId="2" fillId="0" borderId="0" xfId="2" applyNumberFormat="1" applyFont="1" applyFill="1" applyBorder="1" applyAlignment="1" applyProtection="1">
      <alignment vertical="center"/>
      <protection hidden="1"/>
    </xf>
    <xf numFmtId="0" fontId="2" fillId="0" borderId="18" xfId="1" applyFont="1" applyBorder="1" applyAlignment="1" applyProtection="1">
      <alignment horizontal="center" vertical="center"/>
      <protection hidden="1"/>
    </xf>
    <xf numFmtId="0" fontId="2" fillId="0" borderId="19" xfId="1" applyFont="1" applyBorder="1" applyAlignment="1" applyProtection="1">
      <alignment horizontal="center" vertical="center"/>
      <protection hidden="1"/>
    </xf>
    <xf numFmtId="0" fontId="2" fillId="0" borderId="20" xfId="1" applyFont="1" applyBorder="1" applyAlignment="1" applyProtection="1">
      <alignment horizontal="center" vertical="center"/>
      <protection hidden="1"/>
    </xf>
    <xf numFmtId="0" fontId="2" fillId="0" borderId="21" xfId="1" applyFont="1" applyBorder="1" applyAlignment="1" applyProtection="1">
      <alignment horizontal="center" vertical="center"/>
      <protection hidden="1"/>
    </xf>
    <xf numFmtId="0" fontId="2" fillId="0" borderId="17" xfId="1" applyFont="1" applyBorder="1" applyAlignment="1" applyProtection="1">
      <alignment vertical="center"/>
      <protection hidden="1"/>
    </xf>
    <xf numFmtId="0" fontId="2" fillId="0" borderId="22" xfId="1" applyFont="1" applyBorder="1" applyAlignment="1" applyProtection="1">
      <alignment horizontal="center" vertical="center"/>
      <protection hidden="1"/>
    </xf>
    <xf numFmtId="0" fontId="2" fillId="0" borderId="23" xfId="1" applyFont="1" applyBorder="1" applyAlignment="1" applyProtection="1">
      <alignment horizontal="center" vertical="center"/>
      <protection hidden="1"/>
    </xf>
    <xf numFmtId="0" fontId="2" fillId="0" borderId="5" xfId="1" applyFont="1" applyBorder="1" applyAlignment="1" applyProtection="1">
      <alignment horizontal="center" vertical="center"/>
      <protection hidden="1"/>
    </xf>
    <xf numFmtId="0" fontId="3" fillId="0" borderId="17" xfId="1" applyFont="1" applyBorder="1" applyAlignment="1" applyProtection="1">
      <alignment vertical="center"/>
      <protection hidden="1"/>
    </xf>
    <xf numFmtId="2" fontId="2" fillId="0" borderId="24" xfId="1" applyNumberFormat="1" applyFont="1" applyBorder="1" applyAlignment="1" applyProtection="1">
      <alignment horizontal="center" vertical="center"/>
      <protection hidden="1"/>
    </xf>
    <xf numFmtId="2" fontId="2" fillId="0" borderId="25" xfId="1" applyNumberFormat="1" applyFont="1" applyBorder="1" applyAlignment="1" applyProtection="1">
      <alignment horizontal="center" vertical="center"/>
      <protection hidden="1"/>
    </xf>
    <xf numFmtId="2" fontId="2" fillId="0" borderId="26" xfId="1" applyNumberFormat="1" applyFont="1" applyBorder="1" applyAlignment="1" applyProtection="1">
      <alignment horizontal="center" vertical="center"/>
      <protection hidden="1"/>
    </xf>
    <xf numFmtId="2" fontId="5" fillId="0" borderId="24" xfId="1" applyNumberFormat="1" applyFont="1" applyFill="1" applyBorder="1" applyAlignment="1" applyProtection="1">
      <alignment horizontal="center" vertical="center"/>
      <protection hidden="1"/>
    </xf>
    <xf numFmtId="2" fontId="5" fillId="0" borderId="25" xfId="1" applyNumberFormat="1" applyFont="1" applyFill="1" applyBorder="1" applyAlignment="1" applyProtection="1">
      <alignment horizontal="center" vertical="center"/>
      <protection hidden="1"/>
    </xf>
    <xf numFmtId="2" fontId="5" fillId="0" borderId="26" xfId="1" applyNumberFormat="1" applyFont="1" applyFill="1" applyBorder="1" applyAlignment="1" applyProtection="1">
      <alignment horizontal="center" vertical="center"/>
      <protection hidden="1"/>
    </xf>
    <xf numFmtId="2" fontId="5" fillId="0" borderId="8" xfId="1" applyNumberFormat="1" applyFont="1" applyFill="1" applyBorder="1" applyAlignment="1" applyProtection="1">
      <alignment horizontal="center" vertical="center"/>
      <protection hidden="1"/>
    </xf>
    <xf numFmtId="0" fontId="6" fillId="0" borderId="17" xfId="1" applyFont="1" applyBorder="1" applyAlignment="1" applyProtection="1">
      <alignment horizontal="center" vertical="center" wrapText="1"/>
      <protection hidden="1"/>
    </xf>
    <xf numFmtId="165" fontId="2" fillId="0" borderId="24" xfId="1" applyNumberFormat="1" applyFont="1" applyBorder="1" applyAlignment="1" applyProtection="1">
      <alignment horizontal="center" vertical="center"/>
      <protection hidden="1"/>
    </xf>
    <xf numFmtId="165" fontId="2" fillId="0" borderId="25" xfId="1" applyNumberFormat="1" applyFont="1" applyBorder="1" applyAlignment="1" applyProtection="1">
      <alignment horizontal="center" vertical="center"/>
      <protection hidden="1"/>
    </xf>
    <xf numFmtId="165" fontId="2" fillId="0" borderId="26" xfId="1" applyNumberFormat="1" applyFont="1" applyBorder="1" applyAlignment="1" applyProtection="1">
      <alignment horizontal="center" vertical="center"/>
      <protection hidden="1"/>
    </xf>
    <xf numFmtId="165" fontId="2" fillId="0" borderId="27" xfId="1" applyNumberFormat="1" applyFont="1" applyBorder="1" applyAlignment="1" applyProtection="1">
      <alignment horizontal="center" vertical="center"/>
      <protection hidden="1"/>
    </xf>
    <xf numFmtId="0" fontId="6" fillId="0" borderId="17" xfId="1" quotePrefix="1" applyFont="1" applyBorder="1" applyAlignment="1" applyProtection="1">
      <alignment horizontal="center" vertical="center" wrapText="1"/>
      <protection hidden="1"/>
    </xf>
    <xf numFmtId="164" fontId="2" fillId="0" borderId="24" xfId="1" applyNumberFormat="1" applyFont="1" applyBorder="1" applyAlignment="1" applyProtection="1">
      <alignment horizontal="center" vertical="center"/>
      <protection hidden="1"/>
    </xf>
    <xf numFmtId="164" fontId="2" fillId="0" borderId="25" xfId="1" applyNumberFormat="1" applyFont="1" applyBorder="1" applyAlignment="1" applyProtection="1">
      <alignment horizontal="center" vertical="center"/>
      <protection hidden="1"/>
    </xf>
    <xf numFmtId="164" fontId="2" fillId="0" borderId="26" xfId="1" applyNumberFormat="1" applyFont="1" applyBorder="1" applyAlignment="1" applyProtection="1">
      <alignment horizontal="center" vertical="center"/>
      <protection hidden="1"/>
    </xf>
    <xf numFmtId="164" fontId="2" fillId="0" borderId="27" xfId="1" applyNumberFormat="1" applyFont="1" applyBorder="1" applyAlignment="1" applyProtection="1">
      <alignment horizontal="center" vertical="center"/>
      <protection hidden="1"/>
    </xf>
    <xf numFmtId="0" fontId="6" fillId="0" borderId="17" xfId="1" applyFont="1" applyBorder="1" applyAlignment="1" applyProtection="1">
      <alignment horizontal="center" vertical="center"/>
      <protection hidden="1"/>
    </xf>
    <xf numFmtId="0" fontId="6" fillId="0" borderId="17" xfId="1" applyFont="1" applyBorder="1" applyAlignment="1" applyProtection="1">
      <alignment horizontal="right" vertical="center"/>
      <protection hidden="1"/>
    </xf>
    <xf numFmtId="165" fontId="6" fillId="0" borderId="17" xfId="1" applyNumberFormat="1" applyFont="1" applyBorder="1" applyAlignment="1" applyProtection="1">
      <alignment horizontal="right" vertical="center"/>
      <protection hidden="1"/>
    </xf>
    <xf numFmtId="2" fontId="2" fillId="0" borderId="27" xfId="1" applyNumberFormat="1" applyFont="1" applyBorder="1" applyAlignment="1" applyProtection="1">
      <alignment horizontal="center" vertical="center"/>
      <protection hidden="1"/>
    </xf>
    <xf numFmtId="165" fontId="6" fillId="0" borderId="28" xfId="1" applyNumberFormat="1" applyFont="1" applyBorder="1" applyAlignment="1" applyProtection="1">
      <alignment horizontal="right" vertical="center"/>
      <protection hidden="1"/>
    </xf>
    <xf numFmtId="164" fontId="2" fillId="0" borderId="29" xfId="1" applyNumberFormat="1" applyFont="1" applyBorder="1" applyAlignment="1" applyProtection="1">
      <alignment horizontal="center" vertical="center"/>
      <protection hidden="1"/>
    </xf>
    <xf numFmtId="164" fontId="2" fillId="0" borderId="30" xfId="1" applyNumberFormat="1" applyFont="1" applyBorder="1" applyAlignment="1" applyProtection="1">
      <alignment horizontal="center" vertical="center"/>
      <protection hidden="1"/>
    </xf>
    <xf numFmtId="164" fontId="2" fillId="0" borderId="12" xfId="1" applyNumberFormat="1" applyFont="1" applyBorder="1" applyAlignment="1" applyProtection="1">
      <alignment horizontal="center" vertical="center"/>
      <protection hidden="1"/>
    </xf>
    <xf numFmtId="164" fontId="2" fillId="0" borderId="31" xfId="1" applyNumberFormat="1" applyFont="1" applyBorder="1" applyAlignment="1" applyProtection="1">
      <alignment horizontal="center" vertical="center"/>
      <protection hidden="1"/>
    </xf>
    <xf numFmtId="0" fontId="3" fillId="4" borderId="17" xfId="1" applyFont="1" applyFill="1" applyBorder="1" applyAlignment="1" applyProtection="1">
      <alignment vertical="center" wrapText="1"/>
      <protection hidden="1"/>
    </xf>
    <xf numFmtId="2" fontId="4" fillId="4" borderId="24" xfId="1" applyNumberFormat="1" applyFont="1" applyFill="1" applyBorder="1" applyAlignment="1" applyProtection="1">
      <alignment horizontal="center" vertical="center"/>
      <protection hidden="1"/>
    </xf>
    <xf numFmtId="2" fontId="4" fillId="4" borderId="25" xfId="1" applyNumberFormat="1" applyFont="1" applyFill="1" applyBorder="1" applyAlignment="1" applyProtection="1">
      <alignment horizontal="center" vertical="center"/>
      <protection hidden="1"/>
    </xf>
    <xf numFmtId="2" fontId="4" fillId="4" borderId="26" xfId="1" applyNumberFormat="1" applyFont="1" applyFill="1" applyBorder="1" applyAlignment="1" applyProtection="1">
      <alignment horizontal="center" vertical="center"/>
      <protection hidden="1"/>
    </xf>
    <xf numFmtId="2" fontId="4" fillId="4" borderId="27" xfId="1" applyNumberFormat="1" applyFont="1" applyFill="1" applyBorder="1" applyAlignment="1" applyProtection="1">
      <alignment horizontal="center" vertical="center"/>
      <protection hidden="1"/>
    </xf>
    <xf numFmtId="0" fontId="2" fillId="0" borderId="0" xfId="1" applyFont="1" applyFill="1" applyAlignment="1" applyProtection="1">
      <alignment vertical="center"/>
      <protection hidden="1"/>
    </xf>
    <xf numFmtId="0" fontId="6" fillId="4" borderId="17" xfId="1" applyFont="1" applyFill="1" applyBorder="1" applyAlignment="1" applyProtection="1">
      <alignment vertical="center" wrapText="1"/>
      <protection hidden="1"/>
    </xf>
    <xf numFmtId="2" fontId="4" fillId="4" borderId="8" xfId="1" applyNumberFormat="1" applyFont="1" applyFill="1" applyBorder="1" applyAlignment="1" applyProtection="1">
      <alignment horizontal="center" vertical="center"/>
      <protection hidden="1"/>
    </xf>
    <xf numFmtId="0" fontId="2" fillId="5" borderId="0" xfId="1" applyFont="1" applyFill="1" applyAlignment="1" applyProtection="1">
      <alignment vertical="center"/>
      <protection hidden="1"/>
    </xf>
    <xf numFmtId="0" fontId="6" fillId="4" borderId="17" xfId="1" applyFont="1" applyFill="1" applyBorder="1" applyAlignment="1" applyProtection="1">
      <alignment horizontal="center" vertical="center" wrapText="1"/>
      <protection hidden="1"/>
    </xf>
    <xf numFmtId="165" fontId="2" fillId="4" borderId="24" xfId="1" applyNumberFormat="1" applyFont="1" applyFill="1" applyBorder="1" applyAlignment="1" applyProtection="1">
      <alignment horizontal="center" vertical="center"/>
      <protection hidden="1"/>
    </xf>
    <xf numFmtId="165" fontId="2" fillId="4" borderId="26" xfId="1" applyNumberFormat="1" applyFont="1" applyFill="1" applyBorder="1" applyAlignment="1" applyProtection="1">
      <alignment horizontal="center" vertical="center"/>
      <protection hidden="1"/>
    </xf>
    <xf numFmtId="165" fontId="2" fillId="4" borderId="25" xfId="1" applyNumberFormat="1" applyFont="1" applyFill="1" applyBorder="1" applyAlignment="1" applyProtection="1">
      <alignment horizontal="center" vertical="center"/>
      <protection hidden="1"/>
    </xf>
    <xf numFmtId="165" fontId="2" fillId="4" borderId="27" xfId="1" applyNumberFormat="1" applyFont="1" applyFill="1" applyBorder="1" applyAlignment="1" applyProtection="1">
      <alignment horizontal="center" vertical="center"/>
      <protection hidden="1"/>
    </xf>
    <xf numFmtId="0" fontId="6" fillId="4" borderId="17" xfId="1" quotePrefix="1" applyFont="1" applyFill="1" applyBorder="1" applyAlignment="1" applyProtection="1">
      <alignment horizontal="center" vertical="center" wrapText="1"/>
      <protection hidden="1"/>
    </xf>
    <xf numFmtId="164" fontId="2" fillId="4" borderId="24" xfId="1" applyNumberFormat="1" applyFont="1" applyFill="1" applyBorder="1" applyAlignment="1" applyProtection="1">
      <alignment horizontal="center" vertical="center"/>
      <protection hidden="1"/>
    </xf>
    <xf numFmtId="164" fontId="2" fillId="4" borderId="26" xfId="1" applyNumberFormat="1" applyFont="1" applyFill="1" applyBorder="1" applyAlignment="1" applyProtection="1">
      <alignment horizontal="center" vertical="center"/>
      <protection hidden="1"/>
    </xf>
    <xf numFmtId="164" fontId="2" fillId="4" borderId="25" xfId="1" applyNumberFormat="1" applyFont="1" applyFill="1" applyBorder="1" applyAlignment="1" applyProtection="1">
      <alignment horizontal="center" vertical="center"/>
      <protection hidden="1"/>
    </xf>
    <xf numFmtId="164" fontId="2" fillId="4" borderId="27" xfId="1" applyNumberFormat="1" applyFont="1" applyFill="1" applyBorder="1" applyAlignment="1" applyProtection="1">
      <alignment horizontal="center" vertical="center"/>
      <protection hidden="1"/>
    </xf>
    <xf numFmtId="0" fontId="6" fillId="4" borderId="28" xfId="1" applyFont="1" applyFill="1" applyBorder="1" applyAlignment="1" applyProtection="1">
      <alignment horizontal="center" vertical="center"/>
      <protection hidden="1"/>
    </xf>
    <xf numFmtId="165" fontId="2" fillId="4" borderId="29" xfId="1" applyNumberFormat="1" applyFont="1" applyFill="1" applyBorder="1" applyAlignment="1" applyProtection="1">
      <alignment horizontal="center" vertical="center"/>
      <protection hidden="1"/>
    </xf>
    <xf numFmtId="165" fontId="2" fillId="4" borderId="32" xfId="1" applyNumberFormat="1" applyFont="1" applyFill="1" applyBorder="1" applyAlignment="1" applyProtection="1">
      <alignment horizontal="center" vertical="center"/>
      <protection hidden="1"/>
    </xf>
    <xf numFmtId="165" fontId="2" fillId="4" borderId="30" xfId="1" applyNumberFormat="1" applyFont="1" applyFill="1" applyBorder="1" applyAlignment="1" applyProtection="1">
      <alignment horizontal="center" vertical="center"/>
      <protection hidden="1"/>
    </xf>
    <xf numFmtId="165" fontId="2" fillId="4" borderId="31" xfId="1" applyNumberFormat="1" applyFont="1" applyFill="1" applyBorder="1" applyAlignment="1" applyProtection="1">
      <alignment horizontal="center" vertical="center"/>
      <protection hidden="1"/>
    </xf>
    <xf numFmtId="0" fontId="3" fillId="3" borderId="17" xfId="1" applyFont="1" applyFill="1" applyBorder="1" applyAlignment="1" applyProtection="1">
      <alignment horizontal="center" vertical="center" textRotation="90" wrapText="1"/>
      <protection hidden="1"/>
    </xf>
    <xf numFmtId="0" fontId="6" fillId="5" borderId="17" xfId="1" applyFont="1" applyFill="1" applyBorder="1" applyAlignment="1" applyProtection="1">
      <alignment horizontal="right" vertical="center"/>
      <protection hidden="1"/>
    </xf>
    <xf numFmtId="164" fontId="2" fillId="5" borderId="24" xfId="1" applyNumberFormat="1" applyFont="1" applyFill="1" applyBorder="1" applyAlignment="1" applyProtection="1">
      <alignment horizontal="center" vertical="center"/>
      <protection hidden="1"/>
    </xf>
    <xf numFmtId="165" fontId="6" fillId="5" borderId="17" xfId="1" applyNumberFormat="1" applyFont="1" applyFill="1" applyBorder="1" applyAlignment="1" applyProtection="1">
      <alignment horizontal="right" vertical="center"/>
      <protection hidden="1"/>
    </xf>
    <xf numFmtId="0" fontId="3" fillId="3" borderId="28" xfId="1" applyFont="1" applyFill="1" applyBorder="1" applyAlignment="1" applyProtection="1">
      <alignment horizontal="center" vertical="center" textRotation="90" wrapText="1"/>
      <protection hidden="1"/>
    </xf>
    <xf numFmtId="165" fontId="6" fillId="5" borderId="28" xfId="1" applyNumberFormat="1" applyFont="1" applyFill="1" applyBorder="1" applyAlignment="1" applyProtection="1">
      <alignment horizontal="right" vertical="center"/>
      <protection hidden="1"/>
    </xf>
    <xf numFmtId="2" fontId="2" fillId="0" borderId="29" xfId="1" applyNumberFormat="1" applyFont="1" applyBorder="1" applyAlignment="1" applyProtection="1">
      <alignment horizontal="center" vertical="center"/>
      <protection hidden="1"/>
    </xf>
    <xf numFmtId="2" fontId="4" fillId="5" borderId="29" xfId="1" applyNumberFormat="1" applyFont="1" applyFill="1" applyBorder="1" applyAlignment="1" applyProtection="1">
      <alignment horizontal="center" vertical="center"/>
      <protection hidden="1"/>
    </xf>
    <xf numFmtId="0" fontId="3" fillId="3" borderId="0" xfId="1" applyFont="1" applyFill="1" applyBorder="1" applyAlignment="1" applyProtection="1">
      <alignment horizontal="center" vertical="center" textRotation="90" wrapText="1"/>
      <protection hidden="1"/>
    </xf>
    <xf numFmtId="0" fontId="3" fillId="5" borderId="0" xfId="1" applyFont="1" applyFill="1" applyBorder="1" applyAlignment="1" applyProtection="1">
      <alignment horizontal="center" vertical="center" textRotation="90" wrapText="1"/>
      <protection hidden="1"/>
    </xf>
    <xf numFmtId="165" fontId="6" fillId="5" borderId="0" xfId="1" applyNumberFormat="1" applyFont="1" applyFill="1" applyBorder="1" applyAlignment="1" applyProtection="1">
      <alignment horizontal="right" vertical="center"/>
      <protection hidden="1"/>
    </xf>
    <xf numFmtId="165" fontId="2" fillId="0" borderId="0" xfId="1" applyNumberFormat="1" applyFont="1" applyAlignment="1" applyProtection="1">
      <alignment vertical="center"/>
      <protection hidden="1"/>
    </xf>
    <xf numFmtId="0" fontId="2" fillId="0" borderId="13" xfId="1" applyFont="1" applyBorder="1" applyAlignment="1" applyProtection="1">
      <alignment vertical="center"/>
      <protection hidden="1"/>
    </xf>
    <xf numFmtId="164" fontId="2" fillId="0" borderId="0" xfId="1" applyNumberFormat="1" applyFont="1" applyBorder="1" applyAlignment="1" applyProtection="1">
      <alignment vertical="center"/>
      <protection hidden="1"/>
    </xf>
    <xf numFmtId="1" fontId="2" fillId="0" borderId="0" xfId="1" applyNumberFormat="1" applyFont="1" applyAlignment="1" applyProtection="1">
      <alignment vertical="center"/>
      <protection hidden="1"/>
    </xf>
    <xf numFmtId="10" fontId="2" fillId="0" borderId="17" xfId="3" applyNumberFormat="1" applyFont="1" applyBorder="1" applyAlignment="1" applyProtection="1">
      <alignment horizontal="center" vertical="center"/>
      <protection hidden="1"/>
    </xf>
    <xf numFmtId="10" fontId="2" fillId="0" borderId="33" xfId="3" applyNumberFormat="1" applyFont="1" applyBorder="1" applyAlignment="1" applyProtection="1">
      <alignment horizontal="center" vertical="center"/>
      <protection hidden="1"/>
    </xf>
    <xf numFmtId="10" fontId="2" fillId="0" borderId="8" xfId="3" applyNumberFormat="1" applyFont="1" applyBorder="1" applyAlignment="1" applyProtection="1">
      <alignment horizontal="center" vertical="center"/>
      <protection hidden="1"/>
    </xf>
    <xf numFmtId="10" fontId="2" fillId="0" borderId="0" xfId="3" applyNumberFormat="1" applyFont="1" applyBorder="1" applyAlignment="1" applyProtection="1">
      <alignment horizontal="center" vertical="center"/>
      <protection hidden="1"/>
    </xf>
    <xf numFmtId="10" fontId="2" fillId="0" borderId="8" xfId="1" applyNumberFormat="1" applyFont="1" applyFill="1" applyBorder="1" applyAlignment="1" applyProtection="1">
      <alignment vertical="center"/>
      <protection hidden="1"/>
    </xf>
    <xf numFmtId="10" fontId="2" fillId="0" borderId="4" xfId="3" applyNumberFormat="1" applyFont="1" applyBorder="1" applyAlignment="1" applyProtection="1">
      <alignment horizontal="center" vertical="center"/>
      <protection hidden="1"/>
    </xf>
    <xf numFmtId="10" fontId="2" fillId="2" borderId="33" xfId="3" applyNumberFormat="1" applyFont="1" applyFill="1" applyBorder="1" applyAlignment="1" applyProtection="1">
      <alignment horizontal="center" vertical="center"/>
      <protection locked="0" hidden="1"/>
    </xf>
    <xf numFmtId="10" fontId="2" fillId="0" borderId="0" xfId="3" applyNumberFormat="1" applyFont="1" applyFill="1" applyBorder="1" applyAlignment="1" applyProtection="1">
      <alignment horizontal="center" vertical="center"/>
      <protection hidden="1"/>
    </xf>
    <xf numFmtId="0" fontId="2" fillId="0" borderId="28" xfId="1" applyFont="1" applyBorder="1" applyAlignment="1" applyProtection="1">
      <alignment vertical="center"/>
      <protection hidden="1"/>
    </xf>
    <xf numFmtId="0" fontId="8" fillId="0" borderId="11" xfId="1" applyFont="1" applyBorder="1" applyAlignment="1" applyProtection="1">
      <alignment horizontal="center" vertical="center"/>
      <protection hidden="1"/>
    </xf>
    <xf numFmtId="10" fontId="2" fillId="0" borderId="0" xfId="1" applyNumberFormat="1" applyFont="1" applyFill="1" applyBorder="1" applyAlignment="1" applyProtection="1">
      <alignment horizontal="center" vertical="center"/>
      <protection hidden="1"/>
    </xf>
    <xf numFmtId="8" fontId="2" fillId="0" borderId="8" xfId="1" applyNumberFormat="1" applyFont="1" applyBorder="1" applyAlignment="1" applyProtection="1">
      <alignment horizontal="center" vertical="center"/>
      <protection hidden="1"/>
    </xf>
    <xf numFmtId="8" fontId="2" fillId="0" borderId="0" xfId="1" applyNumberFormat="1" applyFont="1" applyBorder="1" applyAlignment="1" applyProtection="1">
      <alignment horizontal="center" vertical="center"/>
      <protection hidden="1"/>
    </xf>
    <xf numFmtId="164" fontId="2" fillId="0" borderId="11" xfId="1" applyNumberFormat="1" applyFont="1" applyBorder="1" applyAlignment="1" applyProtection="1">
      <alignment horizontal="center" vertical="center"/>
      <protection hidden="1"/>
    </xf>
    <xf numFmtId="164" fontId="2" fillId="0" borderId="8" xfId="1" applyNumberFormat="1" applyFont="1" applyBorder="1" applyAlignment="1" applyProtection="1">
      <alignment horizontal="center" vertical="center"/>
      <protection hidden="1"/>
    </xf>
    <xf numFmtId="0" fontId="2" fillId="2" borderId="33" xfId="1" applyFont="1" applyFill="1" applyBorder="1" applyAlignment="1" applyProtection="1">
      <alignment vertical="center"/>
      <protection locked="0" hidden="1"/>
    </xf>
    <xf numFmtId="0" fontId="2" fillId="0" borderId="17" xfId="1" applyFont="1" applyBorder="1" applyAlignment="1" applyProtection="1">
      <alignment horizontal="left" vertical="center" wrapText="1"/>
      <protection hidden="1"/>
    </xf>
    <xf numFmtId="164" fontId="2" fillId="0" borderId="17" xfId="1" applyNumberFormat="1" applyFont="1" applyFill="1" applyBorder="1" applyAlignment="1" applyProtection="1">
      <alignment vertical="center"/>
      <protection hidden="1"/>
    </xf>
    <xf numFmtId="0" fontId="2" fillId="0" borderId="17" xfId="1" applyFont="1" applyBorder="1" applyAlignment="1" applyProtection="1">
      <alignment horizontal="left" vertical="center"/>
      <protection hidden="1"/>
    </xf>
    <xf numFmtId="0" fontId="2" fillId="0" borderId="17" xfId="1" applyFont="1" applyFill="1" applyBorder="1" applyAlignment="1" applyProtection="1">
      <alignment vertical="center"/>
      <protection hidden="1"/>
    </xf>
    <xf numFmtId="4" fontId="2" fillId="0" borderId="0" xfId="1" applyNumberFormat="1" applyFont="1" applyBorder="1" applyAlignment="1" applyProtection="1">
      <alignment horizontal="center" vertical="center"/>
      <protection hidden="1"/>
    </xf>
    <xf numFmtId="0" fontId="2" fillId="0" borderId="28" xfId="1" applyFont="1" applyFill="1" applyBorder="1" applyAlignment="1" applyProtection="1">
      <alignment vertical="center"/>
      <protection hidden="1"/>
    </xf>
    <xf numFmtId="4" fontId="2" fillId="0" borderId="11" xfId="1" applyNumberFormat="1" applyFont="1" applyBorder="1" applyAlignment="1" applyProtection="1">
      <alignment horizontal="center" vertical="center"/>
      <protection hidden="1"/>
    </xf>
    <xf numFmtId="165" fontId="2" fillId="0" borderId="0" xfId="1" applyNumberFormat="1" applyFont="1" applyBorder="1" applyAlignment="1" applyProtection="1">
      <alignment vertical="center"/>
      <protection hidden="1"/>
    </xf>
    <xf numFmtId="0" fontId="2" fillId="2" borderId="7" xfId="1" applyNumberFormat="1" applyFont="1" applyFill="1" applyBorder="1" applyAlignment="1" applyProtection="1">
      <alignment horizontal="center" vertical="center"/>
      <protection locked="0" hidden="1"/>
    </xf>
    <xf numFmtId="3" fontId="2" fillId="2" borderId="7" xfId="1" applyNumberFormat="1" applyFont="1" applyFill="1" applyBorder="1" applyAlignment="1" applyProtection="1">
      <alignment horizontal="center" vertical="center"/>
      <protection locked="0" hidden="1"/>
    </xf>
    <xf numFmtId="2" fontId="2" fillId="5" borderId="7" xfId="1" applyNumberFormat="1" applyFont="1" applyFill="1" applyBorder="1" applyAlignment="1" applyProtection="1">
      <alignment horizontal="center" vertical="center"/>
      <protection hidden="1"/>
    </xf>
    <xf numFmtId="164" fontId="2" fillId="5" borderId="0" xfId="1" applyNumberFormat="1" applyFont="1" applyFill="1" applyBorder="1" applyAlignment="1" applyProtection="1">
      <alignment horizontal="center" vertical="center"/>
      <protection locked="0" hidden="1"/>
    </xf>
    <xf numFmtId="164" fontId="2" fillId="5" borderId="7" xfId="1" applyNumberFormat="1" applyFont="1" applyFill="1" applyBorder="1" applyAlignment="1" applyProtection="1">
      <alignment horizontal="center" vertical="center"/>
      <protection hidden="1"/>
    </xf>
    <xf numFmtId="0" fontId="2" fillId="0" borderId="42" xfId="1" applyFont="1" applyBorder="1" applyAlignment="1" applyProtection="1">
      <alignment vertical="center"/>
      <protection hidden="1"/>
    </xf>
    <xf numFmtId="0" fontId="2" fillId="0" borderId="10" xfId="1" applyFont="1" applyBorder="1" applyAlignment="1" applyProtection="1">
      <alignment vertical="center" wrapText="1"/>
      <protection hidden="1"/>
    </xf>
    <xf numFmtId="0" fontId="12" fillId="0" borderId="0" xfId="23"/>
    <xf numFmtId="0" fontId="2" fillId="0" borderId="0" xfId="1" applyFont="1" applyAlignment="1" applyProtection="1">
      <alignment vertical="center"/>
      <protection hidden="1"/>
    </xf>
    <xf numFmtId="0" fontId="2" fillId="0" borderId="0" xfId="1" applyFont="1" applyBorder="1" applyAlignment="1" applyProtection="1">
      <alignment vertical="center"/>
      <protection hidden="1"/>
    </xf>
    <xf numFmtId="0" fontId="2" fillId="5" borderId="0" xfId="1" applyFont="1" applyFill="1" applyBorder="1" applyAlignment="1" applyProtection="1">
      <alignment vertical="center"/>
      <protection hidden="1"/>
    </xf>
    <xf numFmtId="0" fontId="2" fillId="5" borderId="0" xfId="1" applyFont="1" applyFill="1" applyBorder="1" applyAlignment="1" applyProtection="1">
      <alignment horizontal="center" vertical="center"/>
      <protection hidden="1"/>
    </xf>
    <xf numFmtId="0" fontId="2" fillId="5" borderId="0" xfId="1" applyFont="1" applyFill="1" applyBorder="1" applyAlignment="1" applyProtection="1">
      <alignment horizontal="center" vertical="center" wrapText="1"/>
      <protection hidden="1"/>
    </xf>
    <xf numFmtId="10" fontId="34" fillId="2" borderId="0" xfId="3" applyNumberFormat="1" applyFont="1" applyFill="1" applyAlignment="1">
      <alignment horizontal="right"/>
    </xf>
    <xf numFmtId="1" fontId="34" fillId="2" borderId="0" xfId="1" applyNumberFormat="1" applyFont="1" applyFill="1" applyAlignment="1">
      <alignment horizontal="right"/>
    </xf>
    <xf numFmtId="0" fontId="34" fillId="0" borderId="0" xfId="1" applyFont="1"/>
    <xf numFmtId="0" fontId="34" fillId="2" borderId="0" xfId="1" applyFont="1" applyFill="1"/>
    <xf numFmtId="0" fontId="34" fillId="0" borderId="0" xfId="1" applyFont="1" applyFill="1"/>
    <xf numFmtId="10" fontId="34" fillId="0" borderId="0" xfId="1" applyNumberFormat="1" applyFont="1"/>
    <xf numFmtId="0" fontId="35" fillId="0" borderId="0" xfId="1" applyFont="1"/>
    <xf numFmtId="0" fontId="1" fillId="0" borderId="0" xfId="1"/>
    <xf numFmtId="0" fontId="34" fillId="0" borderId="0" xfId="1" applyFont="1" applyAlignment="1"/>
    <xf numFmtId="0" fontId="36" fillId="31" borderId="7" xfId="1" applyFont="1" applyFill="1" applyBorder="1" applyAlignment="1" applyProtection="1">
      <alignment horizontal="left" vertical="center"/>
      <protection locked="0"/>
    </xf>
    <xf numFmtId="0" fontId="37" fillId="0" borderId="0" xfId="1" applyFont="1" applyAlignment="1"/>
    <xf numFmtId="0" fontId="35" fillId="0" borderId="0" xfId="1" applyFont="1" applyAlignment="1"/>
    <xf numFmtId="0" fontId="38" fillId="0" borderId="0" xfId="1" applyFont="1" applyAlignment="1"/>
    <xf numFmtId="0" fontId="39" fillId="0" borderId="0" xfId="1" applyFont="1" applyAlignment="1"/>
    <xf numFmtId="2" fontId="4" fillId="5" borderId="0" xfId="1" applyNumberFormat="1" applyFont="1" applyFill="1" applyBorder="1" applyAlignment="1" applyProtection="1">
      <alignment horizontal="center" vertical="center"/>
      <protection hidden="1"/>
    </xf>
    <xf numFmtId="0" fontId="12" fillId="0" borderId="7" xfId="0" applyNumberFormat="1" applyFont="1" applyFill="1" applyBorder="1" applyAlignment="1">
      <alignment horizontal="left"/>
    </xf>
    <xf numFmtId="170" fontId="0" fillId="0" borderId="7" xfId="0" applyNumberFormat="1" applyBorder="1" applyAlignment="1">
      <alignment horizontal="left"/>
    </xf>
    <xf numFmtId="165" fontId="2" fillId="4" borderId="4" xfId="1" applyNumberFormat="1" applyFont="1" applyFill="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xf numFmtId="0" fontId="2" fillId="0" borderId="7" xfId="1" applyFont="1" applyFill="1" applyBorder="1" applyAlignment="1" applyProtection="1">
      <alignment horizontal="center" vertical="center"/>
      <protection hidden="1"/>
    </xf>
    <xf numFmtId="164" fontId="4" fillId="5" borderId="0" xfId="1" applyNumberFormat="1" applyFont="1" applyFill="1" applyBorder="1" applyAlignment="1" applyProtection="1">
      <alignment horizontal="center" vertical="center"/>
      <protection locked="0" hidden="1"/>
    </xf>
    <xf numFmtId="10" fontId="34" fillId="0" borderId="0" xfId="91" applyNumberFormat="1" applyFont="1"/>
    <xf numFmtId="10" fontId="4" fillId="2" borderId="7" xfId="91" applyNumberFormat="1" applyFont="1" applyFill="1" applyBorder="1" applyAlignment="1" applyProtection="1">
      <alignment horizontal="center" vertical="center"/>
      <protection locked="0" hidden="1"/>
    </xf>
    <xf numFmtId="10" fontId="2" fillId="5" borderId="33" xfId="1" applyNumberFormat="1" applyFont="1" applyFill="1" applyBorder="1" applyAlignment="1" applyProtection="1">
      <alignment horizontal="center" vertical="center"/>
      <protection hidden="1"/>
    </xf>
    <xf numFmtId="2" fontId="2" fillId="0" borderId="11" xfId="1" applyNumberFormat="1" applyFont="1" applyBorder="1" applyAlignment="1" applyProtection="1">
      <alignment horizontal="center" vertical="center"/>
      <protection hidden="1"/>
    </xf>
    <xf numFmtId="0" fontId="3" fillId="32" borderId="33" xfId="1" applyFont="1" applyFill="1" applyBorder="1" applyAlignment="1" applyProtection="1">
      <alignment horizontal="center" vertical="center"/>
      <protection hidden="1"/>
    </xf>
    <xf numFmtId="0" fontId="2" fillId="32" borderId="33" xfId="1" applyFont="1" applyFill="1" applyBorder="1" applyAlignment="1" applyProtection="1">
      <alignment vertical="center"/>
      <protection hidden="1"/>
    </xf>
    <xf numFmtId="0" fontId="2" fillId="5" borderId="42" xfId="1" applyFont="1" applyFill="1" applyBorder="1" applyAlignment="1" applyProtection="1">
      <alignment horizontal="left" vertical="top" wrapText="1"/>
      <protection locked="0" hidden="1"/>
    </xf>
    <xf numFmtId="0" fontId="2" fillId="5" borderId="6" xfId="1" applyFont="1" applyFill="1" applyBorder="1" applyAlignment="1" applyProtection="1">
      <alignment horizontal="left" vertical="top" wrapText="1"/>
      <protection locked="0" hidden="1"/>
    </xf>
    <xf numFmtId="0" fontId="2" fillId="5" borderId="5" xfId="1" applyFont="1" applyFill="1" applyBorder="1" applyAlignment="1" applyProtection="1">
      <alignment horizontal="left" vertical="top" wrapText="1"/>
      <protection locked="0" hidden="1"/>
    </xf>
    <xf numFmtId="0" fontId="2" fillId="5" borderId="4" xfId="1" applyFont="1" applyFill="1" applyBorder="1" applyAlignment="1" applyProtection="1">
      <alignment horizontal="left" vertical="top" wrapText="1"/>
      <protection locked="0" hidden="1"/>
    </xf>
    <xf numFmtId="0" fontId="2" fillId="5" borderId="0" xfId="1" applyFont="1" applyFill="1" applyBorder="1" applyAlignment="1" applyProtection="1">
      <alignment horizontal="left" vertical="top" wrapText="1"/>
      <protection locked="0" hidden="1"/>
    </xf>
    <xf numFmtId="0" fontId="2" fillId="5" borderId="8" xfId="1" applyFont="1" applyFill="1" applyBorder="1" applyAlignment="1" applyProtection="1">
      <alignment horizontal="left" vertical="top" wrapText="1"/>
      <protection locked="0" hidden="1"/>
    </xf>
    <xf numFmtId="0" fontId="2" fillId="5" borderId="10" xfId="1" applyFont="1" applyFill="1" applyBorder="1" applyAlignment="1" applyProtection="1">
      <alignment horizontal="left" vertical="top" wrapText="1"/>
      <protection locked="0" hidden="1"/>
    </xf>
    <xf numFmtId="0" fontId="2" fillId="5" borderId="11" xfId="1" applyFont="1" applyFill="1" applyBorder="1" applyAlignment="1" applyProtection="1">
      <alignment horizontal="left" vertical="top" wrapText="1"/>
      <protection locked="0" hidden="1"/>
    </xf>
    <xf numFmtId="0" fontId="2" fillId="5" borderId="12" xfId="1" applyFont="1" applyFill="1" applyBorder="1" applyAlignment="1" applyProtection="1">
      <alignment horizontal="left" vertical="top" wrapText="1"/>
      <protection locked="0" hidden="1"/>
    </xf>
    <xf numFmtId="0" fontId="3" fillId="33" borderId="1" xfId="1" applyFont="1" applyFill="1" applyBorder="1" applyAlignment="1" applyProtection="1">
      <alignment horizontal="center" vertical="center"/>
      <protection hidden="1"/>
    </xf>
    <xf numFmtId="0" fontId="3" fillId="33" borderId="2" xfId="1" applyFont="1" applyFill="1" applyBorder="1" applyAlignment="1" applyProtection="1">
      <alignment horizontal="center" vertical="center"/>
      <protection hidden="1"/>
    </xf>
    <xf numFmtId="0" fontId="3" fillId="33" borderId="3" xfId="1" applyFont="1" applyFill="1" applyBorder="1" applyAlignment="1" applyProtection="1">
      <alignment horizontal="center" vertical="center"/>
      <protection hidden="1"/>
    </xf>
    <xf numFmtId="0" fontId="2" fillId="5" borderId="9" xfId="1" applyFont="1" applyFill="1" applyBorder="1" applyAlignment="1" applyProtection="1">
      <alignment horizontal="center" vertical="center"/>
      <protection locked="0" hidden="1"/>
    </xf>
    <xf numFmtId="0" fontId="3" fillId="32" borderId="13" xfId="1" applyFont="1" applyFill="1" applyBorder="1" applyAlignment="1" applyProtection="1">
      <alignment horizontal="center" vertical="center" textRotation="90" wrapText="1"/>
      <protection hidden="1"/>
    </xf>
    <xf numFmtId="0" fontId="3" fillId="32" borderId="17" xfId="1" applyFont="1" applyFill="1" applyBorder="1" applyAlignment="1" applyProtection="1">
      <alignment horizontal="center" vertical="center" textRotation="90" wrapText="1"/>
      <protection hidden="1"/>
    </xf>
    <xf numFmtId="0" fontId="3" fillId="32" borderId="28" xfId="1" applyFont="1" applyFill="1" applyBorder="1" applyAlignment="1" applyProtection="1">
      <alignment horizontal="center" vertical="center" textRotation="90" wrapText="1"/>
      <protection hidden="1"/>
    </xf>
    <xf numFmtId="164" fontId="2" fillId="0" borderId="1" xfId="1" applyNumberFormat="1" applyFont="1" applyFill="1" applyBorder="1" applyAlignment="1" applyProtection="1">
      <alignment horizontal="center" vertical="center"/>
      <protection hidden="1"/>
    </xf>
    <xf numFmtId="164" fontId="2" fillId="0" borderId="2" xfId="1" applyNumberFormat="1" applyFont="1" applyFill="1" applyBorder="1" applyAlignment="1" applyProtection="1">
      <alignment horizontal="center" vertical="center"/>
      <protection hidden="1"/>
    </xf>
    <xf numFmtId="164" fontId="2" fillId="0" borderId="3" xfId="1" applyNumberFormat="1" applyFont="1" applyFill="1" applyBorder="1" applyAlignment="1" applyProtection="1">
      <alignment horizontal="center" vertical="center"/>
      <protection hidden="1"/>
    </xf>
    <xf numFmtId="1" fontId="2" fillId="2" borderId="1" xfId="1" applyNumberFormat="1" applyFont="1" applyFill="1" applyBorder="1" applyAlignment="1" applyProtection="1">
      <alignment horizontal="center" vertical="center"/>
      <protection locked="0" hidden="1"/>
    </xf>
    <xf numFmtId="1" fontId="2" fillId="2" borderId="2" xfId="1" applyNumberFormat="1" applyFont="1" applyFill="1" applyBorder="1" applyAlignment="1" applyProtection="1">
      <alignment horizontal="center" vertical="center"/>
      <protection locked="0" hidden="1"/>
    </xf>
    <xf numFmtId="0" fontId="2" fillId="5" borderId="0" xfId="1" applyFont="1" applyFill="1" applyBorder="1" applyAlignment="1" applyProtection="1">
      <alignment horizontal="left" vertical="center" wrapText="1"/>
      <protection hidden="1"/>
    </xf>
    <xf numFmtId="0" fontId="40" fillId="5" borderId="9" xfId="1" applyFont="1" applyFill="1" applyBorder="1" applyAlignment="1" applyProtection="1">
      <alignment horizontal="center" vertical="center" wrapText="1"/>
      <protection locked="0" hidden="1"/>
    </xf>
    <xf numFmtId="0" fontId="3" fillId="33" borderId="13" xfId="1" applyFont="1" applyFill="1" applyBorder="1" applyAlignment="1" applyProtection="1">
      <alignment horizontal="center" vertical="center" textRotation="90" wrapText="1"/>
      <protection hidden="1"/>
    </xf>
    <xf numFmtId="0" fontId="3" fillId="33" borderId="17" xfId="1" applyFont="1" applyFill="1" applyBorder="1" applyAlignment="1" applyProtection="1">
      <alignment horizontal="center" vertical="center" textRotation="90" wrapText="1"/>
      <protection hidden="1"/>
    </xf>
    <xf numFmtId="0" fontId="3" fillId="33" borderId="28" xfId="1" applyFont="1" applyFill="1" applyBorder="1" applyAlignment="1" applyProtection="1">
      <alignment horizontal="center" vertical="center" textRotation="90" wrapText="1"/>
      <protection hidden="1"/>
    </xf>
    <xf numFmtId="164" fontId="3" fillId="0" borderId="14" xfId="1" applyNumberFormat="1" applyFont="1" applyBorder="1" applyAlignment="1" applyProtection="1">
      <alignment horizontal="center" vertical="center"/>
      <protection hidden="1"/>
    </xf>
    <xf numFmtId="0" fontId="3" fillId="0" borderId="15" xfId="1" applyFont="1" applyBorder="1" applyAlignment="1" applyProtection="1">
      <alignment horizontal="center" vertical="center"/>
      <protection hidden="1"/>
    </xf>
    <xf numFmtId="0" fontId="3" fillId="0" borderId="16" xfId="1" applyFont="1" applyBorder="1" applyAlignment="1" applyProtection="1">
      <alignment horizontal="center" vertical="center"/>
      <protection hidden="1"/>
    </xf>
    <xf numFmtId="0" fontId="3" fillId="0" borderId="14" xfId="1" applyFont="1" applyBorder="1" applyAlignment="1" applyProtection="1">
      <alignment horizontal="center" vertical="center"/>
      <protection hidden="1"/>
    </xf>
    <xf numFmtId="0" fontId="41" fillId="32" borderId="1" xfId="1" applyFont="1" applyFill="1" applyBorder="1" applyAlignment="1" applyProtection="1">
      <alignment horizontal="center" vertical="center"/>
      <protection hidden="1"/>
    </xf>
    <xf numFmtId="0" fontId="41" fillId="32" borderId="2" xfId="1" applyFont="1" applyFill="1" applyBorder="1" applyAlignment="1" applyProtection="1">
      <alignment horizontal="center" vertical="center"/>
      <protection hidden="1"/>
    </xf>
    <xf numFmtId="0" fontId="41" fillId="32" borderId="3" xfId="1" applyFont="1" applyFill="1" applyBorder="1" applyAlignment="1" applyProtection="1">
      <alignment horizontal="center" vertical="center"/>
      <protection hidden="1"/>
    </xf>
    <xf numFmtId="0" fontId="3" fillId="32" borderId="1" xfId="1" applyFont="1" applyFill="1" applyBorder="1" applyAlignment="1" applyProtection="1">
      <alignment horizontal="center" vertical="center"/>
      <protection hidden="1"/>
    </xf>
    <xf numFmtId="0" fontId="3" fillId="32" borderId="2" xfId="1" applyFont="1" applyFill="1" applyBorder="1" applyAlignment="1" applyProtection="1">
      <alignment horizontal="center" vertical="center"/>
      <protection hidden="1"/>
    </xf>
    <xf numFmtId="0" fontId="3" fillId="32" borderId="3" xfId="1" applyFont="1" applyFill="1" applyBorder="1" applyAlignment="1" applyProtection="1">
      <alignment horizontal="center" vertical="center"/>
      <protection hidden="1"/>
    </xf>
    <xf numFmtId="0" fontId="2" fillId="0" borderId="9" xfId="1" applyFont="1" applyBorder="1" applyAlignment="1" applyProtection="1">
      <alignment horizontal="center" vertical="center"/>
      <protection locked="0" hidden="1"/>
    </xf>
    <xf numFmtId="0" fontId="2" fillId="0" borderId="4"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2" fillId="0" borderId="8" xfId="1" applyFont="1" applyBorder="1" applyAlignment="1" applyProtection="1">
      <alignment horizontal="center" vertical="center"/>
      <protection hidden="1"/>
    </xf>
  </cellXfs>
  <cellStyles count="92">
    <cellStyle name="0.00%" xfId="4" xr:uid="{00000000-0005-0000-0000-000000000000}"/>
    <cellStyle name="20% - Accent1 2" xfId="51" xr:uid="{00000000-0005-0000-0000-000001000000}"/>
    <cellStyle name="20% - Accent2 2" xfId="52" xr:uid="{00000000-0005-0000-0000-000002000000}"/>
    <cellStyle name="20% - Accent3 2" xfId="53" xr:uid="{00000000-0005-0000-0000-000003000000}"/>
    <cellStyle name="20% - Accent4 2" xfId="54" xr:uid="{00000000-0005-0000-0000-000004000000}"/>
    <cellStyle name="20% - Accent5 2" xfId="55" xr:uid="{00000000-0005-0000-0000-000005000000}"/>
    <cellStyle name="20% - Accent6 2" xfId="56" xr:uid="{00000000-0005-0000-0000-000006000000}"/>
    <cellStyle name="40% - Accent1 2" xfId="57" xr:uid="{00000000-0005-0000-0000-000007000000}"/>
    <cellStyle name="40% - Accent2 2" xfId="58" xr:uid="{00000000-0005-0000-0000-000008000000}"/>
    <cellStyle name="40% - Accent3 2" xfId="59" xr:uid="{00000000-0005-0000-0000-000009000000}"/>
    <cellStyle name="40% - Accent4 2" xfId="60" xr:uid="{00000000-0005-0000-0000-00000A000000}"/>
    <cellStyle name="40% - Accent5 2" xfId="61" xr:uid="{00000000-0005-0000-0000-00000B000000}"/>
    <cellStyle name="40% - Accent6 2" xfId="62" xr:uid="{00000000-0005-0000-0000-00000C000000}"/>
    <cellStyle name="60% - Accent1 2" xfId="63" xr:uid="{00000000-0005-0000-0000-00000D000000}"/>
    <cellStyle name="60% - Accent2 2" xfId="64" xr:uid="{00000000-0005-0000-0000-00000E000000}"/>
    <cellStyle name="60% - Accent3 2" xfId="65" xr:uid="{00000000-0005-0000-0000-00000F000000}"/>
    <cellStyle name="60% - Accent4 2" xfId="66" xr:uid="{00000000-0005-0000-0000-000010000000}"/>
    <cellStyle name="60% - Accent5 2" xfId="67" xr:uid="{00000000-0005-0000-0000-000011000000}"/>
    <cellStyle name="60% - Accent6 2" xfId="68" xr:uid="{00000000-0005-0000-0000-000012000000}"/>
    <cellStyle name="Accent1 2" xfId="69" xr:uid="{00000000-0005-0000-0000-000013000000}"/>
    <cellStyle name="Accent2 2" xfId="70" xr:uid="{00000000-0005-0000-0000-000014000000}"/>
    <cellStyle name="Accent3 2" xfId="71" xr:uid="{00000000-0005-0000-0000-000015000000}"/>
    <cellStyle name="Accent4 2" xfId="72" xr:uid="{00000000-0005-0000-0000-000016000000}"/>
    <cellStyle name="Accent5 2" xfId="73" xr:uid="{00000000-0005-0000-0000-000017000000}"/>
    <cellStyle name="Accent6 2" xfId="74" xr:uid="{00000000-0005-0000-0000-000018000000}"/>
    <cellStyle name="Bad 2" xfId="75" xr:uid="{00000000-0005-0000-0000-000019000000}"/>
    <cellStyle name="Blue Font" xfId="5" xr:uid="{00000000-0005-0000-0000-00001A000000}"/>
    <cellStyle name="Blue, Bold" xfId="6" xr:uid="{00000000-0005-0000-0000-00001B000000}"/>
    <cellStyle name="Bottom Border, Unlocked" xfId="7" xr:uid="{00000000-0005-0000-0000-00001C000000}"/>
    <cellStyle name="Calculation 2" xfId="76" xr:uid="{00000000-0005-0000-0000-00001D000000}"/>
    <cellStyle name="Check Cell 2" xfId="77" xr:uid="{00000000-0005-0000-0000-00001E000000}"/>
    <cellStyle name="Comma 2" xfId="8" xr:uid="{00000000-0005-0000-0000-00001F000000}"/>
    <cellStyle name="Comma 2 2" xfId="9" xr:uid="{00000000-0005-0000-0000-000020000000}"/>
    <cellStyle name="Comma 3" xfId="10" xr:uid="{00000000-0005-0000-0000-000021000000}"/>
    <cellStyle name="Comma 4" xfId="11" xr:uid="{00000000-0005-0000-0000-000022000000}"/>
    <cellStyle name="Comma 5" xfId="12" xr:uid="{00000000-0005-0000-0000-000023000000}"/>
    <cellStyle name="Currency 2" xfId="13" xr:uid="{00000000-0005-0000-0000-000024000000}"/>
    <cellStyle name="Currency 2 2" xfId="14" xr:uid="{00000000-0005-0000-0000-000025000000}"/>
    <cellStyle name="Currency 3" xfId="15" xr:uid="{00000000-0005-0000-0000-000026000000}"/>
    <cellStyle name="Currency 4" xfId="16" xr:uid="{00000000-0005-0000-0000-000027000000}"/>
    <cellStyle name="DollarHideZero" xfId="17" xr:uid="{00000000-0005-0000-0000-000028000000}"/>
    <cellStyle name="DollarHideZero 2" xfId="18" xr:uid="{00000000-0005-0000-0000-000029000000}"/>
    <cellStyle name="Explanatory Text 2" xfId="78" xr:uid="{00000000-0005-0000-0000-00002A000000}"/>
    <cellStyle name="Good 2" xfId="79" xr:uid="{00000000-0005-0000-0000-00002B000000}"/>
    <cellStyle name="Heading 1 2" xfId="80" xr:uid="{00000000-0005-0000-0000-00002C000000}"/>
    <cellStyle name="Heading 2 2" xfId="81" xr:uid="{00000000-0005-0000-0000-00002D000000}"/>
    <cellStyle name="Heading 3 2" xfId="82" xr:uid="{00000000-0005-0000-0000-00002E000000}"/>
    <cellStyle name="Heading 4 2" xfId="83" xr:uid="{00000000-0005-0000-0000-00002F000000}"/>
    <cellStyle name="Hyperlink 2" xfId="19" xr:uid="{00000000-0005-0000-0000-000030000000}"/>
    <cellStyle name="Input 2" xfId="84" xr:uid="{00000000-0005-0000-0000-000031000000}"/>
    <cellStyle name="Installed" xfId="20" xr:uid="{00000000-0005-0000-0000-000032000000}"/>
    <cellStyle name="Linked Cell 2" xfId="85" xr:uid="{00000000-0005-0000-0000-000033000000}"/>
    <cellStyle name="Neutral 2" xfId="86" xr:uid="{00000000-0005-0000-0000-000034000000}"/>
    <cellStyle name="Normal" xfId="0" builtinId="0"/>
    <cellStyle name="Normal 18" xfId="21" xr:uid="{00000000-0005-0000-0000-000036000000}"/>
    <cellStyle name="Normal 18 2" xfId="22" xr:uid="{00000000-0005-0000-0000-000037000000}"/>
    <cellStyle name="Normal 2" xfId="23" xr:uid="{00000000-0005-0000-0000-000038000000}"/>
    <cellStyle name="Normal 2 2" xfId="24" xr:uid="{00000000-0005-0000-0000-000039000000}"/>
    <cellStyle name="Normal 2 2 2" xfId="25" xr:uid="{00000000-0005-0000-0000-00003A000000}"/>
    <cellStyle name="Normal 2 3" xfId="26" xr:uid="{00000000-0005-0000-0000-00003B000000}"/>
    <cellStyle name="Normal 2 4" xfId="1" xr:uid="{00000000-0005-0000-0000-00003C000000}"/>
    <cellStyle name="Normal 3" xfId="27" xr:uid="{00000000-0005-0000-0000-00003D000000}"/>
    <cellStyle name="Normal 3 2" xfId="28" xr:uid="{00000000-0005-0000-0000-00003E000000}"/>
    <cellStyle name="Normal 4" xfId="29" xr:uid="{00000000-0005-0000-0000-00003F000000}"/>
    <cellStyle name="Normal 4 2" xfId="30" xr:uid="{00000000-0005-0000-0000-000040000000}"/>
    <cellStyle name="Normal 5" xfId="31" xr:uid="{00000000-0005-0000-0000-000041000000}"/>
    <cellStyle name="Normal 5 2" xfId="32" xr:uid="{00000000-0005-0000-0000-000042000000}"/>
    <cellStyle name="Normal 6" xfId="33" xr:uid="{00000000-0005-0000-0000-000043000000}"/>
    <cellStyle name="Normal 6 2" xfId="34" xr:uid="{00000000-0005-0000-0000-000044000000}"/>
    <cellStyle name="Normal 7" xfId="35" xr:uid="{00000000-0005-0000-0000-000045000000}"/>
    <cellStyle name="Normal 8" xfId="36" xr:uid="{00000000-0005-0000-0000-000046000000}"/>
    <cellStyle name="Note 2" xfId="37" xr:uid="{00000000-0005-0000-0000-000047000000}"/>
    <cellStyle name="NumberHideZero" xfId="38" xr:uid="{00000000-0005-0000-0000-000048000000}"/>
    <cellStyle name="NumberHideZero 2" xfId="39" xr:uid="{00000000-0005-0000-0000-000049000000}"/>
    <cellStyle name="Ordered" xfId="40" xr:uid="{00000000-0005-0000-0000-00004A000000}"/>
    <cellStyle name="Output 2" xfId="87" xr:uid="{00000000-0005-0000-0000-00004B000000}"/>
    <cellStyle name="Percent" xfId="91" builtinId="5"/>
    <cellStyle name="Percent 2" xfId="41" xr:uid="{00000000-0005-0000-0000-00004D000000}"/>
    <cellStyle name="Percent 2 2" xfId="42" xr:uid="{00000000-0005-0000-0000-00004E000000}"/>
    <cellStyle name="Percent 2 3" xfId="3" xr:uid="{00000000-0005-0000-0000-00004F000000}"/>
    <cellStyle name="Percent 3" xfId="43" xr:uid="{00000000-0005-0000-0000-000050000000}"/>
    <cellStyle name="Percent 4" xfId="44" xr:uid="{00000000-0005-0000-0000-000051000000}"/>
    <cellStyle name="Percent 5" xfId="45" xr:uid="{00000000-0005-0000-0000-000052000000}"/>
    <cellStyle name="Percent 6" xfId="2" xr:uid="{00000000-0005-0000-0000-000053000000}"/>
    <cellStyle name="Received" xfId="46" xr:uid="{00000000-0005-0000-0000-000054000000}"/>
    <cellStyle name="Red Font" xfId="47" xr:uid="{00000000-0005-0000-0000-000055000000}"/>
    <cellStyle name="Subtotal" xfId="48" xr:uid="{00000000-0005-0000-0000-000056000000}"/>
    <cellStyle name="Title 2" xfId="88" xr:uid="{00000000-0005-0000-0000-000057000000}"/>
    <cellStyle name="Top Border. Aqua" xfId="49" xr:uid="{00000000-0005-0000-0000-000058000000}"/>
    <cellStyle name="Total 2" xfId="89" xr:uid="{00000000-0005-0000-0000-000059000000}"/>
    <cellStyle name="Unlocked" xfId="50" xr:uid="{00000000-0005-0000-0000-00005A000000}"/>
    <cellStyle name="Warning Text 2" xfId="90" xr:uid="{00000000-0005-0000-0000-00005B000000}"/>
  </cellStyles>
  <dxfs count="10">
    <dxf>
      <font>
        <b/>
        <i val="0"/>
        <color rgb="FFFF0000"/>
      </font>
    </dxf>
    <dxf>
      <font>
        <color theme="0"/>
      </font>
    </dxf>
    <dxf>
      <font>
        <color theme="0"/>
      </font>
    </dxf>
    <dxf>
      <font>
        <b/>
        <i val="0"/>
        <color rgb="FFFF0000"/>
      </font>
    </dxf>
    <dxf>
      <font>
        <color theme="0"/>
      </font>
      <fill>
        <patternFill>
          <bgColor rgb="FFFF0000"/>
        </patternFill>
      </fill>
    </dxf>
    <dxf>
      <font>
        <color rgb="FF00B050"/>
      </font>
      <fill>
        <patternFill>
          <bgColor theme="2"/>
        </patternFill>
      </fill>
    </dxf>
    <dxf>
      <font>
        <condense val="0"/>
        <extend val="0"/>
        <color rgb="FF9C0006"/>
      </font>
      <fill>
        <patternFill>
          <bgColor rgb="FFFFC7CE"/>
        </patternFill>
      </fill>
    </dxf>
    <dxf>
      <font>
        <color rgb="FFFF0000"/>
      </font>
      <fill>
        <patternFill>
          <bgColor theme="2"/>
        </patternFill>
      </fill>
    </dxf>
    <dxf>
      <font>
        <color rgb="FFFF0000"/>
      </font>
      <fill>
        <patternFill patternType="solid">
          <bgColor theme="0"/>
        </patternFill>
      </fill>
    </dxf>
    <dxf>
      <font>
        <color rgb="FF008000"/>
      </font>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04454.4FB1FA3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171450</xdr:colOff>
      <xdr:row>0</xdr:row>
      <xdr:rowOff>57150</xdr:rowOff>
    </xdr:from>
    <xdr:to>
      <xdr:col>5</xdr:col>
      <xdr:colOff>180974</xdr:colOff>
      <xdr:row>4</xdr:row>
      <xdr:rowOff>142432</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850106" y="57150"/>
          <a:ext cx="4795837" cy="847282"/>
          <a:chOff x="4705350" y="695325"/>
          <a:chExt cx="3686175" cy="1457325"/>
        </a:xfrm>
      </xdr:grpSpPr>
      <xdr:sp macro="" textlink="">
        <xdr:nvSpPr>
          <xdr:cNvPr id="6" name="Horizontal Scroll 5">
            <a:extLst>
              <a:ext uri="{FF2B5EF4-FFF2-40B4-BE49-F238E27FC236}">
                <a16:creationId xmlns:a16="http://schemas.microsoft.com/office/drawing/2014/main" id="{00000000-0008-0000-0100-000006000000}"/>
              </a:ext>
            </a:extLst>
          </xdr:cNvPr>
          <xdr:cNvSpPr/>
        </xdr:nvSpPr>
        <xdr:spPr>
          <a:xfrm>
            <a:off x="4705350" y="695325"/>
            <a:ext cx="3686175" cy="1457325"/>
          </a:xfrm>
          <a:prstGeom prst="horizontalScrol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chemeClr val="tx1"/>
                </a:solidFill>
              </a:rPr>
              <a:t>KEY</a:t>
            </a:r>
            <a:endParaRPr lang="en-US" sz="1200">
              <a:solidFill>
                <a:schemeClr val="tx1"/>
              </a:solidFill>
            </a:endParaRPr>
          </a:p>
        </xdr:txBody>
      </xdr:sp>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323443" y="1334264"/>
            <a:ext cx="2599532" cy="323088"/>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100"/>
              <a:t>Yellow Cells</a:t>
            </a:r>
            <a:r>
              <a:rPr lang="en-US" sz="1100" baseline="0"/>
              <a:t> are Re</a:t>
            </a:r>
            <a:r>
              <a:rPr lang="en-US" sz="1100"/>
              <a:t>quired</a:t>
            </a:r>
            <a:r>
              <a:rPr lang="en-US" sz="1100" baseline="0"/>
              <a:t> Input</a:t>
            </a:r>
            <a:endParaRPr lang="en-US" sz="1100"/>
          </a:p>
        </xdr:txBody>
      </xdr:sp>
    </xdr:grpSp>
    <xdr:clientData/>
  </xdr:twoCellAnchor>
  <xdr:twoCellAnchor>
    <xdr:from>
      <xdr:col>1</xdr:col>
      <xdr:colOff>8773</xdr:colOff>
      <xdr:row>51</xdr:row>
      <xdr:rowOff>19050</xdr:rowOff>
    </xdr:from>
    <xdr:to>
      <xdr:col>11</xdr:col>
      <xdr:colOff>238126</xdr:colOff>
      <xdr:row>53</xdr:row>
      <xdr:rowOff>171450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170698" y="8172450"/>
          <a:ext cx="11811753"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latin typeface="Times New Roman" pitchFamily="18" charset="0"/>
              <a:ea typeface="+mn-ea"/>
              <a:cs typeface="Times New Roman" pitchFamily="18" charset="0"/>
            </a:rPr>
            <a:t>*Note: </a:t>
          </a:r>
          <a:r>
            <a:rPr lang="en-US" sz="1400">
              <a:solidFill>
                <a:schemeClr val="dk1"/>
              </a:solidFill>
              <a:effectLst/>
              <a:latin typeface="Times New Roman" pitchFamily="18" charset="0"/>
              <a:ea typeface="+mn-ea"/>
              <a:cs typeface="Times New Roman" pitchFamily="18" charset="0"/>
            </a:rPr>
            <a:t>The monthly payment is an estimate and may be adjusted in the Loan Agreement.  The annual value of kWh generated will vary based upon your system operation and the cost per kWh which is subject to change.</a:t>
          </a:r>
          <a:endParaRPr lang="en-US" sz="1400">
            <a:latin typeface="Times New Roman" pitchFamily="18" charset="0"/>
            <a:cs typeface="Times New Roman" pitchFamily="18" charset="0"/>
          </a:endParaRPr>
        </a:p>
      </xdr:txBody>
    </xdr:sp>
    <xdr:clientData/>
  </xdr:twoCellAnchor>
  <xdr:twoCellAnchor editAs="oneCell">
    <xdr:from>
      <xdr:col>6</xdr:col>
      <xdr:colOff>1047749</xdr:colOff>
      <xdr:row>1</xdr:row>
      <xdr:rowOff>35719</xdr:rowOff>
    </xdr:from>
    <xdr:to>
      <xdr:col>11</xdr:col>
      <xdr:colOff>988218</xdr:colOff>
      <xdr:row>8</xdr:row>
      <xdr:rowOff>95250</xdr:rowOff>
    </xdr:to>
    <xdr:pic>
      <xdr:nvPicPr>
        <xdr:cNvPr id="10" name="Picture 9" descr="cid:image001.png@01D04454.4FB1FA30">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r:link="rId2" cstate="print"/>
        <a:srcRect/>
        <a:stretch>
          <a:fillRect/>
        </a:stretch>
      </xdr:blipFill>
      <xdr:spPr bwMode="auto">
        <a:xfrm>
          <a:off x="7560468" y="226219"/>
          <a:ext cx="5179219" cy="13930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X59"/>
  <sheetViews>
    <sheetView topLeftCell="Y1" zoomScale="55" zoomScaleNormal="55" zoomScalePageLayoutView="55" workbookViewId="0">
      <selection activeCell="AE4" sqref="AE4"/>
    </sheetView>
  </sheetViews>
  <sheetFormatPr defaultColWidth="8.85546875" defaultRowHeight="21"/>
  <cols>
    <col min="1" max="1" width="9.42578125" style="141" hidden="1" customWidth="1"/>
    <col min="2" max="2" width="4.85546875" style="141" hidden="1" customWidth="1"/>
    <col min="3" max="3" width="3.28515625" style="141" hidden="1" customWidth="1"/>
    <col min="4" max="4" width="39.42578125" style="141" hidden="1" customWidth="1"/>
    <col min="5" max="5" width="13.140625" style="141" hidden="1" customWidth="1"/>
    <col min="6" max="6" width="11.7109375" style="141" hidden="1" customWidth="1"/>
    <col min="7" max="7" width="47.140625" style="141" hidden="1" customWidth="1"/>
    <col min="8" max="8" width="6.85546875" style="141" hidden="1" customWidth="1"/>
    <col min="9" max="9" width="13.85546875" style="143" hidden="1" customWidth="1"/>
    <col min="10" max="10" width="9.42578125" style="141" hidden="1" customWidth="1"/>
    <col min="11" max="11" width="6.42578125" style="141" hidden="1" customWidth="1"/>
    <col min="12" max="12" width="61.42578125" style="141" hidden="1" customWidth="1"/>
    <col min="13" max="13" width="0" style="146" hidden="1" customWidth="1"/>
    <col min="14" max="14" width="59.28515625" style="147" hidden="1" customWidth="1"/>
    <col min="15" max="15" width="46.140625" style="147" hidden="1" customWidth="1"/>
    <col min="16" max="16" width="77.42578125" style="147" hidden="1" customWidth="1"/>
    <col min="17" max="17" width="33.85546875" style="147" hidden="1" customWidth="1"/>
    <col min="18" max="20" width="0" style="147" hidden="1" customWidth="1"/>
    <col min="21" max="21" width="65.85546875" style="147" hidden="1" customWidth="1"/>
    <col min="22" max="22" width="46.42578125" style="147" hidden="1" customWidth="1"/>
    <col min="23" max="23" width="37.140625" style="147" hidden="1" customWidth="1"/>
    <col min="24" max="24" width="31.42578125" style="147" hidden="1" customWidth="1"/>
    <col min="25" max="16384" width="8.85546875" style="141"/>
  </cols>
  <sheetData>
    <row r="1" spans="1:24">
      <c r="A1" s="139">
        <v>3.49E-2</v>
      </c>
      <c r="B1" s="142"/>
      <c r="C1" s="141">
        <v>0</v>
      </c>
      <c r="D1" s="142" t="s">
        <v>53</v>
      </c>
      <c r="E1" s="142" t="s">
        <v>34</v>
      </c>
      <c r="F1" s="142"/>
      <c r="G1" s="141" t="s">
        <v>54</v>
      </c>
      <c r="H1" s="141" t="s">
        <v>55</v>
      </c>
      <c r="J1" s="144">
        <v>3.49E-2</v>
      </c>
      <c r="K1" s="141" t="s">
        <v>56</v>
      </c>
      <c r="L1" s="145" t="s">
        <v>57</v>
      </c>
      <c r="N1" s="147" t="s">
        <v>58</v>
      </c>
      <c r="U1" s="147" t="s">
        <v>59</v>
      </c>
    </row>
    <row r="2" spans="1:24">
      <c r="A2" s="139">
        <v>3.9899999999999998E-2</v>
      </c>
      <c r="B2" s="140">
        <v>5</v>
      </c>
      <c r="D2" s="142" t="s">
        <v>60</v>
      </c>
      <c r="E2" s="142" t="s">
        <v>61</v>
      </c>
      <c r="F2" s="142"/>
      <c r="G2" s="148"/>
      <c r="H2" s="148"/>
      <c r="I2" s="143" t="s">
        <v>62</v>
      </c>
      <c r="J2" s="144">
        <v>3.9899999999999998E-2</v>
      </c>
      <c r="K2" s="141" t="s">
        <v>63</v>
      </c>
      <c r="L2" s="141" t="s">
        <v>64</v>
      </c>
      <c r="N2" s="149" t="s">
        <v>54</v>
      </c>
      <c r="O2" s="149" t="s">
        <v>65</v>
      </c>
      <c r="P2" s="149" t="s">
        <v>66</v>
      </c>
      <c r="Q2" s="147" t="s">
        <v>67</v>
      </c>
      <c r="U2" s="149" t="s">
        <v>54</v>
      </c>
      <c r="V2" s="149" t="s">
        <v>65</v>
      </c>
      <c r="W2" s="149" t="s">
        <v>66</v>
      </c>
      <c r="X2" s="150" t="s">
        <v>67</v>
      </c>
    </row>
    <row r="3" spans="1:24" ht="24" customHeight="1">
      <c r="B3" s="140">
        <v>10</v>
      </c>
      <c r="E3" s="142" t="s">
        <v>68</v>
      </c>
      <c r="F3" s="142"/>
      <c r="G3" s="148" t="s">
        <v>69</v>
      </c>
      <c r="H3" s="148">
        <v>30</v>
      </c>
      <c r="I3" s="143" t="s">
        <v>70</v>
      </c>
      <c r="L3" s="141" t="s">
        <v>71</v>
      </c>
      <c r="N3" s="149"/>
      <c r="O3" s="149"/>
      <c r="P3" s="149"/>
    </row>
    <row r="4" spans="1:24" ht="24" customHeight="1">
      <c r="B4" s="140">
        <v>15</v>
      </c>
      <c r="G4" s="148" t="s">
        <v>72</v>
      </c>
      <c r="H4" s="148">
        <v>30</v>
      </c>
      <c r="L4" s="141" t="s">
        <v>73</v>
      </c>
      <c r="N4" s="151" t="s">
        <v>74</v>
      </c>
      <c r="O4" s="152" t="s">
        <v>75</v>
      </c>
      <c r="P4" s="152" t="s">
        <v>76</v>
      </c>
      <c r="Q4" s="147">
        <v>20</v>
      </c>
      <c r="U4" s="151" t="s">
        <v>77</v>
      </c>
      <c r="V4" s="152" t="s">
        <v>78</v>
      </c>
      <c r="W4" s="152" t="s">
        <v>79</v>
      </c>
      <c r="X4" s="147">
        <v>20</v>
      </c>
    </row>
    <row r="5" spans="1:24" ht="24" customHeight="1">
      <c r="G5" s="148" t="s">
        <v>80</v>
      </c>
      <c r="H5" s="148">
        <v>30</v>
      </c>
      <c r="I5" s="141"/>
      <c r="N5" s="151" t="s">
        <v>81</v>
      </c>
      <c r="O5" s="152" t="s">
        <v>75</v>
      </c>
      <c r="P5" s="152" t="s">
        <v>76</v>
      </c>
      <c r="Q5" s="147">
        <v>20</v>
      </c>
      <c r="U5" s="151" t="s">
        <v>82</v>
      </c>
      <c r="V5" s="152" t="s">
        <v>78</v>
      </c>
      <c r="W5" s="152" t="s">
        <v>83</v>
      </c>
      <c r="X5" s="147">
        <v>20</v>
      </c>
    </row>
    <row r="6" spans="1:24" ht="24" customHeight="1">
      <c r="G6" s="148" t="s">
        <v>84</v>
      </c>
      <c r="H6" s="148">
        <v>30</v>
      </c>
      <c r="L6" s="145" t="s">
        <v>85</v>
      </c>
      <c r="N6" s="151" t="s">
        <v>86</v>
      </c>
      <c r="O6" s="152" t="s">
        <v>75</v>
      </c>
      <c r="P6" s="152" t="s">
        <v>87</v>
      </c>
      <c r="Q6" s="147">
        <v>20</v>
      </c>
      <c r="U6" s="151" t="s">
        <v>88</v>
      </c>
      <c r="V6" s="152" t="s">
        <v>78</v>
      </c>
      <c r="W6" s="152" t="s">
        <v>89</v>
      </c>
      <c r="X6" s="147">
        <v>20</v>
      </c>
    </row>
    <row r="7" spans="1:24" ht="24" customHeight="1">
      <c r="G7" s="148" t="s">
        <v>90</v>
      </c>
      <c r="H7" s="148">
        <v>30</v>
      </c>
      <c r="L7" s="141" t="s">
        <v>91</v>
      </c>
      <c r="N7" s="151" t="s">
        <v>92</v>
      </c>
      <c r="O7" s="152" t="s">
        <v>75</v>
      </c>
      <c r="P7" s="152" t="s">
        <v>93</v>
      </c>
      <c r="Q7" s="147">
        <v>25</v>
      </c>
      <c r="U7" s="151" t="s">
        <v>94</v>
      </c>
      <c r="V7" s="152" t="s">
        <v>78</v>
      </c>
      <c r="W7" s="152" t="s">
        <v>79</v>
      </c>
      <c r="X7" s="147">
        <v>20</v>
      </c>
    </row>
    <row r="8" spans="1:24" ht="24" customHeight="1">
      <c r="G8" s="148" t="s">
        <v>95</v>
      </c>
      <c r="H8" s="148">
        <v>15</v>
      </c>
      <c r="L8" s="141" t="s">
        <v>71</v>
      </c>
      <c r="N8" s="151" t="s">
        <v>96</v>
      </c>
      <c r="O8" s="152" t="s">
        <v>75</v>
      </c>
      <c r="P8" s="152" t="s">
        <v>87</v>
      </c>
      <c r="Q8" s="147">
        <v>25</v>
      </c>
      <c r="U8" s="151" t="s">
        <v>97</v>
      </c>
      <c r="V8" s="152" t="s">
        <v>75</v>
      </c>
      <c r="W8" s="152" t="s">
        <v>98</v>
      </c>
      <c r="X8" s="147">
        <v>20</v>
      </c>
    </row>
    <row r="9" spans="1:24">
      <c r="D9" s="144">
        <v>3.49E-2</v>
      </c>
      <c r="E9" s="161">
        <v>3.9899999999999998E-2</v>
      </c>
      <c r="F9" s="144">
        <v>3.49E-2</v>
      </c>
      <c r="L9" s="141" t="s">
        <v>73</v>
      </c>
      <c r="N9" s="151" t="s">
        <v>99</v>
      </c>
      <c r="O9" s="152" t="s">
        <v>75</v>
      </c>
      <c r="P9" s="152" t="s">
        <v>100</v>
      </c>
      <c r="Q9" s="147">
        <v>25</v>
      </c>
      <c r="U9" s="151" t="s">
        <v>101</v>
      </c>
      <c r="V9" s="152" t="s">
        <v>75</v>
      </c>
      <c r="W9" s="152" t="s">
        <v>102</v>
      </c>
      <c r="X9" s="147">
        <v>20</v>
      </c>
    </row>
    <row r="10" spans="1:24">
      <c r="D10" s="161">
        <v>3.9899999999999998E-2</v>
      </c>
      <c r="E10" s="161">
        <v>3.9899999999999998E-2</v>
      </c>
      <c r="F10" s="144">
        <v>3.49E-2</v>
      </c>
      <c r="N10" s="151" t="s">
        <v>103</v>
      </c>
      <c r="O10" s="152" t="s">
        <v>75</v>
      </c>
      <c r="P10" s="152" t="s">
        <v>104</v>
      </c>
      <c r="Q10" s="152">
        <v>15</v>
      </c>
      <c r="U10" s="151" t="s">
        <v>105</v>
      </c>
      <c r="V10" s="152" t="s">
        <v>75</v>
      </c>
      <c r="W10" s="152" t="s">
        <v>106</v>
      </c>
      <c r="X10" s="147">
        <v>20</v>
      </c>
    </row>
    <row r="11" spans="1:24">
      <c r="D11" s="144">
        <v>4.99E-2</v>
      </c>
      <c r="E11" s="144">
        <v>5.4899999999999997E-2</v>
      </c>
      <c r="F11" s="144">
        <v>4.99E-2</v>
      </c>
      <c r="L11" s="145" t="s">
        <v>107</v>
      </c>
      <c r="N11" s="151" t="s">
        <v>108</v>
      </c>
      <c r="O11" s="152" t="s">
        <v>75</v>
      </c>
      <c r="P11" s="152" t="s">
        <v>109</v>
      </c>
      <c r="Q11" s="147">
        <v>20</v>
      </c>
      <c r="U11" s="151" t="s">
        <v>110</v>
      </c>
      <c r="V11" s="152" t="s">
        <v>75</v>
      </c>
      <c r="W11" s="152" t="s">
        <v>111</v>
      </c>
      <c r="X11" s="147">
        <v>20</v>
      </c>
    </row>
    <row r="12" spans="1:24">
      <c r="D12" s="144">
        <v>5.4899999999999997E-2</v>
      </c>
      <c r="E12" s="144">
        <v>5.4899999999999997E-2</v>
      </c>
      <c r="F12" s="144">
        <v>4.99E-2</v>
      </c>
      <c r="L12" s="141" t="s">
        <v>71</v>
      </c>
      <c r="N12" s="151" t="s">
        <v>112</v>
      </c>
      <c r="O12" s="152" t="s">
        <v>75</v>
      </c>
      <c r="P12" s="152" t="s">
        <v>113</v>
      </c>
      <c r="Q12" s="147">
        <v>20</v>
      </c>
      <c r="U12" s="151" t="s">
        <v>114</v>
      </c>
      <c r="V12" s="152" t="s">
        <v>75</v>
      </c>
      <c r="W12" s="152" t="s">
        <v>115</v>
      </c>
      <c r="X12" s="147">
        <v>20</v>
      </c>
    </row>
    <row r="13" spans="1:24">
      <c r="D13" s="144">
        <v>5.9900000000000002E-2</v>
      </c>
      <c r="E13" s="144">
        <v>6.4899999999999999E-2</v>
      </c>
      <c r="F13" s="144">
        <v>5.9900000000000002E-2</v>
      </c>
      <c r="L13" s="141" t="s">
        <v>73</v>
      </c>
      <c r="N13" s="151" t="s">
        <v>116</v>
      </c>
      <c r="O13" s="152" t="s">
        <v>75</v>
      </c>
      <c r="P13" s="152" t="s">
        <v>89</v>
      </c>
      <c r="Q13" s="147">
        <v>11</v>
      </c>
      <c r="U13" s="152" t="s">
        <v>117</v>
      </c>
      <c r="V13" s="151" t="s">
        <v>118</v>
      </c>
      <c r="W13" s="152" t="s">
        <v>119</v>
      </c>
      <c r="X13" s="147">
        <v>15</v>
      </c>
    </row>
    <row r="14" spans="1:24">
      <c r="D14" s="144">
        <v>6.4899999999999999E-2</v>
      </c>
      <c r="E14" s="144">
        <v>6.4899999999999999E-2</v>
      </c>
      <c r="F14" s="144">
        <v>5.9900000000000002E-2</v>
      </c>
      <c r="N14" s="151" t="s">
        <v>120</v>
      </c>
      <c r="O14" s="152" t="s">
        <v>75</v>
      </c>
      <c r="P14" s="152" t="s">
        <v>89</v>
      </c>
      <c r="Q14" s="147">
        <v>13</v>
      </c>
      <c r="U14" s="152" t="s">
        <v>121</v>
      </c>
      <c r="V14" s="151" t="s">
        <v>118</v>
      </c>
      <c r="W14" s="151" t="s">
        <v>122</v>
      </c>
      <c r="X14" s="147">
        <v>20</v>
      </c>
    </row>
    <row r="15" spans="1:24">
      <c r="D15" s="144">
        <v>7.9899999999999999E-2</v>
      </c>
      <c r="E15" s="144">
        <v>8.4900000000000003E-2</v>
      </c>
      <c r="F15" s="144">
        <v>7.9899999999999999E-2</v>
      </c>
      <c r="L15" s="145" t="s">
        <v>123</v>
      </c>
      <c r="N15" s="151" t="s">
        <v>124</v>
      </c>
      <c r="O15" s="152" t="s">
        <v>75</v>
      </c>
      <c r="P15" s="152" t="s">
        <v>125</v>
      </c>
      <c r="Q15" s="147">
        <v>15</v>
      </c>
      <c r="U15" s="151" t="s">
        <v>126</v>
      </c>
      <c r="V15" s="151" t="s">
        <v>118</v>
      </c>
      <c r="W15" s="152" t="s">
        <v>127</v>
      </c>
      <c r="X15" s="147">
        <v>15</v>
      </c>
    </row>
    <row r="16" spans="1:24">
      <c r="D16" s="144">
        <v>8.4900000000000003E-2</v>
      </c>
      <c r="E16" s="144">
        <v>8.4900000000000003E-2</v>
      </c>
      <c r="F16" s="144">
        <v>7.9899999999999999E-2</v>
      </c>
      <c r="L16" s="141" t="s">
        <v>128</v>
      </c>
      <c r="N16" s="151" t="s">
        <v>129</v>
      </c>
      <c r="O16" s="152" t="s">
        <v>75</v>
      </c>
      <c r="P16" s="152" t="s">
        <v>130</v>
      </c>
      <c r="Q16" s="147">
        <v>11</v>
      </c>
      <c r="U16" s="151" t="s">
        <v>131</v>
      </c>
      <c r="V16" s="151" t="s">
        <v>118</v>
      </c>
      <c r="W16" s="152" t="s">
        <v>132</v>
      </c>
      <c r="X16" s="147">
        <v>20</v>
      </c>
    </row>
    <row r="17" spans="12:24">
      <c r="L17" s="141" t="s">
        <v>71</v>
      </c>
      <c r="N17" s="151" t="s">
        <v>133</v>
      </c>
      <c r="O17" s="152" t="s">
        <v>78</v>
      </c>
      <c r="P17" s="152" t="s">
        <v>134</v>
      </c>
      <c r="Q17" s="147">
        <v>30</v>
      </c>
      <c r="U17" s="151" t="s">
        <v>135</v>
      </c>
      <c r="V17" s="151" t="s">
        <v>136</v>
      </c>
      <c r="W17" s="152" t="s">
        <v>137</v>
      </c>
      <c r="X17" s="147">
        <v>15</v>
      </c>
    </row>
    <row r="18" spans="12:24">
      <c r="L18" s="141" t="s">
        <v>73</v>
      </c>
      <c r="N18" s="151" t="s">
        <v>138</v>
      </c>
      <c r="O18" s="152" t="s">
        <v>78</v>
      </c>
      <c r="P18" s="152" t="s">
        <v>139</v>
      </c>
      <c r="Q18" s="147">
        <v>15</v>
      </c>
      <c r="U18" s="151" t="s">
        <v>140</v>
      </c>
      <c r="V18" s="151" t="s">
        <v>136</v>
      </c>
      <c r="W18" s="152" t="s">
        <v>137</v>
      </c>
      <c r="X18" s="147">
        <v>15</v>
      </c>
    </row>
    <row r="19" spans="12:24">
      <c r="N19" s="151" t="s">
        <v>141</v>
      </c>
      <c r="O19" s="151" t="s">
        <v>118</v>
      </c>
      <c r="P19" s="152" t="s">
        <v>119</v>
      </c>
      <c r="Q19" s="147">
        <v>15</v>
      </c>
      <c r="U19" s="151" t="s">
        <v>142</v>
      </c>
      <c r="V19" s="151" t="s">
        <v>136</v>
      </c>
      <c r="W19" s="152" t="s">
        <v>137</v>
      </c>
      <c r="X19" s="147">
        <v>7</v>
      </c>
    </row>
    <row r="20" spans="12:24">
      <c r="N20" s="151" t="s">
        <v>143</v>
      </c>
      <c r="O20" s="151" t="s">
        <v>118</v>
      </c>
      <c r="P20" s="151" t="s">
        <v>122</v>
      </c>
      <c r="Q20" s="147">
        <v>20</v>
      </c>
      <c r="U20" s="151" t="s">
        <v>144</v>
      </c>
      <c r="V20" s="151" t="s">
        <v>136</v>
      </c>
      <c r="W20" s="152" t="s">
        <v>145</v>
      </c>
      <c r="X20" s="147">
        <v>20</v>
      </c>
    </row>
    <row r="21" spans="12:24">
      <c r="N21" s="151" t="s">
        <v>146</v>
      </c>
      <c r="O21" s="151" t="s">
        <v>118</v>
      </c>
      <c r="P21" s="152" t="s">
        <v>147</v>
      </c>
      <c r="Q21" s="147">
        <v>13</v>
      </c>
      <c r="U21" s="151" t="s">
        <v>148</v>
      </c>
      <c r="V21" s="151" t="s">
        <v>149</v>
      </c>
      <c r="W21" s="152" t="s">
        <v>150</v>
      </c>
      <c r="X21" s="147">
        <v>0</v>
      </c>
    </row>
    <row r="22" spans="12:24">
      <c r="N22" s="151" t="s">
        <v>151</v>
      </c>
      <c r="O22" s="151" t="s">
        <v>118</v>
      </c>
      <c r="P22" s="152" t="s">
        <v>132</v>
      </c>
      <c r="Q22" s="147">
        <v>20</v>
      </c>
      <c r="U22" s="151" t="s">
        <v>152</v>
      </c>
      <c r="V22" s="151" t="s">
        <v>149</v>
      </c>
      <c r="W22" s="152" t="s">
        <v>153</v>
      </c>
      <c r="X22" s="147">
        <v>0</v>
      </c>
    </row>
    <row r="23" spans="12:24">
      <c r="N23" s="151" t="s">
        <v>154</v>
      </c>
      <c r="O23" s="151" t="s">
        <v>118</v>
      </c>
      <c r="P23" s="151" t="s">
        <v>155</v>
      </c>
      <c r="Q23" s="152">
        <v>10</v>
      </c>
      <c r="U23" s="151" t="s">
        <v>156</v>
      </c>
      <c r="V23" s="151" t="s">
        <v>149</v>
      </c>
      <c r="W23" s="152" t="s">
        <v>157</v>
      </c>
      <c r="X23" s="147">
        <v>0</v>
      </c>
    </row>
    <row r="24" spans="12:24">
      <c r="N24" s="152" t="s">
        <v>158</v>
      </c>
      <c r="O24" s="151" t="s">
        <v>159</v>
      </c>
      <c r="P24" s="152" t="s">
        <v>83</v>
      </c>
      <c r="Q24" s="147">
        <v>10</v>
      </c>
      <c r="U24" s="151" t="s">
        <v>160</v>
      </c>
      <c r="V24" s="151" t="s">
        <v>149</v>
      </c>
      <c r="W24" s="152" t="s">
        <v>161</v>
      </c>
      <c r="X24" s="147">
        <v>0</v>
      </c>
    </row>
    <row r="25" spans="12:24">
      <c r="N25" s="151" t="s">
        <v>162</v>
      </c>
      <c r="O25" s="151" t="s">
        <v>159</v>
      </c>
      <c r="P25" s="152" t="s">
        <v>163</v>
      </c>
      <c r="Q25" s="147">
        <v>10</v>
      </c>
      <c r="U25" s="151" t="s">
        <v>164</v>
      </c>
      <c r="V25" s="151" t="s">
        <v>149</v>
      </c>
      <c r="W25" s="152" t="s">
        <v>165</v>
      </c>
      <c r="X25" s="147">
        <v>0</v>
      </c>
    </row>
    <row r="26" spans="12:24">
      <c r="N26" s="152" t="s">
        <v>166</v>
      </c>
      <c r="O26" s="151" t="s">
        <v>167</v>
      </c>
      <c r="P26" s="152" t="s">
        <v>168</v>
      </c>
      <c r="Q26" s="147">
        <v>17</v>
      </c>
      <c r="U26" s="151" t="s">
        <v>169</v>
      </c>
      <c r="V26" s="151" t="s">
        <v>149</v>
      </c>
      <c r="W26" s="152" t="s">
        <v>165</v>
      </c>
      <c r="X26" s="147">
        <v>0</v>
      </c>
    </row>
    <row r="27" spans="12:24">
      <c r="N27" s="151" t="s">
        <v>170</v>
      </c>
      <c r="O27" s="151" t="s">
        <v>136</v>
      </c>
      <c r="P27" s="152" t="s">
        <v>137</v>
      </c>
      <c r="Q27" s="147">
        <v>15</v>
      </c>
      <c r="U27" s="151" t="s">
        <v>171</v>
      </c>
      <c r="V27" s="151" t="s">
        <v>149</v>
      </c>
      <c r="W27" s="152" t="s">
        <v>83</v>
      </c>
      <c r="X27" s="147">
        <v>0</v>
      </c>
    </row>
    <row r="28" spans="12:24">
      <c r="N28" s="151" t="s">
        <v>172</v>
      </c>
      <c r="O28" s="151" t="s">
        <v>136</v>
      </c>
      <c r="P28" s="152" t="s">
        <v>137</v>
      </c>
      <c r="Q28" s="147">
        <v>15</v>
      </c>
      <c r="U28" s="151" t="s">
        <v>173</v>
      </c>
      <c r="V28" s="151" t="s">
        <v>149</v>
      </c>
      <c r="W28" s="152" t="s">
        <v>174</v>
      </c>
      <c r="X28" s="147">
        <v>0</v>
      </c>
    </row>
    <row r="29" spans="12:24">
      <c r="N29" s="151" t="s">
        <v>175</v>
      </c>
      <c r="O29" s="151" t="s">
        <v>136</v>
      </c>
      <c r="P29" s="152" t="s">
        <v>137</v>
      </c>
      <c r="Q29" s="147">
        <v>9</v>
      </c>
      <c r="U29" s="147" t="s">
        <v>176</v>
      </c>
      <c r="V29" s="147" t="s">
        <v>176</v>
      </c>
    </row>
    <row r="30" spans="12:24">
      <c r="N30" s="151" t="s">
        <v>177</v>
      </c>
      <c r="O30" s="151" t="s">
        <v>136</v>
      </c>
      <c r="P30" s="152" t="s">
        <v>137</v>
      </c>
      <c r="Q30" s="147">
        <v>7</v>
      </c>
    </row>
    <row r="31" spans="12:24">
      <c r="N31" s="151" t="s">
        <v>142</v>
      </c>
      <c r="O31" s="151" t="s">
        <v>136</v>
      </c>
      <c r="P31" s="152" t="s">
        <v>178</v>
      </c>
      <c r="Q31" s="147">
        <v>7</v>
      </c>
    </row>
    <row r="32" spans="12:24">
      <c r="N32" s="147" t="s">
        <v>176</v>
      </c>
      <c r="O32" s="147" t="s">
        <v>176</v>
      </c>
    </row>
    <row r="33" spans="14:16">
      <c r="P33" s="152"/>
    </row>
    <row r="34" spans="14:16">
      <c r="P34" s="152"/>
    </row>
    <row r="35" spans="14:16">
      <c r="N35" s="151"/>
      <c r="P35" s="152"/>
    </row>
    <row r="36" spans="14:16">
      <c r="N36" s="151"/>
      <c r="P36" s="152"/>
    </row>
    <row r="37" spans="14:16">
      <c r="N37" s="151"/>
      <c r="P37" s="152"/>
    </row>
    <row r="38" spans="14:16">
      <c r="N38" s="151"/>
      <c r="P38" s="152"/>
    </row>
    <row r="39" spans="14:16">
      <c r="N39" s="151"/>
      <c r="P39" s="152"/>
    </row>
    <row r="40" spans="14:16">
      <c r="N40" s="151"/>
      <c r="P40" s="152"/>
    </row>
    <row r="41" spans="14:16">
      <c r="N41" s="151"/>
      <c r="P41" s="152"/>
    </row>
    <row r="42" spans="14:16">
      <c r="N42" s="151"/>
      <c r="P42" s="152"/>
    </row>
    <row r="43" spans="14:16">
      <c r="N43" s="151"/>
      <c r="P43" s="151"/>
    </row>
    <row r="44" spans="14:16">
      <c r="N44" s="152"/>
      <c r="P44" s="152"/>
    </row>
    <row r="45" spans="14:16">
      <c r="N45" s="152"/>
      <c r="P45" s="152"/>
    </row>
    <row r="46" spans="14:16">
      <c r="N46" s="151"/>
      <c r="P46" s="152"/>
    </row>
    <row r="47" spans="14:16">
      <c r="N47" s="151"/>
      <c r="P47" s="152"/>
    </row>
    <row r="48" spans="14:16">
      <c r="N48" s="151"/>
      <c r="P48" s="152"/>
    </row>
    <row r="49" spans="14:16">
      <c r="N49" s="151"/>
      <c r="P49" s="152"/>
    </row>
    <row r="50" spans="14:16">
      <c r="N50" s="151"/>
      <c r="P50" s="152"/>
    </row>
    <row r="51" spans="14:16">
      <c r="N51" s="151"/>
      <c r="P51" s="152"/>
    </row>
    <row r="52" spans="14:16">
      <c r="N52" s="151"/>
      <c r="P52" s="152"/>
    </row>
    <row r="53" spans="14:16">
      <c r="N53" s="151"/>
      <c r="P53" s="152"/>
    </row>
    <row r="54" spans="14:16">
      <c r="N54" s="151"/>
      <c r="P54" s="152"/>
    </row>
    <row r="55" spans="14:16">
      <c r="N55" s="151"/>
      <c r="P55" s="152"/>
    </row>
    <row r="56" spans="14:16">
      <c r="N56" s="151"/>
      <c r="P56" s="152"/>
    </row>
    <row r="57" spans="14:16">
      <c r="N57" s="151"/>
      <c r="P57" s="152"/>
    </row>
    <row r="58" spans="14:16">
      <c r="N58" s="151"/>
    </row>
    <row r="59" spans="14:16">
      <c r="N59" s="151"/>
    </row>
  </sheetData>
  <sheetProtection algorithmName="SHA-512" hashValue="hoC3a8u8xavTQNMiPfq+Gs2+ZvkjnJVdsZkg72B67SbPLiwYvs8bkGM8ErybIoTddmP+AavkSzpjkUg1Itrqfg==" saltValue="iuvSCFTfkqMg7HrjpjQlKg==" spinCount="100000" sheet="1" objects="1" scenarios="1"/>
  <sortState ref="D9:D16">
    <sortCondition ref="D9"/>
  </sortState>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pageSetUpPr fitToPage="1"/>
  </sheetPr>
  <dimension ref="A1:Y114"/>
  <sheetViews>
    <sheetView showGridLines="0" tabSelected="1" topLeftCell="B1" zoomScale="80" zoomScaleNormal="80" zoomScalePageLayoutView="80" workbookViewId="0">
      <selection activeCell="I12" sqref="I12"/>
    </sheetView>
  </sheetViews>
  <sheetFormatPr defaultColWidth="8.85546875" defaultRowHeight="15.75"/>
  <cols>
    <col min="1" max="1" width="2.42578125" style="1" customWidth="1"/>
    <col min="2" max="2" width="7.7109375" style="1" customWidth="1"/>
    <col min="3" max="3" width="40.28515625" style="1" customWidth="1"/>
    <col min="4" max="5" width="15.7109375" style="1" customWidth="1"/>
    <col min="6" max="6" width="25.28515625" style="1" customWidth="1"/>
    <col min="7" max="12" width="15.7109375" style="1" customWidth="1"/>
    <col min="13" max="21" width="16.42578125" style="1" customWidth="1"/>
    <col min="22" max="23" width="8.85546875" style="1"/>
    <col min="24" max="24" width="11.42578125" style="1" hidden="1" customWidth="1"/>
    <col min="25" max="16384" width="8.85546875" style="1"/>
  </cols>
  <sheetData>
    <row r="1" spans="3:25" ht="15" customHeight="1"/>
    <row r="2" spans="3:25" ht="15" customHeight="1">
      <c r="G2" s="2"/>
      <c r="H2" s="2"/>
      <c r="I2" s="3"/>
      <c r="J2" s="3"/>
      <c r="K2" s="2"/>
    </row>
    <row r="3" spans="3:25" ht="15" customHeight="1">
      <c r="H3" s="2"/>
      <c r="Y3" s="1">
        <v>15</v>
      </c>
    </row>
    <row r="4" spans="3:25" ht="15" customHeight="1"/>
    <row r="5" spans="3:25" ht="15" customHeight="1"/>
    <row r="6" spans="3:25" ht="15" customHeight="1" thickBot="1">
      <c r="G6" s="4"/>
    </row>
    <row r="7" spans="3:25" ht="15" customHeight="1" thickBot="1">
      <c r="C7" s="200" t="s">
        <v>0</v>
      </c>
      <c r="D7" s="201"/>
      <c r="E7" s="201"/>
      <c r="F7" s="202"/>
    </row>
    <row r="8" spans="3:25" ht="15" customHeight="1">
      <c r="C8" s="5"/>
      <c r="D8" s="6"/>
      <c r="E8" s="6"/>
      <c r="F8" s="7"/>
      <c r="G8" s="134"/>
    </row>
    <row r="9" spans="3:25" ht="15" customHeight="1">
      <c r="C9" s="5" t="s">
        <v>2</v>
      </c>
      <c r="D9" s="6"/>
      <c r="E9" s="159" t="s">
        <v>56</v>
      </c>
      <c r="F9" s="9"/>
    </row>
    <row r="10" spans="3:25" ht="15" customHeight="1" thickBot="1">
      <c r="C10" s="5"/>
      <c r="D10" s="6"/>
      <c r="E10" s="6"/>
      <c r="F10" s="9"/>
    </row>
    <row r="11" spans="3:25" ht="15" customHeight="1" thickBot="1">
      <c r="C11" s="5" t="s">
        <v>4</v>
      </c>
      <c r="D11" s="6"/>
      <c r="E11" s="11"/>
      <c r="F11" s="12"/>
      <c r="G11" s="4"/>
      <c r="H11" s="200" t="s">
        <v>1</v>
      </c>
      <c r="I11" s="201"/>
      <c r="J11" s="201"/>
      <c r="K11" s="201"/>
      <c r="L11" s="202"/>
    </row>
    <row r="12" spans="3:25" ht="15" customHeight="1">
      <c r="C12" s="204"/>
      <c r="D12" s="205"/>
      <c r="E12" s="205"/>
      <c r="F12" s="206"/>
      <c r="H12" s="131"/>
      <c r="I12" s="8"/>
      <c r="J12" s="8"/>
      <c r="K12" s="8"/>
      <c r="L12" s="7"/>
    </row>
    <row r="13" spans="3:25" ht="15" customHeight="1">
      <c r="C13" s="16" t="s">
        <v>40</v>
      </c>
      <c r="D13" s="6"/>
      <c r="E13" s="11"/>
      <c r="F13" s="12"/>
      <c r="H13" s="5" t="s">
        <v>3</v>
      </c>
      <c r="I13" s="203"/>
      <c r="J13" s="203"/>
      <c r="K13" s="203"/>
      <c r="L13" s="158"/>
    </row>
    <row r="14" spans="3:25" ht="15" customHeight="1">
      <c r="C14" s="16"/>
      <c r="D14" s="6"/>
      <c r="E14" s="129"/>
      <c r="F14" s="12"/>
      <c r="H14" s="5"/>
      <c r="I14" s="135"/>
      <c r="J14" s="135"/>
      <c r="K14" s="135"/>
      <c r="L14" s="9"/>
    </row>
    <row r="15" spans="3:25" ht="15" customHeight="1">
      <c r="C15" s="5" t="s">
        <v>52</v>
      </c>
      <c r="D15" s="6"/>
      <c r="E15" s="127"/>
      <c r="F15" s="12"/>
      <c r="G15" s="4"/>
      <c r="H15" s="5" t="s">
        <v>5</v>
      </c>
      <c r="I15" s="203"/>
      <c r="J15" s="203"/>
      <c r="K15" s="203"/>
      <c r="L15" s="158"/>
      <c r="S15" s="4"/>
    </row>
    <row r="16" spans="3:25" ht="15" customHeight="1">
      <c r="C16" s="5"/>
      <c r="D16" s="6"/>
      <c r="E16" s="6"/>
      <c r="F16" s="12"/>
      <c r="G16" s="4"/>
      <c r="H16" s="5"/>
      <c r="I16" s="135"/>
      <c r="J16" s="135"/>
      <c r="K16" s="15"/>
      <c r="L16" s="14"/>
      <c r="S16" s="4"/>
    </row>
    <row r="17" spans="1:21" ht="15" customHeight="1">
      <c r="C17" s="5" t="s">
        <v>41</v>
      </c>
      <c r="D17" s="6"/>
      <c r="E17" s="126"/>
      <c r="F17" s="12"/>
      <c r="G17" s="20"/>
      <c r="H17" s="16" t="s">
        <v>47</v>
      </c>
      <c r="I17" s="203"/>
      <c r="J17" s="203"/>
      <c r="K17" s="203"/>
      <c r="L17" s="158"/>
      <c r="M17" s="6"/>
      <c r="S17" s="4"/>
    </row>
    <row r="18" spans="1:21" ht="15" customHeight="1" thickBot="1">
      <c r="C18" s="5"/>
      <c r="D18" s="6"/>
      <c r="E18" s="13"/>
      <c r="F18" s="9"/>
      <c r="H18" s="132"/>
      <c r="I18" s="18"/>
      <c r="J18" s="18"/>
      <c r="K18" s="18"/>
      <c r="L18" s="19"/>
      <c r="S18" s="4"/>
    </row>
    <row r="19" spans="1:21" ht="15" customHeight="1">
      <c r="B19" s="6"/>
      <c r="C19" s="5" t="s">
        <v>6</v>
      </c>
      <c r="D19" s="6"/>
      <c r="E19" s="23"/>
      <c r="F19" s="9"/>
      <c r="H19" s="134"/>
      <c r="I19" s="134"/>
      <c r="J19" s="134"/>
      <c r="K19" s="134"/>
      <c r="L19" s="134"/>
      <c r="S19" s="4"/>
    </row>
    <row r="20" spans="1:21" s="134" customFormat="1" ht="15" customHeight="1">
      <c r="B20" s="135"/>
      <c r="C20" s="5"/>
      <c r="D20" s="135"/>
      <c r="E20" s="160"/>
      <c r="F20" s="9"/>
      <c r="S20" s="4"/>
    </row>
    <row r="21" spans="1:21" s="134" customFormat="1" ht="15" customHeight="1">
      <c r="B21" s="135"/>
      <c r="C21" s="5" t="s">
        <v>191</v>
      </c>
      <c r="D21" s="135"/>
      <c r="E21" s="162"/>
      <c r="F21" s="9"/>
      <c r="S21" s="4"/>
    </row>
    <row r="22" spans="1:21" ht="15" customHeight="1" thickBot="1">
      <c r="B22" s="6"/>
      <c r="C22" s="5"/>
      <c r="D22" s="6"/>
      <c r="E22" s="6"/>
      <c r="F22" s="9"/>
      <c r="H22" s="135"/>
      <c r="I22" s="157"/>
      <c r="J22" s="157"/>
      <c r="K22" s="157"/>
      <c r="L22" s="157"/>
      <c r="S22" s="4"/>
    </row>
    <row r="23" spans="1:21" ht="15" customHeight="1" thickBot="1">
      <c r="B23" s="6"/>
      <c r="C23" s="5" t="s">
        <v>45</v>
      </c>
      <c r="D23" s="6"/>
      <c r="E23" s="130" t="e">
        <f>kwhprod*VLOOKUP(utility,C107:D114,2,FALSE)</f>
        <v>#N/A</v>
      </c>
      <c r="F23" s="9"/>
      <c r="H23" s="200" t="s">
        <v>44</v>
      </c>
      <c r="I23" s="201"/>
      <c r="J23" s="201"/>
      <c r="K23" s="201"/>
      <c r="L23" s="202"/>
      <c r="S23" s="4"/>
    </row>
    <row r="24" spans="1:21" ht="15" customHeight="1">
      <c r="B24" s="6"/>
      <c r="C24" s="5"/>
      <c r="D24" s="6"/>
      <c r="E24" s="6"/>
      <c r="F24" s="9"/>
      <c r="H24" s="131"/>
      <c r="I24" s="8"/>
      <c r="J24" s="8"/>
      <c r="K24" s="8"/>
      <c r="L24" s="7"/>
      <c r="S24" s="4"/>
    </row>
    <row r="25" spans="1:21" ht="15" customHeight="1">
      <c r="B25" s="6"/>
      <c r="C25" s="5" t="s">
        <v>46</v>
      </c>
      <c r="D25" s="6"/>
      <c r="E25" s="128">
        <v>20</v>
      </c>
      <c r="F25" s="9"/>
      <c r="H25" s="5" t="s">
        <v>3</v>
      </c>
      <c r="I25" s="203"/>
      <c r="J25" s="203"/>
      <c r="K25" s="203"/>
      <c r="L25" s="158"/>
      <c r="M25" s="6"/>
      <c r="S25" s="4"/>
    </row>
    <row r="26" spans="1:21" ht="15" customHeight="1" thickBot="1">
      <c r="B26" s="6"/>
      <c r="C26" s="17"/>
      <c r="D26" s="24"/>
      <c r="E26" s="24"/>
      <c r="F26" s="25"/>
      <c r="H26" s="17"/>
      <c r="I26" s="24"/>
      <c r="J26" s="24"/>
      <c r="K26" s="24"/>
      <c r="L26" s="25"/>
      <c r="M26" s="6"/>
      <c r="O26" s="26"/>
      <c r="R26" s="4"/>
    </row>
    <row r="27" spans="1:21" ht="15" customHeight="1" thickBot="1">
      <c r="B27" s="24"/>
      <c r="C27" s="24"/>
      <c r="D27" s="24"/>
      <c r="E27" s="24"/>
      <c r="F27" s="24"/>
      <c r="G27" s="24"/>
      <c r="H27" s="24"/>
      <c r="I27" s="24"/>
      <c r="J27" s="24"/>
      <c r="K27" s="24"/>
      <c r="L27" s="24"/>
      <c r="Q27" s="15"/>
      <c r="R27" s="27"/>
      <c r="U27" s="4"/>
    </row>
    <row r="28" spans="1:21" ht="15" customHeight="1">
      <c r="A28" s="6"/>
      <c r="B28" s="190" t="s">
        <v>7</v>
      </c>
      <c r="C28" s="8"/>
      <c r="D28" s="193" t="e">
        <f>"On-Bill Recovery Loan at "&amp;TEXT(VLOOKUP(E21,MenuItems!D9:F16,3,FALSE),"0.00%"&amp;"")</f>
        <v>#N/A</v>
      </c>
      <c r="E28" s="194"/>
      <c r="F28" s="195"/>
      <c r="G28" s="194" t="e">
        <f>"Smart Energy Loan - AutoPay at "&amp;TEXT(VLOOKUP(E21,MenuItems!D9:F16,3,FALSE),"0.00%"&amp;"")</f>
        <v>#N/A</v>
      </c>
      <c r="H28" s="194"/>
      <c r="I28" s="195"/>
      <c r="J28" s="196" t="e">
        <f>"Smart Energy Loan - By Mail at "&amp;TEXT(VLOOKUP(E21,MenuItems!D9:F16,2,FALSE),"0.00%"&amp;"")</f>
        <v>#N/A</v>
      </c>
      <c r="K28" s="194"/>
      <c r="L28" s="195"/>
      <c r="M28" s="6"/>
    </row>
    <row r="29" spans="1:21" ht="15" customHeight="1" thickBot="1">
      <c r="A29" s="6"/>
      <c r="B29" s="191"/>
      <c r="C29" s="17"/>
      <c r="D29" s="28" t="s">
        <v>8</v>
      </c>
      <c r="E29" s="29" t="s">
        <v>9</v>
      </c>
      <c r="F29" s="30" t="s">
        <v>10</v>
      </c>
      <c r="G29" s="28" t="s">
        <v>8</v>
      </c>
      <c r="H29" s="31" t="s">
        <v>9</v>
      </c>
      <c r="I29" s="30" t="s">
        <v>10</v>
      </c>
      <c r="J29" s="28" t="s">
        <v>8</v>
      </c>
      <c r="K29" s="29" t="s">
        <v>9</v>
      </c>
      <c r="L29" s="30" t="s">
        <v>10</v>
      </c>
      <c r="M29" s="6"/>
    </row>
    <row r="30" spans="1:21" ht="15" customHeight="1">
      <c r="A30" s="6"/>
      <c r="B30" s="191"/>
      <c r="C30" s="32"/>
      <c r="D30" s="33"/>
      <c r="E30" s="34"/>
      <c r="F30" s="10"/>
      <c r="G30" s="33"/>
      <c r="H30" s="34"/>
      <c r="I30" s="10"/>
      <c r="J30" s="33"/>
      <c r="K30" s="34"/>
      <c r="L30" s="35"/>
      <c r="M30" s="6"/>
    </row>
    <row r="31" spans="1:21" ht="15" customHeight="1">
      <c r="A31" s="6"/>
      <c r="B31" s="191"/>
      <c r="C31" s="36" t="s">
        <v>11</v>
      </c>
      <c r="D31" s="37" t="e">
        <f>IF(OR(PCost&lt;=0,AND(LC_PSavings&lt;=0,OR(SavingsAnnual&lt;=0,WeightedAvgMLife&lt;=0))),"Error!",D37)</f>
        <v>#N/A</v>
      </c>
      <c r="E31" s="38" t="e">
        <f t="shared" ref="E31:L31" si="0">IF(OR(PCost&lt;=0,AND(LC_PSavings&lt;=0,OR(SavingsAnnual&lt;=0,WeightedAvgMLife&lt;=0))),"Error!",E37)</f>
        <v>#N/A</v>
      </c>
      <c r="F31" s="39" t="e">
        <f t="shared" si="0"/>
        <v>#N/A</v>
      </c>
      <c r="G31" s="40" t="e">
        <f t="shared" si="0"/>
        <v>#N/A</v>
      </c>
      <c r="H31" s="41" t="e">
        <f t="shared" si="0"/>
        <v>#N/A</v>
      </c>
      <c r="I31" s="42" t="e">
        <f t="shared" si="0"/>
        <v>#N/A</v>
      </c>
      <c r="J31" s="40" t="e">
        <f t="shared" si="0"/>
        <v>#N/A</v>
      </c>
      <c r="K31" s="41" t="e">
        <f t="shared" si="0"/>
        <v>#N/A</v>
      </c>
      <c r="L31" s="43" t="e">
        <f t="shared" si="0"/>
        <v>#N/A</v>
      </c>
      <c r="M31" s="6"/>
    </row>
    <row r="32" spans="1:21" ht="15" customHeight="1">
      <c r="A32" s="6"/>
      <c r="B32" s="191"/>
      <c r="C32" s="44" t="s">
        <v>12</v>
      </c>
      <c r="D32" s="45" t="e">
        <f>IF(D31="Error!","Error!",IF(D35&gt;=(LoanPrincipal),"",CEILING((LoanPrincipal)-D35+CustCont,1)))</f>
        <v>#N/A</v>
      </c>
      <c r="E32" s="46" t="e">
        <f>IF(E31="Error!","Error!",IF(E35&gt;=(LoanPrincipal),"",CEILING((LoanPrincipal)-E35+CustCont,1)))</f>
        <v>#N/A</v>
      </c>
      <c r="F32" s="47" t="e">
        <f>IF(F31="Error!","Error!",IF(F35&gt;=(LoanPrincipal),"",CEILING((LoanPrincipal)-F35+CustCont,1)))</f>
        <v>#N/A</v>
      </c>
      <c r="G32" s="45" t="e">
        <f t="shared" ref="G32:L32" si="1">IF(G31="Error!","Error!",IF(G37&gt;=1,"",CEILING((LoanPrincipal)-G35+CustCont,1)))</f>
        <v>#N/A</v>
      </c>
      <c r="H32" s="46" t="e">
        <f t="shared" si="1"/>
        <v>#N/A</v>
      </c>
      <c r="I32" s="47" t="e">
        <f t="shared" si="1"/>
        <v>#N/A</v>
      </c>
      <c r="J32" s="45" t="e">
        <f t="shared" si="1"/>
        <v>#N/A</v>
      </c>
      <c r="K32" s="46" t="e">
        <f t="shared" si="1"/>
        <v>#N/A</v>
      </c>
      <c r="L32" s="48" t="e">
        <f t="shared" si="1"/>
        <v>#N/A</v>
      </c>
      <c r="M32" s="6"/>
    </row>
    <row r="33" spans="1:14" ht="15" customHeight="1">
      <c r="A33" s="6"/>
      <c r="B33" s="191"/>
      <c r="C33" s="49" t="s">
        <v>13</v>
      </c>
      <c r="D33" s="50"/>
      <c r="E33" s="51"/>
      <c r="F33" s="52"/>
      <c r="G33" s="50"/>
      <c r="H33" s="51"/>
      <c r="I33" s="52"/>
      <c r="J33" s="50"/>
      <c r="K33" s="51"/>
      <c r="L33" s="53"/>
      <c r="M33" s="6"/>
    </row>
    <row r="34" spans="1:14" ht="15" customHeight="1">
      <c r="A34" s="6"/>
      <c r="B34" s="191"/>
      <c r="C34" s="54" t="s">
        <v>14</v>
      </c>
      <c r="D34" s="45" t="e">
        <f>IF(D31="Error!","Error!",IF(SavingsAnnual&gt;=D36,"",CEILING(D36,1)))</f>
        <v>#N/A</v>
      </c>
      <c r="E34" s="46" t="e">
        <f t="shared" ref="E34:F34" si="2">IF(E31="Error!","Error!",IF(SavingsAnnual&gt;=E36,"",CEILING(E36,1)))</f>
        <v>#N/A</v>
      </c>
      <c r="F34" s="47" t="e">
        <f t="shared" si="2"/>
        <v>#N/A</v>
      </c>
      <c r="G34" s="45" t="e">
        <f>IF(G31="Error!","Error!",IF(G37&gt;=1,"",CEILING(G36,1)))</f>
        <v>#N/A</v>
      </c>
      <c r="H34" s="46" t="e">
        <f t="shared" ref="H34:L34" si="3">IF(H31="Error!","Error!",IF(H37&gt;=1,"",CEILING(H36,1)))</f>
        <v>#N/A</v>
      </c>
      <c r="I34" s="47" t="e">
        <f>IF(I31="Error!","Error!",IF(I37&gt;=1,"",CEILING(I36,1)))</f>
        <v>#N/A</v>
      </c>
      <c r="J34" s="45" t="e">
        <f t="shared" si="3"/>
        <v>#N/A</v>
      </c>
      <c r="K34" s="47" t="e">
        <f t="shared" si="3"/>
        <v>#N/A</v>
      </c>
      <c r="L34" s="48" t="e">
        <f t="shared" si="3"/>
        <v>#N/A</v>
      </c>
      <c r="M34" s="6"/>
      <c r="N34" s="6"/>
    </row>
    <row r="35" spans="1:14" ht="15" hidden="1" customHeight="1">
      <c r="A35" s="6"/>
      <c r="B35" s="191"/>
      <c r="C35" s="55" t="s">
        <v>15</v>
      </c>
      <c r="D35" s="50" t="e">
        <f>IF(OR((LoanPrincipal)&lt;=0,WeightedAvgMLife&lt;=0),"N/A",PV(VLOOKUP(E21,MenuItems!D9:F16,3,FALSE)/12,5*12,-(FV(0.008,WeightedAvgMLife,-SavingsAnnual)/(5*12))))</f>
        <v>#N/A</v>
      </c>
      <c r="E35" s="51" t="e">
        <f>IF(OR((LoanPrincipal)&lt;=0,WeightedAvgMLife&lt;=0),"N/A",PV(VLOOKUP(E21,MenuItems!D9:F16,3,FALSE)/12,10*12,-(FV(0.008,WeightedAvgMLife,-SavingsAnnual)/(10*12))))</f>
        <v>#N/A</v>
      </c>
      <c r="F35" s="52" t="e">
        <f>IF(OR((LoanPrincipal)&lt;=0,WeightedAvgMLife&lt;=0),"N/A",PV(VLOOKUP(E21,MenuItems!D9:F16,3,FALSE)/12,15*12,-(FV(0.008,WeightedAvgMLife,-SavingsAnnual)/(15*12))))</f>
        <v>#N/A</v>
      </c>
      <c r="G35" s="50" t="e">
        <f>IF(OR((LoanPrincipal)&lt;=0,WeightedAvgMLife&lt;=0),"N/A",PV(VLOOKUP(E21,MenuItems!D9:F16,3,FALSE)/12,5*12,-(FV(0.008,WeightedAvgMLife,-SavingsAnnual)/(5*12))))</f>
        <v>#N/A</v>
      </c>
      <c r="H35" s="51" t="e">
        <f>IF(OR((LoanPrincipal)&lt;=0,WeightedAvgMLife&lt;=0),"N/A",PV(VLOOKUP(E21,MenuItems!D9:F16,3,FALSE)/12,10*12,-(FV(0.008,WeightedAvgMLife,-SavingsAnnual)/(10*12))))</f>
        <v>#N/A</v>
      </c>
      <c r="I35" s="52" t="e">
        <f>IF(OR((LoanPrincipal)&lt;=0,WeightedAvgMLife&lt;=0),"N/A",PV(VLOOKUP(E21,MenuItems!D9:F16,3,FALSE)/12,15*12,-(FV(0.008,WeightedAvgMLife,-SavingsAnnual)/(15*12))))</f>
        <v>#N/A</v>
      </c>
      <c r="J35" s="50" t="e">
        <f>IF(OR((LoanPrincipal)&lt;=0,WeightedAvgMLife&lt;=0),"N/A",PV(VLOOKUP(E21,MenuItems!D9:F16,2,FALSE)/12,5*12,-(FV(0.008,WeightedAvgMLife,-SavingsAnnual)/(5*12))))</f>
        <v>#N/A</v>
      </c>
      <c r="K35" s="52" t="e">
        <f>IF(OR((LoanPrincipal)&lt;=0,WeightedAvgMLife&lt;=0),"N/A",PV(VLOOKUP(E21,MenuItems!D9:F16,2,FALSE)/12,10*12,-(FV(0.008,WeightedAvgMLife,-SavingsAnnual)/(10*12))))</f>
        <v>#N/A</v>
      </c>
      <c r="L35" s="53" t="e">
        <f>IF(OR((LoanPrincipal)&lt;=0,WeightedAvgMLife&lt;=0),"N/A",PV(VLOOKUP(E21,MenuItems!D9:F16,2,FALSE)/12,15*12,-(FV(0.008,WeightedAvgMLife,-SavingsAnnual)/(15*12))))</f>
        <v>#N/A</v>
      </c>
      <c r="M35" s="6"/>
      <c r="N35" s="6"/>
    </row>
    <row r="36" spans="1:14" ht="15" hidden="1" customHeight="1">
      <c r="A36" s="6"/>
      <c r="B36" s="191"/>
      <c r="C36" s="56" t="s">
        <v>16</v>
      </c>
      <c r="D36" s="50" t="e">
        <f>IF(OR((LoanPrincipal)&lt;=0,WeightedAvgMLife&lt;=0),"N/A",PMT(0.008,WeightedAvgMLife,,-PMT(VLOOKUP(E21,MenuItems!D9:F16,3,FALSE)/12,5*12,-(LoanPrincipal))*5*12))</f>
        <v>#N/A</v>
      </c>
      <c r="E36" s="51" t="e">
        <f>IF(OR((LoanPrincipal)&lt;=0,WeightedAvgMLife&lt;=0),"N/A",PMT(0.008,WeightedAvgMLife,,-PMT(VLOOKUP(E21,MenuItems!D9:F16,3,FALSE)/12,10*12,-(LoanPrincipal))*10*12))</f>
        <v>#N/A</v>
      </c>
      <c r="F36" s="52" t="e">
        <f>IF(OR((LoanPrincipal)&lt;=0,WeightedAvgMLife&lt;=0),"N/A",PMT(0.008,WeightedAvgMLife,,-PMT(VLOOKUP(E21,MenuItems!D9:F16,3,FALSE)/12,15*12,-(LoanPrincipal))*15*12))</f>
        <v>#N/A</v>
      </c>
      <c r="G36" s="50" t="e">
        <f>IF(OR((LoanPrincipal)&lt;=0,WeightedAvgMLife&lt;=0),"N/A",PMT(0.008,WeightedAvgMLife,,-PMT(VLOOKUP(E21,MenuItems!D9:F16,3,FALSE)/12,5*12,-(LoanPrincipal))*5*12))</f>
        <v>#N/A</v>
      </c>
      <c r="H36" s="51" t="e">
        <f>IF(OR((LoanPrincipal)&lt;=0,WeightedAvgMLife&lt;=0),"N/A",PMT(0.008,WeightedAvgMLife,,-PMT(VLOOKUP(E21,MenuItems!D9:F16,3,FALSE)/12,10*12,-(LoanPrincipal))*10*12))</f>
        <v>#N/A</v>
      </c>
      <c r="I36" s="52" t="e">
        <f>IF(OR((LoanPrincipal)&lt;=0,WeightedAvgMLife&lt;=0),"N/A",PMT(0.008,WeightedAvgMLife,,-PMT(VLOOKUP(E21,MenuItems!D9:F16,3,FALSE)/12,15*12,-(LoanPrincipal))*15*12))</f>
        <v>#N/A</v>
      </c>
      <c r="J36" s="50" t="e">
        <f>IF(OR((LoanPrincipal)&lt;=0,WeightedAvgMLife&lt;=0),"N/A",PMT(0.008,WeightedAvgMLife,,-PMT(VLOOKUP(E21,MenuItems!D9:F16,2,FALSE)/12,5*12,-(LoanPrincipal))*5*12))</f>
        <v>#N/A</v>
      </c>
      <c r="K36" s="52" t="e">
        <f>IF(OR((LoanPrincipal)&lt;=0,WeightedAvgMLife&lt;=0),"N/A",PMT(0.008,WeightedAvgMLife,,-PMT(VLOOKUP(E21,MenuItems!D9:F16,2,FALSE)/12,10*12,-(LoanPrincipal))*10*12))</f>
        <v>#N/A</v>
      </c>
      <c r="L36" s="53" t="e">
        <f>IF(OR((LoanPrincipal)&lt;=0,WeightedAvgMLife&lt;=0),"N/A",PMT(0.008,WeightedAvgMLife,,-PMT(VLOOKUP(E21,MenuItems!D9:F16,2,FALSE)/12,15*12,-(LoanPrincipal))*15*12))</f>
        <v>#N/A</v>
      </c>
      <c r="M36" s="15"/>
      <c r="N36" s="6"/>
    </row>
    <row r="37" spans="1:14" ht="15" hidden="1" customHeight="1">
      <c r="A37" s="6"/>
      <c r="B37" s="191"/>
      <c r="C37" s="56" t="s">
        <v>11</v>
      </c>
      <c r="D37" s="37" t="e">
        <f>IF(LC_PSavings&gt;0,ROUND((LC_PSavings)/(PMT(VLOOKUP(E21,MenuItems!D9:F16,3,FALSE)/12,5*12,-(LoanPrincipal))*5*12),2),ROUND((FV(0.008,WeightedAvgMLife,-SavingsAnnual)/(PMT(VLOOKUP(E21,MenuItems!D9:F16,3,FALSE)/12,5*12,-(LoanPrincipal))*5*12)),2))</f>
        <v>#N/A</v>
      </c>
      <c r="E37" s="38" t="e">
        <f>IF(LC_PSavings&gt;0,ROUND((LC_PSavings)/(PMT(VLOOKUP(E21,MenuItems!D9:F16,3,FALSE)/12,10*12,-(LoanPrincipal))*10*12),2),ROUND((FV(0.008,WeightedAvgMLife,-SavingsAnnual)/(PMT(VLOOKUP(E21,MenuItems!D9:F16,3,FALSE)/12,10*12,-(LoanPrincipal))*10*12)),2))</f>
        <v>#N/A</v>
      </c>
      <c r="F37" s="39" t="e">
        <f>IF(LC_PSavings&gt;0,ROUND((LC_PSavings)/(PMT(VLOOKUP(E21,MenuItems!D9:F16,3,FALSE)/12,15*12,-(LoanPrincipal))*15*12),2),ROUND((FV(0.008,WeightedAvgMLife,-SavingsAnnual)/(PMT(VLOOKUP(E21,MenuItems!D9:F16,3,FALSE)/12,15*12,-(LoanPrincipal))*15*12)),2))</f>
        <v>#N/A</v>
      </c>
      <c r="G37" s="37" t="e">
        <f>IF(LC_PSavings&gt;0,ROUND((LC_PSavings)/(PMT(VLOOKUP(E21,MenuItems!D9:F16,3,FALSE)/12,5*12,-(LoanPrincipal))*5*12),2),ROUND((FV(0.008,WeightedAvgMLife,-SavingsAnnual)/(PMT(VLOOKUP(E21,MenuItems!D9:F16,3,FALSE)/12,5*12,-(LoanPrincipal))*5*12)),2))</f>
        <v>#N/A</v>
      </c>
      <c r="H37" s="38" t="e">
        <f>IF(LC_PSavings&gt;0,ROUND((LC_PSavings)/(PMT(VLOOKUP(E21,MenuItems!D9:F16,3,FALSE)/12,10*12,-(LoanPrincipal))*10*12),2),ROUND((FV(0.008,WeightedAvgMLife,-SavingsAnnual)/(PMT(VLOOKUP(E21,MenuItems!D9:F16,3,FALSE)/12,10*12,-(LoanPrincipal))*10*12)),2))</f>
        <v>#N/A</v>
      </c>
      <c r="I37" s="39" t="e">
        <f>IF(LC_PSavings&gt;0,ROUND((LC_PSavings)/(PMT(VLOOKUP(E21,MenuItems!D9:F16,3,FALSE)/12,15*12,-(LoanPrincipal))*15*12),2),ROUND((FV(0.008,WeightedAvgMLife,-SavingsAnnual)/(PMT(VLOOKUP(E21,MenuItems!D9:F16,3,FALSE)/12,15*12,-(LoanPrincipal))*15*12)),2))</f>
        <v>#N/A</v>
      </c>
      <c r="J37" s="37" t="e">
        <f>IF(LC_PSavings&gt;0,ROUND((LC_PSavings)/(PMT(VLOOKUP(E21,MenuItems!D9:F16,2,FALSE)/12,5*12,-(LoanPrincipal))*5*12),2),ROUND((FV(0.008,WeightedAvgMLife,-SavingsAnnual)/(PMT(VLOOKUP(E21,MenuItems!D9:F16,2,FALSE)/12,5*12,-(LoanPrincipal))*5*12)),2))</f>
        <v>#N/A</v>
      </c>
      <c r="K37" s="39" t="e">
        <f>IF(LC_PSavings&gt;0,ROUND((LC_PSavings)/(PMT(VLOOKUP(E21,MenuItems!D9:F16,2,FALSE)/12,10*12,-(LoanPrincipal))*10*12),2),ROUND((FV(0.008,WeightedAvgMLife,-SavingsAnnual)/(PMT(VLOOKUP(E21,MenuItems!D9:F16,2,FALSE)/12,10*12,-(LoanPrincipal))*10*12)),2))</f>
        <v>#N/A</v>
      </c>
      <c r="L37" s="57" t="e">
        <f>IF(LC_PSavings&gt;0,ROUND((LC_PSavings)/(PMT(VLOOKUP(E21,MenuItems!D9:F16,2,FALSE)/12,15*12,-(LoanPrincipal))*15*12),2),ROUND((FV(0.008,WeightedAvgMLife,-SavingsAnnual)/(PMT(VLOOKUP(E21,MenuItems!D9:F16,2,FALSE)/12,15*12,-(LoanPrincipal))*15*12)),2))</f>
        <v>#N/A</v>
      </c>
      <c r="M37" s="15"/>
      <c r="N37" s="6"/>
    </row>
    <row r="38" spans="1:14" ht="15" customHeight="1" thickBot="1">
      <c r="A38" s="6"/>
      <c r="B38" s="191"/>
      <c r="C38" s="58"/>
      <c r="D38" s="59"/>
      <c r="E38" s="60"/>
      <c r="F38" s="61"/>
      <c r="G38" s="59"/>
      <c r="H38" s="60"/>
      <c r="I38" s="61"/>
      <c r="J38" s="59"/>
      <c r="K38" s="60"/>
      <c r="L38" s="62"/>
      <c r="M38" s="15"/>
      <c r="N38" s="6"/>
    </row>
    <row r="39" spans="1:14" ht="15" customHeight="1">
      <c r="B39" s="191"/>
      <c r="C39" s="63" t="s">
        <v>180</v>
      </c>
      <c r="D39" s="64" t="str">
        <f>IF(D47="Error!","Error!",IF(AND(D47&gt;=0,WeightedAvgMLife&gt;=5),"YES","NO"))</f>
        <v>Error!</v>
      </c>
      <c r="E39" s="65" t="str">
        <f>IF(E47="Error!","Error!",IF(AND(E47&gt;=0,WeightedAvgMLife&gt;=10),"YES","NO"))</f>
        <v>Error!</v>
      </c>
      <c r="F39" s="66" t="str">
        <f>IF(F47="Error!","Error!",IF(AND(F47&gt;=0,WeightedAvgMLife&gt;=15),"YES","NO"))</f>
        <v>Error!</v>
      </c>
      <c r="G39" s="64" t="str">
        <f>IF(WeightedAvgMLife&lt;5,"NO",IF(G42="N/A","YES",IF(G47="Error!","Error!",IF(AND(G47&lt;=15,WeightedAvgMLife&gt;=5),"YES","NO"))))</f>
        <v>Error!</v>
      </c>
      <c r="H39" s="65" t="str">
        <f>IF(WeightedAvgMLife&lt;10,"NO",IF(H42="N/A","YES",IF(H47="Error!","Error!",IF(AND(H47&lt;=15,WeightedAvgMLife&gt;=10),"YES","NO"))))</f>
        <v>Error!</v>
      </c>
      <c r="I39" s="66" t="str">
        <f>IF(WeightedAvgMLife&lt;15,"NO",IF(I42="N/A","YES",IF(I47="Error!","Error!",IF(AND(I47&lt;=15,WeightedAvgMLife&gt;=15),"YES","NO"))))</f>
        <v>Error!</v>
      </c>
      <c r="J39" s="64" t="str">
        <f>IF(WeightedAvgMLife&lt;5,"NO",IF(J42="N/A","YES",IF(J47="Error!","Error!",IF(AND(J47&lt;=15,WeightedAvgMLife&gt;=5),"YES","NO"))))</f>
        <v>Error!</v>
      </c>
      <c r="K39" s="65" t="str">
        <f>IF(WeightedAvgMLife&lt;10,"NO",IF(K42="N/A","YES",IF(K47="Error!","Error!",IF(AND(K47&lt;=15,WeightedAvgMLife&gt;=10),"YES","NO"))))</f>
        <v>Error!</v>
      </c>
      <c r="L39" s="67" t="str">
        <f>IF(WeightedAvgMLife&lt;15,"NO",IF(L42="N/A","YES",IF(L47="Error!","Error!",IF(AND(L47&lt;=15,WeightedAvgMLife&gt;=15),"YES","NO"))))</f>
        <v>Error!</v>
      </c>
      <c r="M39" s="68"/>
    </row>
    <row r="40" spans="1:14" ht="28.5" customHeight="1">
      <c r="B40" s="191"/>
      <c r="C40" s="69" t="s">
        <v>182</v>
      </c>
      <c r="D40" s="64"/>
      <c r="E40" s="65"/>
      <c r="F40" s="66"/>
      <c r="G40" s="64"/>
      <c r="H40" s="65"/>
      <c r="I40" s="70"/>
      <c r="J40" s="64"/>
      <c r="K40" s="65"/>
      <c r="L40" s="70"/>
      <c r="M40" s="68"/>
    </row>
    <row r="41" spans="1:14" ht="43.5" customHeight="1">
      <c r="B41" s="191"/>
      <c r="C41" s="69" t="s">
        <v>183</v>
      </c>
      <c r="D41" s="64"/>
      <c r="E41" s="65"/>
      <c r="F41" s="66"/>
      <c r="G41" s="64"/>
      <c r="H41" s="65"/>
      <c r="I41" s="70"/>
      <c r="J41" s="64"/>
      <c r="K41" s="65"/>
      <c r="L41" s="67"/>
      <c r="M41" s="68"/>
    </row>
    <row r="42" spans="1:14" s="71" customFormat="1" ht="15" customHeight="1">
      <c r="B42" s="191"/>
      <c r="C42" s="72" t="s">
        <v>12</v>
      </c>
      <c r="D42" s="73" t="str">
        <f>IF(D47="Error!","Error!",IF(D45&gt;=(LoanPrincipal),"",CEILING((LoanPrincipal)-D45+CustCont,1)))</f>
        <v>Error!</v>
      </c>
      <c r="E42" s="75" t="str">
        <f>IF(E47="Error!","Error!",IF(E45&gt;=(LoanPrincipal),"",CEILING((LoanPrincipal)-E45+CustCont,1)))</f>
        <v>Error!</v>
      </c>
      <c r="F42" s="74" t="str">
        <f>IF(F47="Error!","Error!",IF(F45&gt;=(LoanPrincipal),"",CEILING((LoanPrincipal)-F45+CustCont,1)))</f>
        <v>Error!</v>
      </c>
      <c r="G42" s="156" t="str">
        <f t="shared" ref="G42:L42" si="4">IF(G47="Error!","Error!",IF((LoanPrincipal)&lt;=13000,"N/A",IF(G47&lt;=15,"",IF(G45&lt;13000,CEILING(LoanPrincipal-13000+CustCont,1),CEILING((LoanPrincipal)-G45+CustCont,1)))))</f>
        <v>Error!</v>
      </c>
      <c r="H42" s="75" t="str">
        <f t="shared" si="4"/>
        <v>Error!</v>
      </c>
      <c r="I42" s="74" t="str">
        <f t="shared" si="4"/>
        <v>Error!</v>
      </c>
      <c r="J42" s="156" t="str">
        <f t="shared" si="4"/>
        <v>Error!</v>
      </c>
      <c r="K42" s="75" t="str">
        <f t="shared" si="4"/>
        <v>Error!</v>
      </c>
      <c r="L42" s="76" t="str">
        <f t="shared" si="4"/>
        <v>Error!</v>
      </c>
    </row>
    <row r="43" spans="1:14" ht="15" customHeight="1">
      <c r="B43" s="191"/>
      <c r="C43" s="77" t="s">
        <v>13</v>
      </c>
      <c r="D43" s="78"/>
      <c r="E43" s="80"/>
      <c r="F43" s="79"/>
      <c r="G43" s="78"/>
      <c r="H43" s="80"/>
      <c r="I43" s="79"/>
      <c r="J43" s="78"/>
      <c r="K43" s="80"/>
      <c r="L43" s="81"/>
      <c r="M43" s="68"/>
    </row>
    <row r="44" spans="1:14" s="71" customFormat="1" ht="23.25" customHeight="1" thickBot="1">
      <c r="B44" s="192"/>
      <c r="C44" s="82" t="s">
        <v>14</v>
      </c>
      <c r="D44" s="83" t="str">
        <f>IF(D47="Error!","Error!",IF(D46&lt;=SavingsAnnual,"",CEILING(D46,1)))</f>
        <v>Error!</v>
      </c>
      <c r="E44" s="85" t="str">
        <f>IF(E47="Error!","Error!",IF(E46&lt;=SavingsAnnual,"",CEILING(E46,1)))</f>
        <v>Error!</v>
      </c>
      <c r="F44" s="84" t="str">
        <f>IF(F47="Error!","Error!",IF(F46&lt;=SavingsAnnual,"",CEILING(F46,1)))</f>
        <v>Error!</v>
      </c>
      <c r="G44" s="83" t="str">
        <f t="shared" ref="G44:L44" si="5">IF(G47="Error!","Error!",IF((LoanPrincipal)&lt;=13000,"N/A",IF(G47&lt;=15,"",CEILING(G46,1))))</f>
        <v>Error!</v>
      </c>
      <c r="H44" s="85" t="str">
        <f t="shared" si="5"/>
        <v>Error!</v>
      </c>
      <c r="I44" s="84" t="str">
        <f t="shared" si="5"/>
        <v>Error!</v>
      </c>
      <c r="J44" s="83" t="str">
        <f t="shared" si="5"/>
        <v>Error!</v>
      </c>
      <c r="K44" s="85" t="str">
        <f t="shared" si="5"/>
        <v>Error!</v>
      </c>
      <c r="L44" s="86" t="str">
        <f t="shared" si="5"/>
        <v>Error!</v>
      </c>
    </row>
    <row r="45" spans="1:14" s="71" customFormat="1" ht="15" hidden="1" customHeight="1">
      <c r="B45" s="87"/>
      <c r="C45" s="88" t="s">
        <v>17</v>
      </c>
      <c r="D45" s="89" t="e">
        <f>PV(VLOOKUP(E21,MenuItems!D9:F16,3,FALSE)/12,5*12,-(FV(0.008,5,-(SavingsAnnual))/(5*12)))</f>
        <v>#N/A</v>
      </c>
      <c r="E45" s="89" t="e">
        <f>PV(VLOOKUP(E21,MenuItems!D9:F16,3,FALSE)/12,10*12,-(FV(0.008,10,-(SavingsAnnual))/(10*12)))</f>
        <v>#N/A</v>
      </c>
      <c r="F45" s="89" t="e">
        <f>PV(VLOOKUP(E21,MenuItems!D9:F16,3,FALSE)/12,15*12,-(FV(0.008,15,-(SavingsAnnual))/(15*12)))</f>
        <v>#N/A</v>
      </c>
      <c r="G45" s="89" t="str">
        <f>IF(G47="Error!","Error!",(SavingsAnnual*15))</f>
        <v>Error!</v>
      </c>
      <c r="H45" s="89" t="str">
        <f t="shared" ref="H45:L45" si="6">IF(H47="Error!","Error!",(SavingsAnnual*15))</f>
        <v>Error!</v>
      </c>
      <c r="I45" s="89" t="str">
        <f t="shared" si="6"/>
        <v>Error!</v>
      </c>
      <c r="J45" s="89" t="str">
        <f t="shared" si="6"/>
        <v>Error!</v>
      </c>
      <c r="K45" s="89" t="str">
        <f t="shared" si="6"/>
        <v>Error!</v>
      </c>
      <c r="L45" s="89" t="str">
        <f t="shared" si="6"/>
        <v>Error!</v>
      </c>
    </row>
    <row r="46" spans="1:14" s="71" customFormat="1" ht="15" hidden="1" customHeight="1">
      <c r="B46" s="87"/>
      <c r="C46" s="90" t="s">
        <v>18</v>
      </c>
      <c r="D46" s="50" t="e">
        <f>PMT(0.008,5,,-PMT(VLOOKUP(E21,MenuItems!D9:F16,3,FALSE)/12,5*12,-(LoanPrincipal))*5*12)</f>
        <v>#N/A</v>
      </c>
      <c r="E46" s="50" t="e">
        <f>PMT(0.008,10,,-PMT(VLOOKUP(E21,MenuItems!D9:F16,3,FALSE)/12,10*12,-(LoanPrincipal))*10*12)</f>
        <v>#N/A</v>
      </c>
      <c r="F46" s="50" t="e">
        <f>PMT(0.008,15,,-PMT(VLOOKUP(E21,MenuItems!D9:F16,3,FALSE)/12,15*12,-(LoanPrincipal))*15*12)</f>
        <v>#N/A</v>
      </c>
      <c r="G46" s="89" t="str">
        <f t="shared" ref="G46:L46" si="7">IF(G47="Error!","Error!",(LoanPrincipal)/15)</f>
        <v>Error!</v>
      </c>
      <c r="H46" s="89" t="str">
        <f t="shared" si="7"/>
        <v>Error!</v>
      </c>
      <c r="I46" s="89" t="str">
        <f t="shared" si="7"/>
        <v>Error!</v>
      </c>
      <c r="J46" s="89" t="str">
        <f t="shared" si="7"/>
        <v>Error!</v>
      </c>
      <c r="K46" s="89" t="str">
        <f t="shared" si="7"/>
        <v>Error!</v>
      </c>
      <c r="L46" s="89" t="str">
        <f t="shared" si="7"/>
        <v>Error!</v>
      </c>
    </row>
    <row r="47" spans="1:14" s="71" customFormat="1" ht="15" hidden="1" customHeight="1" thickBot="1">
      <c r="B47" s="91"/>
      <c r="C47" s="92" t="s">
        <v>19</v>
      </c>
      <c r="D47" s="93" t="str">
        <f>IFERROR((FV(0.008,5,-SavingsAnnual)/(5*12))-PMT(VLOOKUP(E21,MenuItems!D9:F16,3,FALSE)/12,5*12,-(LoanPrincipal)),"Error!")</f>
        <v>Error!</v>
      </c>
      <c r="E47" s="93" t="str">
        <f>IFERROR((FV(0.008,10,-SavingsAnnual)/(10*12))-PMT(VLOOKUP(E21,MenuItems!D9:F16,3,FALSE)/12,10*12,-(LoanPrincipal)),"Error!")</f>
        <v>Error!</v>
      </c>
      <c r="F47" s="93" t="str">
        <f>IFERROR((FV(0.008,15,-SavingsAnnual)/(15*12))-PMT(VLOOKUP(E21,MenuItems!D9:F16,3,FALSE)/12,15*12,-(LoanPrincipal)),"Error!")</f>
        <v>Error!</v>
      </c>
      <c r="G47" s="94" t="str">
        <f>IFERROR((LoanPrincipal)/SavingsAnnual,"Error!")</f>
        <v>Error!</v>
      </c>
      <c r="H47" s="94" t="str">
        <f t="shared" ref="H47:L47" si="8">IFERROR((LoanPrincipal)/SavingsAnnual,"Error!")</f>
        <v>Error!</v>
      </c>
      <c r="I47" s="94" t="str">
        <f t="shared" si="8"/>
        <v>Error!</v>
      </c>
      <c r="J47" s="94" t="str">
        <f t="shared" si="8"/>
        <v>Error!</v>
      </c>
      <c r="K47" s="94" t="str">
        <f t="shared" si="8"/>
        <v>Error!</v>
      </c>
      <c r="L47" s="94" t="str">
        <f t="shared" si="8"/>
        <v>Error!</v>
      </c>
    </row>
    <row r="48" spans="1:14" s="71" customFormat="1" ht="15" hidden="1" customHeight="1">
      <c r="B48" s="95"/>
      <c r="C48" s="88" t="s">
        <v>20</v>
      </c>
      <c r="D48" s="89" t="str">
        <f>IF(D50="Error!","Error!",(SavingsAnnual*5))</f>
        <v>Error!</v>
      </c>
      <c r="E48" s="89" t="str">
        <f>IF(E50="Error!","Error!",(SavingsAnnual*10))</f>
        <v>Error!</v>
      </c>
      <c r="F48" s="89" t="str">
        <f>IF(F50="Error!","Error!",(SavingsAnnual*15))</f>
        <v>Error!</v>
      </c>
    </row>
    <row r="49" spans="2:19" s="71" customFormat="1" ht="15" hidden="1" customHeight="1">
      <c r="B49" s="95"/>
      <c r="C49" s="90" t="s">
        <v>21</v>
      </c>
      <c r="D49" s="89" t="str">
        <f>IF(D50="Error!","Error!",(LoanPrincipal)/5)</f>
        <v>Error!</v>
      </c>
      <c r="E49" s="89" t="str">
        <f>IF(E50="Error!","Error!",(LoanPrincipal)/10)</f>
        <v>Error!</v>
      </c>
      <c r="F49" s="89" t="str">
        <f>IF(F50="Error!","Error!",(LoanPrincipal)/15)</f>
        <v>Error!</v>
      </c>
    </row>
    <row r="50" spans="2:19" ht="15" hidden="1" customHeight="1" thickBot="1">
      <c r="B50" s="96"/>
      <c r="C50" s="92" t="s">
        <v>22</v>
      </c>
      <c r="D50" s="94" t="str">
        <f>IFERROR((LoanPrincipal)/SavingsAnnual,"Error!")</f>
        <v>Error!</v>
      </c>
      <c r="E50" s="94" t="str">
        <f>IFERROR((LoanPrincipal)/SavingsAnnual,"Error!")</f>
        <v>Error!</v>
      </c>
      <c r="F50" s="94" t="str">
        <f>IFERROR((LoanPrincipal)/SavingsAnnual,"Error!")</f>
        <v>Error!</v>
      </c>
    </row>
    <row r="51" spans="2:19" s="134" customFormat="1" ht="5.25" hidden="1" customHeight="1">
      <c r="B51" s="96"/>
      <c r="C51" s="97"/>
      <c r="D51" s="153"/>
      <c r="E51" s="153"/>
      <c r="F51" s="153"/>
    </row>
    <row r="52" spans="2:19" ht="15" customHeight="1">
      <c r="B52" s="96"/>
      <c r="C52" s="97"/>
      <c r="D52" s="6"/>
      <c r="E52" s="6"/>
      <c r="F52" s="6"/>
      <c r="G52" s="6"/>
      <c r="H52" s="6"/>
      <c r="I52" s="6"/>
      <c r="J52" s="6"/>
      <c r="K52" s="6"/>
      <c r="L52" s="6"/>
    </row>
    <row r="53" spans="2:19" ht="15" customHeight="1">
      <c r="B53" s="96"/>
      <c r="C53" s="97"/>
      <c r="D53" s="6"/>
      <c r="E53" s="6"/>
      <c r="F53" s="6"/>
      <c r="G53" s="6"/>
      <c r="H53" s="6"/>
      <c r="I53" s="6"/>
      <c r="J53" s="6"/>
      <c r="K53" s="6"/>
      <c r="L53" s="6"/>
    </row>
    <row r="54" spans="2:19" ht="15" customHeight="1">
      <c r="B54" s="6"/>
      <c r="C54" s="98"/>
      <c r="D54" s="98"/>
      <c r="E54" s="98"/>
      <c r="F54" s="98"/>
      <c r="H54" s="98"/>
      <c r="I54" s="98"/>
      <c r="J54" s="98"/>
      <c r="K54" s="98"/>
      <c r="L54" s="98"/>
    </row>
    <row r="55" spans="2:19" s="134" customFormat="1" ht="15" customHeight="1" thickBot="1">
      <c r="B55" s="135"/>
      <c r="C55" s="98"/>
      <c r="D55" s="98"/>
      <c r="E55" s="98"/>
      <c r="F55" s="98"/>
      <c r="H55" s="98"/>
      <c r="I55" s="98"/>
      <c r="J55" s="98"/>
      <c r="K55" s="98"/>
      <c r="L55" s="98"/>
    </row>
    <row r="56" spans="2:19" s="134" customFormat="1" ht="21" customHeight="1" thickBot="1">
      <c r="B56" s="197" t="s">
        <v>187</v>
      </c>
      <c r="C56" s="198"/>
      <c r="D56" s="198"/>
      <c r="E56" s="198"/>
      <c r="F56" s="198"/>
      <c r="G56" s="198"/>
      <c r="H56" s="198"/>
      <c r="I56" s="198"/>
      <c r="J56" s="198"/>
      <c r="K56" s="198"/>
      <c r="L56" s="199"/>
    </row>
    <row r="57" spans="2:19" s="134" customFormat="1" ht="15" customHeight="1" thickBot="1">
      <c r="B57" s="135"/>
      <c r="C57" s="98"/>
      <c r="D57" s="98"/>
      <c r="E57" s="98"/>
      <c r="F57" s="98"/>
      <c r="H57" s="98"/>
      <c r="I57" s="98"/>
      <c r="J57" s="98"/>
      <c r="K57" s="98"/>
      <c r="L57" s="98"/>
    </row>
    <row r="58" spans="2:19" ht="15" customHeight="1" thickBot="1">
      <c r="B58" s="176" t="s">
        <v>23</v>
      </c>
      <c r="C58" s="177"/>
      <c r="D58" s="177"/>
      <c r="E58" s="177"/>
      <c r="F58" s="177"/>
      <c r="G58" s="177"/>
      <c r="H58" s="177"/>
      <c r="I58" s="177"/>
      <c r="J58" s="177"/>
      <c r="K58" s="177"/>
      <c r="L58" s="178"/>
      <c r="N58" s="4"/>
      <c r="Q58" s="15"/>
      <c r="R58" s="27"/>
    </row>
    <row r="59" spans="2:19" ht="15" customHeight="1" thickBot="1">
      <c r="B59" s="166"/>
      <c r="C59" s="165"/>
      <c r="D59" s="200" t="s">
        <v>192</v>
      </c>
      <c r="E59" s="201"/>
      <c r="F59" s="202"/>
      <c r="G59" s="200" t="s">
        <v>193</v>
      </c>
      <c r="H59" s="201"/>
      <c r="I59" s="202"/>
      <c r="J59" s="201" t="s">
        <v>24</v>
      </c>
      <c r="K59" s="201"/>
      <c r="L59" s="202"/>
      <c r="N59" s="4"/>
      <c r="O59" s="4"/>
      <c r="Q59" s="15"/>
      <c r="R59" s="15"/>
    </row>
    <row r="60" spans="2:19" ht="15" customHeight="1" thickBot="1">
      <c r="B60" s="180" t="s">
        <v>25</v>
      </c>
      <c r="C60" s="99"/>
      <c r="D60" s="6"/>
      <c r="E60" s="8"/>
      <c r="F60" s="7"/>
      <c r="G60" s="8"/>
      <c r="H60" s="8"/>
      <c r="I60" s="7"/>
      <c r="J60" s="8"/>
      <c r="K60" s="8"/>
      <c r="L60" s="7"/>
      <c r="N60" s="4"/>
      <c r="O60" s="4"/>
      <c r="Q60" s="15"/>
      <c r="R60" s="15"/>
    </row>
    <row r="61" spans="2:19" ht="15" customHeight="1" thickBot="1">
      <c r="B61" s="181"/>
      <c r="C61" s="32" t="s">
        <v>26</v>
      </c>
      <c r="D61" s="100"/>
      <c r="E61" s="183" t="str">
        <f>IF(PCost=0,"",IF(FinFee="No",PCost-SUM(PVINCENTIVE,CustCont),PCost-SUM(PVINCENTIVE,CustCont)+150))</f>
        <v/>
      </c>
      <c r="F61" s="184"/>
      <c r="G61" s="184"/>
      <c r="H61" s="184"/>
      <c r="I61" s="184"/>
      <c r="J61" s="184"/>
      <c r="K61" s="185"/>
      <c r="L61" s="12"/>
      <c r="N61" s="101"/>
      <c r="O61" s="101"/>
      <c r="Q61" s="15"/>
      <c r="R61" s="15"/>
      <c r="S61" s="101"/>
    </row>
    <row r="62" spans="2:19" ht="15" customHeight="1" thickBot="1">
      <c r="B62" s="181"/>
      <c r="C62" s="32"/>
      <c r="D62" s="6"/>
      <c r="E62" s="6"/>
      <c r="F62" s="9"/>
      <c r="G62" s="6"/>
      <c r="H62" s="6"/>
      <c r="I62" s="9"/>
      <c r="J62" s="6"/>
      <c r="K62" s="6"/>
      <c r="L62" s="9"/>
      <c r="O62" s="3"/>
      <c r="Q62" s="15"/>
      <c r="R62" s="15"/>
    </row>
    <row r="63" spans="2:19" ht="15" customHeight="1" thickBot="1">
      <c r="B63" s="181"/>
      <c r="C63" s="32" t="s">
        <v>27</v>
      </c>
      <c r="D63" s="21"/>
      <c r="E63" s="186"/>
      <c r="F63" s="187"/>
      <c r="G63" s="187"/>
      <c r="H63" s="187"/>
      <c r="I63" s="187"/>
      <c r="J63" s="187"/>
      <c r="K63" s="187"/>
      <c r="L63" s="102"/>
      <c r="N63" s="2"/>
      <c r="O63" s="3"/>
      <c r="Q63" s="15"/>
      <c r="R63" s="15"/>
    </row>
    <row r="64" spans="2:19" ht="15" customHeight="1" thickBot="1">
      <c r="B64" s="181"/>
      <c r="C64" s="32"/>
      <c r="D64" s="6"/>
      <c r="E64" s="21"/>
      <c r="F64" s="35"/>
      <c r="G64" s="21"/>
      <c r="H64" s="21"/>
      <c r="I64" s="10"/>
      <c r="J64" s="21"/>
      <c r="K64" s="21"/>
      <c r="L64" s="10"/>
      <c r="N64" s="2"/>
      <c r="O64" s="3"/>
      <c r="Q64" s="15"/>
      <c r="R64" s="15"/>
    </row>
    <row r="65" spans="1:20" ht="15" customHeight="1" thickBot="1">
      <c r="B65" s="181"/>
      <c r="C65" s="32" t="s">
        <v>28</v>
      </c>
      <c r="D65" s="21"/>
      <c r="E65" s="103" t="e">
        <f>VLOOKUP(E21,MenuItems!D9:F16,3,FALSE)</f>
        <v>#N/A</v>
      </c>
      <c r="F65" s="104"/>
      <c r="G65" s="105"/>
      <c r="H65" s="163" t="e">
        <f>VLOOKUP(E21,MenuItems!D9:F16,2,FALSE)</f>
        <v>#N/A</v>
      </c>
      <c r="I65" s="106"/>
      <c r="J65" s="107"/>
      <c r="K65" s="108"/>
      <c r="L65" s="102"/>
      <c r="N65" s="2"/>
      <c r="O65" s="3"/>
      <c r="Q65" s="109"/>
      <c r="R65" s="15"/>
    </row>
    <row r="66" spans="1:20" ht="15" customHeight="1" thickBot="1">
      <c r="B66" s="182"/>
      <c r="C66" s="110"/>
      <c r="D66" s="24"/>
      <c r="E66" s="111"/>
      <c r="F66" s="19"/>
      <c r="G66" s="18"/>
      <c r="H66" s="6"/>
      <c r="I66" s="19"/>
      <c r="J66" s="18"/>
      <c r="K66" s="18"/>
      <c r="L66" s="19"/>
      <c r="N66" s="3"/>
      <c r="O66" s="3"/>
      <c r="Q66" s="112"/>
      <c r="R66" s="15"/>
    </row>
    <row r="67" spans="1:20" ht="15" customHeight="1">
      <c r="B67" s="180" t="s">
        <v>29</v>
      </c>
      <c r="C67" s="99"/>
      <c r="D67" s="8"/>
      <c r="E67" s="22"/>
      <c r="F67" s="35"/>
      <c r="G67" s="22"/>
      <c r="H67" s="22"/>
      <c r="I67" s="35"/>
      <c r="J67" s="22"/>
      <c r="K67" s="22"/>
      <c r="L67" s="35"/>
      <c r="N67" s="3"/>
      <c r="Q67" s="15"/>
      <c r="R67" s="15"/>
    </row>
    <row r="68" spans="1:20" ht="15" customHeight="1">
      <c r="B68" s="181"/>
      <c r="C68" s="32" t="s">
        <v>30</v>
      </c>
      <c r="D68" s="21"/>
      <c r="E68" s="13" t="e">
        <f>PMT(E65/12,E63*12,-LoanPrincipal)</f>
        <v>#N/A</v>
      </c>
      <c r="F68" s="113"/>
      <c r="G68" s="114"/>
      <c r="H68" s="13" t="e">
        <f>PMT(H65/12,$E$63*12,-LoanPrincipal)</f>
        <v>#N/A</v>
      </c>
      <c r="I68" s="113"/>
      <c r="J68" s="114"/>
      <c r="K68" s="13" t="e">
        <f>PMT(K65/12,E63*12,-LoanPrincipal)</f>
        <v>#VALUE!</v>
      </c>
      <c r="L68" s="113"/>
      <c r="N68" s="3"/>
      <c r="O68" s="3"/>
      <c r="Q68" s="15"/>
      <c r="R68" s="15"/>
    </row>
    <row r="69" spans="1:20" ht="15" customHeight="1">
      <c r="B69" s="181"/>
      <c r="C69" s="32"/>
      <c r="D69" s="6"/>
      <c r="E69" s="21"/>
      <c r="F69" s="10"/>
      <c r="G69" s="21"/>
      <c r="H69" s="21"/>
      <c r="I69" s="10"/>
      <c r="J69" s="21"/>
      <c r="K69" s="21"/>
      <c r="L69" s="10"/>
      <c r="N69" s="4"/>
      <c r="O69" s="3"/>
      <c r="Q69" s="15"/>
      <c r="R69" s="15"/>
    </row>
    <row r="70" spans="1:20" ht="15" customHeight="1" thickBot="1">
      <c r="B70" s="181"/>
      <c r="C70" s="32" t="s">
        <v>31</v>
      </c>
      <c r="D70" s="21"/>
      <c r="E70" s="115" t="e">
        <f>(E68*(E63*12))</f>
        <v>#N/A</v>
      </c>
      <c r="F70" s="116"/>
      <c r="G70" s="13"/>
      <c r="H70" s="115" t="e">
        <f>($H$68*($E$63*12))</f>
        <v>#N/A</v>
      </c>
      <c r="I70" s="116"/>
      <c r="J70" s="13"/>
      <c r="K70" s="115" t="e">
        <f>(K68*(E63*12))</f>
        <v>#VALUE!</v>
      </c>
      <c r="L70" s="116"/>
      <c r="N70" s="4"/>
      <c r="Q70" s="15"/>
      <c r="R70" s="15"/>
    </row>
    <row r="71" spans="1:20" ht="15" customHeight="1">
      <c r="A71" s="9"/>
      <c r="B71" s="181"/>
      <c r="C71" s="32"/>
      <c r="D71" s="6"/>
      <c r="E71" s="21"/>
      <c r="F71" s="10"/>
      <c r="G71" s="21"/>
      <c r="H71" s="21"/>
      <c r="I71" s="10"/>
      <c r="J71" s="21"/>
      <c r="K71" s="21"/>
      <c r="L71" s="10"/>
      <c r="O71" s="4"/>
    </row>
    <row r="72" spans="1:20" ht="15" customHeight="1">
      <c r="A72" s="9"/>
      <c r="B72" s="181"/>
      <c r="C72" s="32" t="s">
        <v>32</v>
      </c>
      <c r="D72" s="21"/>
      <c r="E72" s="13" t="e">
        <f>E70-E61</f>
        <v>#N/A</v>
      </c>
      <c r="F72" s="116"/>
      <c r="G72" s="13"/>
      <c r="H72" s="13" t="e">
        <f>H70-E61</f>
        <v>#N/A</v>
      </c>
      <c r="I72" s="116"/>
      <c r="J72" s="13"/>
      <c r="K72" s="13" t="e">
        <f>K70-E61</f>
        <v>#VALUE!</v>
      </c>
      <c r="L72" s="116"/>
      <c r="O72" s="4"/>
    </row>
    <row r="73" spans="1:20" ht="15" customHeight="1" thickBot="1">
      <c r="A73" s="9"/>
      <c r="B73" s="182"/>
      <c r="C73" s="32"/>
      <c r="D73" s="6"/>
      <c r="E73" s="21"/>
      <c r="F73" s="10"/>
      <c r="G73" s="21"/>
      <c r="H73" s="21"/>
      <c r="I73" s="10"/>
      <c r="J73" s="21"/>
      <c r="K73" s="21"/>
      <c r="L73" s="10"/>
      <c r="O73" s="4"/>
    </row>
    <row r="74" spans="1:20" ht="15" customHeight="1" thickBot="1">
      <c r="A74" s="9"/>
      <c r="B74" s="180" t="s">
        <v>33</v>
      </c>
      <c r="C74" s="99"/>
      <c r="D74" s="8"/>
      <c r="E74" s="22"/>
      <c r="F74" s="35"/>
      <c r="G74" s="22"/>
      <c r="H74" s="22"/>
      <c r="I74" s="35"/>
      <c r="J74" s="22"/>
      <c r="K74" s="22"/>
      <c r="L74" s="35"/>
    </row>
    <row r="75" spans="1:20" ht="15" customHeight="1" thickBot="1">
      <c r="A75" s="9"/>
      <c r="B75" s="181"/>
      <c r="C75" s="117" t="s">
        <v>34</v>
      </c>
      <c r="D75" s="100"/>
      <c r="E75" s="6"/>
      <c r="F75" s="9"/>
      <c r="G75" s="6"/>
      <c r="H75" s="6"/>
      <c r="I75" s="9"/>
      <c r="J75" s="6"/>
      <c r="K75" s="6"/>
      <c r="L75" s="9"/>
    </row>
    <row r="76" spans="1:20" ht="15" customHeight="1" thickBot="1">
      <c r="A76" s="9"/>
      <c r="B76" s="181"/>
      <c r="C76" s="32"/>
      <c r="D76" s="6"/>
      <c r="E76" s="21"/>
      <c r="F76" s="10"/>
      <c r="G76" s="21"/>
      <c r="H76" s="21"/>
      <c r="I76" s="10"/>
      <c r="J76" s="21"/>
      <c r="K76" s="21"/>
      <c r="L76" s="10"/>
      <c r="N76" s="6"/>
    </row>
    <row r="77" spans="1:20" ht="15" customHeight="1" thickBot="1">
      <c r="A77" s="9"/>
      <c r="B77" s="181"/>
      <c r="C77" s="118" t="s">
        <v>35</v>
      </c>
      <c r="D77" s="6"/>
      <c r="E77" s="183" t="e">
        <f>IF(C75= "Monthly", FV(0.008,E63,-SavingsAnnual)/(E63*12), IF(C75="Annual", FV(0.008,E63,-SavingsAnnual)/(E63), IF(C75="Loan Term", FV(0.008,E63,-SavingsAnnual), "Error")))</f>
        <v>#N/A</v>
      </c>
      <c r="F77" s="184"/>
      <c r="G77" s="184"/>
      <c r="H77" s="184"/>
      <c r="I77" s="184"/>
      <c r="J77" s="184"/>
      <c r="K77" s="185"/>
      <c r="L77" s="119"/>
      <c r="T77" s="3"/>
    </row>
    <row r="78" spans="1:20" ht="15" customHeight="1">
      <c r="A78" s="9"/>
      <c r="B78" s="181"/>
      <c r="C78" s="120"/>
      <c r="D78" s="6"/>
      <c r="E78" s="21"/>
      <c r="F78" s="10"/>
      <c r="G78" s="21"/>
      <c r="H78" s="21"/>
      <c r="I78" s="10"/>
      <c r="J78" s="21"/>
      <c r="K78" s="21"/>
      <c r="L78" s="10"/>
      <c r="T78" s="3"/>
    </row>
    <row r="79" spans="1:20" ht="15" customHeight="1" thickBot="1">
      <c r="A79" s="9"/>
      <c r="B79" s="181"/>
      <c r="C79" s="120" t="s">
        <v>36</v>
      </c>
      <c r="D79" s="21"/>
      <c r="E79" s="115" t="e">
        <f>IF($C$75= "Monthly", E68, IF($C$75="Annual", E68*12, IF($C$75="Loan Term", E68*(E63*12), "Error")))</f>
        <v>#N/A</v>
      </c>
      <c r="F79" s="113"/>
      <c r="G79" s="114"/>
      <c r="H79" s="115" t="e">
        <f>IF($C$75= "Monthly", H68, IF($C$75="Annual", H68*12, IF($C$75="Loan Term", H68*(E63*12), "Error")))</f>
        <v>#N/A</v>
      </c>
      <c r="I79" s="113"/>
      <c r="J79" s="114"/>
      <c r="K79" s="115" t="e">
        <f>IF(C75= "Monthly", K68, IF(C75="Annual", K68*12, IF(C75="Loan Term", K68*(E63*12), "Error")))</f>
        <v>#VALUE!</v>
      </c>
      <c r="L79" s="113"/>
    </row>
    <row r="80" spans="1:20" ht="15" customHeight="1">
      <c r="A80" s="9"/>
      <c r="B80" s="181"/>
      <c r="C80" s="120"/>
      <c r="D80" s="21"/>
      <c r="E80" s="21"/>
      <c r="F80" s="10"/>
      <c r="G80" s="21"/>
      <c r="H80" s="21"/>
      <c r="I80" s="10"/>
      <c r="J80" s="21"/>
      <c r="K80" s="21"/>
      <c r="L80" s="10"/>
      <c r="N80" s="6"/>
    </row>
    <row r="81" spans="1:19" ht="15" customHeight="1">
      <c r="A81" s="9"/>
      <c r="B81" s="181"/>
      <c r="C81" s="120" t="s">
        <v>37</v>
      </c>
      <c r="D81" s="21"/>
      <c r="E81" s="13" t="e">
        <f>$E$77-E79</f>
        <v>#N/A</v>
      </c>
      <c r="F81" s="116"/>
      <c r="G81" s="13"/>
      <c r="H81" s="13" t="e">
        <f>$E$77-H79</f>
        <v>#N/A</v>
      </c>
      <c r="I81" s="116"/>
      <c r="J81" s="13"/>
      <c r="K81" s="13" t="e">
        <f>$E$77-K79</f>
        <v>#N/A</v>
      </c>
      <c r="L81" s="116"/>
      <c r="M81" s="6"/>
      <c r="N81" s="3"/>
    </row>
    <row r="82" spans="1:19" ht="15" customHeight="1">
      <c r="A82" s="9"/>
      <c r="B82" s="181"/>
      <c r="C82" s="120"/>
      <c r="D82" s="21"/>
      <c r="E82" s="13"/>
      <c r="F82" s="116"/>
      <c r="G82" s="13"/>
      <c r="H82" s="13"/>
      <c r="I82" s="116"/>
      <c r="J82" s="13"/>
      <c r="K82" s="13"/>
      <c r="L82" s="116"/>
    </row>
    <row r="83" spans="1:19" ht="15" customHeight="1">
      <c r="A83" s="9"/>
      <c r="B83" s="181"/>
      <c r="C83" s="32" t="s">
        <v>38</v>
      </c>
      <c r="D83" s="6"/>
      <c r="E83" s="13" t="e">
        <f>FV(0.008,WeightedAvgMLife,-SavingsAnnual,,0)</f>
        <v>#N/A</v>
      </c>
      <c r="F83" s="9"/>
      <c r="H83" s="13" t="e">
        <f>LC_PSavings</f>
        <v>#N/A</v>
      </c>
      <c r="I83" s="9"/>
      <c r="J83" s="6"/>
      <c r="K83" s="13" t="e">
        <f>LC_PSavings</f>
        <v>#N/A</v>
      </c>
      <c r="L83" s="9"/>
      <c r="S83" s="4"/>
    </row>
    <row r="84" spans="1:19" ht="15" customHeight="1">
      <c r="A84" s="6"/>
      <c r="B84" s="181"/>
      <c r="C84" s="120"/>
      <c r="D84" s="21"/>
      <c r="E84" s="13"/>
      <c r="F84" s="116"/>
      <c r="G84" s="13"/>
      <c r="H84" s="13"/>
      <c r="I84" s="116"/>
      <c r="J84" s="13"/>
      <c r="K84" s="13"/>
      <c r="L84" s="116"/>
    </row>
    <row r="85" spans="1:19" ht="15" customHeight="1">
      <c r="A85" s="6"/>
      <c r="B85" s="181"/>
      <c r="C85" s="121" t="s">
        <v>39</v>
      </c>
      <c r="D85" s="6"/>
      <c r="E85" s="122" t="e">
        <f>IF(OR(SavingsAnnual=0,PCost=0),"N/A",LoanPrincipal/SavingsAnnual)</f>
        <v>#N/A</v>
      </c>
      <c r="F85" s="9"/>
      <c r="G85" s="6"/>
      <c r="H85" s="122" t="e">
        <f>IF(OR(SavingsAnnual=0,PCost=0),"N/A",LoanPrincipal/SavingsAnnual)</f>
        <v>#N/A</v>
      </c>
      <c r="I85" s="9"/>
      <c r="J85" s="6"/>
      <c r="K85" s="122" t="e">
        <f>IF(OR(SavingsAnnual=0,PCost=0),"N/A",LoanPrincipal/SavingsAnnual)</f>
        <v>#N/A</v>
      </c>
      <c r="L85" s="9"/>
      <c r="M85" s="6"/>
    </row>
    <row r="86" spans="1:19" s="134" customFormat="1" ht="15" customHeight="1">
      <c r="A86" s="135"/>
      <c r="B86" s="181"/>
      <c r="C86" s="121"/>
      <c r="D86" s="135"/>
      <c r="E86" s="122"/>
      <c r="F86" s="9"/>
      <c r="G86" s="135"/>
      <c r="H86" s="122"/>
      <c r="I86" s="9"/>
      <c r="J86" s="135"/>
      <c r="K86" s="122"/>
      <c r="L86" s="9"/>
      <c r="M86" s="135"/>
    </row>
    <row r="87" spans="1:19" ht="15" customHeight="1" thickBot="1">
      <c r="A87" s="9"/>
      <c r="B87" s="182"/>
      <c r="C87" s="123" t="s">
        <v>188</v>
      </c>
      <c r="D87" s="24"/>
      <c r="E87" s="124" t="e">
        <f>E79/E77</f>
        <v>#N/A</v>
      </c>
      <c r="F87" s="25"/>
      <c r="G87" s="24"/>
      <c r="H87" s="124" t="e">
        <f>H79/E77</f>
        <v>#N/A</v>
      </c>
      <c r="I87" s="25"/>
      <c r="J87" s="24"/>
      <c r="K87" s="164" t="e">
        <f>K79/E77</f>
        <v>#VALUE!</v>
      </c>
      <c r="L87" s="25"/>
      <c r="M87" s="6"/>
    </row>
    <row r="88" spans="1:19" ht="15" customHeight="1" thickBot="1">
      <c r="C88" s="98"/>
      <c r="D88" s="125"/>
      <c r="E88" s="125"/>
      <c r="F88" s="125"/>
      <c r="G88" s="6"/>
      <c r="H88" s="125"/>
      <c r="I88" s="125"/>
      <c r="J88" s="98"/>
      <c r="K88" s="98"/>
      <c r="L88" s="98"/>
      <c r="S88" s="4"/>
    </row>
    <row r="89" spans="1:19" ht="16.5" thickBot="1">
      <c r="C89" s="176" t="s">
        <v>48</v>
      </c>
      <c r="D89" s="177"/>
      <c r="E89" s="177"/>
      <c r="F89" s="177"/>
      <c r="G89" s="177"/>
      <c r="H89" s="177"/>
      <c r="I89" s="177"/>
      <c r="J89" s="177"/>
      <c r="K89" s="177"/>
      <c r="L89" s="178"/>
      <c r="S89" s="4"/>
    </row>
    <row r="90" spans="1:19" ht="16.5" thickBot="1">
      <c r="C90" s="136" t="s">
        <v>49</v>
      </c>
      <c r="D90" s="136"/>
      <c r="E90" s="136"/>
      <c r="F90" s="136"/>
      <c r="G90" s="133"/>
      <c r="H90" s="133"/>
      <c r="I90" s="133"/>
      <c r="J90" s="133"/>
      <c r="K90" s="133"/>
      <c r="L90" s="133"/>
      <c r="S90" s="4"/>
    </row>
    <row r="91" spans="1:19">
      <c r="C91" s="167"/>
      <c r="D91" s="168"/>
      <c r="E91" s="168"/>
      <c r="F91" s="168"/>
      <c r="G91" s="168"/>
      <c r="H91" s="168"/>
      <c r="I91" s="168"/>
      <c r="J91" s="168"/>
      <c r="K91" s="168"/>
      <c r="L91" s="169"/>
      <c r="S91" s="4"/>
    </row>
    <row r="92" spans="1:19">
      <c r="C92" s="170"/>
      <c r="D92" s="171"/>
      <c r="E92" s="171"/>
      <c r="F92" s="171"/>
      <c r="G92" s="171"/>
      <c r="H92" s="171"/>
      <c r="I92" s="171"/>
      <c r="J92" s="171"/>
      <c r="K92" s="171"/>
      <c r="L92" s="172"/>
      <c r="S92" s="4"/>
    </row>
    <row r="93" spans="1:19">
      <c r="C93" s="170"/>
      <c r="D93" s="171"/>
      <c r="E93" s="171"/>
      <c r="F93" s="171"/>
      <c r="G93" s="171"/>
      <c r="H93" s="171"/>
      <c r="I93" s="171"/>
      <c r="J93" s="171"/>
      <c r="K93" s="171"/>
      <c r="L93" s="172"/>
      <c r="S93" s="4"/>
    </row>
    <row r="94" spans="1:19">
      <c r="C94" s="170"/>
      <c r="D94" s="171"/>
      <c r="E94" s="171"/>
      <c r="F94" s="171"/>
      <c r="G94" s="171"/>
      <c r="H94" s="171"/>
      <c r="I94" s="171"/>
      <c r="J94" s="171"/>
      <c r="K94" s="171"/>
      <c r="L94" s="172"/>
      <c r="S94" s="4"/>
    </row>
    <row r="95" spans="1:19" ht="16.5" thickBot="1">
      <c r="C95" s="173"/>
      <c r="D95" s="174"/>
      <c r="E95" s="174"/>
      <c r="F95" s="174"/>
      <c r="G95" s="174"/>
      <c r="H95" s="174"/>
      <c r="I95" s="174"/>
      <c r="J95" s="174"/>
      <c r="K95" s="174"/>
      <c r="L95" s="175"/>
      <c r="S95" s="4"/>
    </row>
    <row r="96" spans="1:19">
      <c r="C96" s="138"/>
      <c r="D96" s="138"/>
      <c r="E96" s="138"/>
      <c r="F96" s="138"/>
      <c r="G96" s="138"/>
      <c r="H96" s="138"/>
      <c r="I96" s="138"/>
      <c r="J96" s="138"/>
      <c r="K96" s="138"/>
      <c r="L96" s="138"/>
      <c r="S96" s="4"/>
    </row>
    <row r="97" spans="3:12">
      <c r="C97" s="138"/>
      <c r="D97" s="138"/>
      <c r="E97" s="138"/>
      <c r="F97" s="138"/>
      <c r="G97" s="138"/>
      <c r="H97" s="138"/>
      <c r="I97" s="138"/>
      <c r="J97" s="138"/>
      <c r="K97" s="138"/>
      <c r="L97" s="138"/>
    </row>
    <row r="98" spans="3:12">
      <c r="C98" s="135" t="s">
        <v>50</v>
      </c>
      <c r="E98" s="188" t="s">
        <v>179</v>
      </c>
      <c r="F98" s="188"/>
      <c r="G98" s="189"/>
      <c r="H98" s="189"/>
      <c r="I98" s="133"/>
      <c r="J98" s="136" t="s">
        <v>51</v>
      </c>
      <c r="K98" s="179"/>
      <c r="L98" s="179"/>
    </row>
    <row r="99" spans="3:12" s="134" customFormat="1" ht="3.75" customHeight="1" thickBot="1">
      <c r="C99" s="135"/>
      <c r="D99" s="136"/>
      <c r="E99" s="137"/>
      <c r="F99" s="137"/>
      <c r="G99" s="135"/>
      <c r="H99" s="133"/>
      <c r="I99" s="133"/>
      <c r="J99" s="133"/>
      <c r="K99" s="133"/>
      <c r="L99" s="133"/>
    </row>
    <row r="100" spans="3:12">
      <c r="C100" s="167"/>
      <c r="D100" s="168"/>
      <c r="E100" s="168"/>
      <c r="F100" s="168"/>
      <c r="G100" s="168"/>
      <c r="H100" s="168"/>
      <c r="I100" s="168"/>
      <c r="J100" s="168"/>
      <c r="K100" s="168"/>
      <c r="L100" s="169"/>
    </row>
    <row r="101" spans="3:12">
      <c r="C101" s="170"/>
      <c r="D101" s="171"/>
      <c r="E101" s="171"/>
      <c r="F101" s="171"/>
      <c r="G101" s="171"/>
      <c r="H101" s="171"/>
      <c r="I101" s="171"/>
      <c r="J101" s="171"/>
      <c r="K101" s="171"/>
      <c r="L101" s="172"/>
    </row>
    <row r="102" spans="3:12">
      <c r="C102" s="170"/>
      <c r="D102" s="171"/>
      <c r="E102" s="171"/>
      <c r="F102" s="171"/>
      <c r="G102" s="171"/>
      <c r="H102" s="171"/>
      <c r="I102" s="171"/>
      <c r="J102" s="171"/>
      <c r="K102" s="171"/>
      <c r="L102" s="172"/>
    </row>
    <row r="103" spans="3:12">
      <c r="C103" s="170"/>
      <c r="D103" s="171"/>
      <c r="E103" s="171"/>
      <c r="F103" s="171"/>
      <c r="G103" s="171"/>
      <c r="H103" s="171"/>
      <c r="I103" s="171"/>
      <c r="J103" s="171"/>
      <c r="K103" s="171"/>
      <c r="L103" s="172"/>
    </row>
    <row r="104" spans="3:12" ht="16.5" thickBot="1">
      <c r="C104" s="173"/>
      <c r="D104" s="174"/>
      <c r="E104" s="174"/>
      <c r="F104" s="174"/>
      <c r="G104" s="174"/>
      <c r="H104" s="174"/>
      <c r="I104" s="174"/>
      <c r="J104" s="174"/>
      <c r="K104" s="174"/>
      <c r="L104" s="175"/>
    </row>
    <row r="105" spans="3:12">
      <c r="K105" s="134" t="s">
        <v>194</v>
      </c>
      <c r="L105" s="134" t="s">
        <v>195</v>
      </c>
    </row>
    <row r="107" spans="3:12" hidden="1">
      <c r="C107" s="154" t="s">
        <v>181</v>
      </c>
      <c r="D107" s="155">
        <v>0.14799999999999999</v>
      </c>
    </row>
    <row r="108" spans="3:12" hidden="1">
      <c r="C108" s="154" t="s">
        <v>189</v>
      </c>
      <c r="D108" s="155">
        <v>0.252</v>
      </c>
    </row>
    <row r="109" spans="3:12" s="134" customFormat="1" hidden="1">
      <c r="C109" s="154" t="s">
        <v>190</v>
      </c>
      <c r="D109" s="155">
        <v>0.23100000000000001</v>
      </c>
    </row>
    <row r="110" spans="3:12" hidden="1">
      <c r="C110" s="154" t="s">
        <v>184</v>
      </c>
      <c r="D110" s="155">
        <v>0.123</v>
      </c>
    </row>
    <row r="111" spans="3:12" hidden="1">
      <c r="C111" s="154" t="s">
        <v>42</v>
      </c>
      <c r="D111" s="155">
        <v>0.106</v>
      </c>
    </row>
    <row r="112" spans="3:12" hidden="1">
      <c r="C112" s="154" t="s">
        <v>185</v>
      </c>
      <c r="D112" s="155">
        <v>0.19600000000000001</v>
      </c>
    </row>
    <row r="113" spans="3:4" s="134" customFormat="1" hidden="1">
      <c r="C113" s="154" t="s">
        <v>186</v>
      </c>
      <c r="D113" s="155">
        <v>0.193</v>
      </c>
    </row>
    <row r="114" spans="3:4" hidden="1">
      <c r="C114" s="154" t="s">
        <v>43</v>
      </c>
      <c r="D114" s="155">
        <v>0.109</v>
      </c>
    </row>
  </sheetData>
  <sheetProtection algorithmName="SHA-512" hashValue="Ahxjk3yRtaZ4qzkUptLx24WJ1Cm83ewmVFX/ay7v6+3x34/daUyASQuCIBu5gv+SXY6/8OgUb6iu615fYn8dXg==" saltValue="vlVl49GcCbqSdrt7guJWjQ==" spinCount="100000" sheet="1" objects="1" scenarios="1"/>
  <sortState ref="C105:D112">
    <sortCondition ref="C105"/>
  </sortState>
  <dataConsolidate/>
  <mergeCells count="29">
    <mergeCell ref="D59:F59"/>
    <mergeCell ref="G59:I59"/>
    <mergeCell ref="J59:L59"/>
    <mergeCell ref="C7:F7"/>
    <mergeCell ref="H11:L11"/>
    <mergeCell ref="I13:K13"/>
    <mergeCell ref="C12:F12"/>
    <mergeCell ref="H23:L23"/>
    <mergeCell ref="I15:K15"/>
    <mergeCell ref="I17:K17"/>
    <mergeCell ref="I25:K25"/>
    <mergeCell ref="B28:B44"/>
    <mergeCell ref="D28:F28"/>
    <mergeCell ref="G28:I28"/>
    <mergeCell ref="J28:L28"/>
    <mergeCell ref="B58:L58"/>
    <mergeCell ref="B56:L56"/>
    <mergeCell ref="C100:L104"/>
    <mergeCell ref="C91:L95"/>
    <mergeCell ref="C89:L89"/>
    <mergeCell ref="K98:L98"/>
    <mergeCell ref="B60:B66"/>
    <mergeCell ref="E61:K61"/>
    <mergeCell ref="E63:K63"/>
    <mergeCell ref="B67:B73"/>
    <mergeCell ref="B74:B87"/>
    <mergeCell ref="E77:K77"/>
    <mergeCell ref="E98:F98"/>
    <mergeCell ref="G98:H98"/>
  </mergeCells>
  <conditionalFormatting sqref="G47:L47 D47:F51 D39:L41">
    <cfRule type="containsText" dxfId="9" priority="15" operator="containsText" text="YES">
      <formula>NOT(ISERROR(SEARCH("YES",D39)))</formula>
    </cfRule>
  </conditionalFormatting>
  <conditionalFormatting sqref="G47:L47 D47:F51 D39:L41">
    <cfRule type="containsText" dxfId="8" priority="14" operator="containsText" text="NO">
      <formula>NOT(ISERROR(SEARCH("NO",D39)))</formula>
    </cfRule>
  </conditionalFormatting>
  <conditionalFormatting sqref="D39:L41">
    <cfRule type="containsText" dxfId="7" priority="11" operator="containsText" text="NO">
      <formula>NOT(ISERROR(SEARCH("NO",D39)))</formula>
    </cfRule>
    <cfRule type="containsText" dxfId="6" priority="12" operator="containsText" text="NO">
      <formula>NOT(ISERROR(SEARCH("NO",D39)))</formula>
    </cfRule>
    <cfRule type="containsText" dxfId="5" priority="13" operator="containsText" text="YES">
      <formula>NOT(ISERROR(SEARCH("YES",D39)))</formula>
    </cfRule>
  </conditionalFormatting>
  <conditionalFormatting sqref="D31:L31">
    <cfRule type="cellIs" dxfId="4" priority="10" operator="lessThan">
      <formula>1</formula>
    </cfRule>
  </conditionalFormatting>
  <conditionalFormatting sqref="C12">
    <cfRule type="expression" dxfId="3" priority="1">
      <formula>$E$61&gt;25000</formula>
    </cfRule>
    <cfRule type="expression" dxfId="2" priority="2">
      <formula>$E$11=""</formula>
    </cfRule>
    <cfRule type="expression" dxfId="1" priority="3">
      <formula>$E$61&lt;=25000</formula>
    </cfRule>
  </conditionalFormatting>
  <conditionalFormatting sqref="E61">
    <cfRule type="expression" dxfId="0" priority="4">
      <formula>$E$61&gt;25000</formula>
    </cfRule>
  </conditionalFormatting>
  <dataValidations count="6">
    <dataValidation type="list" allowBlank="1" showInputMessage="1" showErrorMessage="1" sqref="Q65" xr:uid="{00000000-0002-0000-0100-000000000000}">
      <formula1>Interest</formula1>
    </dataValidation>
    <dataValidation type="decimal" operator="greaterThan" allowBlank="1" showInputMessage="1" showErrorMessage="1" sqref="K65" xr:uid="{00000000-0002-0000-0100-000001000000}">
      <formula1>0</formula1>
    </dataValidation>
    <dataValidation type="list" allowBlank="1" showInputMessage="1" showErrorMessage="1" sqref="C75" xr:uid="{00000000-0002-0000-0100-000002000000}">
      <formula1>ValidPeriod</formula1>
    </dataValidation>
    <dataValidation type="list" allowBlank="1" showInputMessage="1" showErrorMessage="1" sqref="E63" xr:uid="{00000000-0002-0000-0100-000003000000}">
      <formula1>Years</formula1>
    </dataValidation>
    <dataValidation type="decimal" operator="greaterThanOrEqual" allowBlank="1" showInputMessage="1" showErrorMessage="1" sqref="K83 H83 E13:E16 E11:F11 E23:E25 E19:E20" xr:uid="{00000000-0002-0000-0100-000004000000}">
      <formula1>0</formula1>
    </dataValidation>
    <dataValidation type="list" operator="greaterThanOrEqual" allowBlank="1" showInputMessage="1" showErrorMessage="1" sqref="E17" xr:uid="{00000000-0002-0000-0100-000005000000}">
      <formula1>$C$107:$C$114</formula1>
    </dataValidation>
  </dataValidations>
  <printOptions horizontalCentered="1"/>
  <pageMargins left="0.5" right="0.5" top="0" bottom="0" header="0" footer="0"/>
  <ignoredErrors>
    <ignoredError sqref="E77 E85 H85 K81 K83 K85 K87" evalError="1"/>
  </ignoredErrors>
  <drawing r:id="rId1"/>
  <extLst>
    <ext xmlns:x14="http://schemas.microsoft.com/office/spreadsheetml/2009/9/main" uri="{CCE6A557-97BC-4b89-ADB6-D9C93CAAB3DF}">
      <x14:dataValidations xmlns:xm="http://schemas.microsoft.com/office/excel/2006/main" count="1">
        <x14:dataValidation type="list" operator="greaterThanOrEqual" allowBlank="1" showErrorMessage="1" xr:uid="{00000000-0002-0000-0100-000006000000}">
          <x14:formula1>
            <xm:f>MenuItems!$D$9:$D$16</xm:f>
          </x14:formula1>
          <xm:sqref>E21</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35</vt:i4>
      </vt:variant>
    </vt:vector>
  </HeadingPairs>
  <TitlesOfParts>
    <vt:vector size="37" baseType="lpstr">
      <vt:lpstr>MenuItems</vt:lpstr>
      <vt:lpstr>PV Loan Calculator</vt:lpstr>
      <vt:lpstr>Account</vt:lpstr>
      <vt:lpstr>CAC_TRC_YES_NO</vt:lpstr>
      <vt:lpstr>CustCont</vt:lpstr>
      <vt:lpstr>FinFee</vt:lpstr>
      <vt:lpstr>HOI</vt:lpstr>
      <vt:lpstr>HPWH_TRC_YES_NO</vt:lpstr>
      <vt:lpstr>Interest</vt:lpstr>
      <vt:lpstr>kwhprod</vt:lpstr>
      <vt:lpstr>LC_PSavings</vt:lpstr>
      <vt:lpstr>LED_TRC_YES_NO</vt:lpstr>
      <vt:lpstr>LoanPrincipal</vt:lpstr>
      <vt:lpstr>MCash</vt:lpstr>
      <vt:lpstr>MeasureList</vt:lpstr>
      <vt:lpstr>MFinance</vt:lpstr>
      <vt:lpstr>MLifeCash</vt:lpstr>
      <vt:lpstr>MLifeFinance</vt:lpstr>
      <vt:lpstr>PCost</vt:lpstr>
      <vt:lpstr>'PV Loan Calculator'!Print_Area</vt:lpstr>
      <vt:lpstr>PType</vt:lpstr>
      <vt:lpstr>PVINCENTIVE</vt:lpstr>
      <vt:lpstr>Save</vt:lpstr>
      <vt:lpstr>SavingsAnnual</vt:lpstr>
      <vt:lpstr>SVCD</vt:lpstr>
      <vt:lpstr>Time</vt:lpstr>
      <vt:lpstr>TRC_Yes_No</vt:lpstr>
      <vt:lpstr>Unsecured</vt:lpstr>
      <vt:lpstr>UnsecuredSIR</vt:lpstr>
      <vt:lpstr>utility</vt:lpstr>
      <vt:lpstr>ValidAccounts</vt:lpstr>
      <vt:lpstr>ValidPeriod</vt:lpstr>
      <vt:lpstr>ValidRates</vt:lpstr>
      <vt:lpstr>ValidTerms</vt:lpstr>
      <vt:lpstr>WeightedAvgMLife</vt:lpstr>
      <vt:lpstr>Years</vt:lpstr>
      <vt:lpstr>YESNO</vt:lpstr>
    </vt:vector>
  </TitlesOfParts>
  <Company>Conservation Services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Archie</dc:creator>
  <cp:lastModifiedBy>lnp</cp:lastModifiedBy>
  <cp:lastPrinted>2015-09-30T15:36:49Z</cp:lastPrinted>
  <dcterms:created xsi:type="dcterms:W3CDTF">2013-11-26T20:26:50Z</dcterms:created>
  <dcterms:modified xsi:type="dcterms:W3CDTF">2018-04-25T15:09:13Z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0x010100A32C1427268F724C84FBF75E622FD3C3</vt:lpwstr>
  </property>
</Properties>
</file>