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IFTONPARK-FP1\cliftonpark\Energy Services\Projects\MFB Program\New Construction Component\Program Documents\New Construction\Version 6\Version 6.1\ASHRAE 2007\"/>
    </mc:Choice>
  </mc:AlternateContent>
  <bookViews>
    <workbookView xWindow="1440" yWindow="1815" windowWidth="12225" windowHeight="6405" tabRatio="893" firstSheet="4" activeTab="4"/>
  </bookViews>
  <sheets>
    <sheet name="Report" sheetId="55" state="hidden" r:id="rId1"/>
    <sheet name="GHSF Calculator" sheetId="56" state="hidden" r:id="rId2"/>
    <sheet name="Demand Savings Lookup" sheetId="61" state="hidden" r:id="rId3"/>
    <sheet name="Drop Down" sheetId="54" state="hidden" r:id="rId4"/>
    <sheet name="Introduction" sheetId="65" r:id="rId5"/>
    <sheet name="NYSERDA Reporting" sheetId="60" state="hidden" r:id="rId6"/>
    <sheet name="ERMs" sheetId="68" state="hidden" r:id="rId7"/>
    <sheet name="Version History" sheetId="104" r:id="rId8"/>
    <sheet name="Lookup" sheetId="57" state="hidden" r:id="rId9"/>
    <sheet name="Tables of Values" sheetId="41" state="hidden" r:id="rId10"/>
    <sheet name="Basic Info" sheetId="42" r:id="rId11"/>
    <sheet name="Model Inputs" sheetId="62" r:id="rId12"/>
    <sheet name="Reporting Summary" sheetId="48" r:id="rId13"/>
    <sheet name="Avoided Costs" sheetId="66" state="hidden" r:id="rId14"/>
    <sheet name="Detailed Measures" sheetId="47" r:id="rId15"/>
    <sheet name="Funding Overview" sheetId="103" state="hidden" r:id="rId16"/>
    <sheet name="Results from eQUEST" sheetId="45" r:id="rId17"/>
    <sheet name="SG Appx Intro" sheetId="91" r:id="rId18"/>
    <sheet name="Project Size" sheetId="92" state="hidden" r:id="rId19"/>
    <sheet name="Windows eQuest" sheetId="93" r:id="rId20"/>
    <sheet name="Water Savings" sheetId="102" r:id="rId21"/>
    <sheet name="DHW Demand" sheetId="98" r:id="rId22"/>
    <sheet name="Appliances" sheetId="94" r:id="rId23"/>
    <sheet name="Lighting Schedule" sheetId="95" r:id="rId24"/>
    <sheet name="Interior Lighting" sheetId="96" r:id="rId25"/>
    <sheet name="In-Unit Lighting" sheetId="99" r:id="rId26"/>
    <sheet name="Exterior Lighting" sheetId="97" r:id="rId27"/>
    <sheet name="Infiltration&amp;Ventilation" sheetId="105" r:id="rId28"/>
    <sheet name="EIR for PTAC and PTHP" sheetId="101" r:id="rId29"/>
    <sheet name="Simulation Summary" sheetId="16" state="hidden" r:id="rId30"/>
    <sheet name="RECS - Baseline" sheetId="52" state="hidden" r:id="rId31"/>
    <sheet name="RECS - Proposed" sheetId="53" state="hidden" r:id="rId32"/>
    <sheet name="Locator Map" sheetId="23" state="hidden" r:id="rId33"/>
    <sheet name="Side Calcs - Baseline" sheetId="24" state="hidden" r:id="rId34"/>
    <sheet name="ZipCode Map" sheetId="25" state="hidden" r:id="rId35"/>
    <sheet name="Worksheet - Design - Baseline" sheetId="28" state="hidden" r:id="rId36"/>
    <sheet name="Worksheet - Design - Proposed" sheetId="30" state="hidden" r:id="rId37"/>
    <sheet name="Side Calcs - Proposed" sheetId="31" state="hidden" r:id="rId38"/>
  </sheets>
  <externalReferences>
    <externalReference r:id="rId39"/>
    <externalReference r:id="rId40"/>
    <externalReference r:id="rId41"/>
  </externalReferences>
  <definedNames>
    <definedName name="_xlnm._FilterDatabase" localSheetId="10" hidden="1">'Basic Info'!#REF!</definedName>
    <definedName name="_xlnm._FilterDatabase" localSheetId="18" hidden="1">'Project Size'!#REF!</definedName>
    <definedName name="_Toc260388435" localSheetId="14">'Detailed Measures'!#REF!</definedName>
    <definedName name="AvoidedCostTable" localSheetId="27">'Avoided Costs'!$A$16:$AY$24</definedName>
    <definedName name="AvoidedCostTable">'Avoided Costs'!$A$16:$AY$24</definedName>
    <definedName name="CentralHudson" localSheetId="27">'Avoided Costs'!$A$26:$AY$47</definedName>
    <definedName name="CentralHudson">'Avoided Costs'!$A$26:$AY$47</definedName>
    <definedName name="ClimateZone">'Drop Down'!$S$2:$S$9</definedName>
    <definedName name="Condition" localSheetId="27">'Drop Down'!$B$2:$B$6</definedName>
    <definedName name="Condition">'Drop Down'!$B$2:$B$6</definedName>
    <definedName name="ConEd" localSheetId="27">'Avoided Costs'!$A$49:$AY$70</definedName>
    <definedName name="ConEd">'Avoided Costs'!$A$49:$AY$70</definedName>
    <definedName name="construction" localSheetId="27">'Drop Down'!$H$2:$H$4</definedName>
    <definedName name="construction">'Drop Down'!$H$2:$H$4</definedName>
    <definedName name="DHW_Method">'Drop Down'!$J$2:$J$4</definedName>
    <definedName name="Efficacy">'Lighting Schedule'!$X$3:$X$4</definedName>
    <definedName name="EStar" localSheetId="27">'Drop Down'!$L$2:$L$6</definedName>
    <definedName name="EStar">'Drop Down'!$L$2:$L$6</definedName>
    <definedName name="Fan">'Drop Down'!$Q$3:$Q$6</definedName>
    <definedName name="FanControl" localSheetId="27">'Drop Down'!$O$2:$O$8</definedName>
    <definedName name="FanControl">'Drop Down'!$O$2:$O$8</definedName>
    <definedName name="FanRate">'Drop Down'!$R$3:$R$6</definedName>
    <definedName name="Floors">'[1]MeasureQC Calcs'!$B$53</definedName>
    <definedName name="Footcandles" localSheetId="27">'Drop Down'!$Y$2:$Y$16</definedName>
    <definedName name="Footcandles">'Drop Down'!$AB$2:$AB$16</definedName>
    <definedName name="fuel" localSheetId="27">'Drop Down'!$I$2:$I$7</definedName>
    <definedName name="fuel">'Drop Down'!$I$2:$I$7</definedName>
    <definedName name="Fuels" localSheetId="27">'Drop Down'!$AC$2:$AC$7</definedName>
    <definedName name="Fuels">'Drop Down'!$AF$2:$AF$7</definedName>
    <definedName name="FuelType">[2]DropDowns!$A$3:$A$7</definedName>
    <definedName name="funding">[2]DropDowns!$I$3:$I$8</definedName>
    <definedName name="FundingCodes" localSheetId="27">'Drop Down'!$AD$2:$AD$7</definedName>
    <definedName name="FundingCodes">'Drop Down'!$AG$2:$AG$8</definedName>
    <definedName name="Garage" localSheetId="27">'Drop Down'!$A$2:$A$5</definedName>
    <definedName name="Garage">'Drop Down'!$A$2:$A$5</definedName>
    <definedName name="GasUtility" localSheetId="27">'Drop Down'!$AE$2:$AE$5</definedName>
    <definedName name="GasUtility">'Drop Down'!$AH$2:$AH$5</definedName>
    <definedName name="HeatingControl" localSheetId="27">'Drop Down'!$P$2:$P$7</definedName>
    <definedName name="HeatingControl">'Drop Down'!$P$2:$P$7</definedName>
    <definedName name="HousingType">[2]DropDowns!$E$3:$E$5</definedName>
    <definedName name="Income" localSheetId="27">'Drop Down'!$G$2:$G$4</definedName>
    <definedName name="Income">'Drop Down'!$G$2:$G$4</definedName>
    <definedName name="KEDLI" localSheetId="27">'Avoided Costs'!$A$164:$AY$185</definedName>
    <definedName name="KEDLI">'Avoided Costs'!$A$164:$AY$185</definedName>
    <definedName name="LightCalcMethod">'Drop Down'!$V$2:$V$5</definedName>
    <definedName name="LightingSpaceType" localSheetId="27">'Drop Down'!$W$2:$W$16</definedName>
    <definedName name="LightingSpaceType">'Drop Down'!$W$2:$W$16</definedName>
    <definedName name="Location">'[1]MeasureQC Calcs'!$B$52</definedName>
    <definedName name="Low_Flow_Toilets" localSheetId="20">'Water Savings'!$E$23:$E$23</definedName>
    <definedName name="LPD">'Drop Down'!$X$2:$X$16</definedName>
    <definedName name="LPD2007SS">'Drop Down'!$X$2:$X$16</definedName>
    <definedName name="LPD2007WB">'Drop Down'!$Z$2:$Z$16</definedName>
    <definedName name="LPD2010SS">'Drop Down'!$Y$2:$Y$16</definedName>
    <definedName name="LPD2010WB">'Drop Down'!$AA$2:$AA$16</definedName>
    <definedName name="Measure_Type" localSheetId="27">'Demand Savings Lookup'!$A$3:$A$43</definedName>
    <definedName name="Measure_Type">'Demand Savings Lookup'!$A$3:$A$43</definedName>
    <definedName name="MeasureList">'[1]MeasureQC Calcs'!$A$6:$A$46</definedName>
    <definedName name="MeasureQCdata">'[1]MeasureQC Calcs'!$A$6:$AZ$45</definedName>
    <definedName name="Milestone" localSheetId="27">'Drop Down'!$D$2:$D$4</definedName>
    <definedName name="Milestone">'Drop Down'!$D$2:$D$4</definedName>
    <definedName name="NationalGrid" localSheetId="27">'Avoided Costs'!$A$72:$AY$93</definedName>
    <definedName name="NationalGrid">'Avoided Costs'!$A$72:$AY$93</definedName>
    <definedName name="NYSEG" localSheetId="27">'Avoided Costs'!$A$95:$AY$116</definedName>
    <definedName name="NYSEG">'Avoided Costs'!$A$95:$AY$116</definedName>
    <definedName name="OandR" localSheetId="27">'Avoided Costs'!$A$118:$AY$139</definedName>
    <definedName name="OandR">'Avoided Costs'!$A$118:$AY$139</definedName>
    <definedName name="_xlnm.Print_Area" localSheetId="6">ERMs!$A$2:$E$73</definedName>
    <definedName name="_xlnm.Print_Area" localSheetId="4">Introduction!$B$1:$C$24</definedName>
    <definedName name="_xlnm.Print_Area" localSheetId="30">'RECS - Baseline'!$B$2:$I$56</definedName>
    <definedName name="_xlnm.Print_Area" localSheetId="31">'RECS - Proposed'!$B$2:$I$56</definedName>
    <definedName name="_xlnm.Print_Area" localSheetId="12">'Reporting Summary'!$B$1:$L$139</definedName>
    <definedName name="_xlnm.Print_Area" localSheetId="17">'SG Appx Intro'!$B$1:$C$35</definedName>
    <definedName name="_xlnm.Print_Titles" localSheetId="24">'Interior Lighting'!$18:$18</definedName>
    <definedName name="Pump" localSheetId="27">'Drop Down'!$M$2:$M$6</definedName>
    <definedName name="Pump">'Drop Down'!$M$2:$M$6</definedName>
    <definedName name="PumpClass" localSheetId="27">'Drop Down'!$N$2:$N$5</definedName>
    <definedName name="PumpClass">'Drop Down'!$N$2:$N$5</definedName>
    <definedName name="reqd">[2]DropDowns!$G$3:$G$5</definedName>
    <definedName name="Rev" localSheetId="27">'Drop Down'!$E$2:$E$8</definedName>
    <definedName name="Rev">'Drop Down'!$E$2:$E$8</definedName>
    <definedName name="RGandE" localSheetId="27">'Avoided Costs'!$A$141:$AY$162</definedName>
    <definedName name="RGandE">'Avoided Costs'!$A$141:$AY$162</definedName>
    <definedName name="Rise">'[1]MeasureQC Calcs'!$B$54</definedName>
    <definedName name="SpaceType" localSheetId="27">'Drop Down'!$U$2:$U$15</definedName>
    <definedName name="SpaceType">'Drop Down'!$U$2:$U$16</definedName>
    <definedName name="SplitType">'Drop Down'!$AJ$2:$AJ$4</definedName>
    <definedName name="SqFt">'[1]MeasureQC Calcs'!$B$55</definedName>
    <definedName name="Standard">'Drop Down'!$F$2:$F$4</definedName>
    <definedName name="Units" localSheetId="13">'[3]MeasureQC Calcs'!$B$56</definedName>
    <definedName name="Units">'Drop Down'!$K$2:$K$10</definedName>
    <definedName name="UpDown">'ZipCode Map'!$F$5</definedName>
    <definedName name="Utility" localSheetId="27">'Drop Down'!$AA$2:$AA$7</definedName>
    <definedName name="Utility">'Drop Down'!$AD$2:$AD$7</definedName>
    <definedName name="Windows">'Drop Down'!$T$2:$T$3</definedName>
    <definedName name="YesNo" localSheetId="27">'Drop Down'!$Z$2:$Z$4</definedName>
    <definedName name="YesNo">'Drop Down'!$AC$2:$AC$4</definedName>
    <definedName name="yn" localSheetId="13">[3]DropDowns!$C$3:$C$4</definedName>
    <definedName name="YN" localSheetId="27">'Drop Down'!$C$2:$C$4</definedName>
    <definedName name="YN">'Drop Down'!$C$2:$C$4</definedName>
    <definedName name="ynn">[2]DropDowns!$C$3:$C$4</definedName>
    <definedName name="Z_04B77481_E3E8_40F9_BDC2_E6862D1359A5_.wvu.PrintArea" localSheetId="14" hidden="1">'Detailed Measures'!$D$4:$AB$30</definedName>
  </definedNames>
  <calcPr calcId="152511"/>
</workbook>
</file>

<file path=xl/calcChain.xml><?xml version="1.0" encoding="utf-8"?>
<calcChain xmlns="http://schemas.openxmlformats.org/spreadsheetml/2006/main">
  <c r="J28" i="94" l="1"/>
  <c r="J31" i="94" l="1"/>
  <c r="J33" i="94" s="1"/>
  <c r="D67" i="105" l="1"/>
  <c r="C67" i="105"/>
  <c r="D64" i="105"/>
  <c r="C64" i="105"/>
  <c r="D47" i="105"/>
  <c r="C47" i="105"/>
  <c r="D46" i="105"/>
  <c r="C46" i="105"/>
  <c r="D45" i="105"/>
  <c r="C45" i="105"/>
  <c r="E34" i="105"/>
  <c r="E33" i="105"/>
  <c r="E30" i="105"/>
  <c r="E29" i="105"/>
  <c r="C28" i="41" l="1"/>
  <c r="C29" i="41"/>
  <c r="C30" i="41"/>
  <c r="C31" i="41"/>
  <c r="B29" i="41"/>
  <c r="B30" i="41"/>
  <c r="B31" i="41"/>
  <c r="B28" i="41"/>
  <c r="C22" i="41"/>
  <c r="C23" i="41"/>
  <c r="C24" i="41"/>
  <c r="C25" i="41"/>
  <c r="B23" i="41"/>
  <c r="B24" i="41"/>
  <c r="B25" i="41"/>
  <c r="B22" i="41"/>
  <c r="O30" i="41" l="1"/>
  <c r="O29" i="41"/>
  <c r="O28" i="41"/>
  <c r="N30" i="41"/>
  <c r="K30" i="41"/>
  <c r="J30" i="41"/>
  <c r="J29" i="41"/>
  <c r="J31" i="41" s="1"/>
  <c r="J28" i="41"/>
  <c r="O24" i="41"/>
  <c r="O23" i="41"/>
  <c r="O22" i="41"/>
  <c r="N24" i="41"/>
  <c r="N23" i="41"/>
  <c r="N22" i="41"/>
  <c r="K24" i="41"/>
  <c r="K23" i="41"/>
  <c r="K22" i="41"/>
  <c r="J24" i="41"/>
  <c r="J23" i="41"/>
  <c r="J22" i="41"/>
  <c r="O31" i="41"/>
  <c r="N31" i="41"/>
  <c r="O25" i="41"/>
  <c r="K31" i="41"/>
  <c r="J25" i="41"/>
  <c r="G31" i="41"/>
  <c r="F31" i="41"/>
  <c r="G25" i="41"/>
  <c r="F25" i="41"/>
  <c r="N25" i="41" l="1"/>
  <c r="K25" i="41"/>
  <c r="E144" i="62"/>
  <c r="E124" i="62"/>
  <c r="I30" i="96" l="1"/>
  <c r="I31" i="96"/>
  <c r="I32" i="96"/>
  <c r="I33" i="96"/>
  <c r="I34" i="96"/>
  <c r="I35" i="96"/>
  <c r="I36" i="96"/>
  <c r="I37" i="96"/>
  <c r="I38" i="96"/>
  <c r="I39" i="96"/>
  <c r="I40" i="96"/>
  <c r="I41" i="96"/>
  <c r="I42" i="96"/>
  <c r="I43" i="96"/>
  <c r="I44" i="96"/>
  <c r="I45" i="96"/>
  <c r="I46" i="96"/>
  <c r="I47" i="96"/>
  <c r="I48" i="96"/>
  <c r="I49" i="96"/>
  <c r="I50" i="96"/>
  <c r="I51" i="96"/>
  <c r="I52" i="96"/>
  <c r="I53" i="96"/>
  <c r="I54" i="96"/>
  <c r="I55" i="96"/>
  <c r="I56" i="96"/>
  <c r="I57" i="96"/>
  <c r="I58" i="96"/>
  <c r="I59" i="96"/>
  <c r="I60" i="96"/>
  <c r="I61" i="96"/>
  <c r="I62" i="96"/>
  <c r="I63" i="96"/>
  <c r="I64" i="96"/>
  <c r="I65" i="96"/>
  <c r="I66" i="96"/>
  <c r="I67" i="96"/>
  <c r="I68" i="96"/>
  <c r="I69" i="96"/>
  <c r="I70" i="96"/>
  <c r="I71" i="96"/>
  <c r="I72" i="96"/>
  <c r="I73" i="96"/>
  <c r="I74" i="96"/>
  <c r="I75" i="96"/>
  <c r="I76" i="96"/>
  <c r="I77" i="96"/>
  <c r="I78" i="96"/>
  <c r="I79" i="96"/>
  <c r="I80" i="96"/>
  <c r="I81" i="96"/>
  <c r="I82" i="96"/>
  <c r="I83" i="96"/>
  <c r="I84" i="96"/>
  <c r="I85" i="96"/>
  <c r="I86" i="96"/>
  <c r="I87" i="96"/>
  <c r="I88" i="96"/>
  <c r="I89" i="96"/>
  <c r="I90" i="96"/>
  <c r="I91" i="96"/>
  <c r="I92" i="96"/>
  <c r="I93" i="96"/>
  <c r="I94" i="96"/>
  <c r="I95" i="96"/>
  <c r="I96" i="96"/>
  <c r="I97" i="96"/>
  <c r="I98" i="96"/>
  <c r="I99" i="96"/>
  <c r="I100" i="96"/>
  <c r="I101" i="96"/>
  <c r="I102" i="96"/>
  <c r="I103" i="96"/>
  <c r="I104" i="96"/>
  <c r="I105" i="96"/>
  <c r="I106" i="96"/>
  <c r="I107" i="96"/>
  <c r="I108" i="96"/>
  <c r="I109" i="96"/>
  <c r="I110" i="96"/>
  <c r="I111" i="96"/>
  <c r="I112" i="96"/>
  <c r="I113" i="96"/>
  <c r="I114" i="96"/>
  <c r="I115" i="96"/>
  <c r="I116" i="96"/>
  <c r="I117" i="96"/>
  <c r="I118" i="96"/>
  <c r="I119" i="96"/>
  <c r="I120" i="96"/>
  <c r="I121" i="96"/>
  <c r="I122" i="96"/>
  <c r="I123" i="96"/>
  <c r="I124" i="96"/>
  <c r="I125" i="96"/>
  <c r="I126" i="96"/>
  <c r="I127" i="96"/>
  <c r="I128" i="96"/>
  <c r="I129" i="96"/>
  <c r="I130" i="96"/>
  <c r="I131" i="96"/>
  <c r="I132" i="96"/>
  <c r="I133" i="96"/>
  <c r="I134" i="96"/>
  <c r="I135" i="96"/>
  <c r="I136" i="96"/>
  <c r="I137" i="96"/>
  <c r="I138" i="96"/>
  <c r="I139" i="96"/>
  <c r="I140" i="96"/>
  <c r="I141" i="96"/>
  <c r="I142" i="96"/>
  <c r="I143" i="96"/>
  <c r="I144" i="96"/>
  <c r="I145" i="96"/>
  <c r="I146" i="96"/>
  <c r="I147" i="96"/>
  <c r="I148" i="96"/>
  <c r="I149" i="96"/>
  <c r="I150" i="96"/>
  <c r="I151" i="96"/>
  <c r="I152" i="96"/>
  <c r="I153" i="96"/>
  <c r="I154" i="96"/>
  <c r="I155" i="96"/>
  <c r="I156" i="96"/>
  <c r="I157" i="96"/>
  <c r="I158" i="96"/>
  <c r="I159" i="96"/>
  <c r="I160" i="96"/>
  <c r="I161" i="96"/>
  <c r="I162" i="96"/>
  <c r="I163" i="96"/>
  <c r="I164" i="96"/>
  <c r="I165" i="96"/>
  <c r="I166" i="96"/>
  <c r="I167" i="96"/>
  <c r="I168" i="96"/>
  <c r="I169" i="96"/>
  <c r="I170" i="96"/>
  <c r="I171" i="96"/>
  <c r="I172" i="96"/>
  <c r="I173" i="96"/>
  <c r="I174" i="96"/>
  <c r="I175" i="96"/>
  <c r="I176" i="96"/>
  <c r="I177" i="96"/>
  <c r="I178" i="96"/>
  <c r="I179" i="96"/>
  <c r="I180" i="96"/>
  <c r="I181" i="96"/>
  <c r="I182" i="96"/>
  <c r="I183" i="96"/>
  <c r="I184" i="96"/>
  <c r="I185" i="96"/>
  <c r="I186" i="96"/>
  <c r="I187" i="96"/>
  <c r="I188" i="96"/>
  <c r="I189" i="96"/>
  <c r="I190" i="96"/>
  <c r="I191" i="96"/>
  <c r="I192" i="96"/>
  <c r="I193" i="96"/>
  <c r="I194" i="96"/>
  <c r="I195" i="96"/>
  <c r="I196" i="96"/>
  <c r="I197" i="96"/>
  <c r="I198" i="96"/>
  <c r="I199" i="96"/>
  <c r="I200" i="96"/>
  <c r="I201" i="96"/>
  <c r="I202" i="96"/>
  <c r="I203" i="96"/>
  <c r="I204" i="96"/>
  <c r="I205" i="96"/>
  <c r="I206" i="96"/>
  <c r="I207" i="96"/>
  <c r="I208" i="96"/>
  <c r="I209" i="96"/>
  <c r="I210" i="96"/>
  <c r="I211" i="96"/>
  <c r="I212" i="96"/>
  <c r="I213" i="96"/>
  <c r="I214" i="96"/>
  <c r="I215" i="96"/>
  <c r="I216" i="96"/>
  <c r="I217" i="96"/>
  <c r="I218" i="96"/>
  <c r="I219" i="96"/>
  <c r="I220" i="96"/>
  <c r="I221" i="96"/>
  <c r="I222" i="96"/>
  <c r="I223" i="96"/>
  <c r="I224" i="96"/>
  <c r="I225" i="96"/>
  <c r="I226" i="96"/>
  <c r="I227" i="96"/>
  <c r="I228" i="96"/>
  <c r="I229" i="96"/>
  <c r="I230" i="96"/>
  <c r="I231" i="96"/>
  <c r="I232" i="96"/>
  <c r="I233" i="96"/>
  <c r="I234" i="96"/>
  <c r="I235" i="96"/>
  <c r="I236" i="96"/>
  <c r="I237" i="96"/>
  <c r="I238" i="96"/>
  <c r="I239" i="96"/>
  <c r="I240" i="96"/>
  <c r="I241" i="96"/>
  <c r="I242" i="96"/>
  <c r="I243" i="96"/>
  <c r="I244" i="96"/>
  <c r="I245" i="96"/>
  <c r="I246" i="96"/>
  <c r="I247" i="96"/>
  <c r="I248" i="96"/>
  <c r="I249" i="96"/>
  <c r="I250" i="96"/>
  <c r="I251" i="96"/>
  <c r="I252" i="96"/>
  <c r="I253" i="96"/>
  <c r="I254" i="96"/>
  <c r="I255" i="96"/>
  <c r="I256" i="96"/>
  <c r="I257" i="96"/>
  <c r="I258" i="96"/>
  <c r="I259" i="96"/>
  <c r="I260" i="96"/>
  <c r="I261" i="96"/>
  <c r="I262" i="96"/>
  <c r="I263" i="96"/>
  <c r="I264" i="96"/>
  <c r="I265" i="96"/>
  <c r="I266" i="96"/>
  <c r="I267" i="96"/>
  <c r="I268" i="96"/>
  <c r="I269" i="96"/>
  <c r="I270" i="96"/>
  <c r="I271" i="96"/>
  <c r="I272" i="96"/>
  <c r="I273" i="96"/>
  <c r="I274" i="96"/>
  <c r="I275" i="96"/>
  <c r="I276" i="96"/>
  <c r="I277" i="96"/>
  <c r="I278" i="96"/>
  <c r="I279" i="96"/>
  <c r="I280" i="96"/>
  <c r="I281" i="96"/>
  <c r="I282" i="96"/>
  <c r="I283" i="96"/>
  <c r="I284" i="96"/>
  <c r="I285" i="96"/>
  <c r="I286" i="96"/>
  <c r="I287" i="96"/>
  <c r="I288" i="96"/>
  <c r="I289" i="96"/>
  <c r="I290" i="96"/>
  <c r="I291" i="96"/>
  <c r="I292" i="96"/>
  <c r="I293" i="96"/>
  <c r="I294" i="96"/>
  <c r="I295" i="96"/>
  <c r="I296" i="96"/>
  <c r="I297" i="96"/>
  <c r="I298" i="96"/>
  <c r="I299" i="96"/>
  <c r="I300" i="96"/>
  <c r="I301" i="96"/>
  <c r="I302" i="96"/>
  <c r="I303" i="96"/>
  <c r="I304" i="96"/>
  <c r="I305" i="96"/>
  <c r="I306" i="96"/>
  <c r="I307" i="96"/>
  <c r="I308" i="96"/>
  <c r="I309" i="96"/>
  <c r="I310" i="96"/>
  <c r="I311" i="96"/>
  <c r="I312" i="96"/>
  <c r="I313" i="96"/>
  <c r="I314" i="96"/>
  <c r="I315" i="96"/>
  <c r="I316" i="96"/>
  <c r="I317" i="96"/>
  <c r="I318" i="96"/>
  <c r="I319" i="96"/>
  <c r="I320" i="96"/>
  <c r="I321" i="96"/>
  <c r="I322" i="96"/>
  <c r="I323" i="96"/>
  <c r="I324" i="96"/>
  <c r="I325" i="96"/>
  <c r="I326" i="96"/>
  <c r="I327" i="96"/>
  <c r="I328" i="96"/>
  <c r="I329" i="96"/>
  <c r="I330" i="96"/>
  <c r="I331" i="96"/>
  <c r="I332" i="96"/>
  <c r="I333" i="96"/>
  <c r="I334" i="96"/>
  <c r="I335" i="96"/>
  <c r="I336" i="96"/>
  <c r="I337" i="96"/>
  <c r="I338" i="96"/>
  <c r="I339" i="96"/>
  <c r="I340" i="96"/>
  <c r="I341" i="96"/>
  <c r="I342" i="96"/>
  <c r="I343" i="96"/>
  <c r="I344" i="96"/>
  <c r="I345" i="96"/>
  <c r="I346" i="96"/>
  <c r="I347" i="96"/>
  <c r="I348" i="96"/>
  <c r="I349" i="96"/>
  <c r="I350" i="96"/>
  <c r="I351" i="96"/>
  <c r="I352" i="96"/>
  <c r="I353" i="96"/>
  <c r="I354" i="96"/>
  <c r="I355" i="96"/>
  <c r="I356" i="96"/>
  <c r="I357" i="96"/>
  <c r="I358" i="96"/>
  <c r="I359" i="96"/>
  <c r="I360" i="96"/>
  <c r="R30" i="96" l="1"/>
  <c r="R31" i="96"/>
  <c r="R32" i="96"/>
  <c r="R33" i="96"/>
  <c r="R34" i="96"/>
  <c r="R35" i="96"/>
  <c r="R36" i="96"/>
  <c r="R37" i="96"/>
  <c r="R38" i="96"/>
  <c r="R39" i="96"/>
  <c r="R40" i="96"/>
  <c r="R41" i="96"/>
  <c r="R42" i="96"/>
  <c r="R43" i="96"/>
  <c r="R44" i="96"/>
  <c r="R45" i="96"/>
  <c r="R46" i="96"/>
  <c r="R47" i="96"/>
  <c r="R48" i="96"/>
  <c r="R49" i="96"/>
  <c r="R50" i="96"/>
  <c r="R51" i="96"/>
  <c r="R52" i="96"/>
  <c r="R53" i="96"/>
  <c r="R54" i="96"/>
  <c r="R55" i="96"/>
  <c r="R56" i="96"/>
  <c r="R57" i="96"/>
  <c r="R58" i="96"/>
  <c r="R59" i="96"/>
  <c r="R60" i="96"/>
  <c r="R61" i="96"/>
  <c r="R62" i="96"/>
  <c r="R63" i="96"/>
  <c r="R64" i="96"/>
  <c r="R65" i="96"/>
  <c r="R66" i="96"/>
  <c r="R67" i="96"/>
  <c r="R68" i="96"/>
  <c r="R69" i="96"/>
  <c r="R70" i="96"/>
  <c r="R71" i="96"/>
  <c r="R72" i="96"/>
  <c r="R73" i="96"/>
  <c r="R74" i="96"/>
  <c r="R75" i="96"/>
  <c r="R76" i="96"/>
  <c r="R77" i="96"/>
  <c r="R78" i="96"/>
  <c r="R79" i="96"/>
  <c r="R80" i="96"/>
  <c r="R81" i="96"/>
  <c r="R82" i="96"/>
  <c r="R83" i="96"/>
  <c r="R84" i="96"/>
  <c r="R85" i="96"/>
  <c r="R86" i="96"/>
  <c r="R87" i="96"/>
  <c r="R88" i="96"/>
  <c r="R89" i="96"/>
  <c r="R90" i="96"/>
  <c r="R91" i="96"/>
  <c r="R92" i="96"/>
  <c r="R93" i="96"/>
  <c r="R94" i="96"/>
  <c r="R95" i="96"/>
  <c r="R96" i="96"/>
  <c r="R97" i="96"/>
  <c r="R98" i="96"/>
  <c r="R99" i="96"/>
  <c r="R100" i="96"/>
  <c r="R101" i="96"/>
  <c r="R102" i="96"/>
  <c r="R103" i="96"/>
  <c r="R104" i="96"/>
  <c r="R105" i="96"/>
  <c r="R106" i="96"/>
  <c r="R107" i="96"/>
  <c r="R108" i="96"/>
  <c r="R109" i="96"/>
  <c r="R110" i="96"/>
  <c r="R111" i="96"/>
  <c r="R112" i="96"/>
  <c r="R113" i="96"/>
  <c r="R114" i="96"/>
  <c r="R115" i="96"/>
  <c r="R116" i="96"/>
  <c r="R117" i="96"/>
  <c r="R118" i="96"/>
  <c r="R119" i="96"/>
  <c r="R120" i="96"/>
  <c r="R121" i="96"/>
  <c r="R122" i="96"/>
  <c r="R123" i="96"/>
  <c r="R124" i="96"/>
  <c r="R125" i="96"/>
  <c r="R126" i="96"/>
  <c r="R127" i="96"/>
  <c r="R128" i="96"/>
  <c r="R129" i="96"/>
  <c r="R130" i="96"/>
  <c r="R131" i="96"/>
  <c r="R132" i="96"/>
  <c r="R133" i="96"/>
  <c r="R134" i="96"/>
  <c r="R135" i="96"/>
  <c r="R136" i="96"/>
  <c r="R137" i="96"/>
  <c r="R138" i="96"/>
  <c r="R139" i="96"/>
  <c r="R140" i="96"/>
  <c r="R141" i="96"/>
  <c r="R142" i="96"/>
  <c r="R143" i="96"/>
  <c r="R144" i="96"/>
  <c r="R145" i="96"/>
  <c r="R146" i="96"/>
  <c r="R147" i="96"/>
  <c r="R148" i="96"/>
  <c r="R149" i="96"/>
  <c r="R150" i="96"/>
  <c r="R151" i="96"/>
  <c r="R152" i="96"/>
  <c r="R153" i="96"/>
  <c r="R154" i="96"/>
  <c r="R155" i="96"/>
  <c r="R156" i="96"/>
  <c r="R157" i="96"/>
  <c r="R158" i="96"/>
  <c r="R159" i="96"/>
  <c r="R160" i="96"/>
  <c r="R161" i="96"/>
  <c r="R162" i="96"/>
  <c r="R163" i="96"/>
  <c r="R164" i="96"/>
  <c r="R165" i="96"/>
  <c r="R166" i="96"/>
  <c r="R167" i="96"/>
  <c r="R168" i="96"/>
  <c r="R169" i="96"/>
  <c r="R170" i="96"/>
  <c r="R171" i="96"/>
  <c r="R172" i="96"/>
  <c r="R173" i="96"/>
  <c r="R174" i="96"/>
  <c r="R175" i="96"/>
  <c r="R176" i="96"/>
  <c r="R177" i="96"/>
  <c r="R178" i="96"/>
  <c r="R179" i="96"/>
  <c r="R180" i="96"/>
  <c r="R181" i="96"/>
  <c r="R182" i="96"/>
  <c r="R183" i="96"/>
  <c r="R184" i="96"/>
  <c r="R185" i="96"/>
  <c r="R186" i="96"/>
  <c r="R187" i="96"/>
  <c r="R188" i="96"/>
  <c r="R189" i="96"/>
  <c r="R190" i="96"/>
  <c r="R191" i="96"/>
  <c r="R192" i="96"/>
  <c r="R193" i="96"/>
  <c r="R194" i="96"/>
  <c r="R195" i="96"/>
  <c r="R196" i="96"/>
  <c r="R197" i="96"/>
  <c r="R198" i="96"/>
  <c r="R199" i="96"/>
  <c r="R200" i="96"/>
  <c r="R201" i="96"/>
  <c r="R202" i="96"/>
  <c r="R203" i="96"/>
  <c r="R204" i="96"/>
  <c r="R205" i="96"/>
  <c r="R206" i="96"/>
  <c r="R207" i="96"/>
  <c r="R208" i="96"/>
  <c r="R209" i="96"/>
  <c r="R210" i="96"/>
  <c r="R211" i="96"/>
  <c r="R212" i="96"/>
  <c r="R213" i="96"/>
  <c r="R214" i="96"/>
  <c r="R215" i="96"/>
  <c r="R216" i="96"/>
  <c r="R217" i="96"/>
  <c r="R218" i="96"/>
  <c r="R219" i="96"/>
  <c r="R220" i="96"/>
  <c r="R221" i="96"/>
  <c r="R222" i="96"/>
  <c r="R223" i="96"/>
  <c r="R224" i="96"/>
  <c r="R225" i="96"/>
  <c r="R226" i="96"/>
  <c r="R227" i="96"/>
  <c r="R228" i="96"/>
  <c r="R229" i="96"/>
  <c r="R230" i="96"/>
  <c r="R231" i="96"/>
  <c r="R232" i="96"/>
  <c r="R233" i="96"/>
  <c r="R234" i="96"/>
  <c r="R235" i="96"/>
  <c r="R236" i="96"/>
  <c r="R237" i="96"/>
  <c r="R238" i="96"/>
  <c r="R239" i="96"/>
  <c r="R240" i="96"/>
  <c r="R241" i="96"/>
  <c r="R242" i="96"/>
  <c r="R243" i="96"/>
  <c r="R244" i="96"/>
  <c r="R245" i="96"/>
  <c r="R246" i="96"/>
  <c r="R247" i="96"/>
  <c r="R248" i="96"/>
  <c r="R249" i="96"/>
  <c r="R250" i="96"/>
  <c r="R251" i="96"/>
  <c r="R252" i="96"/>
  <c r="R253" i="96"/>
  <c r="R254" i="96"/>
  <c r="R255" i="96"/>
  <c r="R256" i="96"/>
  <c r="R257" i="96"/>
  <c r="R258" i="96"/>
  <c r="R259" i="96"/>
  <c r="R260" i="96"/>
  <c r="R261" i="96"/>
  <c r="R262" i="96"/>
  <c r="R263" i="96"/>
  <c r="R264" i="96"/>
  <c r="R265" i="96"/>
  <c r="R266" i="96"/>
  <c r="R267" i="96"/>
  <c r="R268" i="96"/>
  <c r="R269" i="96"/>
  <c r="R270" i="96"/>
  <c r="R271" i="96"/>
  <c r="R272" i="96"/>
  <c r="R273" i="96"/>
  <c r="R274" i="96"/>
  <c r="R275" i="96"/>
  <c r="R276" i="96"/>
  <c r="R277" i="96"/>
  <c r="R278" i="96"/>
  <c r="R279" i="96"/>
  <c r="R280" i="96"/>
  <c r="R281" i="96"/>
  <c r="R282" i="96"/>
  <c r="R283" i="96"/>
  <c r="R284" i="96"/>
  <c r="R285" i="96"/>
  <c r="R286" i="96"/>
  <c r="R287" i="96"/>
  <c r="R288" i="96"/>
  <c r="R289" i="96"/>
  <c r="R290" i="96"/>
  <c r="R291" i="96"/>
  <c r="R292" i="96"/>
  <c r="R293" i="96"/>
  <c r="R294" i="96"/>
  <c r="R295" i="96"/>
  <c r="R296" i="96"/>
  <c r="R297" i="96"/>
  <c r="R298" i="96"/>
  <c r="R299" i="96"/>
  <c r="R300" i="96"/>
  <c r="R301" i="96"/>
  <c r="R302" i="96"/>
  <c r="R303" i="96"/>
  <c r="R304" i="96"/>
  <c r="R305" i="96"/>
  <c r="R306" i="96"/>
  <c r="R307" i="96"/>
  <c r="R308" i="96"/>
  <c r="R309" i="96"/>
  <c r="R310" i="96"/>
  <c r="R311" i="96"/>
  <c r="R312" i="96"/>
  <c r="R313" i="96"/>
  <c r="R314" i="96"/>
  <c r="R315" i="96"/>
  <c r="R316" i="96"/>
  <c r="R317" i="96"/>
  <c r="R318" i="96"/>
  <c r="R319" i="96"/>
  <c r="R320" i="96"/>
  <c r="R321" i="96"/>
  <c r="R322" i="96"/>
  <c r="R323" i="96"/>
  <c r="R324" i="96"/>
  <c r="R325" i="96"/>
  <c r="R326" i="96"/>
  <c r="R327" i="96"/>
  <c r="R328" i="96"/>
  <c r="R329" i="96"/>
  <c r="R330" i="96"/>
  <c r="R331" i="96"/>
  <c r="R332" i="96"/>
  <c r="R333" i="96"/>
  <c r="R334" i="96"/>
  <c r="R335" i="96"/>
  <c r="R336" i="96"/>
  <c r="R337" i="96"/>
  <c r="R338" i="96"/>
  <c r="R339" i="96"/>
  <c r="R340" i="96"/>
  <c r="R341" i="96"/>
  <c r="R342" i="96"/>
  <c r="R343" i="96"/>
  <c r="R344" i="96"/>
  <c r="R345" i="96"/>
  <c r="R346" i="96"/>
  <c r="R347" i="96"/>
  <c r="R348" i="96"/>
  <c r="R349" i="96"/>
  <c r="R350" i="96"/>
  <c r="R351" i="96"/>
  <c r="R352" i="96"/>
  <c r="R353" i="96"/>
  <c r="R354" i="96"/>
  <c r="R355" i="96"/>
  <c r="R356" i="96"/>
  <c r="R357" i="96"/>
  <c r="R358" i="96"/>
  <c r="R359" i="96"/>
  <c r="R360" i="96"/>
  <c r="Q29" i="96"/>
  <c r="P30" i="96"/>
  <c r="P31" i="96"/>
  <c r="P32" i="96"/>
  <c r="P33" i="96"/>
  <c r="P34" i="96"/>
  <c r="P35" i="96"/>
  <c r="P36" i="96"/>
  <c r="P37" i="96"/>
  <c r="P38" i="96"/>
  <c r="P39" i="96"/>
  <c r="P40" i="96"/>
  <c r="P41" i="96"/>
  <c r="P42" i="96"/>
  <c r="P43" i="96"/>
  <c r="P44" i="96"/>
  <c r="P45" i="96"/>
  <c r="P46" i="96"/>
  <c r="P47" i="96"/>
  <c r="P48" i="96"/>
  <c r="P49" i="96"/>
  <c r="P50" i="96"/>
  <c r="P51" i="96"/>
  <c r="P52" i="96"/>
  <c r="P53" i="96"/>
  <c r="P54" i="96"/>
  <c r="P55" i="96"/>
  <c r="P56" i="96"/>
  <c r="P57" i="96"/>
  <c r="P58" i="96"/>
  <c r="P59" i="96"/>
  <c r="P60" i="96"/>
  <c r="P61" i="96"/>
  <c r="P62" i="96"/>
  <c r="P63" i="96"/>
  <c r="P64" i="96"/>
  <c r="P65" i="96"/>
  <c r="P66" i="96"/>
  <c r="P67" i="96"/>
  <c r="P68" i="96"/>
  <c r="P69" i="96"/>
  <c r="P70" i="96"/>
  <c r="P71" i="96"/>
  <c r="P72" i="96"/>
  <c r="P73" i="96"/>
  <c r="P74" i="96"/>
  <c r="P75" i="96"/>
  <c r="P76" i="96"/>
  <c r="P77" i="96"/>
  <c r="P78" i="96"/>
  <c r="P79" i="96"/>
  <c r="P80" i="96"/>
  <c r="P81" i="96"/>
  <c r="P82" i="96"/>
  <c r="P83" i="96"/>
  <c r="P84" i="96"/>
  <c r="P85" i="96"/>
  <c r="P86" i="96"/>
  <c r="P87" i="96"/>
  <c r="P88" i="96"/>
  <c r="P89" i="96"/>
  <c r="P90" i="96"/>
  <c r="P91" i="96"/>
  <c r="P92" i="96"/>
  <c r="P93" i="96"/>
  <c r="P94" i="96"/>
  <c r="P95" i="96"/>
  <c r="P96" i="96"/>
  <c r="P97" i="96"/>
  <c r="P98" i="96"/>
  <c r="P99" i="96"/>
  <c r="P100" i="96"/>
  <c r="P101" i="96"/>
  <c r="P102" i="96"/>
  <c r="P103" i="96"/>
  <c r="P104" i="96"/>
  <c r="P105" i="96"/>
  <c r="P106" i="96"/>
  <c r="P107" i="96"/>
  <c r="P108" i="96"/>
  <c r="P109" i="96"/>
  <c r="P110" i="96"/>
  <c r="P111" i="96"/>
  <c r="P112" i="96"/>
  <c r="P113" i="96"/>
  <c r="P114" i="96"/>
  <c r="P115" i="96"/>
  <c r="P116" i="96"/>
  <c r="P117" i="96"/>
  <c r="P118" i="96"/>
  <c r="P119" i="96"/>
  <c r="P120" i="96"/>
  <c r="P121" i="96"/>
  <c r="P122" i="96"/>
  <c r="P123" i="96"/>
  <c r="P124" i="96"/>
  <c r="P125" i="96"/>
  <c r="P126" i="96"/>
  <c r="P127" i="96"/>
  <c r="P128" i="96"/>
  <c r="P129" i="96"/>
  <c r="P130" i="96"/>
  <c r="P131" i="96"/>
  <c r="P132" i="96"/>
  <c r="P133" i="96"/>
  <c r="P134" i="96"/>
  <c r="P135" i="96"/>
  <c r="P136" i="96"/>
  <c r="P137" i="96"/>
  <c r="P138" i="96"/>
  <c r="P139" i="96"/>
  <c r="P140" i="96"/>
  <c r="P141" i="96"/>
  <c r="P142" i="96"/>
  <c r="P143" i="96"/>
  <c r="P144" i="96"/>
  <c r="P145" i="96"/>
  <c r="P146" i="96"/>
  <c r="P147" i="96"/>
  <c r="P148" i="96"/>
  <c r="P149" i="96"/>
  <c r="P150" i="96"/>
  <c r="P151" i="96"/>
  <c r="P152" i="96"/>
  <c r="P153" i="96"/>
  <c r="P154" i="96"/>
  <c r="P155" i="96"/>
  <c r="P156" i="96"/>
  <c r="P157" i="96"/>
  <c r="P158" i="96"/>
  <c r="P159" i="96"/>
  <c r="P160" i="96"/>
  <c r="P161" i="96"/>
  <c r="P162" i="96"/>
  <c r="P163" i="96"/>
  <c r="P164" i="96"/>
  <c r="P165" i="96"/>
  <c r="P166" i="96"/>
  <c r="P167" i="96"/>
  <c r="P168" i="96"/>
  <c r="P169" i="96"/>
  <c r="P170" i="96"/>
  <c r="P171" i="96"/>
  <c r="P172" i="96"/>
  <c r="P173" i="96"/>
  <c r="P174" i="96"/>
  <c r="P175" i="96"/>
  <c r="P176" i="96"/>
  <c r="P177" i="96"/>
  <c r="P178" i="96"/>
  <c r="P179" i="96"/>
  <c r="P180" i="96"/>
  <c r="P181" i="96"/>
  <c r="P182" i="96"/>
  <c r="P183" i="96"/>
  <c r="P184" i="96"/>
  <c r="P185" i="96"/>
  <c r="P186" i="96"/>
  <c r="P187" i="96"/>
  <c r="P188" i="96"/>
  <c r="P189" i="96"/>
  <c r="P190" i="96"/>
  <c r="P191" i="96"/>
  <c r="P192" i="96"/>
  <c r="P193" i="96"/>
  <c r="P194" i="96"/>
  <c r="P195" i="96"/>
  <c r="P196" i="96"/>
  <c r="P197" i="96"/>
  <c r="P198" i="96"/>
  <c r="P199" i="96"/>
  <c r="P200" i="96"/>
  <c r="P201" i="96"/>
  <c r="P202" i="96"/>
  <c r="P203" i="96"/>
  <c r="P204" i="96"/>
  <c r="P205" i="96"/>
  <c r="P206" i="96"/>
  <c r="P207" i="96"/>
  <c r="P208" i="96"/>
  <c r="P209" i="96"/>
  <c r="P210" i="96"/>
  <c r="P211" i="96"/>
  <c r="P212" i="96"/>
  <c r="P213" i="96"/>
  <c r="P214" i="96"/>
  <c r="P215" i="96"/>
  <c r="P216" i="96"/>
  <c r="P217" i="96"/>
  <c r="P218" i="96"/>
  <c r="P219" i="96"/>
  <c r="P220" i="96"/>
  <c r="P221" i="96"/>
  <c r="P222" i="96"/>
  <c r="P223" i="96"/>
  <c r="P224" i="96"/>
  <c r="P225" i="96"/>
  <c r="P226" i="96"/>
  <c r="P227" i="96"/>
  <c r="P228" i="96"/>
  <c r="P229" i="96"/>
  <c r="P230" i="96"/>
  <c r="P231" i="96"/>
  <c r="P232" i="96"/>
  <c r="P233" i="96"/>
  <c r="P234" i="96"/>
  <c r="P235" i="96"/>
  <c r="P236" i="96"/>
  <c r="P237" i="96"/>
  <c r="P238" i="96"/>
  <c r="P239" i="96"/>
  <c r="P240" i="96"/>
  <c r="P241" i="96"/>
  <c r="P242" i="96"/>
  <c r="P243" i="96"/>
  <c r="P244" i="96"/>
  <c r="P245" i="96"/>
  <c r="P246" i="96"/>
  <c r="P247" i="96"/>
  <c r="P248" i="96"/>
  <c r="P249" i="96"/>
  <c r="P250" i="96"/>
  <c r="P251" i="96"/>
  <c r="P252" i="96"/>
  <c r="P253" i="96"/>
  <c r="P254" i="96"/>
  <c r="P255" i="96"/>
  <c r="P256" i="96"/>
  <c r="P257" i="96"/>
  <c r="P258" i="96"/>
  <c r="P259" i="96"/>
  <c r="P260" i="96"/>
  <c r="P261" i="96"/>
  <c r="P262" i="96"/>
  <c r="P263" i="96"/>
  <c r="P264" i="96"/>
  <c r="P265" i="96"/>
  <c r="P266" i="96"/>
  <c r="P267" i="96"/>
  <c r="P268" i="96"/>
  <c r="P269" i="96"/>
  <c r="P270" i="96"/>
  <c r="P271" i="96"/>
  <c r="P272" i="96"/>
  <c r="P273" i="96"/>
  <c r="P274" i="96"/>
  <c r="P275" i="96"/>
  <c r="P276" i="96"/>
  <c r="P277" i="96"/>
  <c r="P278" i="96"/>
  <c r="P279" i="96"/>
  <c r="P280" i="96"/>
  <c r="P281" i="96"/>
  <c r="P282" i="96"/>
  <c r="P283" i="96"/>
  <c r="P284" i="96"/>
  <c r="P285" i="96"/>
  <c r="P286" i="96"/>
  <c r="P287" i="96"/>
  <c r="P288" i="96"/>
  <c r="P289" i="96"/>
  <c r="P290" i="96"/>
  <c r="P291" i="96"/>
  <c r="P292" i="96"/>
  <c r="P293" i="96"/>
  <c r="P294" i="96"/>
  <c r="P295" i="96"/>
  <c r="P296" i="96"/>
  <c r="P297" i="96"/>
  <c r="P298" i="96"/>
  <c r="P299" i="96"/>
  <c r="P300" i="96"/>
  <c r="P301" i="96"/>
  <c r="P302" i="96"/>
  <c r="P303" i="96"/>
  <c r="P304" i="96"/>
  <c r="P305" i="96"/>
  <c r="P306" i="96"/>
  <c r="P307" i="96"/>
  <c r="P308" i="96"/>
  <c r="P309" i="96"/>
  <c r="P310" i="96"/>
  <c r="P311" i="96"/>
  <c r="P312" i="96"/>
  <c r="P313" i="96"/>
  <c r="P314" i="96"/>
  <c r="P315" i="96"/>
  <c r="P316" i="96"/>
  <c r="P317" i="96"/>
  <c r="P318" i="96"/>
  <c r="P319" i="96"/>
  <c r="P320" i="96"/>
  <c r="P321" i="96"/>
  <c r="P322" i="96"/>
  <c r="P323" i="96"/>
  <c r="P324" i="96"/>
  <c r="P325" i="96"/>
  <c r="P326" i="96"/>
  <c r="P327" i="96"/>
  <c r="P328" i="96"/>
  <c r="P329" i="96"/>
  <c r="P330" i="96"/>
  <c r="P331" i="96"/>
  <c r="P332" i="96"/>
  <c r="P333" i="96"/>
  <c r="P334" i="96"/>
  <c r="P335" i="96"/>
  <c r="P336" i="96"/>
  <c r="P337" i="96"/>
  <c r="P338" i="96"/>
  <c r="P339" i="96"/>
  <c r="P340" i="96"/>
  <c r="P341" i="96"/>
  <c r="P342" i="96"/>
  <c r="P343" i="96"/>
  <c r="P344" i="96"/>
  <c r="P345" i="96"/>
  <c r="P346" i="96"/>
  <c r="P347" i="96"/>
  <c r="P348" i="96"/>
  <c r="P349" i="96"/>
  <c r="P350" i="96"/>
  <c r="P351" i="96"/>
  <c r="P352" i="96"/>
  <c r="P353" i="96"/>
  <c r="P354" i="96"/>
  <c r="P355" i="96"/>
  <c r="P356" i="96"/>
  <c r="P357" i="96"/>
  <c r="P358" i="96"/>
  <c r="P359" i="96"/>
  <c r="P360" i="96"/>
  <c r="P29" i="96"/>
  <c r="G17" i="99" l="1"/>
  <c r="G18" i="99"/>
  <c r="G19" i="99"/>
  <c r="G20" i="99"/>
  <c r="G21" i="99"/>
  <c r="G22" i="99"/>
  <c r="G23" i="99"/>
  <c r="G24" i="99"/>
  <c r="G25" i="99"/>
  <c r="G26" i="99"/>
  <c r="G27" i="99"/>
  <c r="G28" i="99"/>
  <c r="G29" i="99"/>
  <c r="G30" i="99"/>
  <c r="G31" i="99"/>
  <c r="G32" i="99"/>
  <c r="G33" i="99"/>
  <c r="G34" i="99"/>
  <c r="G35" i="99"/>
  <c r="G36" i="99"/>
  <c r="G37" i="99"/>
  <c r="G38" i="99"/>
  <c r="G39" i="99"/>
  <c r="G40" i="99"/>
  <c r="G41" i="99"/>
  <c r="G42" i="99"/>
  <c r="G43" i="99"/>
  <c r="G44" i="99"/>
  <c r="G16" i="99"/>
  <c r="E68" i="48"/>
  <c r="E69" i="68"/>
  <c r="E67" i="68"/>
  <c r="C54" i="68"/>
  <c r="C53" i="68"/>
  <c r="C52" i="68"/>
  <c r="C51" i="68"/>
  <c r="D42" i="103" l="1"/>
  <c r="D43" i="103"/>
  <c r="D44" i="103"/>
  <c r="D45" i="103"/>
  <c r="D46" i="103"/>
  <c r="D41" i="103"/>
  <c r="C42" i="103"/>
  <c r="C43" i="103"/>
  <c r="C44" i="103"/>
  <c r="C45" i="103"/>
  <c r="C46" i="103"/>
  <c r="C41" i="103"/>
  <c r="E86" i="103" l="1"/>
  <c r="C85" i="103"/>
  <c r="E97" i="48" l="1"/>
  <c r="G56" i="105" l="1"/>
  <c r="F56" i="105"/>
  <c r="F58" i="105" s="1"/>
  <c r="E56" i="105"/>
  <c r="D56" i="105"/>
  <c r="D58" i="105" s="1"/>
  <c r="C56" i="105"/>
  <c r="C58" i="105" s="1"/>
  <c r="J77" i="105"/>
  <c r="I77" i="105"/>
  <c r="H77" i="105"/>
  <c r="G77" i="105"/>
  <c r="F77" i="105"/>
  <c r="E77" i="105" s="1"/>
  <c r="J75" i="105"/>
  <c r="I75" i="105"/>
  <c r="H75" i="105"/>
  <c r="G75" i="105"/>
  <c r="F75" i="105"/>
  <c r="E75" i="105"/>
  <c r="D75" i="105"/>
  <c r="C75" i="105"/>
  <c r="J74" i="105"/>
  <c r="H74" i="105"/>
  <c r="F74" i="105"/>
  <c r="J72" i="105"/>
  <c r="I72" i="105"/>
  <c r="H72" i="105"/>
  <c r="G72" i="105"/>
  <c r="F72" i="105"/>
  <c r="E72" i="105"/>
  <c r="C63" i="105"/>
  <c r="G63" i="105" s="1"/>
  <c r="E58" i="105"/>
  <c r="G58" i="105"/>
  <c r="G52" i="105"/>
  <c r="G59" i="105" s="1"/>
  <c r="F52" i="105"/>
  <c r="F59" i="105" s="1"/>
  <c r="E52" i="105"/>
  <c r="E59" i="105" s="1"/>
  <c r="D52" i="105"/>
  <c r="D59" i="105" s="1"/>
  <c r="C52" i="105"/>
  <c r="C59" i="105" s="1"/>
  <c r="F41" i="105"/>
  <c r="C38" i="105"/>
  <c r="C33" i="105" s="1"/>
  <c r="D30" i="105"/>
  <c r="C30" i="105"/>
  <c r="D29" i="105"/>
  <c r="D44" i="105" s="1"/>
  <c r="E23" i="105"/>
  <c r="D23" i="105"/>
  <c r="C10" i="105"/>
  <c r="D53" i="105" l="1"/>
  <c r="D57" i="105" s="1"/>
  <c r="D69" i="105"/>
  <c r="D77" i="105" s="1"/>
  <c r="C29" i="105"/>
  <c r="I63" i="105"/>
  <c r="D24" i="105"/>
  <c r="E53" i="105"/>
  <c r="E57" i="105" s="1"/>
  <c r="D63" i="105"/>
  <c r="E24" i="105" s="1"/>
  <c r="D72" i="105"/>
  <c r="D74" i="105" s="1"/>
  <c r="F53" i="105"/>
  <c r="F57" i="105" s="1"/>
  <c r="E63" i="105"/>
  <c r="C53" i="105"/>
  <c r="C57" i="105" s="1"/>
  <c r="G53" i="105"/>
  <c r="G57" i="105" s="1"/>
  <c r="O19" i="101"/>
  <c r="O18" i="101"/>
  <c r="O17" i="101"/>
  <c r="O14" i="101"/>
  <c r="C77" i="105" l="1"/>
  <c r="C44" i="105"/>
  <c r="E139" i="62"/>
  <c r="D139" i="62"/>
  <c r="E67" i="48" l="1"/>
  <c r="C72" i="105"/>
  <c r="H65" i="48"/>
  <c r="E65" i="48"/>
  <c r="H66" i="48"/>
  <c r="H67" i="48"/>
  <c r="E66" i="48"/>
  <c r="H58" i="48" l="1"/>
  <c r="E58" i="48"/>
  <c r="M56" i="48"/>
  <c r="S27" i="96"/>
  <c r="D9" i="48" l="1"/>
  <c r="D10" i="48"/>
  <c r="M17" i="99"/>
  <c r="M18" i="99"/>
  <c r="M19" i="99"/>
  <c r="M20" i="99"/>
  <c r="M21" i="99"/>
  <c r="M22" i="99"/>
  <c r="M23" i="99"/>
  <c r="M24" i="99"/>
  <c r="M25" i="99"/>
  <c r="M26" i="99"/>
  <c r="M27" i="99"/>
  <c r="M28" i="99"/>
  <c r="M29" i="99"/>
  <c r="M30" i="99"/>
  <c r="M31" i="99"/>
  <c r="M32" i="99"/>
  <c r="M33" i="99"/>
  <c r="M34" i="99"/>
  <c r="M35" i="99"/>
  <c r="M36" i="99"/>
  <c r="M37" i="99"/>
  <c r="M38" i="99"/>
  <c r="M39" i="99"/>
  <c r="M40" i="99"/>
  <c r="M41" i="99"/>
  <c r="M42" i="99"/>
  <c r="M43" i="99"/>
  <c r="M44" i="99"/>
  <c r="M16" i="99"/>
  <c r="D30" i="97"/>
  <c r="C30" i="97"/>
  <c r="E25" i="97"/>
  <c r="B6" i="41"/>
  <c r="B7" i="41"/>
  <c r="B5" i="41"/>
  <c r="D10" i="98"/>
  <c r="D11" i="98"/>
  <c r="D21" i="102"/>
  <c r="D20" i="102"/>
  <c r="D19" i="102"/>
  <c r="K19" i="99"/>
  <c r="S19" i="99" s="1"/>
  <c r="K17" i="99"/>
  <c r="S17" i="99" s="1"/>
  <c r="K18" i="99"/>
  <c r="S18" i="99" s="1"/>
  <c r="K20" i="99"/>
  <c r="S20" i="99" s="1"/>
  <c r="K21" i="99"/>
  <c r="S21" i="99" s="1"/>
  <c r="K22" i="99"/>
  <c r="S22" i="99" s="1"/>
  <c r="K23" i="99"/>
  <c r="S23" i="99" s="1"/>
  <c r="K24" i="99"/>
  <c r="S24" i="99" s="1"/>
  <c r="K25" i="99"/>
  <c r="S25" i="99" s="1"/>
  <c r="K26" i="99"/>
  <c r="S26" i="99" s="1"/>
  <c r="K27" i="99"/>
  <c r="S27" i="99" s="1"/>
  <c r="K28" i="99"/>
  <c r="S28" i="99" s="1"/>
  <c r="K29" i="99"/>
  <c r="S29" i="99" s="1"/>
  <c r="K30" i="99"/>
  <c r="S30" i="99" s="1"/>
  <c r="K31" i="99"/>
  <c r="S31" i="99" s="1"/>
  <c r="K32" i="99"/>
  <c r="S32" i="99" s="1"/>
  <c r="K33" i="99"/>
  <c r="S33" i="99" s="1"/>
  <c r="K34" i="99"/>
  <c r="S34" i="99" s="1"/>
  <c r="K35" i="99"/>
  <c r="S35" i="99" s="1"/>
  <c r="K36" i="99"/>
  <c r="S36" i="99" s="1"/>
  <c r="K37" i="99"/>
  <c r="S37" i="99" s="1"/>
  <c r="K38" i="99"/>
  <c r="S38" i="99" s="1"/>
  <c r="K39" i="99"/>
  <c r="S39" i="99" s="1"/>
  <c r="K40" i="99"/>
  <c r="S40" i="99" s="1"/>
  <c r="K41" i="99"/>
  <c r="S41" i="99" s="1"/>
  <c r="K42" i="99"/>
  <c r="S42" i="99" s="1"/>
  <c r="K43" i="99"/>
  <c r="S43" i="99" s="1"/>
  <c r="K44" i="99"/>
  <c r="S44" i="99" s="1"/>
  <c r="K16" i="99"/>
  <c r="S16" i="99" s="1"/>
  <c r="I47" i="99" s="1"/>
  <c r="M30" i="96"/>
  <c r="N30" i="96"/>
  <c r="O30" i="96"/>
  <c r="S30" i="96"/>
  <c r="M31" i="96"/>
  <c r="N31" i="96"/>
  <c r="O31" i="96"/>
  <c r="S31" i="96"/>
  <c r="M32" i="96"/>
  <c r="N32" i="96"/>
  <c r="O32" i="96"/>
  <c r="S32" i="96"/>
  <c r="M33" i="96"/>
  <c r="N33" i="96"/>
  <c r="O33" i="96"/>
  <c r="S33" i="96"/>
  <c r="M34" i="96"/>
  <c r="N34" i="96"/>
  <c r="O34" i="96"/>
  <c r="S34" i="96"/>
  <c r="M35" i="96"/>
  <c r="N35" i="96"/>
  <c r="O35" i="96"/>
  <c r="S35" i="96"/>
  <c r="M36" i="96"/>
  <c r="N36" i="96"/>
  <c r="O36" i="96"/>
  <c r="S36" i="96"/>
  <c r="M37" i="96"/>
  <c r="N37" i="96"/>
  <c r="O37" i="96"/>
  <c r="S37" i="96"/>
  <c r="M38" i="96"/>
  <c r="N38" i="96"/>
  <c r="O38" i="96"/>
  <c r="S38" i="96"/>
  <c r="M39" i="96"/>
  <c r="N39" i="96"/>
  <c r="O39" i="96"/>
  <c r="S39" i="96"/>
  <c r="M40" i="96"/>
  <c r="N40" i="96"/>
  <c r="O40" i="96"/>
  <c r="S40" i="96"/>
  <c r="M41" i="96"/>
  <c r="N41" i="96"/>
  <c r="O41" i="96"/>
  <c r="S41" i="96"/>
  <c r="M42" i="96"/>
  <c r="N42" i="96"/>
  <c r="O42" i="96"/>
  <c r="S42" i="96"/>
  <c r="M43" i="96"/>
  <c r="N43" i="96"/>
  <c r="O43" i="96"/>
  <c r="S43" i="96"/>
  <c r="M44" i="96"/>
  <c r="N44" i="96"/>
  <c r="O44" i="96"/>
  <c r="S44" i="96"/>
  <c r="M45" i="96"/>
  <c r="N45" i="96"/>
  <c r="O45" i="96"/>
  <c r="S45" i="96"/>
  <c r="M46" i="96"/>
  <c r="N46" i="96"/>
  <c r="O46" i="96"/>
  <c r="S46" i="96"/>
  <c r="M47" i="96"/>
  <c r="N47" i="96"/>
  <c r="O47" i="96"/>
  <c r="S47" i="96"/>
  <c r="M48" i="96"/>
  <c r="N48" i="96"/>
  <c r="O48" i="96"/>
  <c r="S48" i="96"/>
  <c r="M49" i="96"/>
  <c r="N49" i="96"/>
  <c r="O49" i="96"/>
  <c r="S49" i="96"/>
  <c r="M50" i="96"/>
  <c r="N50" i="96"/>
  <c r="O50" i="96"/>
  <c r="S50" i="96"/>
  <c r="M51" i="96"/>
  <c r="N51" i="96"/>
  <c r="O51" i="96"/>
  <c r="S51" i="96"/>
  <c r="M52" i="96"/>
  <c r="N52" i="96"/>
  <c r="O52" i="96"/>
  <c r="S52" i="96"/>
  <c r="M53" i="96"/>
  <c r="N53" i="96"/>
  <c r="O53" i="96"/>
  <c r="S53" i="96"/>
  <c r="M54" i="96"/>
  <c r="N54" i="96"/>
  <c r="O54" i="96"/>
  <c r="S54" i="96"/>
  <c r="M55" i="96"/>
  <c r="N55" i="96"/>
  <c r="O55" i="96"/>
  <c r="S55" i="96"/>
  <c r="M56" i="96"/>
  <c r="N56" i="96"/>
  <c r="O56" i="96"/>
  <c r="S56" i="96"/>
  <c r="M57" i="96"/>
  <c r="N57" i="96"/>
  <c r="O57" i="96"/>
  <c r="S57" i="96"/>
  <c r="M58" i="96"/>
  <c r="N58" i="96"/>
  <c r="O58" i="96"/>
  <c r="S58" i="96"/>
  <c r="M59" i="96"/>
  <c r="N59" i="96"/>
  <c r="O59" i="96"/>
  <c r="S59" i="96"/>
  <c r="M60" i="96"/>
  <c r="N60" i="96"/>
  <c r="O60" i="96"/>
  <c r="S60" i="96"/>
  <c r="M61" i="96"/>
  <c r="N61" i="96"/>
  <c r="O61" i="96"/>
  <c r="S61" i="96"/>
  <c r="M62" i="96"/>
  <c r="N62" i="96"/>
  <c r="O62" i="96"/>
  <c r="S62" i="96"/>
  <c r="M63" i="96"/>
  <c r="N63" i="96"/>
  <c r="O63" i="96"/>
  <c r="S63" i="96"/>
  <c r="M64" i="96"/>
  <c r="N64" i="96"/>
  <c r="O64" i="96"/>
  <c r="S64" i="96"/>
  <c r="M65" i="96"/>
  <c r="N65" i="96"/>
  <c r="O65" i="96"/>
  <c r="S65" i="96"/>
  <c r="M66" i="96"/>
  <c r="N66" i="96"/>
  <c r="O66" i="96"/>
  <c r="S66" i="96"/>
  <c r="M67" i="96"/>
  <c r="N67" i="96"/>
  <c r="O67" i="96"/>
  <c r="S67" i="96"/>
  <c r="M68" i="96"/>
  <c r="N68" i="96"/>
  <c r="O68" i="96"/>
  <c r="S68" i="96"/>
  <c r="M69" i="96"/>
  <c r="N69" i="96"/>
  <c r="O69" i="96"/>
  <c r="S69" i="96"/>
  <c r="M70" i="96"/>
  <c r="N70" i="96"/>
  <c r="O70" i="96"/>
  <c r="S70" i="96"/>
  <c r="M71" i="96"/>
  <c r="N71" i="96"/>
  <c r="O71" i="96"/>
  <c r="S71" i="96"/>
  <c r="M72" i="96"/>
  <c r="N72" i="96"/>
  <c r="O72" i="96"/>
  <c r="S72" i="96"/>
  <c r="M73" i="96"/>
  <c r="N73" i="96"/>
  <c r="O73" i="96"/>
  <c r="S73" i="96"/>
  <c r="M74" i="96"/>
  <c r="N74" i="96"/>
  <c r="O74" i="96"/>
  <c r="S74" i="96"/>
  <c r="M75" i="96"/>
  <c r="N75" i="96"/>
  <c r="O75" i="96"/>
  <c r="S75" i="96"/>
  <c r="M76" i="96"/>
  <c r="N76" i="96"/>
  <c r="O76" i="96"/>
  <c r="S76" i="96"/>
  <c r="M77" i="96"/>
  <c r="N77" i="96"/>
  <c r="O77" i="96"/>
  <c r="S77" i="96"/>
  <c r="M78" i="96"/>
  <c r="N78" i="96"/>
  <c r="O78" i="96"/>
  <c r="S78" i="96"/>
  <c r="M79" i="96"/>
  <c r="N79" i="96"/>
  <c r="O79" i="96"/>
  <c r="S79" i="96"/>
  <c r="M80" i="96"/>
  <c r="N80" i="96"/>
  <c r="O80" i="96"/>
  <c r="S80" i="96"/>
  <c r="M81" i="96"/>
  <c r="N81" i="96"/>
  <c r="O81" i="96"/>
  <c r="S81" i="96"/>
  <c r="M82" i="96"/>
  <c r="N82" i="96"/>
  <c r="O82" i="96"/>
  <c r="S82" i="96"/>
  <c r="M83" i="96"/>
  <c r="N83" i="96"/>
  <c r="O83" i="96"/>
  <c r="S83" i="96"/>
  <c r="M84" i="96"/>
  <c r="N84" i="96"/>
  <c r="O84" i="96"/>
  <c r="S84" i="96"/>
  <c r="M85" i="96"/>
  <c r="N85" i="96"/>
  <c r="O85" i="96"/>
  <c r="S85" i="96"/>
  <c r="M86" i="96"/>
  <c r="N86" i="96"/>
  <c r="O86" i="96"/>
  <c r="S86" i="96"/>
  <c r="M87" i="96"/>
  <c r="N87" i="96"/>
  <c r="O87" i="96"/>
  <c r="S87" i="96"/>
  <c r="M88" i="96"/>
  <c r="N88" i="96"/>
  <c r="O88" i="96"/>
  <c r="S88" i="96"/>
  <c r="M89" i="96"/>
  <c r="N89" i="96"/>
  <c r="O89" i="96"/>
  <c r="S89" i="96"/>
  <c r="M90" i="96"/>
  <c r="N90" i="96"/>
  <c r="O90" i="96"/>
  <c r="S90" i="96"/>
  <c r="M91" i="96"/>
  <c r="N91" i="96"/>
  <c r="O91" i="96"/>
  <c r="S91" i="96"/>
  <c r="M92" i="96"/>
  <c r="N92" i="96"/>
  <c r="O92" i="96"/>
  <c r="S92" i="96"/>
  <c r="M93" i="96"/>
  <c r="N93" i="96"/>
  <c r="O93" i="96"/>
  <c r="S93" i="96"/>
  <c r="M94" i="96"/>
  <c r="N94" i="96"/>
  <c r="O94" i="96"/>
  <c r="S94" i="96"/>
  <c r="M95" i="96"/>
  <c r="N95" i="96"/>
  <c r="O95" i="96"/>
  <c r="S95" i="96"/>
  <c r="M96" i="96"/>
  <c r="N96" i="96"/>
  <c r="O96" i="96"/>
  <c r="S96" i="96"/>
  <c r="M97" i="96"/>
  <c r="N97" i="96"/>
  <c r="O97" i="96"/>
  <c r="S97" i="96"/>
  <c r="M98" i="96"/>
  <c r="N98" i="96"/>
  <c r="O98" i="96"/>
  <c r="S98" i="96"/>
  <c r="M99" i="96"/>
  <c r="N99" i="96"/>
  <c r="O99" i="96"/>
  <c r="S99" i="96"/>
  <c r="M100" i="96"/>
  <c r="N100" i="96"/>
  <c r="O100" i="96"/>
  <c r="S100" i="96"/>
  <c r="M101" i="96"/>
  <c r="N101" i="96"/>
  <c r="O101" i="96"/>
  <c r="S101" i="96"/>
  <c r="M102" i="96"/>
  <c r="N102" i="96"/>
  <c r="O102" i="96"/>
  <c r="S102" i="96"/>
  <c r="M103" i="96"/>
  <c r="N103" i="96"/>
  <c r="O103" i="96"/>
  <c r="S103" i="96"/>
  <c r="M104" i="96"/>
  <c r="N104" i="96"/>
  <c r="O104" i="96"/>
  <c r="S104" i="96"/>
  <c r="M105" i="96"/>
  <c r="N105" i="96"/>
  <c r="O105" i="96"/>
  <c r="S105" i="96"/>
  <c r="M106" i="96"/>
  <c r="N106" i="96"/>
  <c r="O106" i="96"/>
  <c r="S106" i="96"/>
  <c r="M107" i="96"/>
  <c r="N107" i="96"/>
  <c r="O107" i="96"/>
  <c r="S107" i="96"/>
  <c r="M108" i="96"/>
  <c r="N108" i="96"/>
  <c r="O108" i="96"/>
  <c r="S108" i="96"/>
  <c r="M109" i="96"/>
  <c r="N109" i="96"/>
  <c r="O109" i="96"/>
  <c r="S109" i="96"/>
  <c r="M110" i="96"/>
  <c r="N110" i="96"/>
  <c r="O110" i="96"/>
  <c r="S110" i="96"/>
  <c r="M111" i="96"/>
  <c r="N111" i="96"/>
  <c r="O111" i="96"/>
  <c r="S111" i="96"/>
  <c r="M112" i="96"/>
  <c r="N112" i="96"/>
  <c r="O112" i="96"/>
  <c r="S112" i="96"/>
  <c r="M113" i="96"/>
  <c r="N113" i="96"/>
  <c r="O113" i="96"/>
  <c r="S113" i="96"/>
  <c r="M114" i="96"/>
  <c r="N114" i="96"/>
  <c r="O114" i="96"/>
  <c r="S114" i="96"/>
  <c r="M115" i="96"/>
  <c r="N115" i="96"/>
  <c r="O115" i="96"/>
  <c r="S115" i="96"/>
  <c r="M116" i="96"/>
  <c r="N116" i="96"/>
  <c r="O116" i="96"/>
  <c r="S116" i="96"/>
  <c r="M117" i="96"/>
  <c r="N117" i="96"/>
  <c r="O117" i="96"/>
  <c r="S117" i="96"/>
  <c r="M118" i="96"/>
  <c r="N118" i="96"/>
  <c r="O118" i="96"/>
  <c r="S118" i="96"/>
  <c r="M119" i="96"/>
  <c r="N119" i="96"/>
  <c r="O119" i="96"/>
  <c r="S119" i="96"/>
  <c r="M120" i="96"/>
  <c r="N120" i="96"/>
  <c r="O120" i="96"/>
  <c r="S120" i="96"/>
  <c r="M121" i="96"/>
  <c r="N121" i="96"/>
  <c r="O121" i="96"/>
  <c r="S121" i="96"/>
  <c r="M122" i="96"/>
  <c r="N122" i="96"/>
  <c r="O122" i="96"/>
  <c r="S122" i="96"/>
  <c r="M123" i="96"/>
  <c r="N123" i="96"/>
  <c r="O123" i="96"/>
  <c r="S123" i="96"/>
  <c r="M124" i="96"/>
  <c r="N124" i="96"/>
  <c r="O124" i="96"/>
  <c r="S124" i="96"/>
  <c r="M125" i="96"/>
  <c r="N125" i="96"/>
  <c r="O125" i="96"/>
  <c r="S125" i="96"/>
  <c r="M126" i="96"/>
  <c r="N126" i="96"/>
  <c r="O126" i="96"/>
  <c r="S126" i="96"/>
  <c r="M127" i="96"/>
  <c r="N127" i="96"/>
  <c r="O127" i="96"/>
  <c r="S127" i="96"/>
  <c r="M128" i="96"/>
  <c r="N128" i="96"/>
  <c r="O128" i="96"/>
  <c r="S128" i="96"/>
  <c r="M129" i="96"/>
  <c r="N129" i="96"/>
  <c r="O129" i="96"/>
  <c r="S129" i="96"/>
  <c r="M130" i="96"/>
  <c r="N130" i="96"/>
  <c r="O130" i="96"/>
  <c r="S130" i="96"/>
  <c r="M131" i="96"/>
  <c r="N131" i="96"/>
  <c r="O131" i="96"/>
  <c r="S131" i="96"/>
  <c r="M132" i="96"/>
  <c r="N132" i="96"/>
  <c r="O132" i="96"/>
  <c r="S132" i="96"/>
  <c r="M133" i="96"/>
  <c r="N133" i="96"/>
  <c r="O133" i="96"/>
  <c r="S133" i="96"/>
  <c r="M134" i="96"/>
  <c r="N134" i="96"/>
  <c r="O134" i="96"/>
  <c r="S134" i="96"/>
  <c r="M135" i="96"/>
  <c r="N135" i="96"/>
  <c r="O135" i="96"/>
  <c r="S135" i="96"/>
  <c r="M136" i="96"/>
  <c r="N136" i="96"/>
  <c r="O136" i="96"/>
  <c r="S136" i="96"/>
  <c r="M137" i="96"/>
  <c r="N137" i="96"/>
  <c r="O137" i="96"/>
  <c r="S137" i="96"/>
  <c r="M138" i="96"/>
  <c r="N138" i="96"/>
  <c r="O138" i="96"/>
  <c r="S138" i="96"/>
  <c r="M139" i="96"/>
  <c r="N139" i="96"/>
  <c r="O139" i="96"/>
  <c r="S139" i="96"/>
  <c r="M140" i="96"/>
  <c r="N140" i="96"/>
  <c r="O140" i="96"/>
  <c r="S140" i="96"/>
  <c r="M141" i="96"/>
  <c r="N141" i="96"/>
  <c r="O141" i="96"/>
  <c r="S141" i="96"/>
  <c r="M142" i="96"/>
  <c r="N142" i="96"/>
  <c r="O142" i="96"/>
  <c r="S142" i="96"/>
  <c r="M143" i="96"/>
  <c r="N143" i="96"/>
  <c r="O143" i="96"/>
  <c r="S143" i="96"/>
  <c r="M144" i="96"/>
  <c r="N144" i="96"/>
  <c r="O144" i="96"/>
  <c r="S144" i="96"/>
  <c r="M145" i="96"/>
  <c r="N145" i="96"/>
  <c r="O145" i="96"/>
  <c r="S145" i="96"/>
  <c r="M146" i="96"/>
  <c r="N146" i="96"/>
  <c r="O146" i="96"/>
  <c r="S146" i="96"/>
  <c r="M147" i="96"/>
  <c r="N147" i="96"/>
  <c r="O147" i="96"/>
  <c r="S147" i="96"/>
  <c r="M148" i="96"/>
  <c r="N148" i="96"/>
  <c r="O148" i="96"/>
  <c r="S148" i="96"/>
  <c r="M149" i="96"/>
  <c r="N149" i="96"/>
  <c r="O149" i="96"/>
  <c r="S149" i="96"/>
  <c r="M150" i="96"/>
  <c r="N150" i="96"/>
  <c r="O150" i="96"/>
  <c r="S150" i="96"/>
  <c r="M151" i="96"/>
  <c r="N151" i="96"/>
  <c r="O151" i="96"/>
  <c r="S151" i="96"/>
  <c r="M152" i="96"/>
  <c r="N152" i="96"/>
  <c r="O152" i="96"/>
  <c r="S152" i="96"/>
  <c r="M153" i="96"/>
  <c r="N153" i="96"/>
  <c r="O153" i="96"/>
  <c r="S153" i="96"/>
  <c r="M154" i="96"/>
  <c r="N154" i="96"/>
  <c r="O154" i="96"/>
  <c r="S154" i="96"/>
  <c r="M155" i="96"/>
  <c r="N155" i="96"/>
  <c r="O155" i="96"/>
  <c r="S155" i="96"/>
  <c r="M156" i="96"/>
  <c r="N156" i="96"/>
  <c r="O156" i="96"/>
  <c r="S156" i="96"/>
  <c r="M157" i="96"/>
  <c r="N157" i="96"/>
  <c r="O157" i="96"/>
  <c r="S157" i="96"/>
  <c r="M158" i="96"/>
  <c r="N158" i="96"/>
  <c r="O158" i="96"/>
  <c r="S158" i="96"/>
  <c r="M159" i="96"/>
  <c r="N159" i="96"/>
  <c r="O159" i="96"/>
  <c r="S159" i="96"/>
  <c r="M160" i="96"/>
  <c r="N160" i="96"/>
  <c r="O160" i="96"/>
  <c r="S160" i="96"/>
  <c r="M161" i="96"/>
  <c r="N161" i="96"/>
  <c r="O161" i="96"/>
  <c r="S161" i="96"/>
  <c r="M162" i="96"/>
  <c r="N162" i="96"/>
  <c r="O162" i="96"/>
  <c r="S162" i="96"/>
  <c r="M163" i="96"/>
  <c r="N163" i="96"/>
  <c r="O163" i="96"/>
  <c r="S163" i="96"/>
  <c r="M164" i="96"/>
  <c r="N164" i="96"/>
  <c r="O164" i="96"/>
  <c r="S164" i="96"/>
  <c r="M165" i="96"/>
  <c r="N165" i="96"/>
  <c r="O165" i="96"/>
  <c r="S165" i="96"/>
  <c r="M166" i="96"/>
  <c r="N166" i="96"/>
  <c r="O166" i="96"/>
  <c r="S166" i="96"/>
  <c r="M167" i="96"/>
  <c r="N167" i="96"/>
  <c r="O167" i="96"/>
  <c r="S167" i="96"/>
  <c r="M168" i="96"/>
  <c r="N168" i="96"/>
  <c r="O168" i="96"/>
  <c r="S168" i="96"/>
  <c r="M169" i="96"/>
  <c r="N169" i="96"/>
  <c r="O169" i="96"/>
  <c r="S169" i="96"/>
  <c r="M170" i="96"/>
  <c r="N170" i="96"/>
  <c r="O170" i="96"/>
  <c r="S170" i="96"/>
  <c r="M171" i="96"/>
  <c r="N171" i="96"/>
  <c r="O171" i="96"/>
  <c r="S171" i="96"/>
  <c r="M172" i="96"/>
  <c r="N172" i="96"/>
  <c r="O172" i="96"/>
  <c r="S172" i="96"/>
  <c r="M173" i="96"/>
  <c r="N173" i="96"/>
  <c r="O173" i="96"/>
  <c r="S173" i="96"/>
  <c r="M174" i="96"/>
  <c r="N174" i="96"/>
  <c r="O174" i="96"/>
  <c r="S174" i="96"/>
  <c r="M175" i="96"/>
  <c r="N175" i="96"/>
  <c r="O175" i="96"/>
  <c r="S175" i="96"/>
  <c r="M176" i="96"/>
  <c r="N176" i="96"/>
  <c r="O176" i="96"/>
  <c r="S176" i="96"/>
  <c r="M177" i="96"/>
  <c r="N177" i="96"/>
  <c r="O177" i="96"/>
  <c r="S177" i="96"/>
  <c r="M178" i="96"/>
  <c r="N178" i="96"/>
  <c r="O178" i="96"/>
  <c r="S178" i="96"/>
  <c r="M179" i="96"/>
  <c r="N179" i="96"/>
  <c r="O179" i="96"/>
  <c r="S179" i="96"/>
  <c r="M180" i="96"/>
  <c r="N180" i="96"/>
  <c r="O180" i="96"/>
  <c r="S180" i="96"/>
  <c r="M181" i="96"/>
  <c r="N181" i="96"/>
  <c r="O181" i="96"/>
  <c r="S181" i="96"/>
  <c r="M182" i="96"/>
  <c r="N182" i="96"/>
  <c r="O182" i="96"/>
  <c r="S182" i="96"/>
  <c r="M183" i="96"/>
  <c r="N183" i="96"/>
  <c r="O183" i="96"/>
  <c r="S183" i="96"/>
  <c r="M184" i="96"/>
  <c r="N184" i="96"/>
  <c r="O184" i="96"/>
  <c r="S184" i="96"/>
  <c r="M185" i="96"/>
  <c r="N185" i="96"/>
  <c r="O185" i="96"/>
  <c r="S185" i="96"/>
  <c r="M186" i="96"/>
  <c r="N186" i="96"/>
  <c r="O186" i="96"/>
  <c r="S186" i="96"/>
  <c r="M187" i="96"/>
  <c r="N187" i="96"/>
  <c r="O187" i="96"/>
  <c r="S187" i="96"/>
  <c r="M188" i="96"/>
  <c r="N188" i="96"/>
  <c r="O188" i="96"/>
  <c r="S188" i="96"/>
  <c r="M189" i="96"/>
  <c r="N189" i="96"/>
  <c r="O189" i="96"/>
  <c r="S189" i="96"/>
  <c r="M190" i="96"/>
  <c r="N190" i="96"/>
  <c r="O190" i="96"/>
  <c r="S190" i="96"/>
  <c r="M191" i="96"/>
  <c r="N191" i="96"/>
  <c r="O191" i="96"/>
  <c r="S191" i="96"/>
  <c r="M192" i="96"/>
  <c r="N192" i="96"/>
  <c r="O192" i="96"/>
  <c r="S192" i="96"/>
  <c r="M193" i="96"/>
  <c r="N193" i="96"/>
  <c r="O193" i="96"/>
  <c r="S193" i="96"/>
  <c r="M194" i="96"/>
  <c r="N194" i="96"/>
  <c r="O194" i="96"/>
  <c r="S194" i="96"/>
  <c r="M195" i="96"/>
  <c r="N195" i="96"/>
  <c r="O195" i="96"/>
  <c r="S195" i="96"/>
  <c r="M196" i="96"/>
  <c r="N196" i="96"/>
  <c r="O196" i="96"/>
  <c r="S196" i="96"/>
  <c r="M197" i="96"/>
  <c r="N197" i="96"/>
  <c r="O197" i="96"/>
  <c r="S197" i="96"/>
  <c r="M198" i="96"/>
  <c r="N198" i="96"/>
  <c r="O198" i="96"/>
  <c r="S198" i="96"/>
  <c r="M199" i="96"/>
  <c r="N199" i="96"/>
  <c r="O199" i="96"/>
  <c r="S199" i="96"/>
  <c r="M200" i="96"/>
  <c r="N200" i="96"/>
  <c r="O200" i="96"/>
  <c r="S200" i="96"/>
  <c r="M201" i="96"/>
  <c r="N201" i="96"/>
  <c r="O201" i="96"/>
  <c r="S201" i="96"/>
  <c r="M202" i="96"/>
  <c r="N202" i="96"/>
  <c r="O202" i="96"/>
  <c r="S202" i="96"/>
  <c r="M203" i="96"/>
  <c r="N203" i="96"/>
  <c r="O203" i="96"/>
  <c r="S203" i="96"/>
  <c r="M204" i="96"/>
  <c r="N204" i="96"/>
  <c r="O204" i="96"/>
  <c r="S204" i="96"/>
  <c r="M205" i="96"/>
  <c r="N205" i="96"/>
  <c r="O205" i="96"/>
  <c r="S205" i="96"/>
  <c r="M206" i="96"/>
  <c r="N206" i="96"/>
  <c r="O206" i="96"/>
  <c r="S206" i="96"/>
  <c r="M207" i="96"/>
  <c r="N207" i="96"/>
  <c r="O207" i="96"/>
  <c r="S207" i="96"/>
  <c r="M208" i="96"/>
  <c r="N208" i="96"/>
  <c r="O208" i="96"/>
  <c r="S208" i="96"/>
  <c r="M209" i="96"/>
  <c r="N209" i="96"/>
  <c r="O209" i="96"/>
  <c r="S209" i="96"/>
  <c r="M210" i="96"/>
  <c r="N210" i="96"/>
  <c r="O210" i="96"/>
  <c r="S210" i="96"/>
  <c r="M211" i="96"/>
  <c r="N211" i="96"/>
  <c r="O211" i="96"/>
  <c r="S211" i="96"/>
  <c r="M212" i="96"/>
  <c r="N212" i="96"/>
  <c r="O212" i="96"/>
  <c r="S212" i="96"/>
  <c r="M213" i="96"/>
  <c r="N213" i="96"/>
  <c r="O213" i="96"/>
  <c r="S213" i="96"/>
  <c r="M214" i="96"/>
  <c r="N214" i="96"/>
  <c r="O214" i="96"/>
  <c r="S214" i="96"/>
  <c r="M215" i="96"/>
  <c r="N215" i="96"/>
  <c r="O215" i="96"/>
  <c r="S215" i="96"/>
  <c r="M216" i="96"/>
  <c r="N216" i="96"/>
  <c r="O216" i="96"/>
  <c r="S216" i="96"/>
  <c r="M217" i="96"/>
  <c r="N217" i="96"/>
  <c r="O217" i="96"/>
  <c r="S217" i="96"/>
  <c r="M218" i="96"/>
  <c r="N218" i="96"/>
  <c r="O218" i="96"/>
  <c r="S218" i="96"/>
  <c r="M219" i="96"/>
  <c r="N219" i="96"/>
  <c r="O219" i="96"/>
  <c r="S219" i="96"/>
  <c r="M220" i="96"/>
  <c r="N220" i="96"/>
  <c r="O220" i="96"/>
  <c r="S220" i="96"/>
  <c r="M221" i="96"/>
  <c r="N221" i="96"/>
  <c r="O221" i="96"/>
  <c r="S221" i="96"/>
  <c r="M222" i="96"/>
  <c r="N222" i="96"/>
  <c r="O222" i="96"/>
  <c r="S222" i="96"/>
  <c r="M223" i="96"/>
  <c r="N223" i="96"/>
  <c r="O223" i="96"/>
  <c r="S223" i="96"/>
  <c r="M224" i="96"/>
  <c r="N224" i="96"/>
  <c r="O224" i="96"/>
  <c r="S224" i="96"/>
  <c r="M225" i="96"/>
  <c r="N225" i="96"/>
  <c r="O225" i="96"/>
  <c r="S225" i="96"/>
  <c r="M226" i="96"/>
  <c r="N226" i="96"/>
  <c r="O226" i="96"/>
  <c r="S226" i="96"/>
  <c r="M227" i="96"/>
  <c r="N227" i="96"/>
  <c r="O227" i="96"/>
  <c r="S227" i="96"/>
  <c r="M228" i="96"/>
  <c r="N228" i="96"/>
  <c r="O228" i="96"/>
  <c r="S228" i="96"/>
  <c r="M229" i="96"/>
  <c r="N229" i="96"/>
  <c r="O229" i="96"/>
  <c r="S229" i="96"/>
  <c r="M230" i="96"/>
  <c r="N230" i="96"/>
  <c r="O230" i="96"/>
  <c r="S230" i="96"/>
  <c r="M231" i="96"/>
  <c r="N231" i="96"/>
  <c r="O231" i="96"/>
  <c r="S231" i="96"/>
  <c r="M232" i="96"/>
  <c r="N232" i="96"/>
  <c r="O232" i="96"/>
  <c r="S232" i="96"/>
  <c r="M233" i="96"/>
  <c r="N233" i="96"/>
  <c r="O233" i="96"/>
  <c r="S233" i="96"/>
  <c r="M234" i="96"/>
  <c r="N234" i="96"/>
  <c r="O234" i="96"/>
  <c r="S234" i="96"/>
  <c r="M235" i="96"/>
  <c r="N235" i="96"/>
  <c r="O235" i="96"/>
  <c r="S235" i="96"/>
  <c r="M236" i="96"/>
  <c r="N236" i="96"/>
  <c r="O236" i="96"/>
  <c r="S236" i="96"/>
  <c r="M237" i="96"/>
  <c r="N237" i="96"/>
  <c r="O237" i="96"/>
  <c r="S237" i="96"/>
  <c r="M238" i="96"/>
  <c r="N238" i="96"/>
  <c r="O238" i="96"/>
  <c r="S238" i="96"/>
  <c r="M239" i="96"/>
  <c r="N239" i="96"/>
  <c r="O239" i="96"/>
  <c r="S239" i="96"/>
  <c r="M240" i="96"/>
  <c r="N240" i="96"/>
  <c r="O240" i="96"/>
  <c r="S240" i="96"/>
  <c r="M241" i="96"/>
  <c r="N241" i="96"/>
  <c r="O241" i="96"/>
  <c r="S241" i="96"/>
  <c r="M242" i="96"/>
  <c r="N242" i="96"/>
  <c r="O242" i="96"/>
  <c r="S242" i="96"/>
  <c r="M243" i="96"/>
  <c r="N243" i="96"/>
  <c r="O243" i="96"/>
  <c r="S243" i="96"/>
  <c r="M244" i="96"/>
  <c r="N244" i="96"/>
  <c r="O244" i="96"/>
  <c r="S244" i="96"/>
  <c r="M245" i="96"/>
  <c r="N245" i="96"/>
  <c r="O245" i="96"/>
  <c r="S245" i="96"/>
  <c r="M246" i="96"/>
  <c r="N246" i="96"/>
  <c r="O246" i="96"/>
  <c r="S246" i="96"/>
  <c r="M247" i="96"/>
  <c r="N247" i="96"/>
  <c r="O247" i="96"/>
  <c r="S247" i="96"/>
  <c r="M248" i="96"/>
  <c r="N248" i="96"/>
  <c r="O248" i="96"/>
  <c r="S248" i="96"/>
  <c r="M249" i="96"/>
  <c r="N249" i="96"/>
  <c r="O249" i="96"/>
  <c r="S249" i="96"/>
  <c r="M250" i="96"/>
  <c r="N250" i="96"/>
  <c r="O250" i="96"/>
  <c r="S250" i="96"/>
  <c r="M251" i="96"/>
  <c r="N251" i="96"/>
  <c r="O251" i="96"/>
  <c r="S251" i="96"/>
  <c r="M252" i="96"/>
  <c r="N252" i="96"/>
  <c r="O252" i="96"/>
  <c r="S252" i="96"/>
  <c r="M253" i="96"/>
  <c r="N253" i="96"/>
  <c r="O253" i="96"/>
  <c r="S253" i="96"/>
  <c r="M254" i="96"/>
  <c r="N254" i="96"/>
  <c r="O254" i="96"/>
  <c r="S254" i="96"/>
  <c r="M255" i="96"/>
  <c r="N255" i="96"/>
  <c r="O255" i="96"/>
  <c r="S255" i="96"/>
  <c r="M256" i="96"/>
  <c r="N256" i="96"/>
  <c r="O256" i="96"/>
  <c r="S256" i="96"/>
  <c r="M257" i="96"/>
  <c r="N257" i="96"/>
  <c r="O257" i="96"/>
  <c r="S257" i="96"/>
  <c r="M258" i="96"/>
  <c r="N258" i="96"/>
  <c r="O258" i="96"/>
  <c r="S258" i="96"/>
  <c r="M259" i="96"/>
  <c r="N259" i="96"/>
  <c r="O259" i="96"/>
  <c r="S259" i="96"/>
  <c r="M260" i="96"/>
  <c r="N260" i="96"/>
  <c r="O260" i="96"/>
  <c r="S260" i="96"/>
  <c r="M261" i="96"/>
  <c r="N261" i="96"/>
  <c r="O261" i="96"/>
  <c r="S261" i="96"/>
  <c r="M262" i="96"/>
  <c r="N262" i="96"/>
  <c r="O262" i="96"/>
  <c r="S262" i="96"/>
  <c r="M263" i="96"/>
  <c r="N263" i="96"/>
  <c r="O263" i="96"/>
  <c r="S263" i="96"/>
  <c r="M264" i="96"/>
  <c r="N264" i="96"/>
  <c r="O264" i="96"/>
  <c r="S264" i="96"/>
  <c r="M265" i="96"/>
  <c r="N265" i="96"/>
  <c r="O265" i="96"/>
  <c r="S265" i="96"/>
  <c r="M266" i="96"/>
  <c r="N266" i="96"/>
  <c r="O266" i="96"/>
  <c r="S266" i="96"/>
  <c r="M267" i="96"/>
  <c r="N267" i="96"/>
  <c r="O267" i="96"/>
  <c r="S267" i="96"/>
  <c r="M268" i="96"/>
  <c r="N268" i="96"/>
  <c r="O268" i="96"/>
  <c r="S268" i="96"/>
  <c r="M269" i="96"/>
  <c r="N269" i="96"/>
  <c r="O269" i="96"/>
  <c r="S269" i="96"/>
  <c r="M270" i="96"/>
  <c r="N270" i="96"/>
  <c r="O270" i="96"/>
  <c r="S270" i="96"/>
  <c r="M271" i="96"/>
  <c r="N271" i="96"/>
  <c r="O271" i="96"/>
  <c r="S271" i="96"/>
  <c r="M272" i="96"/>
  <c r="N272" i="96"/>
  <c r="O272" i="96"/>
  <c r="S272" i="96"/>
  <c r="M273" i="96"/>
  <c r="N273" i="96"/>
  <c r="O273" i="96"/>
  <c r="S273" i="96"/>
  <c r="M274" i="96"/>
  <c r="N274" i="96"/>
  <c r="O274" i="96"/>
  <c r="S274" i="96"/>
  <c r="M275" i="96"/>
  <c r="N275" i="96"/>
  <c r="O275" i="96"/>
  <c r="S275" i="96"/>
  <c r="M276" i="96"/>
  <c r="N276" i="96"/>
  <c r="O276" i="96"/>
  <c r="S276" i="96"/>
  <c r="M277" i="96"/>
  <c r="N277" i="96"/>
  <c r="O277" i="96"/>
  <c r="S277" i="96"/>
  <c r="M278" i="96"/>
  <c r="N278" i="96"/>
  <c r="O278" i="96"/>
  <c r="S278" i="96"/>
  <c r="M279" i="96"/>
  <c r="N279" i="96"/>
  <c r="O279" i="96"/>
  <c r="S279" i="96"/>
  <c r="M280" i="96"/>
  <c r="N280" i="96"/>
  <c r="O280" i="96"/>
  <c r="S280" i="96"/>
  <c r="M281" i="96"/>
  <c r="N281" i="96"/>
  <c r="O281" i="96"/>
  <c r="S281" i="96"/>
  <c r="M282" i="96"/>
  <c r="N282" i="96"/>
  <c r="O282" i="96"/>
  <c r="S282" i="96"/>
  <c r="M283" i="96"/>
  <c r="N283" i="96"/>
  <c r="O283" i="96"/>
  <c r="S283" i="96"/>
  <c r="M284" i="96"/>
  <c r="N284" i="96"/>
  <c r="O284" i="96"/>
  <c r="S284" i="96"/>
  <c r="M285" i="96"/>
  <c r="N285" i="96"/>
  <c r="O285" i="96"/>
  <c r="S285" i="96"/>
  <c r="M286" i="96"/>
  <c r="N286" i="96"/>
  <c r="O286" i="96"/>
  <c r="S286" i="96"/>
  <c r="M287" i="96"/>
  <c r="N287" i="96"/>
  <c r="O287" i="96"/>
  <c r="S287" i="96"/>
  <c r="M288" i="96"/>
  <c r="N288" i="96"/>
  <c r="O288" i="96"/>
  <c r="S288" i="96"/>
  <c r="M289" i="96"/>
  <c r="N289" i="96"/>
  <c r="O289" i="96"/>
  <c r="S289" i="96"/>
  <c r="M290" i="96"/>
  <c r="N290" i="96"/>
  <c r="O290" i="96"/>
  <c r="S290" i="96"/>
  <c r="M291" i="96"/>
  <c r="N291" i="96"/>
  <c r="O291" i="96"/>
  <c r="S291" i="96"/>
  <c r="M292" i="96"/>
  <c r="N292" i="96"/>
  <c r="O292" i="96"/>
  <c r="S292" i="96"/>
  <c r="M293" i="96"/>
  <c r="N293" i="96"/>
  <c r="O293" i="96"/>
  <c r="S293" i="96"/>
  <c r="M294" i="96"/>
  <c r="N294" i="96"/>
  <c r="O294" i="96"/>
  <c r="S294" i="96"/>
  <c r="M295" i="96"/>
  <c r="N295" i="96"/>
  <c r="O295" i="96"/>
  <c r="S295" i="96"/>
  <c r="M296" i="96"/>
  <c r="N296" i="96"/>
  <c r="O296" i="96"/>
  <c r="S296" i="96"/>
  <c r="M297" i="96"/>
  <c r="N297" i="96"/>
  <c r="O297" i="96"/>
  <c r="S297" i="96"/>
  <c r="M298" i="96"/>
  <c r="N298" i="96"/>
  <c r="O298" i="96"/>
  <c r="S298" i="96"/>
  <c r="M299" i="96"/>
  <c r="N299" i="96"/>
  <c r="O299" i="96"/>
  <c r="S299" i="96"/>
  <c r="M300" i="96"/>
  <c r="N300" i="96"/>
  <c r="O300" i="96"/>
  <c r="S300" i="96"/>
  <c r="M301" i="96"/>
  <c r="N301" i="96"/>
  <c r="O301" i="96"/>
  <c r="S301" i="96"/>
  <c r="M302" i="96"/>
  <c r="N302" i="96"/>
  <c r="O302" i="96"/>
  <c r="S302" i="96"/>
  <c r="M303" i="96"/>
  <c r="N303" i="96"/>
  <c r="O303" i="96"/>
  <c r="S303" i="96"/>
  <c r="M304" i="96"/>
  <c r="N304" i="96"/>
  <c r="O304" i="96"/>
  <c r="S304" i="96"/>
  <c r="M305" i="96"/>
  <c r="N305" i="96"/>
  <c r="O305" i="96"/>
  <c r="S305" i="96"/>
  <c r="M306" i="96"/>
  <c r="N306" i="96"/>
  <c r="O306" i="96"/>
  <c r="S306" i="96"/>
  <c r="M307" i="96"/>
  <c r="N307" i="96"/>
  <c r="O307" i="96"/>
  <c r="S307" i="96"/>
  <c r="M308" i="96"/>
  <c r="N308" i="96"/>
  <c r="O308" i="96"/>
  <c r="S308" i="96"/>
  <c r="M309" i="96"/>
  <c r="N309" i="96"/>
  <c r="O309" i="96"/>
  <c r="S309" i="96"/>
  <c r="M310" i="96"/>
  <c r="N310" i="96"/>
  <c r="O310" i="96"/>
  <c r="S310" i="96"/>
  <c r="M311" i="96"/>
  <c r="N311" i="96"/>
  <c r="O311" i="96"/>
  <c r="S311" i="96"/>
  <c r="M312" i="96"/>
  <c r="N312" i="96"/>
  <c r="O312" i="96"/>
  <c r="S312" i="96"/>
  <c r="M313" i="96"/>
  <c r="N313" i="96"/>
  <c r="O313" i="96"/>
  <c r="S313" i="96"/>
  <c r="M314" i="96"/>
  <c r="N314" i="96"/>
  <c r="O314" i="96"/>
  <c r="S314" i="96"/>
  <c r="M315" i="96"/>
  <c r="N315" i="96"/>
  <c r="O315" i="96"/>
  <c r="S315" i="96"/>
  <c r="M316" i="96"/>
  <c r="N316" i="96"/>
  <c r="O316" i="96"/>
  <c r="S316" i="96"/>
  <c r="M317" i="96"/>
  <c r="N317" i="96"/>
  <c r="O317" i="96"/>
  <c r="S317" i="96"/>
  <c r="M318" i="96"/>
  <c r="N318" i="96"/>
  <c r="O318" i="96"/>
  <c r="S318" i="96"/>
  <c r="M319" i="96"/>
  <c r="N319" i="96"/>
  <c r="O319" i="96"/>
  <c r="S319" i="96"/>
  <c r="M320" i="96"/>
  <c r="N320" i="96"/>
  <c r="O320" i="96"/>
  <c r="S320" i="96"/>
  <c r="M321" i="96"/>
  <c r="N321" i="96"/>
  <c r="O321" i="96"/>
  <c r="S321" i="96"/>
  <c r="M322" i="96"/>
  <c r="N322" i="96"/>
  <c r="O322" i="96"/>
  <c r="S322" i="96"/>
  <c r="M323" i="96"/>
  <c r="N323" i="96"/>
  <c r="O323" i="96"/>
  <c r="S323" i="96"/>
  <c r="M324" i="96"/>
  <c r="N324" i="96"/>
  <c r="O324" i="96"/>
  <c r="S324" i="96"/>
  <c r="M325" i="96"/>
  <c r="N325" i="96"/>
  <c r="O325" i="96"/>
  <c r="S325" i="96"/>
  <c r="M326" i="96"/>
  <c r="N326" i="96"/>
  <c r="O326" i="96"/>
  <c r="S326" i="96"/>
  <c r="M327" i="96"/>
  <c r="N327" i="96"/>
  <c r="O327" i="96"/>
  <c r="S327" i="96"/>
  <c r="M328" i="96"/>
  <c r="N328" i="96"/>
  <c r="O328" i="96"/>
  <c r="S328" i="96"/>
  <c r="M329" i="96"/>
  <c r="N329" i="96"/>
  <c r="O329" i="96"/>
  <c r="S329" i="96"/>
  <c r="M330" i="96"/>
  <c r="N330" i="96"/>
  <c r="O330" i="96"/>
  <c r="S330" i="96"/>
  <c r="M331" i="96"/>
  <c r="N331" i="96"/>
  <c r="O331" i="96"/>
  <c r="S331" i="96"/>
  <c r="M332" i="96"/>
  <c r="N332" i="96"/>
  <c r="O332" i="96"/>
  <c r="S332" i="96"/>
  <c r="M333" i="96"/>
  <c r="N333" i="96"/>
  <c r="O333" i="96"/>
  <c r="S333" i="96"/>
  <c r="M334" i="96"/>
  <c r="N334" i="96"/>
  <c r="O334" i="96"/>
  <c r="S334" i="96"/>
  <c r="M335" i="96"/>
  <c r="N335" i="96"/>
  <c r="O335" i="96"/>
  <c r="S335" i="96"/>
  <c r="M336" i="96"/>
  <c r="N336" i="96"/>
  <c r="O336" i="96"/>
  <c r="S336" i="96"/>
  <c r="M337" i="96"/>
  <c r="N337" i="96"/>
  <c r="O337" i="96"/>
  <c r="S337" i="96"/>
  <c r="M338" i="96"/>
  <c r="N338" i="96"/>
  <c r="O338" i="96"/>
  <c r="S338" i="96"/>
  <c r="M339" i="96"/>
  <c r="N339" i="96"/>
  <c r="O339" i="96"/>
  <c r="S339" i="96"/>
  <c r="M340" i="96"/>
  <c r="N340" i="96"/>
  <c r="O340" i="96"/>
  <c r="S340" i="96"/>
  <c r="M341" i="96"/>
  <c r="N341" i="96"/>
  <c r="O341" i="96"/>
  <c r="S341" i="96"/>
  <c r="M342" i="96"/>
  <c r="N342" i="96"/>
  <c r="O342" i="96"/>
  <c r="S342" i="96"/>
  <c r="M343" i="96"/>
  <c r="N343" i="96"/>
  <c r="O343" i="96"/>
  <c r="S343" i="96"/>
  <c r="M344" i="96"/>
  <c r="N344" i="96"/>
  <c r="O344" i="96"/>
  <c r="S344" i="96"/>
  <c r="M345" i="96"/>
  <c r="N345" i="96"/>
  <c r="O345" i="96"/>
  <c r="S345" i="96"/>
  <c r="M346" i="96"/>
  <c r="N346" i="96"/>
  <c r="O346" i="96"/>
  <c r="S346" i="96"/>
  <c r="M347" i="96"/>
  <c r="N347" i="96"/>
  <c r="O347" i="96"/>
  <c r="S347" i="96"/>
  <c r="M348" i="96"/>
  <c r="N348" i="96"/>
  <c r="O348" i="96"/>
  <c r="S348" i="96"/>
  <c r="M349" i="96"/>
  <c r="N349" i="96"/>
  <c r="O349" i="96"/>
  <c r="S349" i="96"/>
  <c r="M350" i="96"/>
  <c r="N350" i="96"/>
  <c r="O350" i="96"/>
  <c r="S350" i="96"/>
  <c r="M351" i="96"/>
  <c r="N351" i="96"/>
  <c r="O351" i="96"/>
  <c r="S351" i="96"/>
  <c r="M352" i="96"/>
  <c r="N352" i="96"/>
  <c r="O352" i="96"/>
  <c r="S352" i="96"/>
  <c r="M353" i="96"/>
  <c r="N353" i="96"/>
  <c r="O353" i="96"/>
  <c r="S353" i="96"/>
  <c r="M354" i="96"/>
  <c r="N354" i="96"/>
  <c r="O354" i="96"/>
  <c r="S354" i="96"/>
  <c r="M355" i="96"/>
  <c r="N355" i="96"/>
  <c r="O355" i="96"/>
  <c r="S355" i="96"/>
  <c r="M356" i="96"/>
  <c r="N356" i="96"/>
  <c r="O356" i="96"/>
  <c r="S356" i="96"/>
  <c r="M357" i="96"/>
  <c r="N357" i="96"/>
  <c r="O357" i="96"/>
  <c r="S357" i="96"/>
  <c r="M358" i="96"/>
  <c r="N358" i="96"/>
  <c r="O358" i="96"/>
  <c r="S358" i="96"/>
  <c r="M359" i="96"/>
  <c r="N359" i="96"/>
  <c r="O359" i="96"/>
  <c r="S359" i="96"/>
  <c r="M360" i="96"/>
  <c r="N360" i="96"/>
  <c r="O360" i="96"/>
  <c r="S360" i="96"/>
  <c r="H18" i="97"/>
  <c r="M29" i="96"/>
  <c r="E30" i="96"/>
  <c r="E31" i="96"/>
  <c r="E32" i="96"/>
  <c r="E33" i="96"/>
  <c r="E34" i="96"/>
  <c r="E35" i="96"/>
  <c r="E36" i="96"/>
  <c r="E37" i="96"/>
  <c r="E38" i="96"/>
  <c r="E39" i="96"/>
  <c r="E40" i="96"/>
  <c r="E41" i="96"/>
  <c r="E42" i="96"/>
  <c r="E43" i="96"/>
  <c r="E44" i="96"/>
  <c r="E45" i="96"/>
  <c r="E46" i="96"/>
  <c r="E47" i="96"/>
  <c r="E48" i="96"/>
  <c r="E49" i="96"/>
  <c r="E50" i="96"/>
  <c r="E51" i="96"/>
  <c r="E52" i="96"/>
  <c r="E53" i="96"/>
  <c r="E54" i="96"/>
  <c r="E55" i="96"/>
  <c r="E56" i="96"/>
  <c r="E57" i="96"/>
  <c r="E58" i="96"/>
  <c r="E59" i="96"/>
  <c r="E60" i="96"/>
  <c r="E61" i="96"/>
  <c r="E62" i="96"/>
  <c r="E63" i="96"/>
  <c r="E64" i="96"/>
  <c r="E65" i="96"/>
  <c r="E66" i="96"/>
  <c r="E67" i="96"/>
  <c r="E68" i="96"/>
  <c r="E69" i="96"/>
  <c r="E70" i="96"/>
  <c r="E71" i="96"/>
  <c r="E72" i="96"/>
  <c r="E73" i="96"/>
  <c r="E74" i="96"/>
  <c r="E75" i="96"/>
  <c r="E76" i="96"/>
  <c r="E77" i="96"/>
  <c r="E78" i="96"/>
  <c r="E79" i="96"/>
  <c r="E80" i="96"/>
  <c r="E81" i="96"/>
  <c r="E82" i="96"/>
  <c r="E83" i="96"/>
  <c r="E84" i="96"/>
  <c r="E85" i="96"/>
  <c r="E86" i="96"/>
  <c r="E87" i="96"/>
  <c r="E88" i="96"/>
  <c r="E89" i="96"/>
  <c r="E90" i="96"/>
  <c r="E91" i="96"/>
  <c r="E92" i="96"/>
  <c r="E93" i="96"/>
  <c r="E94" i="96"/>
  <c r="E95" i="96"/>
  <c r="E96" i="96"/>
  <c r="E97" i="96"/>
  <c r="E98" i="96"/>
  <c r="E99" i="96"/>
  <c r="E100" i="96"/>
  <c r="E101" i="96"/>
  <c r="E102" i="96"/>
  <c r="E103" i="96"/>
  <c r="E104" i="96"/>
  <c r="E105" i="96"/>
  <c r="E106" i="96"/>
  <c r="E107" i="96"/>
  <c r="E108" i="96"/>
  <c r="E109" i="96"/>
  <c r="E110" i="96"/>
  <c r="E111" i="96"/>
  <c r="E112" i="96"/>
  <c r="E113" i="96"/>
  <c r="E114" i="96"/>
  <c r="E115" i="96"/>
  <c r="E116" i="96"/>
  <c r="E117" i="96"/>
  <c r="E118" i="96"/>
  <c r="E119" i="96"/>
  <c r="E120" i="96"/>
  <c r="E121" i="96"/>
  <c r="E122" i="96"/>
  <c r="E123" i="96"/>
  <c r="E124" i="96"/>
  <c r="E125" i="96"/>
  <c r="E126" i="96"/>
  <c r="E127" i="96"/>
  <c r="E128" i="96"/>
  <c r="E129" i="96"/>
  <c r="E130" i="96"/>
  <c r="E131" i="96"/>
  <c r="E132" i="96"/>
  <c r="E133" i="96"/>
  <c r="E134" i="96"/>
  <c r="E135" i="96"/>
  <c r="E136" i="96"/>
  <c r="E137" i="96"/>
  <c r="E138" i="96"/>
  <c r="E139" i="96"/>
  <c r="E140" i="96"/>
  <c r="E141" i="96"/>
  <c r="E142" i="96"/>
  <c r="E143" i="96"/>
  <c r="E144" i="96"/>
  <c r="E145" i="96"/>
  <c r="E146" i="96"/>
  <c r="E147" i="96"/>
  <c r="E148" i="96"/>
  <c r="E149" i="96"/>
  <c r="E150" i="96"/>
  <c r="E151" i="96"/>
  <c r="E152" i="96"/>
  <c r="E153" i="96"/>
  <c r="E154" i="96"/>
  <c r="E155" i="96"/>
  <c r="E156" i="96"/>
  <c r="E157" i="96"/>
  <c r="E158" i="96"/>
  <c r="E159" i="96"/>
  <c r="E160" i="96"/>
  <c r="E161" i="96"/>
  <c r="E162" i="96"/>
  <c r="E163" i="96"/>
  <c r="E164" i="96"/>
  <c r="E165" i="96"/>
  <c r="E166" i="96"/>
  <c r="E167" i="96"/>
  <c r="E168" i="96"/>
  <c r="E169" i="96"/>
  <c r="E170" i="96"/>
  <c r="E171" i="96"/>
  <c r="E172" i="96"/>
  <c r="E173" i="96"/>
  <c r="E174" i="96"/>
  <c r="E175" i="96"/>
  <c r="E176" i="96"/>
  <c r="E177" i="96"/>
  <c r="E178" i="96"/>
  <c r="E179" i="96"/>
  <c r="E180" i="96"/>
  <c r="E181" i="96"/>
  <c r="E182" i="96"/>
  <c r="E183" i="96"/>
  <c r="E184" i="96"/>
  <c r="E185" i="96"/>
  <c r="E186" i="96"/>
  <c r="E187" i="96"/>
  <c r="E188" i="96"/>
  <c r="E189" i="96"/>
  <c r="E190" i="96"/>
  <c r="E191" i="96"/>
  <c r="E192" i="96"/>
  <c r="E193" i="96"/>
  <c r="E194" i="96"/>
  <c r="E195" i="96"/>
  <c r="E196" i="96"/>
  <c r="E197" i="96"/>
  <c r="E198" i="96"/>
  <c r="E199" i="96"/>
  <c r="E200" i="96"/>
  <c r="E201" i="96"/>
  <c r="E202" i="96"/>
  <c r="E203" i="96"/>
  <c r="E204" i="96"/>
  <c r="E205" i="96"/>
  <c r="E206" i="96"/>
  <c r="E207" i="96"/>
  <c r="E208" i="96"/>
  <c r="E209" i="96"/>
  <c r="E210" i="96"/>
  <c r="E211" i="96"/>
  <c r="E212" i="96"/>
  <c r="E213" i="96"/>
  <c r="E214" i="96"/>
  <c r="E215" i="96"/>
  <c r="E216" i="96"/>
  <c r="E217" i="96"/>
  <c r="E218" i="96"/>
  <c r="E219" i="96"/>
  <c r="E220" i="96"/>
  <c r="E221" i="96"/>
  <c r="E222" i="96"/>
  <c r="E223" i="96"/>
  <c r="E224" i="96"/>
  <c r="E225" i="96"/>
  <c r="E226" i="96"/>
  <c r="E227" i="96"/>
  <c r="E228" i="96"/>
  <c r="E229" i="96"/>
  <c r="E230" i="96"/>
  <c r="E231" i="96"/>
  <c r="E232" i="96"/>
  <c r="E233" i="96"/>
  <c r="E234" i="96"/>
  <c r="E235" i="96"/>
  <c r="E236" i="96"/>
  <c r="E237" i="96"/>
  <c r="E238" i="96"/>
  <c r="E239" i="96"/>
  <c r="E240" i="96"/>
  <c r="E241" i="96"/>
  <c r="E242" i="96"/>
  <c r="E243" i="96"/>
  <c r="E244" i="96"/>
  <c r="E245" i="96"/>
  <c r="E246" i="96"/>
  <c r="E247" i="96"/>
  <c r="E248" i="96"/>
  <c r="E249" i="96"/>
  <c r="E250" i="96"/>
  <c r="E251" i="96"/>
  <c r="E252" i="96"/>
  <c r="E253" i="96"/>
  <c r="E254" i="96"/>
  <c r="E255" i="96"/>
  <c r="E256" i="96"/>
  <c r="E257" i="96"/>
  <c r="E258" i="96"/>
  <c r="E259" i="96"/>
  <c r="E260" i="96"/>
  <c r="E261" i="96"/>
  <c r="E262" i="96"/>
  <c r="E263" i="96"/>
  <c r="E264" i="96"/>
  <c r="E265" i="96"/>
  <c r="E266" i="96"/>
  <c r="E267" i="96"/>
  <c r="E268" i="96"/>
  <c r="E269" i="96"/>
  <c r="E270" i="96"/>
  <c r="E271" i="96"/>
  <c r="E272" i="96"/>
  <c r="E273" i="96"/>
  <c r="E274" i="96"/>
  <c r="E275" i="96"/>
  <c r="E276" i="96"/>
  <c r="E277" i="96"/>
  <c r="E278" i="96"/>
  <c r="E279" i="96"/>
  <c r="E280" i="96"/>
  <c r="E281" i="96"/>
  <c r="E282" i="96"/>
  <c r="E283" i="96"/>
  <c r="E284" i="96"/>
  <c r="E285" i="96"/>
  <c r="E286" i="96"/>
  <c r="E287" i="96"/>
  <c r="E288" i="96"/>
  <c r="E289" i="96"/>
  <c r="E290" i="96"/>
  <c r="E291" i="96"/>
  <c r="E292" i="96"/>
  <c r="E293" i="96"/>
  <c r="E294" i="96"/>
  <c r="E295" i="96"/>
  <c r="E296" i="96"/>
  <c r="E297" i="96"/>
  <c r="E298" i="96"/>
  <c r="E299" i="96"/>
  <c r="E300" i="96"/>
  <c r="E301" i="96"/>
  <c r="E302" i="96"/>
  <c r="E303" i="96"/>
  <c r="E304" i="96"/>
  <c r="E305" i="96"/>
  <c r="E306" i="96"/>
  <c r="E307" i="96"/>
  <c r="E308" i="96"/>
  <c r="E309" i="96"/>
  <c r="E310" i="96"/>
  <c r="E311" i="96"/>
  <c r="E312" i="96"/>
  <c r="E313" i="96"/>
  <c r="E314" i="96"/>
  <c r="E315" i="96"/>
  <c r="E316" i="96"/>
  <c r="E317" i="96"/>
  <c r="E318" i="96"/>
  <c r="E319" i="96"/>
  <c r="E320" i="96"/>
  <c r="E321" i="96"/>
  <c r="E322" i="96"/>
  <c r="E323" i="96"/>
  <c r="E324" i="96"/>
  <c r="E325" i="96"/>
  <c r="E326" i="96"/>
  <c r="E327" i="96"/>
  <c r="E328" i="96"/>
  <c r="E329" i="96"/>
  <c r="E330" i="96"/>
  <c r="E331" i="96"/>
  <c r="E332" i="96"/>
  <c r="E333" i="96"/>
  <c r="E334" i="96"/>
  <c r="E335" i="96"/>
  <c r="E336" i="96"/>
  <c r="E337" i="96"/>
  <c r="E338" i="96"/>
  <c r="E339" i="96"/>
  <c r="E340" i="96"/>
  <c r="E341" i="96"/>
  <c r="E342" i="96"/>
  <c r="E343" i="96"/>
  <c r="E344" i="96"/>
  <c r="E345" i="96"/>
  <c r="E346" i="96"/>
  <c r="E347" i="96"/>
  <c r="E348" i="96"/>
  <c r="E349" i="96"/>
  <c r="E350" i="96"/>
  <c r="E351" i="96"/>
  <c r="E352" i="96"/>
  <c r="E353" i="96"/>
  <c r="E354" i="96"/>
  <c r="E355" i="96"/>
  <c r="E356" i="96"/>
  <c r="E357" i="96"/>
  <c r="E358" i="96"/>
  <c r="E359" i="96"/>
  <c r="E360" i="96"/>
  <c r="E29" i="96"/>
  <c r="S5" i="96"/>
  <c r="S6" i="96"/>
  <c r="S7" i="96"/>
  <c r="S8" i="96"/>
  <c r="S9" i="96"/>
  <c r="S10" i="96"/>
  <c r="S11" i="96"/>
  <c r="S12" i="96"/>
  <c r="S13" i="96"/>
  <c r="S14" i="96"/>
  <c r="S15" i="96"/>
  <c r="S16" i="96"/>
  <c r="S17" i="96"/>
  <c r="S18" i="96"/>
  <c r="S19" i="96"/>
  <c r="S20" i="96"/>
  <c r="S21" i="96"/>
  <c r="S22" i="96"/>
  <c r="S23" i="96"/>
  <c r="S24" i="96"/>
  <c r="S25" i="96"/>
  <c r="S26" i="96"/>
  <c r="S4" i="96"/>
  <c r="R5" i="96"/>
  <c r="R6" i="96"/>
  <c r="R7" i="96"/>
  <c r="R8" i="96"/>
  <c r="R9" i="96"/>
  <c r="R10" i="96"/>
  <c r="R11" i="96"/>
  <c r="R12" i="96"/>
  <c r="R13" i="96"/>
  <c r="R14" i="96"/>
  <c r="R15" i="96"/>
  <c r="R16" i="96"/>
  <c r="R17" i="96"/>
  <c r="R18" i="96"/>
  <c r="R19" i="96"/>
  <c r="R20" i="96"/>
  <c r="R21" i="96"/>
  <c r="R22" i="96"/>
  <c r="R23" i="96"/>
  <c r="R24" i="96"/>
  <c r="R25" i="96"/>
  <c r="R26" i="96"/>
  <c r="R4" i="96"/>
  <c r="M5" i="96"/>
  <c r="M6" i="96"/>
  <c r="M7" i="96"/>
  <c r="M8" i="96"/>
  <c r="M9" i="96"/>
  <c r="M10" i="96"/>
  <c r="M11" i="96"/>
  <c r="M12" i="96"/>
  <c r="M13" i="96"/>
  <c r="M14" i="96"/>
  <c r="M15" i="96"/>
  <c r="M16" i="96"/>
  <c r="M17" i="96"/>
  <c r="M18" i="96"/>
  <c r="M19" i="96"/>
  <c r="M20" i="96"/>
  <c r="M21" i="96"/>
  <c r="M22" i="96"/>
  <c r="M23" i="96"/>
  <c r="M24" i="96"/>
  <c r="M25" i="96"/>
  <c r="M26" i="96"/>
  <c r="M4" i="96"/>
  <c r="F91" i="103" l="1"/>
  <c r="D64" i="103" s="1"/>
  <c r="E91" i="103"/>
  <c r="C78" i="103"/>
  <c r="D53" i="103"/>
  <c r="D52" i="103"/>
  <c r="E46" i="103"/>
  <c r="E45" i="103"/>
  <c r="E44" i="103"/>
  <c r="G43" i="103"/>
  <c r="E42" i="103"/>
  <c r="E41" i="103"/>
  <c r="E43" i="103" l="1"/>
  <c r="C20" i="103"/>
  <c r="G41" i="103" s="1"/>
  <c r="G42" i="103" l="1"/>
  <c r="AF28" i="47" l="1"/>
  <c r="AF27" i="47"/>
  <c r="AF26" i="47"/>
  <c r="AF25" i="47"/>
  <c r="AF24" i="47"/>
  <c r="AF23" i="47"/>
  <c r="AF22" i="47"/>
  <c r="AF21" i="47"/>
  <c r="AF20" i="47"/>
  <c r="AF19" i="47"/>
  <c r="AF18" i="47"/>
  <c r="AF17" i="47"/>
  <c r="AF16" i="47"/>
  <c r="AF15" i="47"/>
  <c r="AF14" i="47"/>
  <c r="AF13" i="47"/>
  <c r="AF12" i="47"/>
  <c r="AF11" i="47"/>
  <c r="AF10" i="47"/>
  <c r="AF9" i="47" l="1"/>
  <c r="D35" i="103" l="1"/>
  <c r="H35" i="103" s="1"/>
  <c r="C35" i="103"/>
  <c r="F35" i="103" s="1"/>
  <c r="D36" i="103"/>
  <c r="H36" i="103" s="1"/>
  <c r="C36" i="103"/>
  <c r="F36" i="103" s="1"/>
  <c r="D37" i="103"/>
  <c r="H37" i="103" s="1"/>
  <c r="C37" i="103"/>
  <c r="F37" i="103" s="1"/>
  <c r="D34" i="103"/>
  <c r="H34" i="103" s="1"/>
  <c r="C34" i="103"/>
  <c r="F34" i="103" s="1"/>
  <c r="G92" i="48"/>
  <c r="E92" i="48"/>
  <c r="F84" i="103" l="1"/>
  <c r="F97" i="103" s="1"/>
  <c r="F83" i="103"/>
  <c r="F96" i="103" s="1"/>
  <c r="B20" i="98"/>
  <c r="B21" i="98"/>
  <c r="B19" i="98"/>
  <c r="B32" i="98"/>
  <c r="B31" i="98"/>
  <c r="F26" i="94" l="1"/>
  <c r="E50" i="68"/>
  <c r="H57" i="48" l="1"/>
  <c r="E57" i="48"/>
  <c r="T29" i="96" l="1"/>
  <c r="T30" i="96"/>
  <c r="T31" i="96"/>
  <c r="T32" i="96"/>
  <c r="T33" i="96"/>
  <c r="G123" i="48" l="1"/>
  <c r="F29" i="16" s="1"/>
  <c r="H123" i="48"/>
  <c r="G29" i="16" s="1"/>
  <c r="G124" i="48"/>
  <c r="F30" i="16" s="1"/>
  <c r="H124" i="48"/>
  <c r="G30" i="16" s="1"/>
  <c r="C123" i="48"/>
  <c r="C29" i="16" s="1"/>
  <c r="D123" i="48"/>
  <c r="D29" i="16" s="1"/>
  <c r="C124" i="48"/>
  <c r="C30" i="16" s="1"/>
  <c r="I30" i="16" s="1"/>
  <c r="D124" i="48"/>
  <c r="J124" i="48" l="1"/>
  <c r="D30" i="16"/>
  <c r="J123" i="48"/>
  <c r="F11" i="42" l="1"/>
  <c r="E12" i="42"/>
  <c r="E13" i="42"/>
  <c r="E14" i="42"/>
  <c r="E15" i="42"/>
  <c r="E16" i="42"/>
  <c r="E17" i="42"/>
  <c r="E18" i="42"/>
  <c r="E19" i="42"/>
  <c r="E20" i="42"/>
  <c r="E21" i="42"/>
  <c r="E22" i="42"/>
  <c r="E23" i="42"/>
  <c r="E24" i="42"/>
  <c r="E25" i="42"/>
  <c r="E11" i="42"/>
  <c r="C26" i="42"/>
  <c r="C14" i="56"/>
  <c r="D14" i="56"/>
  <c r="E14" i="56" s="1"/>
  <c r="C15" i="56"/>
  <c r="D15" i="56"/>
  <c r="E15" i="56" s="1"/>
  <c r="F20" i="42"/>
  <c r="F21" i="42"/>
  <c r="F22" i="42"/>
  <c r="F23" i="42"/>
  <c r="N29" i="96"/>
  <c r="O29" i="96" s="1"/>
  <c r="N27" i="96" s="1"/>
  <c r="E56" i="48" l="1"/>
  <c r="Z91" i="62"/>
  <c r="AB91" i="62" s="1"/>
  <c r="C45" i="68" s="1"/>
  <c r="B45" i="68"/>
  <c r="AA91" i="62" l="1"/>
  <c r="E18" i="102"/>
  <c r="C59" i="68" l="1"/>
  <c r="D59" i="68" s="1"/>
  <c r="B59" i="68"/>
  <c r="E59" i="68" l="1"/>
  <c r="H26" i="98"/>
  <c r="H25" i="98"/>
  <c r="J24" i="94"/>
  <c r="J21" i="94"/>
  <c r="C27" i="92"/>
  <c r="D11" i="92"/>
  <c r="D12" i="92"/>
  <c r="D13" i="92"/>
  <c r="D14" i="92"/>
  <c r="D15" i="92"/>
  <c r="D16" i="92"/>
  <c r="D17" i="92"/>
  <c r="D18" i="92"/>
  <c r="D19" i="92"/>
  <c r="D20" i="92"/>
  <c r="D21" i="92"/>
  <c r="D22" i="92"/>
  <c r="D23" i="92"/>
  <c r="C12" i="92"/>
  <c r="C13" i="92"/>
  <c r="C14" i="92"/>
  <c r="C15" i="92"/>
  <c r="C16" i="92"/>
  <c r="C17" i="92"/>
  <c r="C18" i="92"/>
  <c r="C19" i="92"/>
  <c r="C20" i="92"/>
  <c r="C21" i="92"/>
  <c r="C22" i="92"/>
  <c r="C23" i="92"/>
  <c r="C11" i="92"/>
  <c r="C5" i="92"/>
  <c r="C6" i="92"/>
  <c r="C7" i="92"/>
  <c r="C8" i="92"/>
  <c r="C4" i="92"/>
  <c r="C29" i="102"/>
  <c r="C28" i="102"/>
  <c r="C27" i="102"/>
  <c r="C11" i="98" s="1"/>
  <c r="E26" i="102"/>
  <c r="C34" i="102" s="1"/>
  <c r="D34" i="102" s="1"/>
  <c r="C13" i="102"/>
  <c r="K36" i="101"/>
  <c r="J36" i="101"/>
  <c r="I36" i="101"/>
  <c r="H36" i="101"/>
  <c r="G36" i="101"/>
  <c r="F36" i="101"/>
  <c r="E36" i="101"/>
  <c r="D35" i="101"/>
  <c r="D36" i="101" s="1"/>
  <c r="C35" i="101"/>
  <c r="C36" i="101" s="1"/>
  <c r="K33" i="101"/>
  <c r="J33" i="101"/>
  <c r="I33" i="101"/>
  <c r="H33" i="101"/>
  <c r="G33" i="101"/>
  <c r="F33" i="101"/>
  <c r="E33" i="101"/>
  <c r="K32" i="101"/>
  <c r="J32" i="101"/>
  <c r="I32" i="101"/>
  <c r="H32" i="101"/>
  <c r="G32" i="101"/>
  <c r="F32" i="101"/>
  <c r="E32" i="101"/>
  <c r="D27" i="101"/>
  <c r="D33" i="101" s="1"/>
  <c r="C27" i="101"/>
  <c r="C33" i="101" s="1"/>
  <c r="K20" i="101"/>
  <c r="J20" i="101"/>
  <c r="I20" i="101"/>
  <c r="H20" i="101"/>
  <c r="G20" i="101"/>
  <c r="F20" i="101"/>
  <c r="E20" i="101"/>
  <c r="K19" i="101"/>
  <c r="J19" i="101"/>
  <c r="I19" i="101"/>
  <c r="H19" i="101"/>
  <c r="G19" i="101"/>
  <c r="F19" i="101"/>
  <c r="E19" i="101"/>
  <c r="D14" i="101"/>
  <c r="D20" i="101" s="1"/>
  <c r="C14" i="101"/>
  <c r="C20" i="101" s="1"/>
  <c r="I44" i="99"/>
  <c r="F44" i="99"/>
  <c r="I43" i="99"/>
  <c r="F43" i="99"/>
  <c r="I42" i="99"/>
  <c r="F42" i="99"/>
  <c r="I41" i="99"/>
  <c r="F41" i="99"/>
  <c r="I40" i="99"/>
  <c r="F40" i="99"/>
  <c r="I39" i="99"/>
  <c r="F39" i="99"/>
  <c r="I38" i="99"/>
  <c r="F38" i="99"/>
  <c r="I37" i="99"/>
  <c r="F37" i="99"/>
  <c r="I36" i="99"/>
  <c r="F36" i="99"/>
  <c r="I35" i="99"/>
  <c r="F35" i="99"/>
  <c r="I34" i="99"/>
  <c r="F34" i="99"/>
  <c r="I33" i="99"/>
  <c r="F33" i="99"/>
  <c r="I32" i="99"/>
  <c r="F32" i="99"/>
  <c r="I31" i="99"/>
  <c r="F31" i="99"/>
  <c r="I30" i="99"/>
  <c r="F30" i="99"/>
  <c r="I29" i="99"/>
  <c r="F29" i="99"/>
  <c r="I28" i="99"/>
  <c r="F28" i="99"/>
  <c r="I27" i="99"/>
  <c r="F27" i="99"/>
  <c r="I26" i="99"/>
  <c r="F26" i="99"/>
  <c r="I25" i="99"/>
  <c r="F25" i="99"/>
  <c r="I24" i="99"/>
  <c r="F24" i="99"/>
  <c r="I23" i="99"/>
  <c r="F23" i="99"/>
  <c r="I22" i="99"/>
  <c r="F22" i="99"/>
  <c r="I21" i="99"/>
  <c r="F21" i="99"/>
  <c r="I20" i="99"/>
  <c r="F20" i="99"/>
  <c r="I19" i="99"/>
  <c r="F19" i="99"/>
  <c r="I18" i="99"/>
  <c r="F18" i="99"/>
  <c r="I17" i="99"/>
  <c r="F17" i="99"/>
  <c r="I16" i="99"/>
  <c r="F16" i="99"/>
  <c r="H44" i="98"/>
  <c r="H43" i="98"/>
  <c r="B63" i="98"/>
  <c r="H39" i="98"/>
  <c r="H40" i="98" s="1"/>
  <c r="C40" i="98"/>
  <c r="C41" i="98" s="1"/>
  <c r="C42" i="98" s="1"/>
  <c r="C43" i="98" s="1"/>
  <c r="C44" i="98" s="1"/>
  <c r="C45" i="98" s="1"/>
  <c r="C46" i="98" s="1"/>
  <c r="C47" i="98" s="1"/>
  <c r="C48" i="98" s="1"/>
  <c r="C49" i="98" s="1"/>
  <c r="C50" i="98" s="1"/>
  <c r="C51" i="98" s="1"/>
  <c r="C52" i="98" s="1"/>
  <c r="C53" i="98" s="1"/>
  <c r="C54" i="98" s="1"/>
  <c r="C55" i="98" s="1"/>
  <c r="C56" i="98" s="1"/>
  <c r="C57" i="98" s="1"/>
  <c r="C58" i="98" s="1"/>
  <c r="C59" i="98" s="1"/>
  <c r="C60" i="98" s="1"/>
  <c r="C61" i="98" s="1"/>
  <c r="C62" i="98" s="1"/>
  <c r="H16" i="98"/>
  <c r="K16" i="98" s="1"/>
  <c r="H15" i="98"/>
  <c r="H14" i="98"/>
  <c r="K14" i="98" s="1"/>
  <c r="H13" i="98"/>
  <c r="K13" i="98" s="1"/>
  <c r="C10" i="98"/>
  <c r="D31" i="97"/>
  <c r="E26" i="97"/>
  <c r="E24" i="97"/>
  <c r="E23" i="97"/>
  <c r="E22" i="97"/>
  <c r="E18" i="97"/>
  <c r="C31" i="97" s="1"/>
  <c r="E17" i="97"/>
  <c r="E16" i="97"/>
  <c r="E15" i="97"/>
  <c r="E14" i="97"/>
  <c r="T360" i="96"/>
  <c r="K360" i="96"/>
  <c r="T359" i="96"/>
  <c r="K359" i="96"/>
  <c r="T358" i="96"/>
  <c r="K358" i="96"/>
  <c r="T357" i="96"/>
  <c r="K357" i="96"/>
  <c r="T356" i="96"/>
  <c r="K356" i="96"/>
  <c r="T355" i="96"/>
  <c r="K355" i="96"/>
  <c r="T354" i="96"/>
  <c r="K354" i="96"/>
  <c r="T353" i="96"/>
  <c r="K353" i="96"/>
  <c r="T352" i="96"/>
  <c r="K352" i="96"/>
  <c r="T351" i="96"/>
  <c r="K351" i="96"/>
  <c r="T350" i="96"/>
  <c r="K350" i="96"/>
  <c r="T349" i="96"/>
  <c r="K349" i="96"/>
  <c r="T348" i="96"/>
  <c r="K348" i="96"/>
  <c r="T347" i="96"/>
  <c r="K347" i="96"/>
  <c r="T346" i="96"/>
  <c r="K346" i="96"/>
  <c r="T345" i="96"/>
  <c r="K345" i="96"/>
  <c r="T344" i="96"/>
  <c r="K344" i="96"/>
  <c r="T343" i="96"/>
  <c r="K343" i="96"/>
  <c r="T342" i="96"/>
  <c r="K342" i="96"/>
  <c r="T341" i="96"/>
  <c r="K341" i="96"/>
  <c r="T340" i="96"/>
  <c r="K340" i="96"/>
  <c r="T339" i="96"/>
  <c r="K339" i="96"/>
  <c r="T338" i="96"/>
  <c r="K338" i="96"/>
  <c r="T337" i="96"/>
  <c r="K337" i="96"/>
  <c r="T336" i="96"/>
  <c r="K336" i="96"/>
  <c r="T335" i="96"/>
  <c r="K335" i="96"/>
  <c r="T334" i="96"/>
  <c r="K334" i="96"/>
  <c r="T333" i="96"/>
  <c r="K333" i="96"/>
  <c r="T332" i="96"/>
  <c r="K332" i="96"/>
  <c r="T331" i="96"/>
  <c r="K331" i="96"/>
  <c r="T330" i="96"/>
  <c r="K330" i="96"/>
  <c r="T329" i="96"/>
  <c r="K329" i="96"/>
  <c r="T328" i="96"/>
  <c r="K328" i="96"/>
  <c r="T327" i="96"/>
  <c r="K327" i="96"/>
  <c r="T326" i="96"/>
  <c r="K326" i="96"/>
  <c r="T325" i="96"/>
  <c r="K325" i="96"/>
  <c r="T324" i="96"/>
  <c r="K324" i="96"/>
  <c r="T323" i="96"/>
  <c r="K323" i="96"/>
  <c r="T322" i="96"/>
  <c r="K322" i="96"/>
  <c r="T321" i="96"/>
  <c r="K321" i="96"/>
  <c r="T320" i="96"/>
  <c r="K320" i="96"/>
  <c r="T319" i="96"/>
  <c r="K319" i="96"/>
  <c r="T318" i="96"/>
  <c r="K318" i="96"/>
  <c r="T317" i="96"/>
  <c r="K317" i="96"/>
  <c r="T316" i="96"/>
  <c r="K316" i="96"/>
  <c r="T315" i="96"/>
  <c r="K315" i="96"/>
  <c r="T314" i="96"/>
  <c r="K314" i="96"/>
  <c r="T313" i="96"/>
  <c r="K313" i="96"/>
  <c r="T312" i="96"/>
  <c r="K312" i="96"/>
  <c r="T311" i="96"/>
  <c r="K311" i="96"/>
  <c r="T310" i="96"/>
  <c r="K310" i="96"/>
  <c r="T309" i="96"/>
  <c r="K309" i="96"/>
  <c r="T308" i="96"/>
  <c r="K308" i="96"/>
  <c r="T307" i="96"/>
  <c r="K307" i="96"/>
  <c r="T306" i="96"/>
  <c r="K306" i="96"/>
  <c r="T305" i="96"/>
  <c r="K305" i="96"/>
  <c r="T304" i="96"/>
  <c r="K304" i="96"/>
  <c r="T303" i="96"/>
  <c r="K303" i="96"/>
  <c r="T302" i="96"/>
  <c r="K302" i="96"/>
  <c r="T301" i="96"/>
  <c r="K301" i="96"/>
  <c r="T300" i="96"/>
  <c r="K300" i="96"/>
  <c r="T299" i="96"/>
  <c r="K299" i="96"/>
  <c r="T298" i="96"/>
  <c r="K298" i="96"/>
  <c r="T297" i="96"/>
  <c r="K297" i="96"/>
  <c r="T296" i="96"/>
  <c r="K296" i="96"/>
  <c r="T295" i="96"/>
  <c r="K295" i="96"/>
  <c r="T294" i="96"/>
  <c r="K294" i="96"/>
  <c r="T293" i="96"/>
  <c r="K293" i="96"/>
  <c r="T292" i="96"/>
  <c r="K292" i="96"/>
  <c r="T291" i="96"/>
  <c r="K291" i="96"/>
  <c r="T290" i="96"/>
  <c r="K290" i="96"/>
  <c r="T289" i="96"/>
  <c r="K289" i="96"/>
  <c r="T288" i="96"/>
  <c r="K288" i="96"/>
  <c r="T287" i="96"/>
  <c r="K287" i="96"/>
  <c r="T286" i="96"/>
  <c r="K286" i="96"/>
  <c r="T285" i="96"/>
  <c r="K285" i="96"/>
  <c r="T284" i="96"/>
  <c r="K284" i="96"/>
  <c r="T283" i="96"/>
  <c r="K283" i="96"/>
  <c r="T282" i="96"/>
  <c r="K282" i="96"/>
  <c r="T281" i="96"/>
  <c r="K281" i="96"/>
  <c r="T280" i="96"/>
  <c r="K280" i="96"/>
  <c r="T279" i="96"/>
  <c r="K279" i="96"/>
  <c r="T278" i="96"/>
  <c r="K278" i="96"/>
  <c r="T277" i="96"/>
  <c r="K277" i="96"/>
  <c r="T276" i="96"/>
  <c r="K276" i="96"/>
  <c r="T275" i="96"/>
  <c r="K275" i="96"/>
  <c r="T274" i="96"/>
  <c r="K274" i="96"/>
  <c r="T273" i="96"/>
  <c r="K273" i="96"/>
  <c r="T272" i="96"/>
  <c r="K272" i="96"/>
  <c r="T271" i="96"/>
  <c r="K271" i="96"/>
  <c r="T270" i="96"/>
  <c r="K270" i="96"/>
  <c r="T269" i="96"/>
  <c r="K269" i="96"/>
  <c r="T268" i="96"/>
  <c r="K268" i="96"/>
  <c r="T267" i="96"/>
  <c r="K267" i="96"/>
  <c r="T266" i="96"/>
  <c r="K266" i="96"/>
  <c r="T265" i="96"/>
  <c r="K265" i="96"/>
  <c r="T264" i="96"/>
  <c r="K264" i="96"/>
  <c r="T263" i="96"/>
  <c r="K263" i="96"/>
  <c r="T262" i="96"/>
  <c r="K262" i="96"/>
  <c r="T261" i="96"/>
  <c r="K261" i="96"/>
  <c r="T260" i="96"/>
  <c r="K260" i="96"/>
  <c r="T259" i="96"/>
  <c r="K259" i="96"/>
  <c r="T258" i="96"/>
  <c r="K258" i="96"/>
  <c r="T257" i="96"/>
  <c r="K257" i="96"/>
  <c r="T256" i="96"/>
  <c r="K256" i="96"/>
  <c r="T255" i="96"/>
  <c r="K255" i="96"/>
  <c r="T254" i="96"/>
  <c r="K254" i="96"/>
  <c r="T253" i="96"/>
  <c r="K253" i="96"/>
  <c r="T252" i="96"/>
  <c r="K252" i="96"/>
  <c r="T251" i="96"/>
  <c r="K251" i="96"/>
  <c r="T250" i="96"/>
  <c r="K250" i="96"/>
  <c r="T249" i="96"/>
  <c r="K249" i="96"/>
  <c r="T248" i="96"/>
  <c r="K248" i="96"/>
  <c r="T247" i="96"/>
  <c r="K247" i="96"/>
  <c r="T246" i="96"/>
  <c r="K246" i="96"/>
  <c r="T245" i="96"/>
  <c r="K245" i="96"/>
  <c r="T244" i="96"/>
  <c r="K244" i="96"/>
  <c r="T243" i="96"/>
  <c r="K243" i="96"/>
  <c r="T242" i="96"/>
  <c r="K242" i="96"/>
  <c r="T241" i="96"/>
  <c r="K241" i="96"/>
  <c r="T240" i="96"/>
  <c r="K240" i="96"/>
  <c r="T239" i="96"/>
  <c r="K239" i="96"/>
  <c r="T238" i="96"/>
  <c r="K238" i="96"/>
  <c r="T237" i="96"/>
  <c r="K237" i="96"/>
  <c r="T236" i="96"/>
  <c r="K236" i="96"/>
  <c r="T235" i="96"/>
  <c r="K235" i="96"/>
  <c r="T234" i="96"/>
  <c r="K234" i="96"/>
  <c r="T233" i="96"/>
  <c r="K233" i="96"/>
  <c r="T232" i="96"/>
  <c r="K232" i="96"/>
  <c r="T231" i="96"/>
  <c r="K231" i="96"/>
  <c r="T230" i="96"/>
  <c r="K230" i="96"/>
  <c r="T229" i="96"/>
  <c r="K229" i="96"/>
  <c r="T228" i="96"/>
  <c r="K228" i="96"/>
  <c r="T227" i="96"/>
  <c r="K227" i="96"/>
  <c r="T226" i="96"/>
  <c r="K226" i="96"/>
  <c r="T225" i="96"/>
  <c r="K225" i="96"/>
  <c r="T224" i="96"/>
  <c r="K224" i="96"/>
  <c r="T223" i="96"/>
  <c r="K223" i="96"/>
  <c r="T222" i="96"/>
  <c r="K222" i="96"/>
  <c r="T221" i="96"/>
  <c r="K221" i="96"/>
  <c r="T220" i="96"/>
  <c r="K220" i="96"/>
  <c r="T219" i="96"/>
  <c r="K219" i="96"/>
  <c r="T218" i="96"/>
  <c r="K218" i="96"/>
  <c r="T217" i="96"/>
  <c r="K217" i="96"/>
  <c r="T216" i="96"/>
  <c r="K216" i="96"/>
  <c r="T215" i="96"/>
  <c r="K215" i="96"/>
  <c r="T214" i="96"/>
  <c r="K214" i="96"/>
  <c r="T213" i="96"/>
  <c r="K213" i="96"/>
  <c r="T212" i="96"/>
  <c r="K212" i="96"/>
  <c r="T211" i="96"/>
  <c r="K211" i="96"/>
  <c r="T210" i="96"/>
  <c r="K210" i="96"/>
  <c r="T209" i="96"/>
  <c r="K209" i="96"/>
  <c r="T208" i="96"/>
  <c r="K208" i="96"/>
  <c r="T207" i="96"/>
  <c r="K207" i="96"/>
  <c r="T206" i="96"/>
  <c r="K206" i="96"/>
  <c r="T205" i="96"/>
  <c r="K205" i="96"/>
  <c r="T204" i="96"/>
  <c r="K204" i="96"/>
  <c r="T203" i="96"/>
  <c r="K203" i="96"/>
  <c r="T202" i="96"/>
  <c r="K202" i="96"/>
  <c r="T201" i="96"/>
  <c r="K201" i="96"/>
  <c r="T200" i="96"/>
  <c r="K200" i="96"/>
  <c r="T199" i="96"/>
  <c r="K199" i="96"/>
  <c r="T198" i="96"/>
  <c r="K198" i="96"/>
  <c r="T197" i="96"/>
  <c r="K197" i="96"/>
  <c r="T196" i="96"/>
  <c r="K196" i="96"/>
  <c r="T195" i="96"/>
  <c r="K195" i="96"/>
  <c r="T194" i="96"/>
  <c r="K194" i="96"/>
  <c r="T193" i="96"/>
  <c r="K193" i="96"/>
  <c r="T192" i="96"/>
  <c r="K192" i="96"/>
  <c r="T191" i="96"/>
  <c r="K191" i="96"/>
  <c r="T190" i="96"/>
  <c r="K190" i="96"/>
  <c r="T189" i="96"/>
  <c r="K189" i="96"/>
  <c r="T188" i="96"/>
  <c r="K188" i="96"/>
  <c r="T187" i="96"/>
  <c r="K187" i="96"/>
  <c r="T186" i="96"/>
  <c r="K186" i="96"/>
  <c r="T185" i="96"/>
  <c r="K185" i="96"/>
  <c r="T184" i="96"/>
  <c r="K184" i="96"/>
  <c r="T183" i="96"/>
  <c r="K183" i="96"/>
  <c r="T182" i="96"/>
  <c r="K182" i="96"/>
  <c r="T181" i="96"/>
  <c r="K181" i="96"/>
  <c r="T180" i="96"/>
  <c r="K180" i="96"/>
  <c r="T179" i="96"/>
  <c r="K179" i="96"/>
  <c r="T178" i="96"/>
  <c r="K178" i="96"/>
  <c r="T177" i="96"/>
  <c r="K177" i="96"/>
  <c r="T176" i="96"/>
  <c r="K176" i="96"/>
  <c r="T175" i="96"/>
  <c r="K175" i="96"/>
  <c r="T174" i="96"/>
  <c r="K174" i="96"/>
  <c r="T173" i="96"/>
  <c r="K173" i="96"/>
  <c r="T172" i="96"/>
  <c r="K172" i="96"/>
  <c r="T171" i="96"/>
  <c r="K171" i="96"/>
  <c r="T170" i="96"/>
  <c r="K170" i="96"/>
  <c r="T169" i="96"/>
  <c r="K169" i="96"/>
  <c r="T168" i="96"/>
  <c r="K168" i="96"/>
  <c r="T167" i="96"/>
  <c r="K167" i="96"/>
  <c r="T166" i="96"/>
  <c r="K166" i="96"/>
  <c r="T165" i="96"/>
  <c r="K165" i="96"/>
  <c r="T164" i="96"/>
  <c r="K164" i="96"/>
  <c r="T163" i="96"/>
  <c r="K163" i="96"/>
  <c r="T162" i="96"/>
  <c r="K162" i="96"/>
  <c r="T161" i="96"/>
  <c r="K161" i="96"/>
  <c r="T160" i="96"/>
  <c r="K160" i="96"/>
  <c r="T159" i="96"/>
  <c r="K159" i="96"/>
  <c r="T158" i="96"/>
  <c r="K158" i="96"/>
  <c r="T157" i="96"/>
  <c r="K157" i="96"/>
  <c r="T156" i="96"/>
  <c r="K156" i="96"/>
  <c r="T155" i="96"/>
  <c r="K155" i="96"/>
  <c r="T154" i="96"/>
  <c r="K154" i="96"/>
  <c r="T153" i="96"/>
  <c r="K153" i="96"/>
  <c r="T152" i="96"/>
  <c r="K152" i="96"/>
  <c r="T151" i="96"/>
  <c r="K151" i="96"/>
  <c r="T150" i="96"/>
  <c r="K150" i="96"/>
  <c r="T149" i="96"/>
  <c r="K149" i="96"/>
  <c r="T148" i="96"/>
  <c r="K148" i="96"/>
  <c r="T147" i="96"/>
  <c r="K147" i="96"/>
  <c r="T146" i="96"/>
  <c r="K146" i="96"/>
  <c r="T145" i="96"/>
  <c r="K145" i="96"/>
  <c r="T144" i="96"/>
  <c r="K144" i="96"/>
  <c r="T143" i="96"/>
  <c r="K143" i="96"/>
  <c r="T142" i="96"/>
  <c r="K142" i="96"/>
  <c r="T141" i="96"/>
  <c r="K141" i="96"/>
  <c r="T140" i="96"/>
  <c r="K140" i="96"/>
  <c r="T139" i="96"/>
  <c r="K139" i="96"/>
  <c r="T138" i="96"/>
  <c r="K138" i="96"/>
  <c r="T137" i="96"/>
  <c r="K137" i="96"/>
  <c r="T136" i="96"/>
  <c r="K136" i="96"/>
  <c r="T135" i="96"/>
  <c r="K135" i="96"/>
  <c r="T134" i="96"/>
  <c r="K134" i="96"/>
  <c r="T133" i="96"/>
  <c r="K133" i="96"/>
  <c r="T132" i="96"/>
  <c r="K132" i="96"/>
  <c r="T131" i="96"/>
  <c r="K131" i="96"/>
  <c r="T130" i="96"/>
  <c r="K130" i="96"/>
  <c r="T129" i="96"/>
  <c r="K129" i="96"/>
  <c r="T128" i="96"/>
  <c r="K128" i="96"/>
  <c r="T127" i="96"/>
  <c r="K127" i="96"/>
  <c r="T126" i="96"/>
  <c r="K126" i="96"/>
  <c r="T125" i="96"/>
  <c r="K125" i="96"/>
  <c r="T124" i="96"/>
  <c r="K124" i="96"/>
  <c r="T123" i="96"/>
  <c r="K123" i="96"/>
  <c r="T122" i="96"/>
  <c r="K122" i="96"/>
  <c r="T121" i="96"/>
  <c r="K121" i="96"/>
  <c r="T120" i="96"/>
  <c r="K120" i="96"/>
  <c r="T119" i="96"/>
  <c r="K119" i="96"/>
  <c r="T118" i="96"/>
  <c r="K118" i="96"/>
  <c r="T117" i="96"/>
  <c r="K117" i="96"/>
  <c r="T116" i="96"/>
  <c r="K116" i="96"/>
  <c r="T115" i="96"/>
  <c r="K115" i="96"/>
  <c r="T114" i="96"/>
  <c r="K114" i="96"/>
  <c r="T113" i="96"/>
  <c r="K113" i="96"/>
  <c r="T112" i="96"/>
  <c r="K112" i="96"/>
  <c r="T111" i="96"/>
  <c r="K111" i="96"/>
  <c r="T110" i="96"/>
  <c r="K110" i="96"/>
  <c r="T109" i="96"/>
  <c r="K109" i="96"/>
  <c r="T108" i="96"/>
  <c r="K108" i="96"/>
  <c r="T107" i="96"/>
  <c r="K107" i="96"/>
  <c r="T106" i="96"/>
  <c r="K106" i="96"/>
  <c r="T105" i="96"/>
  <c r="K105" i="96"/>
  <c r="T104" i="96"/>
  <c r="K104" i="96"/>
  <c r="T103" i="96"/>
  <c r="K103" i="96"/>
  <c r="T102" i="96"/>
  <c r="K102" i="96"/>
  <c r="T101" i="96"/>
  <c r="K101" i="96"/>
  <c r="T100" i="96"/>
  <c r="K100" i="96"/>
  <c r="T99" i="96"/>
  <c r="K99" i="96"/>
  <c r="T98" i="96"/>
  <c r="K98" i="96"/>
  <c r="T97" i="96"/>
  <c r="K97" i="96"/>
  <c r="T96" i="96"/>
  <c r="K96" i="96"/>
  <c r="T95" i="96"/>
  <c r="K95" i="96"/>
  <c r="T94" i="96"/>
  <c r="K94" i="96"/>
  <c r="T93" i="96"/>
  <c r="K93" i="96"/>
  <c r="T92" i="96"/>
  <c r="K92" i="96"/>
  <c r="T91" i="96"/>
  <c r="K91" i="96"/>
  <c r="T90" i="96"/>
  <c r="K90" i="96"/>
  <c r="T89" i="96"/>
  <c r="K89" i="96"/>
  <c r="T88" i="96"/>
  <c r="K88" i="96"/>
  <c r="T87" i="96"/>
  <c r="K87" i="96"/>
  <c r="T86" i="96"/>
  <c r="K86" i="96"/>
  <c r="T85" i="96"/>
  <c r="K85" i="96"/>
  <c r="T84" i="96"/>
  <c r="K84" i="96"/>
  <c r="T83" i="96"/>
  <c r="K83" i="96"/>
  <c r="T82" i="96"/>
  <c r="K82" i="96"/>
  <c r="T81" i="96"/>
  <c r="K81" i="96"/>
  <c r="T80" i="96"/>
  <c r="K80" i="96"/>
  <c r="T79" i="96"/>
  <c r="K79" i="96"/>
  <c r="T78" i="96"/>
  <c r="K78" i="96"/>
  <c r="T77" i="96"/>
  <c r="K77" i="96"/>
  <c r="T76" i="96"/>
  <c r="K76" i="96"/>
  <c r="T75" i="96"/>
  <c r="K75" i="96"/>
  <c r="T74" i="96"/>
  <c r="K74" i="96"/>
  <c r="T73" i="96"/>
  <c r="K73" i="96"/>
  <c r="T72" i="96"/>
  <c r="K72" i="96"/>
  <c r="T71" i="96"/>
  <c r="K71" i="96"/>
  <c r="T70" i="96"/>
  <c r="K70" i="96"/>
  <c r="T69" i="96"/>
  <c r="K69" i="96"/>
  <c r="T68" i="96"/>
  <c r="K68" i="96"/>
  <c r="T67" i="96"/>
  <c r="K67" i="96"/>
  <c r="T66" i="96"/>
  <c r="K66" i="96"/>
  <c r="T65" i="96"/>
  <c r="K65" i="96"/>
  <c r="T64" i="96"/>
  <c r="K64" i="96"/>
  <c r="T63" i="96"/>
  <c r="K63" i="96"/>
  <c r="T62" i="96"/>
  <c r="K62" i="96"/>
  <c r="T61" i="96"/>
  <c r="K61" i="96"/>
  <c r="T60" i="96"/>
  <c r="K60" i="96"/>
  <c r="T59" i="96"/>
  <c r="K59" i="96"/>
  <c r="T58" i="96"/>
  <c r="K58" i="96"/>
  <c r="T57" i="96"/>
  <c r="K57" i="96"/>
  <c r="T56" i="96"/>
  <c r="K56" i="96"/>
  <c r="T55" i="96"/>
  <c r="K55" i="96"/>
  <c r="T54" i="96"/>
  <c r="K54" i="96"/>
  <c r="T53" i="96"/>
  <c r="K53" i="96"/>
  <c r="T52" i="96"/>
  <c r="K52" i="96"/>
  <c r="T51" i="96"/>
  <c r="K51" i="96"/>
  <c r="T50" i="96"/>
  <c r="K50" i="96"/>
  <c r="T49" i="96"/>
  <c r="K49" i="96"/>
  <c r="T48" i="96"/>
  <c r="K48" i="96"/>
  <c r="T47" i="96"/>
  <c r="K47" i="96"/>
  <c r="T46" i="96"/>
  <c r="K46" i="96"/>
  <c r="T45" i="96"/>
  <c r="K45" i="96"/>
  <c r="T44" i="96"/>
  <c r="K44" i="96"/>
  <c r="T43" i="96"/>
  <c r="K43" i="96"/>
  <c r="T42" i="96"/>
  <c r="K42" i="96"/>
  <c r="T41" i="96"/>
  <c r="K41" i="96"/>
  <c r="T40" i="96"/>
  <c r="K40" i="96"/>
  <c r="T39" i="96"/>
  <c r="K39" i="96"/>
  <c r="T38" i="96"/>
  <c r="K38" i="96"/>
  <c r="T37" i="96"/>
  <c r="K37" i="96"/>
  <c r="T36" i="96"/>
  <c r="K36" i="96"/>
  <c r="T35" i="96"/>
  <c r="K35" i="96"/>
  <c r="T34" i="96"/>
  <c r="K34" i="96"/>
  <c r="K33" i="96"/>
  <c r="K32" i="96"/>
  <c r="K31" i="96"/>
  <c r="K30" i="96"/>
  <c r="S29" i="96"/>
  <c r="R29" i="96"/>
  <c r="I29" i="96"/>
  <c r="K29" i="96" s="1"/>
  <c r="L29" i="96" s="1"/>
  <c r="C41" i="95"/>
  <c r="D42" i="95" s="1"/>
  <c r="D62" i="94"/>
  <c r="D31" i="94" s="1"/>
  <c r="C62" i="94"/>
  <c r="C33" i="94" s="1"/>
  <c r="C31" i="94"/>
  <c r="H29" i="94"/>
  <c r="G29" i="94"/>
  <c r="F29" i="94"/>
  <c r="E29" i="94"/>
  <c r="G28" i="94"/>
  <c r="F28" i="94"/>
  <c r="E28" i="94"/>
  <c r="G26" i="94"/>
  <c r="E26" i="94"/>
  <c r="G23" i="94"/>
  <c r="F23" i="94"/>
  <c r="E23" i="94"/>
  <c r="G22" i="94"/>
  <c r="F22" i="94"/>
  <c r="J20" i="94"/>
  <c r="D25" i="94" s="1"/>
  <c r="D26" i="94" s="1"/>
  <c r="G20" i="94"/>
  <c r="J19" i="94"/>
  <c r="D18" i="94"/>
  <c r="C18" i="94"/>
  <c r="J15" i="94"/>
  <c r="G14" i="94"/>
  <c r="F14" i="94"/>
  <c r="M12" i="94"/>
  <c r="D12" i="94"/>
  <c r="C12" i="94"/>
  <c r="F14" i="93"/>
  <c r="E14" i="93"/>
  <c r="D14" i="93"/>
  <c r="C14" i="93"/>
  <c r="F13" i="93"/>
  <c r="E13" i="93"/>
  <c r="D13" i="93"/>
  <c r="C13" i="93"/>
  <c r="D27" i="94" l="1"/>
  <c r="D33" i="94"/>
  <c r="Q32" i="96"/>
  <c r="L32" i="96"/>
  <c r="Q35" i="96"/>
  <c r="L35" i="96"/>
  <c r="Q37" i="96"/>
  <c r="L37" i="96"/>
  <c r="Q39" i="96"/>
  <c r="L39" i="96"/>
  <c r="Q41" i="96"/>
  <c r="L41" i="96"/>
  <c r="Q43" i="96"/>
  <c r="L43" i="96"/>
  <c r="Q45" i="96"/>
  <c r="L45" i="96"/>
  <c r="Q47" i="96"/>
  <c r="L47" i="96"/>
  <c r="Q49" i="96"/>
  <c r="L49" i="96"/>
  <c r="Q51" i="96"/>
  <c r="L51" i="96"/>
  <c r="Q53" i="96"/>
  <c r="L53" i="96"/>
  <c r="Q55" i="96"/>
  <c r="L55" i="96"/>
  <c r="Q57" i="96"/>
  <c r="L57" i="96"/>
  <c r="Q59" i="96"/>
  <c r="L59" i="96"/>
  <c r="Q61" i="96"/>
  <c r="L61" i="96"/>
  <c r="Q63" i="96"/>
  <c r="L63" i="96"/>
  <c r="Q65" i="96"/>
  <c r="L65" i="96"/>
  <c r="Q67" i="96"/>
  <c r="L67" i="96"/>
  <c r="Q69" i="96"/>
  <c r="L69" i="96"/>
  <c r="Q71" i="96"/>
  <c r="L71" i="96"/>
  <c r="Q73" i="96"/>
  <c r="L73" i="96"/>
  <c r="Q75" i="96"/>
  <c r="L75" i="96"/>
  <c r="Q77" i="96"/>
  <c r="L77" i="96"/>
  <c r="Q79" i="96"/>
  <c r="L79" i="96"/>
  <c r="Q81" i="96"/>
  <c r="L81" i="96"/>
  <c r="Q83" i="96"/>
  <c r="L83" i="96"/>
  <c r="Q85" i="96"/>
  <c r="L85" i="96"/>
  <c r="Q87" i="96"/>
  <c r="L87" i="96"/>
  <c r="Q89" i="96"/>
  <c r="L89" i="96"/>
  <c r="Q91" i="96"/>
  <c r="L91" i="96"/>
  <c r="Q93" i="96"/>
  <c r="L93" i="96"/>
  <c r="Q95" i="96"/>
  <c r="L95" i="96"/>
  <c r="Q97" i="96"/>
  <c r="L97" i="96"/>
  <c r="Q99" i="96"/>
  <c r="L99" i="96"/>
  <c r="Q101" i="96"/>
  <c r="L101" i="96"/>
  <c r="Q103" i="96"/>
  <c r="L103" i="96"/>
  <c r="Q105" i="96"/>
  <c r="L105" i="96"/>
  <c r="Q107" i="96"/>
  <c r="L107" i="96"/>
  <c r="Q109" i="96"/>
  <c r="L109" i="96"/>
  <c r="Q111" i="96"/>
  <c r="L111" i="96"/>
  <c r="Q113" i="96"/>
  <c r="L113" i="96"/>
  <c r="Q115" i="96"/>
  <c r="L115" i="96"/>
  <c r="Q117" i="96"/>
  <c r="L117" i="96"/>
  <c r="Q119" i="96"/>
  <c r="L119" i="96"/>
  <c r="Q121" i="96"/>
  <c r="L121" i="96"/>
  <c r="Q123" i="96"/>
  <c r="L123" i="96"/>
  <c r="Q125" i="96"/>
  <c r="L125" i="96"/>
  <c r="Q127" i="96"/>
  <c r="L127" i="96"/>
  <c r="Q129" i="96"/>
  <c r="L129" i="96"/>
  <c r="Q131" i="96"/>
  <c r="L131" i="96"/>
  <c r="Q133" i="96"/>
  <c r="L133" i="96"/>
  <c r="Q135" i="96"/>
  <c r="L135" i="96"/>
  <c r="Q137" i="96"/>
  <c r="L137" i="96"/>
  <c r="Q139" i="96"/>
  <c r="L139" i="96"/>
  <c r="Q141" i="96"/>
  <c r="L141" i="96"/>
  <c r="Q143" i="96"/>
  <c r="L143" i="96"/>
  <c r="Q145" i="96"/>
  <c r="L145" i="96"/>
  <c r="Q147" i="96"/>
  <c r="L147" i="96"/>
  <c r="Q149" i="96"/>
  <c r="L149" i="96"/>
  <c r="Q151" i="96"/>
  <c r="L151" i="96"/>
  <c r="Q153" i="96"/>
  <c r="L153" i="96"/>
  <c r="Q155" i="96"/>
  <c r="L155" i="96"/>
  <c r="Q157" i="96"/>
  <c r="L157" i="96"/>
  <c r="Q159" i="96"/>
  <c r="L159" i="96"/>
  <c r="Q161" i="96"/>
  <c r="L161" i="96"/>
  <c r="Q163" i="96"/>
  <c r="L163" i="96"/>
  <c r="Q165" i="96"/>
  <c r="L165" i="96"/>
  <c r="Q167" i="96"/>
  <c r="L167" i="96"/>
  <c r="Q169" i="96"/>
  <c r="L169" i="96"/>
  <c r="Q171" i="96"/>
  <c r="L171" i="96"/>
  <c r="Q173" i="96"/>
  <c r="L173" i="96"/>
  <c r="Q175" i="96"/>
  <c r="L175" i="96"/>
  <c r="Q177" i="96"/>
  <c r="L177" i="96"/>
  <c r="Q179" i="96"/>
  <c r="L179" i="96"/>
  <c r="Q181" i="96"/>
  <c r="L181" i="96"/>
  <c r="Q183" i="96"/>
  <c r="L183" i="96"/>
  <c r="Q185" i="96"/>
  <c r="L185" i="96"/>
  <c r="Q187" i="96"/>
  <c r="L187" i="96"/>
  <c r="Q189" i="96"/>
  <c r="L189" i="96"/>
  <c r="Q191" i="96"/>
  <c r="L191" i="96"/>
  <c r="Q193" i="96"/>
  <c r="L193" i="96"/>
  <c r="Q195" i="96"/>
  <c r="L195" i="96"/>
  <c r="Q197" i="96"/>
  <c r="L197" i="96"/>
  <c r="Q199" i="96"/>
  <c r="L199" i="96"/>
  <c r="Q201" i="96"/>
  <c r="L201" i="96"/>
  <c r="Q203" i="96"/>
  <c r="L203" i="96"/>
  <c r="Q205" i="96"/>
  <c r="L205" i="96"/>
  <c r="Q207" i="96"/>
  <c r="L207" i="96"/>
  <c r="Q209" i="96"/>
  <c r="L209" i="96"/>
  <c r="Q211" i="96"/>
  <c r="L211" i="96"/>
  <c r="Q213" i="96"/>
  <c r="L213" i="96"/>
  <c r="Q215" i="96"/>
  <c r="L215" i="96"/>
  <c r="Q217" i="96"/>
  <c r="L217" i="96"/>
  <c r="Q219" i="96"/>
  <c r="L219" i="96"/>
  <c r="Q221" i="96"/>
  <c r="L221" i="96"/>
  <c r="Q223" i="96"/>
  <c r="L223" i="96"/>
  <c r="Q225" i="96"/>
  <c r="L225" i="96"/>
  <c r="Q227" i="96"/>
  <c r="L227" i="96"/>
  <c r="Q229" i="96"/>
  <c r="L229" i="96"/>
  <c r="Q231" i="96"/>
  <c r="L231" i="96"/>
  <c r="Q233" i="96"/>
  <c r="L233" i="96"/>
  <c r="Q235" i="96"/>
  <c r="L235" i="96"/>
  <c r="Q237" i="96"/>
  <c r="L237" i="96"/>
  <c r="Q239" i="96"/>
  <c r="L239" i="96"/>
  <c r="Q241" i="96"/>
  <c r="L241" i="96"/>
  <c r="Q243" i="96"/>
  <c r="L243" i="96"/>
  <c r="Q245" i="96"/>
  <c r="L245" i="96"/>
  <c r="Q247" i="96"/>
  <c r="L247" i="96"/>
  <c r="Q249" i="96"/>
  <c r="L249" i="96"/>
  <c r="Q251" i="96"/>
  <c r="L251" i="96"/>
  <c r="Q253" i="96"/>
  <c r="L253" i="96"/>
  <c r="Q255" i="96"/>
  <c r="L255" i="96"/>
  <c r="Q257" i="96"/>
  <c r="L257" i="96"/>
  <c r="Q259" i="96"/>
  <c r="L259" i="96"/>
  <c r="Q261" i="96"/>
  <c r="L261" i="96"/>
  <c r="Q263" i="96"/>
  <c r="L263" i="96"/>
  <c r="Q265" i="96"/>
  <c r="L265" i="96"/>
  <c r="Q267" i="96"/>
  <c r="L267" i="96"/>
  <c r="Q269" i="96"/>
  <c r="L269" i="96"/>
  <c r="Q271" i="96"/>
  <c r="L271" i="96"/>
  <c r="Q273" i="96"/>
  <c r="L273" i="96"/>
  <c r="Q275" i="96"/>
  <c r="L275" i="96"/>
  <c r="Q277" i="96"/>
  <c r="L277" i="96"/>
  <c r="Q279" i="96"/>
  <c r="L279" i="96"/>
  <c r="Q281" i="96"/>
  <c r="L281" i="96"/>
  <c r="Q283" i="96"/>
  <c r="L283" i="96"/>
  <c r="Q285" i="96"/>
  <c r="L285" i="96"/>
  <c r="Q287" i="96"/>
  <c r="L287" i="96"/>
  <c r="Q289" i="96"/>
  <c r="L289" i="96"/>
  <c r="Q291" i="96"/>
  <c r="L291" i="96"/>
  <c r="Q293" i="96"/>
  <c r="L293" i="96"/>
  <c r="Q295" i="96"/>
  <c r="L295" i="96"/>
  <c r="Q297" i="96"/>
  <c r="L297" i="96"/>
  <c r="Q299" i="96"/>
  <c r="L299" i="96"/>
  <c r="Q301" i="96"/>
  <c r="L301" i="96"/>
  <c r="Q303" i="96"/>
  <c r="L303" i="96"/>
  <c r="Q305" i="96"/>
  <c r="L305" i="96"/>
  <c r="Q307" i="96"/>
  <c r="L307" i="96"/>
  <c r="Q309" i="96"/>
  <c r="L309" i="96"/>
  <c r="Q311" i="96"/>
  <c r="L311" i="96"/>
  <c r="Q313" i="96"/>
  <c r="L313" i="96"/>
  <c r="Q315" i="96"/>
  <c r="L315" i="96"/>
  <c r="Q317" i="96"/>
  <c r="L317" i="96"/>
  <c r="Q319" i="96"/>
  <c r="L319" i="96"/>
  <c r="Q321" i="96"/>
  <c r="L321" i="96"/>
  <c r="Q323" i="96"/>
  <c r="L323" i="96"/>
  <c r="Q325" i="96"/>
  <c r="L325" i="96"/>
  <c r="Q327" i="96"/>
  <c r="L327" i="96"/>
  <c r="Q329" i="96"/>
  <c r="L329" i="96"/>
  <c r="Q331" i="96"/>
  <c r="L331" i="96"/>
  <c r="Q333" i="96"/>
  <c r="L333" i="96"/>
  <c r="Q335" i="96"/>
  <c r="L335" i="96"/>
  <c r="Q337" i="96"/>
  <c r="L337" i="96"/>
  <c r="Q339" i="96"/>
  <c r="L339" i="96"/>
  <c r="Q341" i="96"/>
  <c r="L341" i="96"/>
  <c r="Q343" i="96"/>
  <c r="L343" i="96"/>
  <c r="Q345" i="96"/>
  <c r="L345" i="96"/>
  <c r="Q347" i="96"/>
  <c r="L347" i="96"/>
  <c r="Q349" i="96"/>
  <c r="L349" i="96"/>
  <c r="Q351" i="96"/>
  <c r="L351" i="96"/>
  <c r="Q353" i="96"/>
  <c r="L353" i="96"/>
  <c r="Q355" i="96"/>
  <c r="L355" i="96"/>
  <c r="Q357" i="96"/>
  <c r="L357" i="96"/>
  <c r="Q359" i="96"/>
  <c r="L359" i="96"/>
  <c r="Q33" i="96"/>
  <c r="L33" i="96"/>
  <c r="Q30" i="96"/>
  <c r="L30" i="96"/>
  <c r="J27" i="96"/>
  <c r="Q34" i="96"/>
  <c r="L34" i="96"/>
  <c r="Q36" i="96"/>
  <c r="L36" i="96"/>
  <c r="Q38" i="96"/>
  <c r="L38" i="96"/>
  <c r="Q40" i="96"/>
  <c r="L40" i="96"/>
  <c r="Q42" i="96"/>
  <c r="L42" i="96"/>
  <c r="Q44" i="96"/>
  <c r="L44" i="96"/>
  <c r="Q46" i="96"/>
  <c r="L46" i="96"/>
  <c r="Q48" i="96"/>
  <c r="L48" i="96"/>
  <c r="Q50" i="96"/>
  <c r="L50" i="96"/>
  <c r="Q52" i="96"/>
  <c r="L52" i="96"/>
  <c r="Q54" i="96"/>
  <c r="L54" i="96"/>
  <c r="Q56" i="96"/>
  <c r="L56" i="96"/>
  <c r="Q58" i="96"/>
  <c r="L58" i="96"/>
  <c r="Q60" i="96"/>
  <c r="L60" i="96"/>
  <c r="Q62" i="96"/>
  <c r="L62" i="96"/>
  <c r="Q64" i="96"/>
  <c r="L64" i="96"/>
  <c r="Q66" i="96"/>
  <c r="L66" i="96"/>
  <c r="Q68" i="96"/>
  <c r="L68" i="96"/>
  <c r="Q70" i="96"/>
  <c r="L70" i="96"/>
  <c r="Q72" i="96"/>
  <c r="L72" i="96"/>
  <c r="Q74" i="96"/>
  <c r="L74" i="96"/>
  <c r="Q76" i="96"/>
  <c r="L76" i="96"/>
  <c r="Q78" i="96"/>
  <c r="L78" i="96"/>
  <c r="Q80" i="96"/>
  <c r="L80" i="96"/>
  <c r="Q82" i="96"/>
  <c r="L82" i="96"/>
  <c r="Q84" i="96"/>
  <c r="L84" i="96"/>
  <c r="Q86" i="96"/>
  <c r="L86" i="96"/>
  <c r="Q88" i="96"/>
  <c r="L88" i="96"/>
  <c r="Q90" i="96"/>
  <c r="L90" i="96"/>
  <c r="Q92" i="96"/>
  <c r="L92" i="96"/>
  <c r="Q94" i="96"/>
  <c r="L94" i="96"/>
  <c r="Q96" i="96"/>
  <c r="L96" i="96"/>
  <c r="Q98" i="96"/>
  <c r="L98" i="96"/>
  <c r="Q100" i="96"/>
  <c r="L100" i="96"/>
  <c r="Q102" i="96"/>
  <c r="L102" i="96"/>
  <c r="Q104" i="96"/>
  <c r="L104" i="96"/>
  <c r="Q106" i="96"/>
  <c r="L106" i="96"/>
  <c r="Q108" i="96"/>
  <c r="L108" i="96"/>
  <c r="Q110" i="96"/>
  <c r="L110" i="96"/>
  <c r="Q112" i="96"/>
  <c r="L112" i="96"/>
  <c r="Q114" i="96"/>
  <c r="L114" i="96"/>
  <c r="Q116" i="96"/>
  <c r="L116" i="96"/>
  <c r="Q118" i="96"/>
  <c r="L118" i="96"/>
  <c r="Q120" i="96"/>
  <c r="L120" i="96"/>
  <c r="Q122" i="96"/>
  <c r="L122" i="96"/>
  <c r="Q124" i="96"/>
  <c r="L124" i="96"/>
  <c r="Q126" i="96"/>
  <c r="L126" i="96"/>
  <c r="Q128" i="96"/>
  <c r="L128" i="96"/>
  <c r="Q130" i="96"/>
  <c r="L130" i="96"/>
  <c r="Q132" i="96"/>
  <c r="L132" i="96"/>
  <c r="Q134" i="96"/>
  <c r="L134" i="96"/>
  <c r="Q136" i="96"/>
  <c r="L136" i="96"/>
  <c r="Q138" i="96"/>
  <c r="L138" i="96"/>
  <c r="Q140" i="96"/>
  <c r="L140" i="96"/>
  <c r="Q142" i="96"/>
  <c r="L142" i="96"/>
  <c r="Q144" i="96"/>
  <c r="L144" i="96"/>
  <c r="Q146" i="96"/>
  <c r="L146" i="96"/>
  <c r="Q148" i="96"/>
  <c r="L148" i="96"/>
  <c r="Q150" i="96"/>
  <c r="L150" i="96"/>
  <c r="Q152" i="96"/>
  <c r="L152" i="96"/>
  <c r="Q154" i="96"/>
  <c r="L154" i="96"/>
  <c r="Q156" i="96"/>
  <c r="L156" i="96"/>
  <c r="Q158" i="96"/>
  <c r="L158" i="96"/>
  <c r="Q160" i="96"/>
  <c r="L160" i="96"/>
  <c r="Q162" i="96"/>
  <c r="L162" i="96"/>
  <c r="Q164" i="96"/>
  <c r="L164" i="96"/>
  <c r="Q166" i="96"/>
  <c r="L166" i="96"/>
  <c r="Q168" i="96"/>
  <c r="L168" i="96"/>
  <c r="Q170" i="96"/>
  <c r="L170" i="96"/>
  <c r="Q172" i="96"/>
  <c r="L172" i="96"/>
  <c r="Q174" i="96"/>
  <c r="L174" i="96"/>
  <c r="Q176" i="96"/>
  <c r="L176" i="96"/>
  <c r="Q178" i="96"/>
  <c r="L178" i="96"/>
  <c r="Q180" i="96"/>
  <c r="L180" i="96"/>
  <c r="Q182" i="96"/>
  <c r="L182" i="96"/>
  <c r="Q184" i="96"/>
  <c r="L184" i="96"/>
  <c r="Q186" i="96"/>
  <c r="L186" i="96"/>
  <c r="Q188" i="96"/>
  <c r="L188" i="96"/>
  <c r="Q190" i="96"/>
  <c r="L190" i="96"/>
  <c r="Q192" i="96"/>
  <c r="L192" i="96"/>
  <c r="Q194" i="96"/>
  <c r="L194" i="96"/>
  <c r="Q196" i="96"/>
  <c r="L196" i="96"/>
  <c r="Q198" i="96"/>
  <c r="L198" i="96"/>
  <c r="Q200" i="96"/>
  <c r="L200" i="96"/>
  <c r="Q202" i="96"/>
  <c r="L202" i="96"/>
  <c r="Q204" i="96"/>
  <c r="L204" i="96"/>
  <c r="Q206" i="96"/>
  <c r="L206" i="96"/>
  <c r="Q208" i="96"/>
  <c r="L208" i="96"/>
  <c r="Q210" i="96"/>
  <c r="L210" i="96"/>
  <c r="Q212" i="96"/>
  <c r="L212" i="96"/>
  <c r="Q214" i="96"/>
  <c r="L214" i="96"/>
  <c r="Q216" i="96"/>
  <c r="L216" i="96"/>
  <c r="Q218" i="96"/>
  <c r="L218" i="96"/>
  <c r="Q220" i="96"/>
  <c r="L220" i="96"/>
  <c r="Q222" i="96"/>
  <c r="L222" i="96"/>
  <c r="Q224" i="96"/>
  <c r="L224" i="96"/>
  <c r="Q226" i="96"/>
  <c r="L226" i="96"/>
  <c r="Q228" i="96"/>
  <c r="L228" i="96"/>
  <c r="Q230" i="96"/>
  <c r="L230" i="96"/>
  <c r="Q232" i="96"/>
  <c r="L232" i="96"/>
  <c r="Q234" i="96"/>
  <c r="L234" i="96"/>
  <c r="Q236" i="96"/>
  <c r="L236" i="96"/>
  <c r="Q238" i="96"/>
  <c r="L238" i="96"/>
  <c r="Q240" i="96"/>
  <c r="L240" i="96"/>
  <c r="Q242" i="96"/>
  <c r="L242" i="96"/>
  <c r="Q244" i="96"/>
  <c r="L244" i="96"/>
  <c r="Q246" i="96"/>
  <c r="L246" i="96"/>
  <c r="Q248" i="96"/>
  <c r="L248" i="96"/>
  <c r="Q250" i="96"/>
  <c r="L250" i="96"/>
  <c r="Q252" i="96"/>
  <c r="L252" i="96"/>
  <c r="Q254" i="96"/>
  <c r="L254" i="96"/>
  <c r="Q256" i="96"/>
  <c r="L256" i="96"/>
  <c r="Q258" i="96"/>
  <c r="L258" i="96"/>
  <c r="Q260" i="96"/>
  <c r="L260" i="96"/>
  <c r="Q262" i="96"/>
  <c r="L262" i="96"/>
  <c r="Q264" i="96"/>
  <c r="L264" i="96"/>
  <c r="Q266" i="96"/>
  <c r="L266" i="96"/>
  <c r="Q268" i="96"/>
  <c r="L268" i="96"/>
  <c r="Q270" i="96"/>
  <c r="L270" i="96"/>
  <c r="Q272" i="96"/>
  <c r="L272" i="96"/>
  <c r="Q274" i="96"/>
  <c r="L274" i="96"/>
  <c r="Q276" i="96"/>
  <c r="L276" i="96"/>
  <c r="Q278" i="96"/>
  <c r="L278" i="96"/>
  <c r="Q280" i="96"/>
  <c r="L280" i="96"/>
  <c r="Q282" i="96"/>
  <c r="L282" i="96"/>
  <c r="Q284" i="96"/>
  <c r="L284" i="96"/>
  <c r="Q286" i="96"/>
  <c r="L286" i="96"/>
  <c r="Q288" i="96"/>
  <c r="L288" i="96"/>
  <c r="Q290" i="96"/>
  <c r="L290" i="96"/>
  <c r="Q292" i="96"/>
  <c r="L292" i="96"/>
  <c r="Q294" i="96"/>
  <c r="L294" i="96"/>
  <c r="Q296" i="96"/>
  <c r="L296" i="96"/>
  <c r="Q298" i="96"/>
  <c r="L298" i="96"/>
  <c r="Q300" i="96"/>
  <c r="L300" i="96"/>
  <c r="Q302" i="96"/>
  <c r="L302" i="96"/>
  <c r="Q304" i="96"/>
  <c r="L304" i="96"/>
  <c r="Q306" i="96"/>
  <c r="L306" i="96"/>
  <c r="Q308" i="96"/>
  <c r="L308" i="96"/>
  <c r="Q310" i="96"/>
  <c r="L310" i="96"/>
  <c r="Q312" i="96"/>
  <c r="L312" i="96"/>
  <c r="Q314" i="96"/>
  <c r="L314" i="96"/>
  <c r="Q316" i="96"/>
  <c r="L316" i="96"/>
  <c r="Q318" i="96"/>
  <c r="L318" i="96"/>
  <c r="Q320" i="96"/>
  <c r="L320" i="96"/>
  <c r="Q322" i="96"/>
  <c r="L322" i="96"/>
  <c r="Q324" i="96"/>
  <c r="L324" i="96"/>
  <c r="Q326" i="96"/>
  <c r="L326" i="96"/>
  <c r="Q328" i="96"/>
  <c r="L328" i="96"/>
  <c r="Q330" i="96"/>
  <c r="L330" i="96"/>
  <c r="Q332" i="96"/>
  <c r="L332" i="96"/>
  <c r="Q334" i="96"/>
  <c r="L334" i="96"/>
  <c r="Q336" i="96"/>
  <c r="L336" i="96"/>
  <c r="Q338" i="96"/>
  <c r="L338" i="96"/>
  <c r="Q340" i="96"/>
  <c r="L340" i="96"/>
  <c r="Q342" i="96"/>
  <c r="L342" i="96"/>
  <c r="Q344" i="96"/>
  <c r="L344" i="96"/>
  <c r="Q346" i="96"/>
  <c r="L346" i="96"/>
  <c r="Q348" i="96"/>
  <c r="L348" i="96"/>
  <c r="Q350" i="96"/>
  <c r="L350" i="96"/>
  <c r="Q352" i="96"/>
  <c r="L352" i="96"/>
  <c r="Q354" i="96"/>
  <c r="L354" i="96"/>
  <c r="Q356" i="96"/>
  <c r="L356" i="96"/>
  <c r="Q358" i="96"/>
  <c r="L358" i="96"/>
  <c r="Q360" i="96"/>
  <c r="L360" i="96"/>
  <c r="Q31" i="96"/>
  <c r="L31" i="96"/>
  <c r="J17" i="99"/>
  <c r="L17" i="99"/>
  <c r="J23" i="99"/>
  <c r="L23" i="99"/>
  <c r="J27" i="99"/>
  <c r="L27" i="99"/>
  <c r="J31" i="99"/>
  <c r="L31" i="99"/>
  <c r="J35" i="99"/>
  <c r="L35" i="99"/>
  <c r="J43" i="99"/>
  <c r="L43" i="99"/>
  <c r="J19" i="99"/>
  <c r="L19" i="99"/>
  <c r="J21" i="99"/>
  <c r="L21" i="99"/>
  <c r="J25" i="99"/>
  <c r="L25" i="99"/>
  <c r="J29" i="99"/>
  <c r="L29" i="99"/>
  <c r="J33" i="99"/>
  <c r="L33" i="99"/>
  <c r="J37" i="99"/>
  <c r="L37" i="99"/>
  <c r="J39" i="99"/>
  <c r="L39" i="99"/>
  <c r="J41" i="99"/>
  <c r="L41" i="99"/>
  <c r="J16" i="99"/>
  <c r="L16" i="99"/>
  <c r="J18" i="99"/>
  <c r="L18" i="99"/>
  <c r="J20" i="99"/>
  <c r="L20" i="99"/>
  <c r="J22" i="99"/>
  <c r="L22" i="99"/>
  <c r="J24" i="99"/>
  <c r="L24" i="99"/>
  <c r="J26" i="99"/>
  <c r="L26" i="99"/>
  <c r="J28" i="99"/>
  <c r="L28" i="99"/>
  <c r="J30" i="99"/>
  <c r="L30" i="99"/>
  <c r="J32" i="99"/>
  <c r="L32" i="99"/>
  <c r="J34" i="99"/>
  <c r="L34" i="99"/>
  <c r="J36" i="99"/>
  <c r="L36" i="99"/>
  <c r="J38" i="99"/>
  <c r="L38" i="99"/>
  <c r="J40" i="99"/>
  <c r="L40" i="99"/>
  <c r="J42" i="99"/>
  <c r="L42" i="99"/>
  <c r="J44" i="99"/>
  <c r="L44" i="99"/>
  <c r="C27" i="94"/>
  <c r="C28" i="94" s="1"/>
  <c r="D17" i="98"/>
  <c r="C17" i="98"/>
  <c r="C16" i="98"/>
  <c r="C14" i="102"/>
  <c r="D19" i="94"/>
  <c r="D20" i="94" s="1"/>
  <c r="D13" i="94"/>
  <c r="D14" i="94" s="1"/>
  <c r="D29" i="95"/>
  <c r="D37" i="95"/>
  <c r="C25" i="94"/>
  <c r="C26" i="94" s="1"/>
  <c r="D28" i="94"/>
  <c r="D22" i="95"/>
  <c r="C19" i="94"/>
  <c r="C20" i="94" s="1"/>
  <c r="C32" i="97"/>
  <c r="C12" i="102"/>
  <c r="C10" i="94"/>
  <c r="C11" i="94" s="1"/>
  <c r="D10" i="94"/>
  <c r="D11" i="94" s="1"/>
  <c r="C13" i="94"/>
  <c r="C14" i="94" s="1"/>
  <c r="D17" i="95"/>
  <c r="D25" i="95"/>
  <c r="D15" i="94"/>
  <c r="D16" i="94" s="1"/>
  <c r="D17" i="94" s="1"/>
  <c r="C15" i="94"/>
  <c r="C16" i="94" s="1"/>
  <c r="C17" i="94" s="1"/>
  <c r="D18" i="95"/>
  <c r="D40" i="95"/>
  <c r="D36" i="95"/>
  <c r="D32" i="95"/>
  <c r="D28" i="95"/>
  <c r="D24" i="95"/>
  <c r="D20" i="95"/>
  <c r="D34" i="95"/>
  <c r="D30" i="95"/>
  <c r="D39" i="95"/>
  <c r="D35" i="95"/>
  <c r="D31" i="95"/>
  <c r="D27" i="95"/>
  <c r="D23" i="95"/>
  <c r="D19" i="95"/>
  <c r="D38" i="95"/>
  <c r="D26" i="95"/>
  <c r="D21" i="94"/>
  <c r="D22" i="94" s="1"/>
  <c r="C21" i="94"/>
  <c r="C22" i="94" s="1"/>
  <c r="M22" i="94"/>
  <c r="D21" i="95"/>
  <c r="D33" i="95"/>
  <c r="K15" i="98"/>
  <c r="D16" i="98" s="1"/>
  <c r="D32" i="97"/>
  <c r="F48" i="99"/>
  <c r="F50" i="99" s="1"/>
  <c r="H56" i="48" l="1"/>
  <c r="A16" i="96"/>
  <c r="F49" i="99"/>
  <c r="F51" i="99" s="1"/>
  <c r="E29" i="102"/>
  <c r="E19" i="102"/>
  <c r="E27" i="102"/>
  <c r="E21" i="102"/>
  <c r="C29" i="94"/>
  <c r="D29" i="94"/>
  <c r="E16" i="98"/>
  <c r="E17" i="98"/>
  <c r="E25" i="102"/>
  <c r="E17" i="102"/>
  <c r="D23" i="94"/>
  <c r="C23" i="94"/>
  <c r="D41" i="95"/>
  <c r="C33" i="102" l="1"/>
  <c r="D33" i="102" s="1"/>
  <c r="C35" i="102"/>
  <c r="D35" i="102" s="1"/>
  <c r="C37" i="102"/>
  <c r="D37" i="102" s="1"/>
  <c r="U9" i="47" l="1"/>
  <c r="C57" i="68" l="1"/>
  <c r="E57" i="68" s="1"/>
  <c r="B57" i="68"/>
  <c r="D57" i="68" l="1"/>
  <c r="J126" i="48" l="1"/>
  <c r="I10" i="48"/>
  <c r="I9" i="48"/>
  <c r="I8" i="48"/>
  <c r="I7" i="48"/>
  <c r="G119" i="48" l="1"/>
  <c r="F25" i="16" s="1"/>
  <c r="H119" i="48"/>
  <c r="G25" i="16" s="1"/>
  <c r="G120" i="48"/>
  <c r="F26" i="16" s="1"/>
  <c r="H120" i="48"/>
  <c r="G26" i="16" s="1"/>
  <c r="G121" i="48"/>
  <c r="F27" i="16" s="1"/>
  <c r="H121" i="48"/>
  <c r="G27" i="16" s="1"/>
  <c r="G122" i="48"/>
  <c r="F28" i="16" s="1"/>
  <c r="H122" i="48"/>
  <c r="G28" i="16" s="1"/>
  <c r="H118" i="48"/>
  <c r="G118" i="48"/>
  <c r="D23" i="48"/>
  <c r="I15" i="48"/>
  <c r="B62" i="68"/>
  <c r="G24" i="16" l="1"/>
  <c r="G31" i="16" s="1"/>
  <c r="H125" i="48"/>
  <c r="F24" i="16"/>
  <c r="F31" i="16" s="1"/>
  <c r="G125" i="48"/>
  <c r="H68" i="48"/>
  <c r="E60" i="48"/>
  <c r="E62" i="48"/>
  <c r="E61" i="48"/>
  <c r="H55" i="48"/>
  <c r="E55" i="48"/>
  <c r="C50" i="68"/>
  <c r="D50" i="68" s="1"/>
  <c r="B50" i="68"/>
  <c r="E13" i="68"/>
  <c r="D13" i="68"/>
  <c r="C13" i="68"/>
  <c r="C56" i="68"/>
  <c r="E56" i="68" s="1"/>
  <c r="C59" i="60" l="1"/>
  <c r="D59" i="60"/>
  <c r="D54" i="60" l="1"/>
  <c r="C44" i="60"/>
  <c r="E29" i="60"/>
  <c r="K30" i="60"/>
  <c r="J30" i="60"/>
  <c r="C66" i="68"/>
  <c r="D15" i="68"/>
  <c r="C70" i="68"/>
  <c r="C36" i="68"/>
  <c r="C35" i="68"/>
  <c r="C33" i="68"/>
  <c r="C62" i="68"/>
  <c r="D62" i="68" s="1"/>
  <c r="E62" i="68" s="1"/>
  <c r="E30" i="60" l="1"/>
  <c r="C11" i="16"/>
  <c r="C19" i="16"/>
  <c r="M19" i="45"/>
  <c r="D120" i="48" s="1"/>
  <c r="D26" i="16" s="1"/>
  <c r="BK8" i="45"/>
  <c r="C69" i="68"/>
  <c r="D69" i="68" s="1"/>
  <c r="C63" i="68"/>
  <c r="D63" i="68" s="1"/>
  <c r="E63" i="68" s="1"/>
  <c r="C58" i="68"/>
  <c r="E51" i="68"/>
  <c r="C46" i="68"/>
  <c r="D46" i="68" s="1"/>
  <c r="C38" i="68"/>
  <c r="C37" i="68"/>
  <c r="D37" i="68" s="1"/>
  <c r="E37" i="68" s="1"/>
  <c r="D36" i="68"/>
  <c r="E36" i="68" s="1"/>
  <c r="D35" i="68"/>
  <c r="E35" i="68" s="1"/>
  <c r="C34" i="68"/>
  <c r="D34" i="68" s="1"/>
  <c r="E34" i="68" s="1"/>
  <c r="C19" i="68"/>
  <c r="D19" i="68" s="1"/>
  <c r="E19" i="68" s="1"/>
  <c r="C64" i="68"/>
  <c r="D64" i="68"/>
  <c r="C68" i="68"/>
  <c r="D68" i="68" s="1"/>
  <c r="E68" i="68" s="1"/>
  <c r="C67" i="68"/>
  <c r="D67" i="68" s="1"/>
  <c r="D66" i="68"/>
  <c r="E66" i="68" s="1"/>
  <c r="C71" i="68"/>
  <c r="D71" i="68" s="1"/>
  <c r="E71" i="68" s="1"/>
  <c r="C65" i="68"/>
  <c r="D65" i="68" s="1"/>
  <c r="E65" i="68" s="1"/>
  <c r="D53" i="68"/>
  <c r="E53" i="68" s="1"/>
  <c r="C24" i="68"/>
  <c r="D24" i="68" s="1"/>
  <c r="E24" i="68" s="1"/>
  <c r="C23" i="68"/>
  <c r="D23" i="68" s="1"/>
  <c r="E23" i="68" s="1"/>
  <c r="C22" i="68"/>
  <c r="C21" i="68"/>
  <c r="D21" i="68" s="1"/>
  <c r="E21" i="68" s="1"/>
  <c r="C17" i="68"/>
  <c r="D17" i="68" s="1"/>
  <c r="E17" i="68" s="1"/>
  <c r="D33" i="68"/>
  <c r="C8" i="68"/>
  <c r="E8" i="68" s="1"/>
  <c r="C11" i="68"/>
  <c r="E11" i="68" s="1"/>
  <c r="C10" i="68"/>
  <c r="D10" i="68" s="1"/>
  <c r="C9" i="68"/>
  <c r="D6" i="68"/>
  <c r="D5" i="68"/>
  <c r="C7" i="68"/>
  <c r="E7" i="68" s="1"/>
  <c r="C6" i="68"/>
  <c r="E6" i="68" s="1"/>
  <c r="C5" i="68"/>
  <c r="H71" i="48"/>
  <c r="E71" i="48"/>
  <c r="H62" i="48"/>
  <c r="H61" i="48"/>
  <c r="H60" i="48"/>
  <c r="H46" i="48"/>
  <c r="H45" i="48"/>
  <c r="H44" i="48"/>
  <c r="H43" i="48"/>
  <c r="E46" i="48"/>
  <c r="E45" i="48"/>
  <c r="E44" i="48"/>
  <c r="E52" i="48"/>
  <c r="E49" i="48"/>
  <c r="E47" i="48"/>
  <c r="E43" i="48"/>
  <c r="E42" i="48"/>
  <c r="E41" i="48"/>
  <c r="H42" i="48"/>
  <c r="F57" i="62"/>
  <c r="C58" i="60" l="1"/>
  <c r="D22" i="68"/>
  <c r="E22" i="68" s="1"/>
  <c r="D48" i="60" s="1"/>
  <c r="C48" i="60"/>
  <c r="E5" i="68"/>
  <c r="C53" i="60"/>
  <c r="E52" i="68"/>
  <c r="D52" i="60" s="1"/>
  <c r="C52" i="60"/>
  <c r="D56" i="68"/>
  <c r="D58" i="68"/>
  <c r="E58" i="68"/>
  <c r="E64" i="68"/>
  <c r="D51" i="68"/>
  <c r="D52" i="68"/>
  <c r="E46" i="68"/>
  <c r="D11" i="68"/>
  <c r="E10" i="68"/>
  <c r="E9" i="68"/>
  <c r="J9" i="47"/>
  <c r="C210" i="66"/>
  <c r="D210" i="66" s="1"/>
  <c r="E210" i="66" s="1"/>
  <c r="F210" i="66" s="1"/>
  <c r="G210" i="66" s="1"/>
  <c r="H210" i="66" s="1"/>
  <c r="I210" i="66" s="1"/>
  <c r="J210" i="66" s="1"/>
  <c r="K210" i="66" s="1"/>
  <c r="L210" i="66" s="1"/>
  <c r="M210" i="66" s="1"/>
  <c r="N210" i="66" s="1"/>
  <c r="O210" i="66" s="1"/>
  <c r="P210" i="66" s="1"/>
  <c r="Q210" i="66" s="1"/>
  <c r="R210" i="66" s="1"/>
  <c r="S210" i="66" s="1"/>
  <c r="T210" i="66" s="1"/>
  <c r="U210" i="66" s="1"/>
  <c r="V210" i="66" s="1"/>
  <c r="W210" i="66" s="1"/>
  <c r="X210" i="66" s="1"/>
  <c r="Y210" i="66" s="1"/>
  <c r="Z210" i="66" s="1"/>
  <c r="AA210" i="66" s="1"/>
  <c r="AB210" i="66" s="1"/>
  <c r="AC210" i="66" s="1"/>
  <c r="AD210" i="66" s="1"/>
  <c r="AE210" i="66" s="1"/>
  <c r="AF210" i="66" s="1"/>
  <c r="AG210" i="66" s="1"/>
  <c r="AH210" i="66" s="1"/>
  <c r="AI210" i="66" s="1"/>
  <c r="AJ210" i="66" s="1"/>
  <c r="AK210" i="66" s="1"/>
  <c r="AL210" i="66" s="1"/>
  <c r="AM210" i="66" s="1"/>
  <c r="AN210" i="66" s="1"/>
  <c r="AO210" i="66" s="1"/>
  <c r="AP210" i="66" s="1"/>
  <c r="AQ210" i="66" s="1"/>
  <c r="AR210" i="66" s="1"/>
  <c r="AS210" i="66" s="1"/>
  <c r="AT210" i="66" s="1"/>
  <c r="AU210" i="66" s="1"/>
  <c r="AV210" i="66" s="1"/>
  <c r="AW210" i="66" s="1"/>
  <c r="AX210" i="66" s="1"/>
  <c r="AY210" i="66" s="1"/>
  <c r="D58" i="60" l="1"/>
  <c r="D53" i="60"/>
  <c r="G3" i="66"/>
  <c r="B206" i="66"/>
  <c r="C206" i="66" s="1"/>
  <c r="D206" i="66" s="1"/>
  <c r="E206" i="66" s="1"/>
  <c r="F206" i="66" s="1"/>
  <c r="G206" i="66" s="1"/>
  <c r="H206" i="66" s="1"/>
  <c r="I206" i="66" s="1"/>
  <c r="J206" i="66" s="1"/>
  <c r="K206" i="66" s="1"/>
  <c r="L206" i="66" s="1"/>
  <c r="M206" i="66" s="1"/>
  <c r="N206" i="66" s="1"/>
  <c r="O206" i="66" s="1"/>
  <c r="P206" i="66" s="1"/>
  <c r="Q206" i="66" s="1"/>
  <c r="R206" i="66" s="1"/>
  <c r="S206" i="66" s="1"/>
  <c r="T206" i="66" s="1"/>
  <c r="U206" i="66" s="1"/>
  <c r="V206" i="66" s="1"/>
  <c r="W206" i="66" s="1"/>
  <c r="X206" i="66" s="1"/>
  <c r="Y206" i="66" s="1"/>
  <c r="Z206" i="66" s="1"/>
  <c r="AA206" i="66" s="1"/>
  <c r="AB206" i="66" s="1"/>
  <c r="AC206" i="66" s="1"/>
  <c r="AD206" i="66" s="1"/>
  <c r="AE206" i="66" s="1"/>
  <c r="B205" i="66"/>
  <c r="C205" i="66" s="1"/>
  <c r="D205" i="66" s="1"/>
  <c r="E205" i="66" s="1"/>
  <c r="F205" i="66" s="1"/>
  <c r="G205" i="66" s="1"/>
  <c r="H205" i="66" s="1"/>
  <c r="I205" i="66" s="1"/>
  <c r="J205" i="66" s="1"/>
  <c r="K205" i="66" s="1"/>
  <c r="L205" i="66" s="1"/>
  <c r="M205" i="66" s="1"/>
  <c r="N205" i="66" s="1"/>
  <c r="O205" i="66" s="1"/>
  <c r="P205" i="66" s="1"/>
  <c r="Q205" i="66" s="1"/>
  <c r="R205" i="66" s="1"/>
  <c r="S205" i="66" s="1"/>
  <c r="T205" i="66" s="1"/>
  <c r="U205" i="66" s="1"/>
  <c r="V205" i="66" s="1"/>
  <c r="W205" i="66" s="1"/>
  <c r="X205" i="66" s="1"/>
  <c r="Y205" i="66" s="1"/>
  <c r="Z205" i="66" s="1"/>
  <c r="AA205" i="66" s="1"/>
  <c r="AB205" i="66" s="1"/>
  <c r="AC205" i="66" s="1"/>
  <c r="AD205" i="66" s="1"/>
  <c r="AE205" i="66" s="1"/>
  <c r="B204" i="66"/>
  <c r="C204" i="66" s="1"/>
  <c r="D204" i="66" s="1"/>
  <c r="E204" i="66" s="1"/>
  <c r="F204" i="66" s="1"/>
  <c r="G204" i="66" s="1"/>
  <c r="H204" i="66" s="1"/>
  <c r="I204" i="66" s="1"/>
  <c r="J204" i="66" s="1"/>
  <c r="K204" i="66" s="1"/>
  <c r="L204" i="66" s="1"/>
  <c r="M204" i="66" s="1"/>
  <c r="N204" i="66" s="1"/>
  <c r="O204" i="66" s="1"/>
  <c r="P204" i="66" s="1"/>
  <c r="Q204" i="66" s="1"/>
  <c r="R204" i="66" s="1"/>
  <c r="S204" i="66" s="1"/>
  <c r="T204" i="66" s="1"/>
  <c r="U204" i="66" s="1"/>
  <c r="V204" i="66" s="1"/>
  <c r="W204" i="66" s="1"/>
  <c r="X204" i="66" s="1"/>
  <c r="Y204" i="66" s="1"/>
  <c r="Z204" i="66" s="1"/>
  <c r="AA204" i="66" s="1"/>
  <c r="AB204" i="66" s="1"/>
  <c r="AC204" i="66" s="1"/>
  <c r="AD204" i="66" s="1"/>
  <c r="AE204" i="66" s="1"/>
  <c r="B203" i="66"/>
  <c r="C203" i="66" s="1"/>
  <c r="D203" i="66" s="1"/>
  <c r="E203" i="66" s="1"/>
  <c r="F203" i="66" s="1"/>
  <c r="G203" i="66" s="1"/>
  <c r="H203" i="66" s="1"/>
  <c r="I203" i="66" s="1"/>
  <c r="J203" i="66" s="1"/>
  <c r="K203" i="66" s="1"/>
  <c r="L203" i="66" s="1"/>
  <c r="M203" i="66" s="1"/>
  <c r="N203" i="66" s="1"/>
  <c r="O203" i="66" s="1"/>
  <c r="P203" i="66" s="1"/>
  <c r="Q203" i="66" s="1"/>
  <c r="R203" i="66" s="1"/>
  <c r="S203" i="66" s="1"/>
  <c r="T203" i="66" s="1"/>
  <c r="U203" i="66" s="1"/>
  <c r="V203" i="66" s="1"/>
  <c r="W203" i="66" s="1"/>
  <c r="X203" i="66" s="1"/>
  <c r="Y203" i="66" s="1"/>
  <c r="Z203" i="66" s="1"/>
  <c r="AA203" i="66" s="1"/>
  <c r="AB203" i="66" s="1"/>
  <c r="AC203" i="66" s="1"/>
  <c r="AD203" i="66" s="1"/>
  <c r="AE203" i="66" s="1"/>
  <c r="B202" i="66"/>
  <c r="C202" i="66" s="1"/>
  <c r="D202" i="66" s="1"/>
  <c r="E202" i="66" s="1"/>
  <c r="F202" i="66" s="1"/>
  <c r="G202" i="66" s="1"/>
  <c r="H202" i="66" s="1"/>
  <c r="I202" i="66" s="1"/>
  <c r="J202" i="66" s="1"/>
  <c r="K202" i="66" s="1"/>
  <c r="L202" i="66" s="1"/>
  <c r="M202" i="66" s="1"/>
  <c r="N202" i="66" s="1"/>
  <c r="O202" i="66" s="1"/>
  <c r="P202" i="66" s="1"/>
  <c r="Q202" i="66" s="1"/>
  <c r="R202" i="66" s="1"/>
  <c r="S202" i="66" s="1"/>
  <c r="T202" i="66" s="1"/>
  <c r="U202" i="66" s="1"/>
  <c r="V202" i="66" s="1"/>
  <c r="W202" i="66" s="1"/>
  <c r="X202" i="66" s="1"/>
  <c r="Y202" i="66" s="1"/>
  <c r="Z202" i="66" s="1"/>
  <c r="AA202" i="66" s="1"/>
  <c r="AB202" i="66" s="1"/>
  <c r="AC202" i="66" s="1"/>
  <c r="AD202" i="66" s="1"/>
  <c r="AE202" i="66" s="1"/>
  <c r="B201" i="66"/>
  <c r="C201" i="66" s="1"/>
  <c r="D201" i="66" s="1"/>
  <c r="E201" i="66" s="1"/>
  <c r="F201" i="66" s="1"/>
  <c r="G201" i="66" s="1"/>
  <c r="H201" i="66" s="1"/>
  <c r="I201" i="66" s="1"/>
  <c r="J201" i="66" s="1"/>
  <c r="K201" i="66" s="1"/>
  <c r="L201" i="66" s="1"/>
  <c r="M201" i="66" s="1"/>
  <c r="N201" i="66" s="1"/>
  <c r="O201" i="66" s="1"/>
  <c r="P201" i="66" s="1"/>
  <c r="Q201" i="66" s="1"/>
  <c r="R201" i="66" s="1"/>
  <c r="S201" i="66" s="1"/>
  <c r="T201" i="66" s="1"/>
  <c r="U201" i="66" s="1"/>
  <c r="V201" i="66" s="1"/>
  <c r="W201" i="66" s="1"/>
  <c r="X201" i="66" s="1"/>
  <c r="Y201" i="66" s="1"/>
  <c r="Z201" i="66" s="1"/>
  <c r="AA201" i="66" s="1"/>
  <c r="AB201" i="66" s="1"/>
  <c r="AC201" i="66" s="1"/>
  <c r="AD201" i="66" s="1"/>
  <c r="AE201" i="66" s="1"/>
  <c r="AG200" i="66"/>
  <c r="AH200" i="66" s="1"/>
  <c r="AI200" i="66" s="1"/>
  <c r="AJ200" i="66" s="1"/>
  <c r="AK200" i="66" s="1"/>
  <c r="AL200" i="66" s="1"/>
  <c r="AM200" i="66" s="1"/>
  <c r="AN200" i="66" s="1"/>
  <c r="AO200" i="66" s="1"/>
  <c r="AP200" i="66" s="1"/>
  <c r="AQ200" i="66" s="1"/>
  <c r="AR200" i="66" s="1"/>
  <c r="AS200" i="66" s="1"/>
  <c r="AT200" i="66" s="1"/>
  <c r="AU200" i="66" s="1"/>
  <c r="AV200" i="66" s="1"/>
  <c r="AW200" i="66" s="1"/>
  <c r="AX200" i="66" s="1"/>
  <c r="AY200" i="66" s="1"/>
  <c r="AF200" i="66"/>
  <c r="AY197" i="66"/>
  <c r="AX197" i="66"/>
  <c r="AW197" i="66"/>
  <c r="AV197" i="66"/>
  <c r="AU197" i="66"/>
  <c r="AT197" i="66"/>
  <c r="AS197" i="66"/>
  <c r="AR197" i="66"/>
  <c r="AQ197" i="66"/>
  <c r="AP197" i="66"/>
  <c r="AO197" i="66"/>
  <c r="AN197" i="66"/>
  <c r="AM197" i="66"/>
  <c r="AL197" i="66"/>
  <c r="AK197" i="66"/>
  <c r="AJ197" i="66"/>
  <c r="AI197" i="66"/>
  <c r="AH197" i="66"/>
  <c r="AG197" i="66"/>
  <c r="AF197" i="66"/>
  <c r="AE197" i="66"/>
  <c r="AD197" i="66"/>
  <c r="AC197" i="66"/>
  <c r="AB197" i="66"/>
  <c r="AA197" i="66"/>
  <c r="Z197" i="66"/>
  <c r="Y197" i="66"/>
  <c r="X197" i="66"/>
  <c r="W197" i="66"/>
  <c r="V197" i="66"/>
  <c r="U197" i="66"/>
  <c r="T197" i="66"/>
  <c r="S197" i="66"/>
  <c r="R197" i="66"/>
  <c r="Q197" i="66"/>
  <c r="P197" i="66"/>
  <c r="O197" i="66"/>
  <c r="N197" i="66"/>
  <c r="M197" i="66"/>
  <c r="L197" i="66"/>
  <c r="K197" i="66"/>
  <c r="J197" i="66"/>
  <c r="I197" i="66"/>
  <c r="H197" i="66"/>
  <c r="G197" i="66"/>
  <c r="F197" i="66"/>
  <c r="E197" i="66"/>
  <c r="D197" i="66"/>
  <c r="C197" i="66"/>
  <c r="C208" i="66" s="1"/>
  <c r="B197" i="66"/>
  <c r="B208" i="66" s="1"/>
  <c r="AY196" i="66"/>
  <c r="AX196" i="66"/>
  <c r="AW196" i="66"/>
  <c r="AV196" i="66"/>
  <c r="AU196" i="66"/>
  <c r="AT196" i="66"/>
  <c r="AS196" i="66"/>
  <c r="AR196" i="66"/>
  <c r="AQ196" i="66"/>
  <c r="AP196" i="66"/>
  <c r="AO196" i="66"/>
  <c r="AN196" i="66"/>
  <c r="AM196" i="66"/>
  <c r="AL196" i="66"/>
  <c r="AK196" i="66"/>
  <c r="AJ196" i="66"/>
  <c r="AI196" i="66"/>
  <c r="AH196" i="66"/>
  <c r="AG196" i="66"/>
  <c r="AF196" i="66"/>
  <c r="AE196" i="66"/>
  <c r="AD196" i="66"/>
  <c r="AC196" i="66"/>
  <c r="AB196" i="66"/>
  <c r="AA196" i="66"/>
  <c r="Z196" i="66"/>
  <c r="Y196" i="66"/>
  <c r="X196" i="66"/>
  <c r="W196" i="66"/>
  <c r="V196" i="66"/>
  <c r="U196" i="66"/>
  <c r="T196" i="66"/>
  <c r="S196" i="66"/>
  <c r="R196" i="66"/>
  <c r="Q196" i="66"/>
  <c r="P196" i="66"/>
  <c r="O196" i="66"/>
  <c r="N196" i="66"/>
  <c r="M196" i="66"/>
  <c r="L196" i="66"/>
  <c r="K196" i="66"/>
  <c r="J196" i="66"/>
  <c r="I196" i="66"/>
  <c r="H196" i="66"/>
  <c r="G196" i="66"/>
  <c r="F196" i="66"/>
  <c r="E196" i="66"/>
  <c r="D196" i="66"/>
  <c r="C196" i="66"/>
  <c r="C207" i="66" s="1"/>
  <c r="B196" i="66"/>
  <c r="B207" i="66" s="1"/>
  <c r="E39" i="68"/>
  <c r="D39" i="68"/>
  <c r="C39" i="68"/>
  <c r="E38" i="68"/>
  <c r="C40" i="68"/>
  <c r="D76" i="68"/>
  <c r="D75" i="68"/>
  <c r="D74" i="68"/>
  <c r="E70" i="68"/>
  <c r="B71" i="68"/>
  <c r="B68" i="68"/>
  <c r="B67" i="68"/>
  <c r="B37" i="68"/>
  <c r="B36" i="68"/>
  <c r="B35" i="68"/>
  <c r="B40" i="68"/>
  <c r="B11" i="68"/>
  <c r="A11" i="68"/>
  <c r="B10" i="68"/>
  <c r="E26" i="68"/>
  <c r="D26" i="68"/>
  <c r="C26" i="68"/>
  <c r="B26" i="68"/>
  <c r="E75" i="68"/>
  <c r="E76" i="68"/>
  <c r="C75" i="68"/>
  <c r="C76" i="68"/>
  <c r="E74" i="68"/>
  <c r="C74" i="68"/>
  <c r="E73" i="68"/>
  <c r="D55" i="60" s="1"/>
  <c r="D73" i="68"/>
  <c r="C73" i="68"/>
  <c r="C55" i="60" s="1"/>
  <c r="B76" i="68"/>
  <c r="B75" i="68"/>
  <c r="B74" i="68"/>
  <c r="B61" i="68"/>
  <c r="B69" i="68"/>
  <c r="B63" i="68"/>
  <c r="B65" i="68"/>
  <c r="B70" i="68"/>
  <c r="B66" i="68"/>
  <c r="D70" i="68"/>
  <c r="D61" i="68"/>
  <c r="E61" i="68"/>
  <c r="D57" i="60" s="1"/>
  <c r="C61" i="68"/>
  <c r="B58" i="68"/>
  <c r="B44" i="68"/>
  <c r="B43" i="68"/>
  <c r="B32" i="68"/>
  <c r="B31" i="68"/>
  <c r="B30" i="68"/>
  <c r="B39" i="68"/>
  <c r="B34" i="68"/>
  <c r="D47" i="68"/>
  <c r="E47" i="68"/>
  <c r="C47" i="68"/>
  <c r="D40" i="68"/>
  <c r="E40" i="68"/>
  <c r="E41" i="68"/>
  <c r="D41" i="68"/>
  <c r="C41" i="68"/>
  <c r="D38" i="68"/>
  <c r="AA75" i="62"/>
  <c r="Y75" i="62"/>
  <c r="Z75" i="62" s="1"/>
  <c r="AB75" i="62" s="1"/>
  <c r="AA71" i="62"/>
  <c r="Z119" i="62"/>
  <c r="AA119" i="62" s="1"/>
  <c r="Z87" i="62"/>
  <c r="AB87" i="62" s="1"/>
  <c r="C44" i="68" s="1"/>
  <c r="Z83" i="62"/>
  <c r="AB83" i="62" s="1"/>
  <c r="Y71" i="62"/>
  <c r="Z71" i="62" s="1"/>
  <c r="Y67" i="62"/>
  <c r="Z67" i="62" s="1"/>
  <c r="C15" i="68"/>
  <c r="G93" i="48"/>
  <c r="E93" i="48"/>
  <c r="H76" i="48"/>
  <c r="H75" i="48"/>
  <c r="H74" i="48"/>
  <c r="D15" i="48"/>
  <c r="D14" i="48"/>
  <c r="D13" i="48"/>
  <c r="D12" i="48"/>
  <c r="C42" i="68" l="1"/>
  <c r="C57" i="60"/>
  <c r="C32" i="68"/>
  <c r="H70" i="48"/>
  <c r="A3" i="66"/>
  <c r="D207" i="66"/>
  <c r="E207" i="66" s="1"/>
  <c r="F207" i="66" s="1"/>
  <c r="G207" i="66" s="1"/>
  <c r="H207" i="66" s="1"/>
  <c r="I207" i="66" s="1"/>
  <c r="J207" i="66" s="1"/>
  <c r="K207" i="66" s="1"/>
  <c r="L207" i="66" s="1"/>
  <c r="M207" i="66" s="1"/>
  <c r="N207" i="66" s="1"/>
  <c r="O207" i="66" s="1"/>
  <c r="P207" i="66" s="1"/>
  <c r="Q207" i="66" s="1"/>
  <c r="R207" i="66" s="1"/>
  <c r="S207" i="66" s="1"/>
  <c r="T207" i="66" s="1"/>
  <c r="U207" i="66" s="1"/>
  <c r="V207" i="66" s="1"/>
  <c r="W207" i="66" s="1"/>
  <c r="X207" i="66" s="1"/>
  <c r="Y207" i="66" s="1"/>
  <c r="Z207" i="66" s="1"/>
  <c r="AA207" i="66" s="1"/>
  <c r="AB207" i="66" s="1"/>
  <c r="AC207" i="66" s="1"/>
  <c r="AD207" i="66" s="1"/>
  <c r="AE207" i="66" s="1"/>
  <c r="D208" i="66"/>
  <c r="E208" i="66" s="1"/>
  <c r="F208" i="66" s="1"/>
  <c r="G208" i="66" s="1"/>
  <c r="H208" i="66" s="1"/>
  <c r="I208" i="66" s="1"/>
  <c r="J208" i="66" s="1"/>
  <c r="K208" i="66" s="1"/>
  <c r="L208" i="66" s="1"/>
  <c r="M208" i="66" s="1"/>
  <c r="N208" i="66" s="1"/>
  <c r="O208" i="66" s="1"/>
  <c r="P208" i="66" s="1"/>
  <c r="Q208" i="66" s="1"/>
  <c r="R208" i="66" s="1"/>
  <c r="S208" i="66" s="1"/>
  <c r="T208" i="66" s="1"/>
  <c r="U208" i="66" s="1"/>
  <c r="V208" i="66" s="1"/>
  <c r="W208" i="66" s="1"/>
  <c r="X208" i="66" s="1"/>
  <c r="Y208" i="66" s="1"/>
  <c r="Z208" i="66" s="1"/>
  <c r="AA208" i="66" s="1"/>
  <c r="AB208" i="66" s="1"/>
  <c r="AC208" i="66" s="1"/>
  <c r="AD208" i="66" s="1"/>
  <c r="AE208" i="66" s="1"/>
  <c r="C43" i="68"/>
  <c r="AB67" i="62"/>
  <c r="H69" i="48" s="1"/>
  <c r="AA83" i="62"/>
  <c r="AA87" i="62"/>
  <c r="AA67" i="62"/>
  <c r="E69" i="48" s="1"/>
  <c r="AB71" i="62"/>
  <c r="C31" i="68" s="1"/>
  <c r="F54" i="62"/>
  <c r="F53" i="62"/>
  <c r="F60" i="62"/>
  <c r="C54" i="60" s="1"/>
  <c r="F56" i="62"/>
  <c r="D9" i="68" s="1"/>
  <c r="B56" i="68"/>
  <c r="D45" i="68" l="1"/>
  <c r="E45" i="68" s="1"/>
  <c r="D42" i="68"/>
  <c r="E70" i="48"/>
  <c r="D43" i="68"/>
  <c r="E43" i="68" s="1"/>
  <c r="D44" i="68"/>
  <c r="E44" i="68" s="1"/>
  <c r="D32" i="68"/>
  <c r="C30" i="68"/>
  <c r="C29" i="68"/>
  <c r="C56" i="60" s="1"/>
  <c r="D29" i="68"/>
  <c r="E29" i="68"/>
  <c r="D56" i="60" s="1"/>
  <c r="D30" i="68"/>
  <c r="E30" i="68"/>
  <c r="D31" i="68"/>
  <c r="E42" i="68"/>
  <c r="B24" i="68"/>
  <c r="B49" i="68"/>
  <c r="B51" i="68"/>
  <c r="B52" i="68"/>
  <c r="B53" i="68"/>
  <c r="B54" i="68"/>
  <c r="C49" i="68"/>
  <c r="D54" i="68"/>
  <c r="D49" i="68"/>
  <c r="E54" i="68"/>
  <c r="E49" i="68"/>
  <c r="D51" i="60" s="1"/>
  <c r="B27" i="68"/>
  <c r="B25" i="68"/>
  <c r="B23" i="68"/>
  <c r="B22" i="68"/>
  <c r="B21" i="68"/>
  <c r="B20" i="68"/>
  <c r="B19" i="68"/>
  <c r="B18" i="68"/>
  <c r="B17" i="68"/>
  <c r="E27" i="68"/>
  <c r="D46" i="60" s="1"/>
  <c r="E25" i="68"/>
  <c r="D47" i="60" s="1"/>
  <c r="E20" i="68"/>
  <c r="D49" i="60" s="1"/>
  <c r="E18" i="68"/>
  <c r="D45" i="60" s="1"/>
  <c r="E15" i="68"/>
  <c r="D18" i="68"/>
  <c r="C14" i="68"/>
  <c r="E14" i="68"/>
  <c r="B15" i="68"/>
  <c r="B14" i="68"/>
  <c r="B13" i="68"/>
  <c r="B9" i="68"/>
  <c r="B8" i="68"/>
  <c r="B7" i="68"/>
  <c r="B6" i="68"/>
  <c r="B5" i="68"/>
  <c r="E54" i="62"/>
  <c r="E53" i="62"/>
  <c r="D27" i="68"/>
  <c r="C27" i="68"/>
  <c r="D20" i="68"/>
  <c r="D25" i="68"/>
  <c r="C25" i="68"/>
  <c r="C20" i="68"/>
  <c r="C18" i="68"/>
  <c r="D50" i="60" l="1"/>
  <c r="C45" i="60"/>
  <c r="C49" i="60"/>
  <c r="C47" i="60"/>
  <c r="C46" i="60"/>
  <c r="C50" i="60"/>
  <c r="C51" i="60"/>
  <c r="D7" i="68"/>
  <c r="E31" i="68"/>
  <c r="E32" i="68" s="1"/>
  <c r="D10" i="47"/>
  <c r="G10" i="47"/>
  <c r="D9" i="47"/>
  <c r="D13" i="47"/>
  <c r="G14" i="47"/>
  <c r="G17" i="47"/>
  <c r="D12" i="47"/>
  <c r="G13" i="47"/>
  <c r="D26" i="47"/>
  <c r="D22" i="47"/>
  <c r="D18" i="47"/>
  <c r="G28" i="47"/>
  <c r="G24" i="47"/>
  <c r="G20" i="47"/>
  <c r="G16" i="47"/>
  <c r="D25" i="47"/>
  <c r="D21" i="47"/>
  <c r="D17" i="47"/>
  <c r="G25" i="47"/>
  <c r="G21" i="47"/>
  <c r="G11" i="47"/>
  <c r="G9" i="47"/>
  <c r="D15" i="47"/>
  <c r="D11" i="47"/>
  <c r="G12" i="47"/>
  <c r="D14" i="47"/>
  <c r="G15" i="47"/>
  <c r="D28" i="47"/>
  <c r="D24" i="47"/>
  <c r="D20" i="47"/>
  <c r="D16" i="47"/>
  <c r="G26" i="47"/>
  <c r="G22" i="47"/>
  <c r="G18" i="47"/>
  <c r="D27" i="47"/>
  <c r="D23" i="47"/>
  <c r="D19" i="47"/>
  <c r="G27" i="47"/>
  <c r="G23" i="47"/>
  <c r="G19" i="47"/>
  <c r="D14" i="68"/>
  <c r="D58" i="62"/>
  <c r="E58" i="62" s="1"/>
  <c r="S30" i="47"/>
  <c r="T30" i="47"/>
  <c r="A2" i="68"/>
  <c r="E31" i="48"/>
  <c r="J29" i="60"/>
  <c r="K29" i="60"/>
  <c r="J31" i="60"/>
  <c r="K31" i="60"/>
  <c r="J32" i="60"/>
  <c r="K32" i="60"/>
  <c r="J33" i="60"/>
  <c r="K33" i="60"/>
  <c r="J34" i="60"/>
  <c r="K34" i="60"/>
  <c r="J35" i="60"/>
  <c r="K35" i="60"/>
  <c r="J36" i="60"/>
  <c r="K36" i="60"/>
  <c r="J38" i="60"/>
  <c r="K38" i="60"/>
  <c r="D20" i="60"/>
  <c r="I97" i="48"/>
  <c r="G95" i="48"/>
  <c r="I21" i="48"/>
  <c r="I20" i="48"/>
  <c r="I19" i="48"/>
  <c r="I18" i="48"/>
  <c r="D19" i="48"/>
  <c r="E38" i="60" l="1"/>
  <c r="E36" i="60"/>
  <c r="E35" i="60"/>
  <c r="E34" i="60"/>
  <c r="E33" i="60"/>
  <c r="E32" i="60"/>
  <c r="E31" i="60"/>
  <c r="F58" i="62"/>
  <c r="D8" i="68"/>
  <c r="J37" i="60"/>
  <c r="E54" i="48"/>
  <c r="AD51" i="48"/>
  <c r="AE51" i="48"/>
  <c r="AD61" i="48"/>
  <c r="AE61" i="48"/>
  <c r="AD70" i="48"/>
  <c r="AE70" i="48"/>
  <c r="AD72" i="48"/>
  <c r="AE72" i="48"/>
  <c r="AD74" i="48"/>
  <c r="AE74" i="48"/>
  <c r="AD75" i="48"/>
  <c r="AE75" i="48"/>
  <c r="AD76" i="48"/>
  <c r="AE76" i="48"/>
  <c r="AD79" i="48"/>
  <c r="AE79" i="48"/>
  <c r="AD80" i="48"/>
  <c r="AE80" i="48"/>
  <c r="AD81" i="48"/>
  <c r="AE81" i="48"/>
  <c r="AD82" i="48"/>
  <c r="AE82" i="48"/>
  <c r="AD83" i="48"/>
  <c r="AE83" i="48"/>
  <c r="AD84" i="48"/>
  <c r="AE84" i="48"/>
  <c r="AD85" i="48"/>
  <c r="AE85" i="48"/>
  <c r="AE86" i="48"/>
  <c r="AE87" i="48"/>
  <c r="AE88" i="48"/>
  <c r="AE89" i="48"/>
  <c r="AE90" i="48"/>
  <c r="AE91" i="48"/>
  <c r="AE92" i="48"/>
  <c r="AE94" i="48"/>
  <c r="AD95" i="48"/>
  <c r="AE95" i="48"/>
  <c r="AD96" i="48"/>
  <c r="AE96" i="48"/>
  <c r="AE97" i="48"/>
  <c r="AE98" i="48"/>
  <c r="AE99" i="48"/>
  <c r="AD101" i="48"/>
  <c r="AE101" i="48"/>
  <c r="AD102" i="48"/>
  <c r="AE102" i="48"/>
  <c r="AD103" i="48"/>
  <c r="AE103" i="48"/>
  <c r="AD104" i="48"/>
  <c r="AE104" i="48"/>
  <c r="AE105" i="48"/>
  <c r="AE107" i="48"/>
  <c r="AE108" i="48"/>
  <c r="AD109" i="48"/>
  <c r="AE109" i="48"/>
  <c r="AD110" i="48"/>
  <c r="AE110" i="48"/>
  <c r="AD111" i="48"/>
  <c r="AE111" i="48"/>
  <c r="AD112" i="48"/>
  <c r="AE112" i="48"/>
  <c r="AD113" i="48"/>
  <c r="AE113" i="48"/>
  <c r="AD114" i="48"/>
  <c r="AE114" i="48"/>
  <c r="AD115" i="48"/>
  <c r="AE115" i="48"/>
  <c r="AD125" i="48"/>
  <c r="AE125" i="48"/>
  <c r="AD128" i="48"/>
  <c r="AE128" i="48"/>
  <c r="AD129" i="48"/>
  <c r="AE129" i="48"/>
  <c r="AD130" i="48"/>
  <c r="AE130" i="48"/>
  <c r="AD131" i="48"/>
  <c r="AE131" i="48"/>
  <c r="AD132" i="48"/>
  <c r="AE132" i="48"/>
  <c r="AD133" i="48"/>
  <c r="AE133" i="48"/>
  <c r="AD135" i="48"/>
  <c r="AE135" i="48"/>
  <c r="AD136" i="48"/>
  <c r="AE136" i="48"/>
  <c r="AE117" i="48" l="1"/>
  <c r="AE118" i="48"/>
  <c r="AE119" i="48"/>
  <c r="AE120" i="48"/>
  <c r="AE122" i="48"/>
  <c r="H49" i="48"/>
  <c r="AE47" i="48" s="1"/>
  <c r="AD47" i="48"/>
  <c r="H51" i="48"/>
  <c r="AE49" i="48" s="1"/>
  <c r="E51" i="48"/>
  <c r="AD49" i="48" s="1"/>
  <c r="H50" i="48"/>
  <c r="AE48" i="48" s="1"/>
  <c r="E50" i="48"/>
  <c r="AD48" i="48" s="1"/>
  <c r="D7" i="48"/>
  <c r="D23" i="60" l="1"/>
  <c r="G127" i="48"/>
  <c r="AE116" i="48"/>
  <c r="H127" i="48"/>
  <c r="B28" i="47"/>
  <c r="V28" i="47" s="1"/>
  <c r="Y28" i="47" s="1"/>
  <c r="M10" i="47"/>
  <c r="M11" i="47"/>
  <c r="M12" i="47"/>
  <c r="M13" i="47"/>
  <c r="M14" i="47"/>
  <c r="M15" i="47"/>
  <c r="M16" i="47"/>
  <c r="M17" i="47"/>
  <c r="M18" i="47"/>
  <c r="M19" i="47"/>
  <c r="M20" i="47"/>
  <c r="M21" i="47"/>
  <c r="M22" i="47"/>
  <c r="M23" i="47"/>
  <c r="M24" i="47"/>
  <c r="M25" i="47"/>
  <c r="M26" i="47"/>
  <c r="M27" i="47"/>
  <c r="M28" i="47"/>
  <c r="J10" i="47"/>
  <c r="AQ10" i="47" s="1"/>
  <c r="J11" i="47"/>
  <c r="AQ11" i="47" s="1"/>
  <c r="J12" i="47"/>
  <c r="AQ12" i="47" s="1"/>
  <c r="J13" i="47"/>
  <c r="AQ13" i="47" s="1"/>
  <c r="J14" i="47"/>
  <c r="AQ14" i="47" s="1"/>
  <c r="J15" i="47"/>
  <c r="J16" i="47"/>
  <c r="J17" i="47"/>
  <c r="J18" i="47"/>
  <c r="J19" i="47"/>
  <c r="J20" i="47"/>
  <c r="J21" i="47"/>
  <c r="J22" i="47"/>
  <c r="J23" i="47"/>
  <c r="J24" i="47"/>
  <c r="J25" i="47"/>
  <c r="J26" i="47"/>
  <c r="J27" i="47"/>
  <c r="J28" i="47"/>
  <c r="BY19" i="45"/>
  <c r="BX19" i="45"/>
  <c r="BW19" i="45"/>
  <c r="BV19" i="45"/>
  <c r="BU19" i="45"/>
  <c r="BT19" i="45"/>
  <c r="M9" i="47"/>
  <c r="AQ9" i="47"/>
  <c r="B9" i="47"/>
  <c r="AQ15" i="47"/>
  <c r="AQ16" i="47"/>
  <c r="AQ17" i="47"/>
  <c r="AQ18" i="47"/>
  <c r="AQ19" i="47"/>
  <c r="AQ20" i="47"/>
  <c r="AR21" i="47"/>
  <c r="AR22" i="47"/>
  <c r="AQ23" i="47"/>
  <c r="AQ24" i="47"/>
  <c r="AQ25" i="47"/>
  <c r="AQ26" i="47"/>
  <c r="AQ27" i="47"/>
  <c r="AQ28" i="47"/>
  <c r="U10" i="47"/>
  <c r="U11" i="47"/>
  <c r="U12" i="47"/>
  <c r="U13" i="47"/>
  <c r="U14" i="47"/>
  <c r="U15" i="47"/>
  <c r="U16" i="47"/>
  <c r="U17" i="47"/>
  <c r="U18" i="47"/>
  <c r="U19" i="47"/>
  <c r="U20" i="47"/>
  <c r="U21" i="47"/>
  <c r="U22" i="47"/>
  <c r="U23" i="47"/>
  <c r="U24" i="47"/>
  <c r="U25" i="47"/>
  <c r="U26" i="47"/>
  <c r="U27" i="47"/>
  <c r="U28" i="47"/>
  <c r="M19" i="30"/>
  <c r="M18" i="30"/>
  <c r="M17" i="30"/>
  <c r="M16" i="30"/>
  <c r="M15" i="30"/>
  <c r="M14" i="30"/>
  <c r="M19" i="28"/>
  <c r="M18" i="28"/>
  <c r="M17" i="28"/>
  <c r="M16" i="28"/>
  <c r="M15" i="28"/>
  <c r="M14" i="28"/>
  <c r="AC28" i="47" l="1"/>
  <c r="AD28" i="47" s="1"/>
  <c r="V9" i="47"/>
  <c r="Y9" i="47" s="1"/>
  <c r="N9" i="47"/>
  <c r="D22" i="60"/>
  <c r="D24" i="60" s="1"/>
  <c r="AE123" i="48"/>
  <c r="Q28" i="47"/>
  <c r="U31" i="47"/>
  <c r="O9" i="47"/>
  <c r="P9" i="47"/>
  <c r="N28" i="47"/>
  <c r="O28" i="47"/>
  <c r="AP28" i="47" s="1"/>
  <c r="P28" i="47"/>
  <c r="AQ22" i="47"/>
  <c r="AQ21" i="47"/>
  <c r="C14" i="52"/>
  <c r="F19" i="52"/>
  <c r="AR23" i="47"/>
  <c r="F3" i="66"/>
  <c r="B183" i="66"/>
  <c r="C183" i="66" s="1"/>
  <c r="D183" i="66" s="1"/>
  <c r="E183" i="66" s="1"/>
  <c r="F183" i="66" s="1"/>
  <c r="G183" i="66" s="1"/>
  <c r="H183" i="66" s="1"/>
  <c r="I183" i="66" s="1"/>
  <c r="J183" i="66" s="1"/>
  <c r="K183" i="66" s="1"/>
  <c r="L183" i="66" s="1"/>
  <c r="M183" i="66" s="1"/>
  <c r="N183" i="66" s="1"/>
  <c r="O183" i="66" s="1"/>
  <c r="P183" i="66" s="1"/>
  <c r="Q183" i="66" s="1"/>
  <c r="R183" i="66" s="1"/>
  <c r="S183" i="66" s="1"/>
  <c r="T183" i="66" s="1"/>
  <c r="U183" i="66" s="1"/>
  <c r="V183" i="66" s="1"/>
  <c r="W183" i="66" s="1"/>
  <c r="X183" i="66" s="1"/>
  <c r="Y183" i="66" s="1"/>
  <c r="Z183" i="66" s="1"/>
  <c r="AA183" i="66" s="1"/>
  <c r="AB183" i="66" s="1"/>
  <c r="AC183" i="66" s="1"/>
  <c r="AD183" i="66" s="1"/>
  <c r="AE183" i="66" s="1"/>
  <c r="B182" i="66"/>
  <c r="C182" i="66" s="1"/>
  <c r="D182" i="66" s="1"/>
  <c r="E182" i="66" s="1"/>
  <c r="F182" i="66" s="1"/>
  <c r="G182" i="66" s="1"/>
  <c r="H182" i="66" s="1"/>
  <c r="I182" i="66" s="1"/>
  <c r="J182" i="66" s="1"/>
  <c r="K182" i="66" s="1"/>
  <c r="L182" i="66" s="1"/>
  <c r="M182" i="66" s="1"/>
  <c r="N182" i="66" s="1"/>
  <c r="O182" i="66" s="1"/>
  <c r="P182" i="66" s="1"/>
  <c r="Q182" i="66" s="1"/>
  <c r="R182" i="66" s="1"/>
  <c r="S182" i="66" s="1"/>
  <c r="T182" i="66" s="1"/>
  <c r="U182" i="66" s="1"/>
  <c r="V182" i="66" s="1"/>
  <c r="W182" i="66" s="1"/>
  <c r="X182" i="66" s="1"/>
  <c r="Y182" i="66" s="1"/>
  <c r="Z182" i="66" s="1"/>
  <c r="AA182" i="66" s="1"/>
  <c r="AB182" i="66" s="1"/>
  <c r="AC182" i="66" s="1"/>
  <c r="AD182" i="66" s="1"/>
  <c r="AE182" i="66" s="1"/>
  <c r="B181" i="66"/>
  <c r="C181" i="66" s="1"/>
  <c r="D181" i="66" s="1"/>
  <c r="E181" i="66" s="1"/>
  <c r="F181" i="66" s="1"/>
  <c r="G181" i="66" s="1"/>
  <c r="H181" i="66" s="1"/>
  <c r="I181" i="66" s="1"/>
  <c r="J181" i="66" s="1"/>
  <c r="K181" i="66" s="1"/>
  <c r="L181" i="66" s="1"/>
  <c r="M181" i="66" s="1"/>
  <c r="N181" i="66" s="1"/>
  <c r="O181" i="66" s="1"/>
  <c r="P181" i="66" s="1"/>
  <c r="Q181" i="66" s="1"/>
  <c r="R181" i="66" s="1"/>
  <c r="S181" i="66" s="1"/>
  <c r="T181" i="66" s="1"/>
  <c r="U181" i="66" s="1"/>
  <c r="V181" i="66" s="1"/>
  <c r="W181" i="66" s="1"/>
  <c r="X181" i="66" s="1"/>
  <c r="Y181" i="66" s="1"/>
  <c r="Z181" i="66" s="1"/>
  <c r="AA181" i="66" s="1"/>
  <c r="AB181" i="66" s="1"/>
  <c r="AC181" i="66" s="1"/>
  <c r="AD181" i="66" s="1"/>
  <c r="AE181" i="66" s="1"/>
  <c r="B180" i="66"/>
  <c r="C180" i="66" s="1"/>
  <c r="D180" i="66" s="1"/>
  <c r="E180" i="66" s="1"/>
  <c r="F180" i="66" s="1"/>
  <c r="G180" i="66" s="1"/>
  <c r="H180" i="66" s="1"/>
  <c r="I180" i="66" s="1"/>
  <c r="J180" i="66" s="1"/>
  <c r="K180" i="66" s="1"/>
  <c r="L180" i="66" s="1"/>
  <c r="M180" i="66" s="1"/>
  <c r="N180" i="66" s="1"/>
  <c r="O180" i="66" s="1"/>
  <c r="P180" i="66" s="1"/>
  <c r="Q180" i="66" s="1"/>
  <c r="R180" i="66" s="1"/>
  <c r="S180" i="66" s="1"/>
  <c r="T180" i="66" s="1"/>
  <c r="U180" i="66" s="1"/>
  <c r="V180" i="66" s="1"/>
  <c r="W180" i="66" s="1"/>
  <c r="X180" i="66" s="1"/>
  <c r="Y180" i="66" s="1"/>
  <c r="Z180" i="66" s="1"/>
  <c r="AA180" i="66" s="1"/>
  <c r="AB180" i="66" s="1"/>
  <c r="AC180" i="66" s="1"/>
  <c r="AD180" i="66" s="1"/>
  <c r="AE180" i="66" s="1"/>
  <c r="B179" i="66"/>
  <c r="C179" i="66" s="1"/>
  <c r="D179" i="66" s="1"/>
  <c r="E179" i="66" s="1"/>
  <c r="F179" i="66" s="1"/>
  <c r="G179" i="66" s="1"/>
  <c r="H179" i="66" s="1"/>
  <c r="I179" i="66" s="1"/>
  <c r="J179" i="66" s="1"/>
  <c r="K179" i="66" s="1"/>
  <c r="L179" i="66" s="1"/>
  <c r="M179" i="66" s="1"/>
  <c r="N179" i="66" s="1"/>
  <c r="O179" i="66" s="1"/>
  <c r="P179" i="66" s="1"/>
  <c r="Q179" i="66" s="1"/>
  <c r="R179" i="66" s="1"/>
  <c r="S179" i="66" s="1"/>
  <c r="T179" i="66" s="1"/>
  <c r="U179" i="66" s="1"/>
  <c r="V179" i="66" s="1"/>
  <c r="W179" i="66" s="1"/>
  <c r="X179" i="66" s="1"/>
  <c r="Y179" i="66" s="1"/>
  <c r="Z179" i="66" s="1"/>
  <c r="AA179" i="66" s="1"/>
  <c r="AB179" i="66" s="1"/>
  <c r="AC179" i="66" s="1"/>
  <c r="AD179" i="66" s="1"/>
  <c r="AE179" i="66" s="1"/>
  <c r="B178" i="66"/>
  <c r="C178" i="66" s="1"/>
  <c r="D178" i="66" s="1"/>
  <c r="E178" i="66" s="1"/>
  <c r="F178" i="66" s="1"/>
  <c r="G178" i="66" s="1"/>
  <c r="H178" i="66" s="1"/>
  <c r="I178" i="66" s="1"/>
  <c r="J178" i="66" s="1"/>
  <c r="K178" i="66" s="1"/>
  <c r="L178" i="66" s="1"/>
  <c r="M178" i="66" s="1"/>
  <c r="N178" i="66" s="1"/>
  <c r="O178" i="66" s="1"/>
  <c r="P178" i="66" s="1"/>
  <c r="Q178" i="66" s="1"/>
  <c r="R178" i="66" s="1"/>
  <c r="S178" i="66" s="1"/>
  <c r="T178" i="66" s="1"/>
  <c r="U178" i="66" s="1"/>
  <c r="V178" i="66" s="1"/>
  <c r="W178" i="66" s="1"/>
  <c r="X178" i="66" s="1"/>
  <c r="Y178" i="66" s="1"/>
  <c r="Z178" i="66" s="1"/>
  <c r="AA178" i="66" s="1"/>
  <c r="AB178" i="66" s="1"/>
  <c r="AC178" i="66" s="1"/>
  <c r="AD178" i="66" s="1"/>
  <c r="AE178" i="66" s="1"/>
  <c r="AF177" i="66"/>
  <c r="AG177" i="66" s="1"/>
  <c r="AH177" i="66" s="1"/>
  <c r="AI177" i="66" s="1"/>
  <c r="AJ177" i="66" s="1"/>
  <c r="AK177" i="66" s="1"/>
  <c r="AL177" i="66" s="1"/>
  <c r="AM177" i="66" s="1"/>
  <c r="AN177" i="66" s="1"/>
  <c r="AO177" i="66" s="1"/>
  <c r="AP177" i="66" s="1"/>
  <c r="AQ177" i="66" s="1"/>
  <c r="AR177" i="66" s="1"/>
  <c r="AS177" i="66" s="1"/>
  <c r="AT177" i="66" s="1"/>
  <c r="AU177" i="66" s="1"/>
  <c r="AV177" i="66" s="1"/>
  <c r="AW177" i="66" s="1"/>
  <c r="AX177" i="66" s="1"/>
  <c r="AY177" i="66" s="1"/>
  <c r="AY174" i="66"/>
  <c r="AX174" i="66"/>
  <c r="AW174" i="66"/>
  <c r="AV174" i="66"/>
  <c r="AU174" i="66"/>
  <c r="AT174" i="66"/>
  <c r="AS174" i="66"/>
  <c r="AR174" i="66"/>
  <c r="AQ174" i="66"/>
  <c r="AP174" i="66"/>
  <c r="AO174" i="66"/>
  <c r="AN174" i="66"/>
  <c r="AM174" i="66"/>
  <c r="AL174" i="66"/>
  <c r="AK174" i="66"/>
  <c r="AJ174" i="66"/>
  <c r="AI174" i="66"/>
  <c r="AH174" i="66"/>
  <c r="AG174" i="66"/>
  <c r="AF174" i="66"/>
  <c r="AE174" i="66"/>
  <c r="AD174" i="66"/>
  <c r="AC174" i="66"/>
  <c r="AB174" i="66"/>
  <c r="AA174" i="66"/>
  <c r="Z174" i="66"/>
  <c r="Y174" i="66"/>
  <c r="X174" i="66"/>
  <c r="W174" i="66"/>
  <c r="V174" i="66"/>
  <c r="U174" i="66"/>
  <c r="T174" i="66"/>
  <c r="S174" i="66"/>
  <c r="R174" i="66"/>
  <c r="Q174" i="66"/>
  <c r="P174" i="66"/>
  <c r="O174" i="66"/>
  <c r="N174" i="66"/>
  <c r="M174" i="66"/>
  <c r="L174" i="66"/>
  <c r="K174" i="66"/>
  <c r="J174" i="66"/>
  <c r="I174" i="66"/>
  <c r="H174" i="66"/>
  <c r="G174" i="66"/>
  <c r="F174" i="66"/>
  <c r="E174" i="66"/>
  <c r="D174" i="66"/>
  <c r="C174" i="66"/>
  <c r="B174" i="66"/>
  <c r="B185" i="66" s="1"/>
  <c r="AY173" i="66"/>
  <c r="AX173" i="66"/>
  <c r="AW173" i="66"/>
  <c r="AV173" i="66"/>
  <c r="AU173" i="66"/>
  <c r="AT173" i="66"/>
  <c r="AS173" i="66"/>
  <c r="AR173" i="66"/>
  <c r="AQ173" i="66"/>
  <c r="AP173" i="66"/>
  <c r="AO173" i="66"/>
  <c r="AN173" i="66"/>
  <c r="AM173" i="66"/>
  <c r="AL173" i="66"/>
  <c r="AK173" i="66"/>
  <c r="AJ173" i="66"/>
  <c r="AI173" i="66"/>
  <c r="AH173" i="66"/>
  <c r="AG173" i="66"/>
  <c r="AF173" i="66"/>
  <c r="AE173" i="66"/>
  <c r="AD173" i="66"/>
  <c r="AC173" i="66"/>
  <c r="AB173" i="66"/>
  <c r="AA173" i="66"/>
  <c r="Z173" i="66"/>
  <c r="Y173" i="66"/>
  <c r="X173" i="66"/>
  <c r="W173" i="66"/>
  <c r="V173" i="66"/>
  <c r="U173" i="66"/>
  <c r="T173" i="66"/>
  <c r="S173" i="66"/>
  <c r="R173" i="66"/>
  <c r="Q173" i="66"/>
  <c r="P173" i="66"/>
  <c r="O173" i="66"/>
  <c r="N173" i="66"/>
  <c r="M173" i="66"/>
  <c r="L173" i="66"/>
  <c r="K173" i="66"/>
  <c r="J173" i="66"/>
  <c r="I173" i="66"/>
  <c r="H173" i="66"/>
  <c r="G173" i="66"/>
  <c r="F173" i="66"/>
  <c r="E173" i="66"/>
  <c r="D173" i="66"/>
  <c r="C173" i="66"/>
  <c r="B173" i="66"/>
  <c r="B184" i="66" s="1"/>
  <c r="B160" i="66"/>
  <c r="C160" i="66" s="1"/>
  <c r="D160" i="66" s="1"/>
  <c r="E160" i="66" s="1"/>
  <c r="F160" i="66" s="1"/>
  <c r="G160" i="66" s="1"/>
  <c r="H160" i="66" s="1"/>
  <c r="I160" i="66" s="1"/>
  <c r="J160" i="66" s="1"/>
  <c r="K160" i="66" s="1"/>
  <c r="L160" i="66" s="1"/>
  <c r="M160" i="66" s="1"/>
  <c r="N160" i="66" s="1"/>
  <c r="O160" i="66" s="1"/>
  <c r="P160" i="66" s="1"/>
  <c r="Q160" i="66" s="1"/>
  <c r="R160" i="66" s="1"/>
  <c r="S160" i="66" s="1"/>
  <c r="T160" i="66" s="1"/>
  <c r="U160" i="66" s="1"/>
  <c r="V160" i="66" s="1"/>
  <c r="W160" i="66" s="1"/>
  <c r="X160" i="66" s="1"/>
  <c r="Y160" i="66" s="1"/>
  <c r="Z160" i="66" s="1"/>
  <c r="AA160" i="66" s="1"/>
  <c r="AB160" i="66" s="1"/>
  <c r="AC160" i="66" s="1"/>
  <c r="AD160" i="66" s="1"/>
  <c r="AE160" i="66" s="1"/>
  <c r="B159" i="66"/>
  <c r="C159" i="66" s="1"/>
  <c r="D159" i="66" s="1"/>
  <c r="E159" i="66" s="1"/>
  <c r="F159" i="66" s="1"/>
  <c r="G159" i="66" s="1"/>
  <c r="H159" i="66" s="1"/>
  <c r="I159" i="66" s="1"/>
  <c r="J159" i="66" s="1"/>
  <c r="K159" i="66" s="1"/>
  <c r="L159" i="66" s="1"/>
  <c r="M159" i="66" s="1"/>
  <c r="N159" i="66" s="1"/>
  <c r="O159" i="66" s="1"/>
  <c r="P159" i="66" s="1"/>
  <c r="Q159" i="66" s="1"/>
  <c r="R159" i="66" s="1"/>
  <c r="S159" i="66" s="1"/>
  <c r="T159" i="66" s="1"/>
  <c r="U159" i="66" s="1"/>
  <c r="V159" i="66" s="1"/>
  <c r="W159" i="66" s="1"/>
  <c r="X159" i="66" s="1"/>
  <c r="Y159" i="66" s="1"/>
  <c r="Z159" i="66" s="1"/>
  <c r="AA159" i="66" s="1"/>
  <c r="AB159" i="66" s="1"/>
  <c r="AC159" i="66" s="1"/>
  <c r="AD159" i="66" s="1"/>
  <c r="AE159" i="66" s="1"/>
  <c r="B158" i="66"/>
  <c r="C158" i="66" s="1"/>
  <c r="D158" i="66" s="1"/>
  <c r="E158" i="66" s="1"/>
  <c r="F158" i="66" s="1"/>
  <c r="G158" i="66" s="1"/>
  <c r="H158" i="66" s="1"/>
  <c r="I158" i="66" s="1"/>
  <c r="J158" i="66" s="1"/>
  <c r="K158" i="66" s="1"/>
  <c r="L158" i="66" s="1"/>
  <c r="M158" i="66" s="1"/>
  <c r="N158" i="66" s="1"/>
  <c r="O158" i="66" s="1"/>
  <c r="P158" i="66" s="1"/>
  <c r="Q158" i="66" s="1"/>
  <c r="R158" i="66" s="1"/>
  <c r="S158" i="66" s="1"/>
  <c r="T158" i="66" s="1"/>
  <c r="U158" i="66" s="1"/>
  <c r="V158" i="66" s="1"/>
  <c r="W158" i="66" s="1"/>
  <c r="X158" i="66" s="1"/>
  <c r="Y158" i="66" s="1"/>
  <c r="Z158" i="66" s="1"/>
  <c r="AA158" i="66" s="1"/>
  <c r="AB158" i="66" s="1"/>
  <c r="AC158" i="66" s="1"/>
  <c r="AD158" i="66" s="1"/>
  <c r="AE158" i="66" s="1"/>
  <c r="B157" i="66"/>
  <c r="C157" i="66" s="1"/>
  <c r="D157" i="66" s="1"/>
  <c r="E157" i="66" s="1"/>
  <c r="F157" i="66" s="1"/>
  <c r="G157" i="66" s="1"/>
  <c r="H157" i="66" s="1"/>
  <c r="I157" i="66" s="1"/>
  <c r="J157" i="66" s="1"/>
  <c r="K157" i="66" s="1"/>
  <c r="L157" i="66" s="1"/>
  <c r="M157" i="66" s="1"/>
  <c r="N157" i="66" s="1"/>
  <c r="O157" i="66" s="1"/>
  <c r="P157" i="66" s="1"/>
  <c r="Q157" i="66" s="1"/>
  <c r="R157" i="66" s="1"/>
  <c r="S157" i="66" s="1"/>
  <c r="T157" i="66" s="1"/>
  <c r="U157" i="66" s="1"/>
  <c r="V157" i="66" s="1"/>
  <c r="W157" i="66" s="1"/>
  <c r="X157" i="66" s="1"/>
  <c r="Y157" i="66" s="1"/>
  <c r="Z157" i="66" s="1"/>
  <c r="AA157" i="66" s="1"/>
  <c r="AB157" i="66" s="1"/>
  <c r="AC157" i="66" s="1"/>
  <c r="AD157" i="66" s="1"/>
  <c r="AE157" i="66" s="1"/>
  <c r="B156" i="66"/>
  <c r="C156" i="66" s="1"/>
  <c r="D156" i="66" s="1"/>
  <c r="E156" i="66" s="1"/>
  <c r="F156" i="66" s="1"/>
  <c r="G156" i="66" s="1"/>
  <c r="H156" i="66" s="1"/>
  <c r="I156" i="66" s="1"/>
  <c r="J156" i="66" s="1"/>
  <c r="K156" i="66" s="1"/>
  <c r="L156" i="66" s="1"/>
  <c r="M156" i="66" s="1"/>
  <c r="N156" i="66" s="1"/>
  <c r="O156" i="66" s="1"/>
  <c r="P156" i="66" s="1"/>
  <c r="Q156" i="66" s="1"/>
  <c r="R156" i="66" s="1"/>
  <c r="S156" i="66" s="1"/>
  <c r="T156" i="66" s="1"/>
  <c r="U156" i="66" s="1"/>
  <c r="V156" i="66" s="1"/>
  <c r="W156" i="66" s="1"/>
  <c r="X156" i="66" s="1"/>
  <c r="Y156" i="66" s="1"/>
  <c r="Z156" i="66" s="1"/>
  <c r="AA156" i="66" s="1"/>
  <c r="AB156" i="66" s="1"/>
  <c r="AC156" i="66" s="1"/>
  <c r="AD156" i="66" s="1"/>
  <c r="AE156" i="66" s="1"/>
  <c r="B155" i="66"/>
  <c r="C155" i="66" s="1"/>
  <c r="D155" i="66" s="1"/>
  <c r="E155" i="66" s="1"/>
  <c r="F155" i="66" s="1"/>
  <c r="G155" i="66" s="1"/>
  <c r="H155" i="66" s="1"/>
  <c r="I155" i="66" s="1"/>
  <c r="J155" i="66" s="1"/>
  <c r="K155" i="66" s="1"/>
  <c r="L155" i="66" s="1"/>
  <c r="M155" i="66" s="1"/>
  <c r="N155" i="66" s="1"/>
  <c r="O155" i="66" s="1"/>
  <c r="P155" i="66" s="1"/>
  <c r="Q155" i="66" s="1"/>
  <c r="R155" i="66" s="1"/>
  <c r="S155" i="66" s="1"/>
  <c r="T155" i="66" s="1"/>
  <c r="U155" i="66" s="1"/>
  <c r="V155" i="66" s="1"/>
  <c r="W155" i="66" s="1"/>
  <c r="X155" i="66" s="1"/>
  <c r="Y155" i="66" s="1"/>
  <c r="Z155" i="66" s="1"/>
  <c r="AA155" i="66" s="1"/>
  <c r="AB155" i="66" s="1"/>
  <c r="AC155" i="66" s="1"/>
  <c r="AD155" i="66" s="1"/>
  <c r="AE155" i="66" s="1"/>
  <c r="AF154" i="66"/>
  <c r="AG154" i="66" s="1"/>
  <c r="AH154" i="66" s="1"/>
  <c r="AI154" i="66" s="1"/>
  <c r="AJ154" i="66" s="1"/>
  <c r="AK154" i="66" s="1"/>
  <c r="AL154" i="66" s="1"/>
  <c r="AM154" i="66" s="1"/>
  <c r="AN154" i="66" s="1"/>
  <c r="AO154" i="66" s="1"/>
  <c r="AP154" i="66" s="1"/>
  <c r="AQ154" i="66" s="1"/>
  <c r="AR154" i="66" s="1"/>
  <c r="AS154" i="66" s="1"/>
  <c r="AT154" i="66" s="1"/>
  <c r="AU154" i="66" s="1"/>
  <c r="AV154" i="66" s="1"/>
  <c r="AW154" i="66" s="1"/>
  <c r="AX154" i="66" s="1"/>
  <c r="AY154" i="66" s="1"/>
  <c r="AY151" i="66"/>
  <c r="AX151" i="66"/>
  <c r="AW151" i="66"/>
  <c r="AV151" i="66"/>
  <c r="AU151" i="66"/>
  <c r="AT151" i="66"/>
  <c r="AS151" i="66"/>
  <c r="AR151" i="66"/>
  <c r="AQ151" i="66"/>
  <c r="AP151" i="66"/>
  <c r="AO151" i="66"/>
  <c r="AN151" i="66"/>
  <c r="AM151" i="66"/>
  <c r="AL151" i="66"/>
  <c r="AK151" i="66"/>
  <c r="AJ151" i="66"/>
  <c r="AI151" i="66"/>
  <c r="AH151" i="66"/>
  <c r="AG151" i="66"/>
  <c r="AF151" i="66"/>
  <c r="AE151" i="66"/>
  <c r="AD151" i="66"/>
  <c r="AC151" i="66"/>
  <c r="AB151" i="66"/>
  <c r="AA151" i="66"/>
  <c r="Z151" i="66"/>
  <c r="Y151" i="66"/>
  <c r="X151" i="66"/>
  <c r="W151" i="66"/>
  <c r="V151" i="66"/>
  <c r="U151" i="66"/>
  <c r="T151" i="66"/>
  <c r="S151" i="66"/>
  <c r="R151" i="66"/>
  <c r="Q151" i="66"/>
  <c r="P151" i="66"/>
  <c r="O151" i="66"/>
  <c r="N151" i="66"/>
  <c r="M151" i="66"/>
  <c r="L151" i="66"/>
  <c r="K151" i="66"/>
  <c r="J151" i="66"/>
  <c r="I151" i="66"/>
  <c r="H151" i="66"/>
  <c r="G151" i="66"/>
  <c r="F151" i="66"/>
  <c r="E151" i="66"/>
  <c r="D151" i="66"/>
  <c r="C151" i="66"/>
  <c r="B151" i="66"/>
  <c r="B162" i="66" s="1"/>
  <c r="AY150" i="66"/>
  <c r="AX150" i="66"/>
  <c r="AW150" i="66"/>
  <c r="AV150" i="66"/>
  <c r="AU150" i="66"/>
  <c r="AT150" i="66"/>
  <c r="AS150" i="66"/>
  <c r="AR150" i="66"/>
  <c r="AQ150" i="66"/>
  <c r="AP150" i="66"/>
  <c r="AO150" i="66"/>
  <c r="AN150" i="66"/>
  <c r="AM150" i="66"/>
  <c r="AL150" i="66"/>
  <c r="AK150" i="66"/>
  <c r="AJ150" i="66"/>
  <c r="AI150" i="66"/>
  <c r="AH150" i="66"/>
  <c r="AG150" i="66"/>
  <c r="AF150" i="66"/>
  <c r="AE150" i="66"/>
  <c r="AD150" i="66"/>
  <c r="AC150" i="66"/>
  <c r="AB150" i="66"/>
  <c r="AA150" i="66"/>
  <c r="Z150" i="66"/>
  <c r="Y150" i="66"/>
  <c r="X150" i="66"/>
  <c r="W150" i="66"/>
  <c r="V150" i="66"/>
  <c r="U150" i="66"/>
  <c r="T150" i="66"/>
  <c r="S150" i="66"/>
  <c r="R150" i="66"/>
  <c r="Q150" i="66"/>
  <c r="P150" i="66"/>
  <c r="O150" i="66"/>
  <c r="N150" i="66"/>
  <c r="M150" i="66"/>
  <c r="L150" i="66"/>
  <c r="K150" i="66"/>
  <c r="J150" i="66"/>
  <c r="I150" i="66"/>
  <c r="H150" i="66"/>
  <c r="G150" i="66"/>
  <c r="F150" i="66"/>
  <c r="E150" i="66"/>
  <c r="D150" i="66"/>
  <c r="C150" i="66"/>
  <c r="B150" i="66"/>
  <c r="B161" i="66" s="1"/>
  <c r="B137" i="66"/>
  <c r="C137" i="66" s="1"/>
  <c r="D137" i="66" s="1"/>
  <c r="E137" i="66" s="1"/>
  <c r="F137" i="66" s="1"/>
  <c r="G137" i="66" s="1"/>
  <c r="H137" i="66" s="1"/>
  <c r="I137" i="66" s="1"/>
  <c r="J137" i="66" s="1"/>
  <c r="K137" i="66" s="1"/>
  <c r="L137" i="66" s="1"/>
  <c r="M137" i="66" s="1"/>
  <c r="N137" i="66" s="1"/>
  <c r="O137" i="66" s="1"/>
  <c r="P137" i="66" s="1"/>
  <c r="Q137" i="66" s="1"/>
  <c r="R137" i="66" s="1"/>
  <c r="S137" i="66" s="1"/>
  <c r="T137" i="66" s="1"/>
  <c r="U137" i="66" s="1"/>
  <c r="V137" i="66" s="1"/>
  <c r="W137" i="66" s="1"/>
  <c r="X137" i="66" s="1"/>
  <c r="Y137" i="66" s="1"/>
  <c r="Z137" i="66" s="1"/>
  <c r="AA137" i="66" s="1"/>
  <c r="AB137" i="66" s="1"/>
  <c r="AC137" i="66" s="1"/>
  <c r="AD137" i="66" s="1"/>
  <c r="AE137" i="66" s="1"/>
  <c r="C136" i="66"/>
  <c r="D136" i="66" s="1"/>
  <c r="E136" i="66" s="1"/>
  <c r="F136" i="66" s="1"/>
  <c r="G136" i="66" s="1"/>
  <c r="H136" i="66" s="1"/>
  <c r="I136" i="66" s="1"/>
  <c r="J136" i="66" s="1"/>
  <c r="K136" i="66" s="1"/>
  <c r="L136" i="66" s="1"/>
  <c r="M136" i="66" s="1"/>
  <c r="N136" i="66" s="1"/>
  <c r="O136" i="66" s="1"/>
  <c r="P136" i="66" s="1"/>
  <c r="Q136" i="66" s="1"/>
  <c r="R136" i="66" s="1"/>
  <c r="S136" i="66" s="1"/>
  <c r="T136" i="66" s="1"/>
  <c r="U136" i="66" s="1"/>
  <c r="V136" i="66" s="1"/>
  <c r="W136" i="66" s="1"/>
  <c r="X136" i="66" s="1"/>
  <c r="Y136" i="66" s="1"/>
  <c r="Z136" i="66" s="1"/>
  <c r="AA136" i="66" s="1"/>
  <c r="AB136" i="66" s="1"/>
  <c r="AC136" i="66" s="1"/>
  <c r="AD136" i="66" s="1"/>
  <c r="AE136" i="66" s="1"/>
  <c r="B136" i="66"/>
  <c r="B135" i="66"/>
  <c r="C135" i="66" s="1"/>
  <c r="D135" i="66" s="1"/>
  <c r="E135" i="66" s="1"/>
  <c r="F135" i="66" s="1"/>
  <c r="G135" i="66" s="1"/>
  <c r="H135" i="66" s="1"/>
  <c r="I135" i="66" s="1"/>
  <c r="J135" i="66" s="1"/>
  <c r="K135" i="66" s="1"/>
  <c r="L135" i="66" s="1"/>
  <c r="M135" i="66" s="1"/>
  <c r="N135" i="66" s="1"/>
  <c r="O135" i="66" s="1"/>
  <c r="P135" i="66" s="1"/>
  <c r="Q135" i="66" s="1"/>
  <c r="R135" i="66" s="1"/>
  <c r="S135" i="66" s="1"/>
  <c r="T135" i="66" s="1"/>
  <c r="U135" i="66" s="1"/>
  <c r="V135" i="66" s="1"/>
  <c r="W135" i="66" s="1"/>
  <c r="X135" i="66" s="1"/>
  <c r="Y135" i="66" s="1"/>
  <c r="Z135" i="66" s="1"/>
  <c r="AA135" i="66" s="1"/>
  <c r="AB135" i="66" s="1"/>
  <c r="AC135" i="66" s="1"/>
  <c r="AD135" i="66" s="1"/>
  <c r="AE135" i="66" s="1"/>
  <c r="B134" i="66"/>
  <c r="C134" i="66" s="1"/>
  <c r="D134" i="66" s="1"/>
  <c r="E134" i="66" s="1"/>
  <c r="F134" i="66" s="1"/>
  <c r="G134" i="66" s="1"/>
  <c r="H134" i="66" s="1"/>
  <c r="I134" i="66" s="1"/>
  <c r="J134" i="66" s="1"/>
  <c r="K134" i="66" s="1"/>
  <c r="L134" i="66" s="1"/>
  <c r="M134" i="66" s="1"/>
  <c r="N134" i="66" s="1"/>
  <c r="O134" i="66" s="1"/>
  <c r="P134" i="66" s="1"/>
  <c r="Q134" i="66" s="1"/>
  <c r="R134" i="66" s="1"/>
  <c r="S134" i="66" s="1"/>
  <c r="T134" i="66" s="1"/>
  <c r="U134" i="66" s="1"/>
  <c r="V134" i="66" s="1"/>
  <c r="W134" i="66" s="1"/>
  <c r="X134" i="66" s="1"/>
  <c r="Y134" i="66" s="1"/>
  <c r="Z134" i="66" s="1"/>
  <c r="AA134" i="66" s="1"/>
  <c r="AB134" i="66" s="1"/>
  <c r="AC134" i="66" s="1"/>
  <c r="AD134" i="66" s="1"/>
  <c r="AE134" i="66" s="1"/>
  <c r="AF134" i="66" s="1"/>
  <c r="B133" i="66"/>
  <c r="C133" i="66" s="1"/>
  <c r="D133" i="66" s="1"/>
  <c r="E133" i="66" s="1"/>
  <c r="F133" i="66" s="1"/>
  <c r="G133" i="66" s="1"/>
  <c r="H133" i="66" s="1"/>
  <c r="I133" i="66" s="1"/>
  <c r="J133" i="66" s="1"/>
  <c r="K133" i="66" s="1"/>
  <c r="L133" i="66" s="1"/>
  <c r="M133" i="66" s="1"/>
  <c r="N133" i="66" s="1"/>
  <c r="O133" i="66" s="1"/>
  <c r="P133" i="66" s="1"/>
  <c r="Q133" i="66" s="1"/>
  <c r="R133" i="66" s="1"/>
  <c r="S133" i="66" s="1"/>
  <c r="T133" i="66" s="1"/>
  <c r="U133" i="66" s="1"/>
  <c r="V133" i="66" s="1"/>
  <c r="W133" i="66" s="1"/>
  <c r="X133" i="66" s="1"/>
  <c r="Y133" i="66" s="1"/>
  <c r="Z133" i="66" s="1"/>
  <c r="AA133" i="66" s="1"/>
  <c r="AB133" i="66" s="1"/>
  <c r="AC133" i="66" s="1"/>
  <c r="AD133" i="66" s="1"/>
  <c r="AE133" i="66" s="1"/>
  <c r="C132" i="66"/>
  <c r="D132" i="66" s="1"/>
  <c r="E132" i="66" s="1"/>
  <c r="F132" i="66" s="1"/>
  <c r="G132" i="66" s="1"/>
  <c r="H132" i="66" s="1"/>
  <c r="I132" i="66" s="1"/>
  <c r="J132" i="66" s="1"/>
  <c r="K132" i="66" s="1"/>
  <c r="L132" i="66" s="1"/>
  <c r="M132" i="66" s="1"/>
  <c r="N132" i="66" s="1"/>
  <c r="O132" i="66" s="1"/>
  <c r="P132" i="66" s="1"/>
  <c r="Q132" i="66" s="1"/>
  <c r="R132" i="66" s="1"/>
  <c r="S132" i="66" s="1"/>
  <c r="T132" i="66" s="1"/>
  <c r="U132" i="66" s="1"/>
  <c r="V132" i="66" s="1"/>
  <c r="W132" i="66" s="1"/>
  <c r="X132" i="66" s="1"/>
  <c r="Y132" i="66" s="1"/>
  <c r="Z132" i="66" s="1"/>
  <c r="AA132" i="66" s="1"/>
  <c r="AB132" i="66" s="1"/>
  <c r="AC132" i="66" s="1"/>
  <c r="AD132" i="66" s="1"/>
  <c r="AE132" i="66" s="1"/>
  <c r="AF131" i="66"/>
  <c r="AG131" i="66" s="1"/>
  <c r="AH131" i="66" s="1"/>
  <c r="AI131" i="66" s="1"/>
  <c r="AJ131" i="66" s="1"/>
  <c r="AK131" i="66" s="1"/>
  <c r="AL131" i="66" s="1"/>
  <c r="AM131" i="66" s="1"/>
  <c r="AN131" i="66" s="1"/>
  <c r="AO131" i="66" s="1"/>
  <c r="AP131" i="66" s="1"/>
  <c r="AQ131" i="66" s="1"/>
  <c r="AR131" i="66" s="1"/>
  <c r="AS131" i="66" s="1"/>
  <c r="AT131" i="66" s="1"/>
  <c r="AU131" i="66" s="1"/>
  <c r="AV131" i="66" s="1"/>
  <c r="AW131" i="66" s="1"/>
  <c r="AX131" i="66" s="1"/>
  <c r="AY131" i="66" s="1"/>
  <c r="AY128" i="66"/>
  <c r="AX128" i="66"/>
  <c r="AW128" i="66"/>
  <c r="AV128" i="66"/>
  <c r="AU128" i="66"/>
  <c r="AT128" i="66"/>
  <c r="AS128" i="66"/>
  <c r="AR128" i="66"/>
  <c r="AQ128" i="66"/>
  <c r="AP128" i="66"/>
  <c r="AO128" i="66"/>
  <c r="AN128" i="66"/>
  <c r="AM128" i="66"/>
  <c r="AL128" i="66"/>
  <c r="AK128" i="66"/>
  <c r="AJ128" i="66"/>
  <c r="AI128" i="66"/>
  <c r="AH128" i="66"/>
  <c r="AG128" i="66"/>
  <c r="AF128" i="66"/>
  <c r="AE128" i="66"/>
  <c r="AD128" i="66"/>
  <c r="AC128" i="66"/>
  <c r="AB128" i="66"/>
  <c r="AA128" i="66"/>
  <c r="Z128" i="66"/>
  <c r="Y128" i="66"/>
  <c r="X128" i="66"/>
  <c r="W128" i="66"/>
  <c r="V128" i="66"/>
  <c r="U128" i="66"/>
  <c r="T128" i="66"/>
  <c r="S128" i="66"/>
  <c r="R128" i="66"/>
  <c r="Q128" i="66"/>
  <c r="P128" i="66"/>
  <c r="O128" i="66"/>
  <c r="N128" i="66"/>
  <c r="M128" i="66"/>
  <c r="L128" i="66"/>
  <c r="K128" i="66"/>
  <c r="J128" i="66"/>
  <c r="I128" i="66"/>
  <c r="H128" i="66"/>
  <c r="G128" i="66"/>
  <c r="F128" i="66"/>
  <c r="E128" i="66"/>
  <c r="D128" i="66"/>
  <c r="C128" i="66"/>
  <c r="C139" i="66" s="1"/>
  <c r="B128" i="66"/>
  <c r="B139" i="66" s="1"/>
  <c r="AY127" i="66"/>
  <c r="AX127" i="66"/>
  <c r="AW127" i="66"/>
  <c r="AV127" i="66"/>
  <c r="AU127" i="66"/>
  <c r="AT127" i="66"/>
  <c r="AS127" i="66"/>
  <c r="AR127" i="66"/>
  <c r="AQ127" i="66"/>
  <c r="AP127" i="66"/>
  <c r="AO127" i="66"/>
  <c r="AN127" i="66"/>
  <c r="AM127" i="66"/>
  <c r="AL127" i="66"/>
  <c r="AK127" i="66"/>
  <c r="AJ127" i="66"/>
  <c r="AI127" i="66"/>
  <c r="AH127" i="66"/>
  <c r="AG127" i="66"/>
  <c r="AF127" i="66"/>
  <c r="AE127" i="66"/>
  <c r="AD127" i="66"/>
  <c r="AC127" i="66"/>
  <c r="AB127" i="66"/>
  <c r="AA127" i="66"/>
  <c r="Z127" i="66"/>
  <c r="Y127" i="66"/>
  <c r="X127" i="66"/>
  <c r="W127" i="66"/>
  <c r="V127" i="66"/>
  <c r="U127" i="66"/>
  <c r="T127" i="66"/>
  <c r="S127" i="66"/>
  <c r="R127" i="66"/>
  <c r="Q127" i="66"/>
  <c r="P127" i="66"/>
  <c r="O127" i="66"/>
  <c r="N127" i="66"/>
  <c r="M127" i="66"/>
  <c r="L127" i="66"/>
  <c r="K127" i="66"/>
  <c r="J127" i="66"/>
  <c r="I127" i="66"/>
  <c r="H127" i="66"/>
  <c r="G127" i="66"/>
  <c r="F127" i="66"/>
  <c r="E127" i="66"/>
  <c r="D127" i="66"/>
  <c r="C127" i="66"/>
  <c r="B127" i="66"/>
  <c r="B138" i="66" s="1"/>
  <c r="B114" i="66"/>
  <c r="C114" i="66" s="1"/>
  <c r="D114" i="66" s="1"/>
  <c r="E114" i="66" s="1"/>
  <c r="F114" i="66" s="1"/>
  <c r="G114" i="66" s="1"/>
  <c r="H114" i="66" s="1"/>
  <c r="I114" i="66" s="1"/>
  <c r="J114" i="66" s="1"/>
  <c r="K114" i="66" s="1"/>
  <c r="L114" i="66" s="1"/>
  <c r="M114" i="66" s="1"/>
  <c r="N114" i="66" s="1"/>
  <c r="O114" i="66" s="1"/>
  <c r="P114" i="66" s="1"/>
  <c r="Q114" i="66" s="1"/>
  <c r="R114" i="66" s="1"/>
  <c r="S114" i="66" s="1"/>
  <c r="T114" i="66" s="1"/>
  <c r="U114" i="66" s="1"/>
  <c r="V114" i="66" s="1"/>
  <c r="W114" i="66" s="1"/>
  <c r="X114" i="66" s="1"/>
  <c r="Y114" i="66" s="1"/>
  <c r="Z114" i="66" s="1"/>
  <c r="AA114" i="66" s="1"/>
  <c r="AB114" i="66" s="1"/>
  <c r="AC114" i="66" s="1"/>
  <c r="AD114" i="66" s="1"/>
  <c r="AE114" i="66" s="1"/>
  <c r="AF114" i="66" s="1"/>
  <c r="B113" i="66"/>
  <c r="C113" i="66" s="1"/>
  <c r="D113" i="66" s="1"/>
  <c r="E113" i="66" s="1"/>
  <c r="F113" i="66" s="1"/>
  <c r="G113" i="66" s="1"/>
  <c r="H113" i="66" s="1"/>
  <c r="I113" i="66" s="1"/>
  <c r="J113" i="66" s="1"/>
  <c r="K113" i="66" s="1"/>
  <c r="L113" i="66" s="1"/>
  <c r="M113" i="66" s="1"/>
  <c r="N113" i="66" s="1"/>
  <c r="O113" i="66" s="1"/>
  <c r="P113" i="66" s="1"/>
  <c r="Q113" i="66" s="1"/>
  <c r="R113" i="66" s="1"/>
  <c r="S113" i="66" s="1"/>
  <c r="T113" i="66" s="1"/>
  <c r="U113" i="66" s="1"/>
  <c r="V113" i="66" s="1"/>
  <c r="W113" i="66" s="1"/>
  <c r="X113" i="66" s="1"/>
  <c r="Y113" i="66" s="1"/>
  <c r="Z113" i="66" s="1"/>
  <c r="AA113" i="66" s="1"/>
  <c r="AB113" i="66" s="1"/>
  <c r="AC113" i="66" s="1"/>
  <c r="AD113" i="66" s="1"/>
  <c r="AE113" i="66" s="1"/>
  <c r="B112" i="66"/>
  <c r="C112" i="66" s="1"/>
  <c r="D112" i="66" s="1"/>
  <c r="E112" i="66" s="1"/>
  <c r="F112" i="66" s="1"/>
  <c r="G112" i="66" s="1"/>
  <c r="H112" i="66" s="1"/>
  <c r="I112" i="66" s="1"/>
  <c r="J112" i="66" s="1"/>
  <c r="K112" i="66" s="1"/>
  <c r="L112" i="66" s="1"/>
  <c r="M112" i="66" s="1"/>
  <c r="N112" i="66" s="1"/>
  <c r="O112" i="66" s="1"/>
  <c r="P112" i="66" s="1"/>
  <c r="Q112" i="66" s="1"/>
  <c r="R112" i="66" s="1"/>
  <c r="S112" i="66" s="1"/>
  <c r="T112" i="66" s="1"/>
  <c r="U112" i="66" s="1"/>
  <c r="V112" i="66" s="1"/>
  <c r="W112" i="66" s="1"/>
  <c r="X112" i="66" s="1"/>
  <c r="Y112" i="66" s="1"/>
  <c r="Z112" i="66" s="1"/>
  <c r="AA112" i="66" s="1"/>
  <c r="AB112" i="66" s="1"/>
  <c r="AC112" i="66" s="1"/>
  <c r="AD112" i="66" s="1"/>
  <c r="AE112" i="66" s="1"/>
  <c r="B111" i="66"/>
  <c r="C111" i="66" s="1"/>
  <c r="D111" i="66" s="1"/>
  <c r="E111" i="66" s="1"/>
  <c r="F111" i="66" s="1"/>
  <c r="G111" i="66" s="1"/>
  <c r="H111" i="66" s="1"/>
  <c r="I111" i="66" s="1"/>
  <c r="J111" i="66" s="1"/>
  <c r="K111" i="66" s="1"/>
  <c r="L111" i="66" s="1"/>
  <c r="M111" i="66" s="1"/>
  <c r="N111" i="66" s="1"/>
  <c r="O111" i="66" s="1"/>
  <c r="P111" i="66" s="1"/>
  <c r="Q111" i="66" s="1"/>
  <c r="R111" i="66" s="1"/>
  <c r="S111" i="66" s="1"/>
  <c r="T111" i="66" s="1"/>
  <c r="U111" i="66" s="1"/>
  <c r="V111" i="66" s="1"/>
  <c r="W111" i="66" s="1"/>
  <c r="X111" i="66" s="1"/>
  <c r="Y111" i="66" s="1"/>
  <c r="Z111" i="66" s="1"/>
  <c r="AA111" i="66" s="1"/>
  <c r="AB111" i="66" s="1"/>
  <c r="AC111" i="66" s="1"/>
  <c r="AD111" i="66" s="1"/>
  <c r="AE111" i="66" s="1"/>
  <c r="B110" i="66"/>
  <c r="C110" i="66" s="1"/>
  <c r="D110" i="66" s="1"/>
  <c r="E110" i="66" s="1"/>
  <c r="F110" i="66" s="1"/>
  <c r="G110" i="66" s="1"/>
  <c r="H110" i="66" s="1"/>
  <c r="I110" i="66" s="1"/>
  <c r="J110" i="66" s="1"/>
  <c r="K110" i="66" s="1"/>
  <c r="L110" i="66" s="1"/>
  <c r="M110" i="66" s="1"/>
  <c r="N110" i="66" s="1"/>
  <c r="O110" i="66" s="1"/>
  <c r="P110" i="66" s="1"/>
  <c r="Q110" i="66" s="1"/>
  <c r="R110" i="66" s="1"/>
  <c r="S110" i="66" s="1"/>
  <c r="T110" i="66" s="1"/>
  <c r="U110" i="66" s="1"/>
  <c r="V110" i="66" s="1"/>
  <c r="W110" i="66" s="1"/>
  <c r="X110" i="66" s="1"/>
  <c r="Y110" i="66" s="1"/>
  <c r="Z110" i="66" s="1"/>
  <c r="AA110" i="66" s="1"/>
  <c r="AB110" i="66" s="1"/>
  <c r="AC110" i="66" s="1"/>
  <c r="AD110" i="66" s="1"/>
  <c r="AE110" i="66" s="1"/>
  <c r="AF110" i="66" s="1"/>
  <c r="C109" i="66"/>
  <c r="D109" i="66" s="1"/>
  <c r="E109" i="66" s="1"/>
  <c r="F109" i="66" s="1"/>
  <c r="G109" i="66" s="1"/>
  <c r="H109" i="66" s="1"/>
  <c r="I109" i="66" s="1"/>
  <c r="J109" i="66" s="1"/>
  <c r="K109" i="66" s="1"/>
  <c r="L109" i="66" s="1"/>
  <c r="M109" i="66" s="1"/>
  <c r="N109" i="66" s="1"/>
  <c r="O109" i="66" s="1"/>
  <c r="P109" i="66" s="1"/>
  <c r="Q109" i="66" s="1"/>
  <c r="R109" i="66" s="1"/>
  <c r="S109" i="66" s="1"/>
  <c r="T109" i="66" s="1"/>
  <c r="U109" i="66" s="1"/>
  <c r="V109" i="66" s="1"/>
  <c r="W109" i="66" s="1"/>
  <c r="X109" i="66" s="1"/>
  <c r="Y109" i="66" s="1"/>
  <c r="Z109" i="66" s="1"/>
  <c r="AA109" i="66" s="1"/>
  <c r="AB109" i="66" s="1"/>
  <c r="AC109" i="66" s="1"/>
  <c r="AD109" i="66" s="1"/>
  <c r="AE109" i="66" s="1"/>
  <c r="AF108" i="66"/>
  <c r="AG108" i="66" s="1"/>
  <c r="AH108" i="66" s="1"/>
  <c r="AI108" i="66" s="1"/>
  <c r="AJ108" i="66" s="1"/>
  <c r="AK108" i="66" s="1"/>
  <c r="AL108" i="66" s="1"/>
  <c r="AM108" i="66" s="1"/>
  <c r="AN108" i="66" s="1"/>
  <c r="AO108" i="66" s="1"/>
  <c r="AP108" i="66" s="1"/>
  <c r="AQ108" i="66" s="1"/>
  <c r="AR108" i="66" s="1"/>
  <c r="AS108" i="66" s="1"/>
  <c r="AT108" i="66" s="1"/>
  <c r="AU108" i="66" s="1"/>
  <c r="AV108" i="66" s="1"/>
  <c r="AW108" i="66" s="1"/>
  <c r="AX108" i="66" s="1"/>
  <c r="AY108" i="66" s="1"/>
  <c r="AY105" i="66"/>
  <c r="AX105" i="66"/>
  <c r="AW105" i="66"/>
  <c r="AV105" i="66"/>
  <c r="AU105" i="66"/>
  <c r="AT105" i="66"/>
  <c r="AS105" i="66"/>
  <c r="AR105" i="66"/>
  <c r="AQ105" i="66"/>
  <c r="AP105" i="66"/>
  <c r="AO105" i="66"/>
  <c r="AN105" i="66"/>
  <c r="AM105" i="66"/>
  <c r="AL105" i="66"/>
  <c r="AK105" i="66"/>
  <c r="AJ105" i="66"/>
  <c r="AI105" i="66"/>
  <c r="AH105" i="66"/>
  <c r="AG105" i="66"/>
  <c r="AF105" i="66"/>
  <c r="AE105" i="66"/>
  <c r="AD105" i="66"/>
  <c r="AC105" i="66"/>
  <c r="AB105" i="66"/>
  <c r="AA105" i="66"/>
  <c r="Z105" i="66"/>
  <c r="Y105" i="66"/>
  <c r="X105" i="66"/>
  <c r="W105" i="66"/>
  <c r="V105" i="66"/>
  <c r="U105" i="66"/>
  <c r="T105" i="66"/>
  <c r="S105" i="66"/>
  <c r="R105" i="66"/>
  <c r="Q105" i="66"/>
  <c r="P105" i="66"/>
  <c r="O105" i="66"/>
  <c r="N105" i="66"/>
  <c r="M105" i="66"/>
  <c r="L105" i="66"/>
  <c r="K105" i="66"/>
  <c r="J105" i="66"/>
  <c r="I105" i="66"/>
  <c r="H105" i="66"/>
  <c r="G105" i="66"/>
  <c r="F105" i="66"/>
  <c r="E105" i="66"/>
  <c r="D105" i="66"/>
  <c r="C105" i="66"/>
  <c r="B105" i="66"/>
  <c r="B116" i="66" s="1"/>
  <c r="AY104" i="66"/>
  <c r="AX104" i="66"/>
  <c r="AW104" i="66"/>
  <c r="AV104" i="66"/>
  <c r="AU104" i="66"/>
  <c r="AT104" i="66"/>
  <c r="AS104" i="66"/>
  <c r="AR104" i="66"/>
  <c r="AQ104" i="66"/>
  <c r="AP104" i="66"/>
  <c r="AO104" i="66"/>
  <c r="AN104" i="66"/>
  <c r="AM104" i="66"/>
  <c r="AL104" i="66"/>
  <c r="AK104" i="66"/>
  <c r="AJ104" i="66"/>
  <c r="AI104" i="66"/>
  <c r="AH104" i="66"/>
  <c r="AG104" i="66"/>
  <c r="AF104" i="66"/>
  <c r="AE104" i="66"/>
  <c r="AD104" i="66"/>
  <c r="AC104" i="66"/>
  <c r="AB104" i="66"/>
  <c r="AA104" i="66"/>
  <c r="Z104" i="66"/>
  <c r="Y104" i="66"/>
  <c r="X104" i="66"/>
  <c r="W104" i="66"/>
  <c r="V104" i="66"/>
  <c r="U104" i="66"/>
  <c r="T104" i="66"/>
  <c r="S104" i="66"/>
  <c r="R104" i="66"/>
  <c r="Q104" i="66"/>
  <c r="P104" i="66"/>
  <c r="O104" i="66"/>
  <c r="N104" i="66"/>
  <c r="M104" i="66"/>
  <c r="L104" i="66"/>
  <c r="K104" i="66"/>
  <c r="J104" i="66"/>
  <c r="I104" i="66"/>
  <c r="H104" i="66"/>
  <c r="G104" i="66"/>
  <c r="F104" i="66"/>
  <c r="E104" i="66"/>
  <c r="D104" i="66"/>
  <c r="C104" i="66"/>
  <c r="B104" i="66"/>
  <c r="B115" i="66" s="1"/>
  <c r="C91" i="66"/>
  <c r="D91" i="66" s="1"/>
  <c r="E91" i="66" s="1"/>
  <c r="F91" i="66" s="1"/>
  <c r="G91" i="66" s="1"/>
  <c r="H91" i="66" s="1"/>
  <c r="I91" i="66" s="1"/>
  <c r="J91" i="66" s="1"/>
  <c r="K91" i="66" s="1"/>
  <c r="L91" i="66" s="1"/>
  <c r="M91" i="66" s="1"/>
  <c r="N91" i="66" s="1"/>
  <c r="O91" i="66" s="1"/>
  <c r="P91" i="66" s="1"/>
  <c r="Q91" i="66" s="1"/>
  <c r="R91" i="66" s="1"/>
  <c r="S91" i="66" s="1"/>
  <c r="T91" i="66" s="1"/>
  <c r="U91" i="66" s="1"/>
  <c r="V91" i="66" s="1"/>
  <c r="W91" i="66" s="1"/>
  <c r="X91" i="66" s="1"/>
  <c r="Y91" i="66" s="1"/>
  <c r="Z91" i="66" s="1"/>
  <c r="AA91" i="66" s="1"/>
  <c r="AB91" i="66" s="1"/>
  <c r="AC91" i="66" s="1"/>
  <c r="AD91" i="66" s="1"/>
  <c r="AE91" i="66" s="1"/>
  <c r="AF91" i="66" s="1"/>
  <c r="B91" i="66"/>
  <c r="B90" i="66"/>
  <c r="C90" i="66" s="1"/>
  <c r="D90" i="66" s="1"/>
  <c r="E90" i="66" s="1"/>
  <c r="F90" i="66" s="1"/>
  <c r="G90" i="66" s="1"/>
  <c r="H90" i="66" s="1"/>
  <c r="I90" i="66" s="1"/>
  <c r="J90" i="66" s="1"/>
  <c r="K90" i="66" s="1"/>
  <c r="L90" i="66" s="1"/>
  <c r="M90" i="66" s="1"/>
  <c r="N90" i="66" s="1"/>
  <c r="O90" i="66" s="1"/>
  <c r="P90" i="66" s="1"/>
  <c r="Q90" i="66" s="1"/>
  <c r="R90" i="66" s="1"/>
  <c r="S90" i="66" s="1"/>
  <c r="T90" i="66" s="1"/>
  <c r="U90" i="66" s="1"/>
  <c r="V90" i="66" s="1"/>
  <c r="W90" i="66" s="1"/>
  <c r="X90" i="66" s="1"/>
  <c r="Y90" i="66" s="1"/>
  <c r="Z90" i="66" s="1"/>
  <c r="AA90" i="66" s="1"/>
  <c r="AB90" i="66" s="1"/>
  <c r="AC90" i="66" s="1"/>
  <c r="AD90" i="66" s="1"/>
  <c r="AE90" i="66" s="1"/>
  <c r="B89" i="66"/>
  <c r="C89" i="66" s="1"/>
  <c r="D89" i="66" s="1"/>
  <c r="E89" i="66" s="1"/>
  <c r="F89" i="66" s="1"/>
  <c r="G89" i="66" s="1"/>
  <c r="H89" i="66" s="1"/>
  <c r="I89" i="66" s="1"/>
  <c r="J89" i="66" s="1"/>
  <c r="K89" i="66" s="1"/>
  <c r="L89" i="66" s="1"/>
  <c r="M89" i="66" s="1"/>
  <c r="N89" i="66" s="1"/>
  <c r="O89" i="66" s="1"/>
  <c r="P89" i="66" s="1"/>
  <c r="Q89" i="66" s="1"/>
  <c r="R89" i="66" s="1"/>
  <c r="S89" i="66" s="1"/>
  <c r="T89" i="66" s="1"/>
  <c r="U89" i="66" s="1"/>
  <c r="V89" i="66" s="1"/>
  <c r="W89" i="66" s="1"/>
  <c r="X89" i="66" s="1"/>
  <c r="Y89" i="66" s="1"/>
  <c r="Z89" i="66" s="1"/>
  <c r="AA89" i="66" s="1"/>
  <c r="AB89" i="66" s="1"/>
  <c r="AC89" i="66" s="1"/>
  <c r="AD89" i="66" s="1"/>
  <c r="AE89" i="66" s="1"/>
  <c r="B88" i="66"/>
  <c r="C88" i="66" s="1"/>
  <c r="D88" i="66" s="1"/>
  <c r="E88" i="66" s="1"/>
  <c r="F88" i="66" s="1"/>
  <c r="G88" i="66" s="1"/>
  <c r="H88" i="66" s="1"/>
  <c r="I88" i="66" s="1"/>
  <c r="J88" i="66" s="1"/>
  <c r="K88" i="66" s="1"/>
  <c r="L88" i="66" s="1"/>
  <c r="M88" i="66" s="1"/>
  <c r="N88" i="66" s="1"/>
  <c r="O88" i="66" s="1"/>
  <c r="P88" i="66" s="1"/>
  <c r="Q88" i="66" s="1"/>
  <c r="R88" i="66" s="1"/>
  <c r="S88" i="66" s="1"/>
  <c r="T88" i="66" s="1"/>
  <c r="U88" i="66" s="1"/>
  <c r="V88" i="66" s="1"/>
  <c r="W88" i="66" s="1"/>
  <c r="X88" i="66" s="1"/>
  <c r="Y88" i="66" s="1"/>
  <c r="Z88" i="66" s="1"/>
  <c r="AA88" i="66" s="1"/>
  <c r="AB88" i="66" s="1"/>
  <c r="AC88" i="66" s="1"/>
  <c r="AD88" i="66" s="1"/>
  <c r="AE88" i="66" s="1"/>
  <c r="AF88" i="66" s="1"/>
  <c r="B87" i="66"/>
  <c r="C87" i="66" s="1"/>
  <c r="D87" i="66" s="1"/>
  <c r="E87" i="66" s="1"/>
  <c r="F87" i="66" s="1"/>
  <c r="G87" i="66" s="1"/>
  <c r="H87" i="66" s="1"/>
  <c r="I87" i="66" s="1"/>
  <c r="J87" i="66" s="1"/>
  <c r="K87" i="66" s="1"/>
  <c r="L87" i="66" s="1"/>
  <c r="M87" i="66" s="1"/>
  <c r="N87" i="66" s="1"/>
  <c r="O87" i="66" s="1"/>
  <c r="P87" i="66" s="1"/>
  <c r="Q87" i="66" s="1"/>
  <c r="R87" i="66" s="1"/>
  <c r="S87" i="66" s="1"/>
  <c r="T87" i="66" s="1"/>
  <c r="U87" i="66" s="1"/>
  <c r="V87" i="66" s="1"/>
  <c r="W87" i="66" s="1"/>
  <c r="X87" i="66" s="1"/>
  <c r="Y87" i="66" s="1"/>
  <c r="Z87" i="66" s="1"/>
  <c r="AA87" i="66" s="1"/>
  <c r="AB87" i="66" s="1"/>
  <c r="AC87" i="66" s="1"/>
  <c r="AD87" i="66" s="1"/>
  <c r="AE87" i="66" s="1"/>
  <c r="B86" i="66"/>
  <c r="C86" i="66" s="1"/>
  <c r="D86" i="66" s="1"/>
  <c r="E86" i="66" s="1"/>
  <c r="F86" i="66" s="1"/>
  <c r="G86" i="66" s="1"/>
  <c r="H86" i="66" s="1"/>
  <c r="I86" i="66" s="1"/>
  <c r="J86" i="66" s="1"/>
  <c r="K86" i="66" s="1"/>
  <c r="L86" i="66" s="1"/>
  <c r="M86" i="66" s="1"/>
  <c r="N86" i="66" s="1"/>
  <c r="O86" i="66" s="1"/>
  <c r="P86" i="66" s="1"/>
  <c r="Q86" i="66" s="1"/>
  <c r="R86" i="66" s="1"/>
  <c r="S86" i="66" s="1"/>
  <c r="T86" i="66" s="1"/>
  <c r="U86" i="66" s="1"/>
  <c r="V86" i="66" s="1"/>
  <c r="W86" i="66" s="1"/>
  <c r="X86" i="66" s="1"/>
  <c r="Y86" i="66" s="1"/>
  <c r="Z86" i="66" s="1"/>
  <c r="AA86" i="66" s="1"/>
  <c r="AB86" i="66" s="1"/>
  <c r="AC86" i="66" s="1"/>
  <c r="AD86" i="66" s="1"/>
  <c r="AE86" i="66" s="1"/>
  <c r="AF85" i="66"/>
  <c r="AG85" i="66" s="1"/>
  <c r="AH85" i="66" s="1"/>
  <c r="AI85" i="66" s="1"/>
  <c r="AJ85" i="66" s="1"/>
  <c r="AK85" i="66" s="1"/>
  <c r="AL85" i="66" s="1"/>
  <c r="AM85" i="66" s="1"/>
  <c r="AN85" i="66" s="1"/>
  <c r="AO85" i="66" s="1"/>
  <c r="AP85" i="66" s="1"/>
  <c r="AQ85" i="66" s="1"/>
  <c r="AR85" i="66" s="1"/>
  <c r="AS85" i="66" s="1"/>
  <c r="AT85" i="66" s="1"/>
  <c r="AU85" i="66" s="1"/>
  <c r="AV85" i="66" s="1"/>
  <c r="AW85" i="66" s="1"/>
  <c r="AX85" i="66" s="1"/>
  <c r="AY85" i="66" s="1"/>
  <c r="AY82" i="66"/>
  <c r="AX82" i="66"/>
  <c r="AW82" i="66"/>
  <c r="AV82" i="66"/>
  <c r="AU82" i="66"/>
  <c r="AT82" i="66"/>
  <c r="AS82" i="66"/>
  <c r="AR82" i="66"/>
  <c r="AQ82" i="66"/>
  <c r="AP82" i="66"/>
  <c r="AO82" i="66"/>
  <c r="AN82" i="66"/>
  <c r="AM82" i="66"/>
  <c r="AL82" i="66"/>
  <c r="AK82" i="66"/>
  <c r="AJ82" i="66"/>
  <c r="AI82" i="66"/>
  <c r="AH82" i="66"/>
  <c r="AG82" i="66"/>
  <c r="AF82" i="66"/>
  <c r="AE82" i="66"/>
  <c r="AD82" i="66"/>
  <c r="AC82" i="66"/>
  <c r="AB82" i="66"/>
  <c r="AA82" i="66"/>
  <c r="Z82" i="66"/>
  <c r="Y82" i="66"/>
  <c r="X82" i="66"/>
  <c r="W82" i="66"/>
  <c r="V82" i="66"/>
  <c r="U82" i="66"/>
  <c r="T82" i="66"/>
  <c r="S82" i="66"/>
  <c r="R82" i="66"/>
  <c r="Q82" i="66"/>
  <c r="P82" i="66"/>
  <c r="O82" i="66"/>
  <c r="N82" i="66"/>
  <c r="M82" i="66"/>
  <c r="L82" i="66"/>
  <c r="K82" i="66"/>
  <c r="J82" i="66"/>
  <c r="I82" i="66"/>
  <c r="H82" i="66"/>
  <c r="G82" i="66"/>
  <c r="F82" i="66"/>
  <c r="E82" i="66"/>
  <c r="D82" i="66"/>
  <c r="C82" i="66"/>
  <c r="B82" i="66"/>
  <c r="B93" i="66" s="1"/>
  <c r="AY81" i="66"/>
  <c r="AX81" i="66"/>
  <c r="AW81" i="66"/>
  <c r="AV81" i="66"/>
  <c r="AU81" i="66"/>
  <c r="AT81" i="66"/>
  <c r="AS81" i="66"/>
  <c r="AR81" i="66"/>
  <c r="AQ81" i="66"/>
  <c r="AP81" i="66"/>
  <c r="AO81" i="66"/>
  <c r="AN81" i="66"/>
  <c r="AM81" i="66"/>
  <c r="AL81" i="66"/>
  <c r="AK81" i="66"/>
  <c r="AJ81" i="66"/>
  <c r="AI81" i="66"/>
  <c r="AH81" i="66"/>
  <c r="AG81" i="66"/>
  <c r="AF81" i="66"/>
  <c r="AE81" i="66"/>
  <c r="AD81" i="66"/>
  <c r="AC81" i="66"/>
  <c r="AB81" i="66"/>
  <c r="AA81" i="66"/>
  <c r="Z81" i="66"/>
  <c r="Y81" i="66"/>
  <c r="X81" i="66"/>
  <c r="W81" i="66"/>
  <c r="V81" i="66"/>
  <c r="U81" i="66"/>
  <c r="T81" i="66"/>
  <c r="S81" i="66"/>
  <c r="R81" i="66"/>
  <c r="Q81" i="66"/>
  <c r="P81" i="66"/>
  <c r="O81" i="66"/>
  <c r="N81" i="66"/>
  <c r="M81" i="66"/>
  <c r="L81" i="66"/>
  <c r="K81" i="66"/>
  <c r="J81" i="66"/>
  <c r="I81" i="66"/>
  <c r="H81" i="66"/>
  <c r="G81" i="66"/>
  <c r="F81" i="66"/>
  <c r="E81" i="66"/>
  <c r="D81" i="66"/>
  <c r="C81" i="66"/>
  <c r="B81" i="66"/>
  <c r="B92" i="66" s="1"/>
  <c r="B68" i="66"/>
  <c r="C68" i="66" s="1"/>
  <c r="D68" i="66" s="1"/>
  <c r="E68" i="66" s="1"/>
  <c r="F68" i="66" s="1"/>
  <c r="G68" i="66" s="1"/>
  <c r="H68" i="66" s="1"/>
  <c r="I68" i="66" s="1"/>
  <c r="J68" i="66" s="1"/>
  <c r="K68" i="66" s="1"/>
  <c r="L68" i="66" s="1"/>
  <c r="M68" i="66" s="1"/>
  <c r="N68" i="66" s="1"/>
  <c r="O68" i="66" s="1"/>
  <c r="P68" i="66" s="1"/>
  <c r="Q68" i="66" s="1"/>
  <c r="R68" i="66" s="1"/>
  <c r="S68" i="66" s="1"/>
  <c r="T68" i="66" s="1"/>
  <c r="U68" i="66" s="1"/>
  <c r="V68" i="66" s="1"/>
  <c r="W68" i="66" s="1"/>
  <c r="X68" i="66" s="1"/>
  <c r="Y68" i="66" s="1"/>
  <c r="Z68" i="66" s="1"/>
  <c r="AA68" i="66" s="1"/>
  <c r="AB68" i="66" s="1"/>
  <c r="AC68" i="66" s="1"/>
  <c r="AD68" i="66" s="1"/>
  <c r="AE68" i="66" s="1"/>
  <c r="AF68" i="66" s="1"/>
  <c r="B67" i="66"/>
  <c r="C67" i="66" s="1"/>
  <c r="D67" i="66" s="1"/>
  <c r="E67" i="66" s="1"/>
  <c r="F67" i="66" s="1"/>
  <c r="G67" i="66" s="1"/>
  <c r="H67" i="66" s="1"/>
  <c r="I67" i="66" s="1"/>
  <c r="J67" i="66" s="1"/>
  <c r="K67" i="66" s="1"/>
  <c r="L67" i="66" s="1"/>
  <c r="M67" i="66" s="1"/>
  <c r="N67" i="66" s="1"/>
  <c r="O67" i="66" s="1"/>
  <c r="P67" i="66" s="1"/>
  <c r="Q67" i="66" s="1"/>
  <c r="R67" i="66" s="1"/>
  <c r="S67" i="66" s="1"/>
  <c r="T67" i="66" s="1"/>
  <c r="U67" i="66" s="1"/>
  <c r="V67" i="66" s="1"/>
  <c r="W67" i="66" s="1"/>
  <c r="X67" i="66" s="1"/>
  <c r="Y67" i="66" s="1"/>
  <c r="Z67" i="66" s="1"/>
  <c r="AA67" i="66" s="1"/>
  <c r="AB67" i="66" s="1"/>
  <c r="AC67" i="66" s="1"/>
  <c r="AD67" i="66" s="1"/>
  <c r="AE67" i="66" s="1"/>
  <c r="B66" i="66"/>
  <c r="C66" i="66" s="1"/>
  <c r="D66" i="66" s="1"/>
  <c r="E66" i="66" s="1"/>
  <c r="F66" i="66" s="1"/>
  <c r="G66" i="66" s="1"/>
  <c r="H66" i="66" s="1"/>
  <c r="I66" i="66" s="1"/>
  <c r="J66" i="66" s="1"/>
  <c r="K66" i="66" s="1"/>
  <c r="L66" i="66" s="1"/>
  <c r="M66" i="66" s="1"/>
  <c r="N66" i="66" s="1"/>
  <c r="O66" i="66" s="1"/>
  <c r="P66" i="66" s="1"/>
  <c r="Q66" i="66" s="1"/>
  <c r="R66" i="66" s="1"/>
  <c r="S66" i="66" s="1"/>
  <c r="T66" i="66" s="1"/>
  <c r="U66" i="66" s="1"/>
  <c r="V66" i="66" s="1"/>
  <c r="W66" i="66" s="1"/>
  <c r="X66" i="66" s="1"/>
  <c r="Y66" i="66" s="1"/>
  <c r="Z66" i="66" s="1"/>
  <c r="AA66" i="66" s="1"/>
  <c r="AB66" i="66" s="1"/>
  <c r="AC66" i="66" s="1"/>
  <c r="AD66" i="66" s="1"/>
  <c r="AE66" i="66" s="1"/>
  <c r="B65" i="66"/>
  <c r="C65" i="66" s="1"/>
  <c r="D65" i="66" s="1"/>
  <c r="E65" i="66" s="1"/>
  <c r="F65" i="66" s="1"/>
  <c r="G65" i="66" s="1"/>
  <c r="H65" i="66" s="1"/>
  <c r="I65" i="66" s="1"/>
  <c r="J65" i="66" s="1"/>
  <c r="K65" i="66" s="1"/>
  <c r="L65" i="66" s="1"/>
  <c r="M65" i="66" s="1"/>
  <c r="N65" i="66" s="1"/>
  <c r="O65" i="66" s="1"/>
  <c r="P65" i="66" s="1"/>
  <c r="Q65" i="66" s="1"/>
  <c r="R65" i="66" s="1"/>
  <c r="S65" i="66" s="1"/>
  <c r="T65" i="66" s="1"/>
  <c r="U65" i="66" s="1"/>
  <c r="V65" i="66" s="1"/>
  <c r="W65" i="66" s="1"/>
  <c r="X65" i="66" s="1"/>
  <c r="Y65" i="66" s="1"/>
  <c r="Z65" i="66" s="1"/>
  <c r="AA65" i="66" s="1"/>
  <c r="AB65" i="66" s="1"/>
  <c r="AC65" i="66" s="1"/>
  <c r="AD65" i="66" s="1"/>
  <c r="AE65" i="66" s="1"/>
  <c r="B64" i="66"/>
  <c r="C64" i="66" s="1"/>
  <c r="D64" i="66" s="1"/>
  <c r="E64" i="66" s="1"/>
  <c r="F64" i="66" s="1"/>
  <c r="G64" i="66" s="1"/>
  <c r="H64" i="66" s="1"/>
  <c r="I64" i="66" s="1"/>
  <c r="J64" i="66" s="1"/>
  <c r="K64" i="66" s="1"/>
  <c r="L64" i="66" s="1"/>
  <c r="M64" i="66" s="1"/>
  <c r="N64" i="66" s="1"/>
  <c r="O64" i="66" s="1"/>
  <c r="P64" i="66" s="1"/>
  <c r="Q64" i="66" s="1"/>
  <c r="R64" i="66" s="1"/>
  <c r="S64" i="66" s="1"/>
  <c r="T64" i="66" s="1"/>
  <c r="U64" i="66" s="1"/>
  <c r="V64" i="66" s="1"/>
  <c r="W64" i="66" s="1"/>
  <c r="X64" i="66" s="1"/>
  <c r="Y64" i="66" s="1"/>
  <c r="Z64" i="66" s="1"/>
  <c r="AA64" i="66" s="1"/>
  <c r="AB64" i="66" s="1"/>
  <c r="AC64" i="66" s="1"/>
  <c r="AD64" i="66" s="1"/>
  <c r="AE64" i="66" s="1"/>
  <c r="AF64" i="66" s="1"/>
  <c r="B63" i="66"/>
  <c r="C63" i="66" s="1"/>
  <c r="D63" i="66" s="1"/>
  <c r="E63" i="66" s="1"/>
  <c r="F63" i="66" s="1"/>
  <c r="G63" i="66" s="1"/>
  <c r="H63" i="66" s="1"/>
  <c r="I63" i="66" s="1"/>
  <c r="J63" i="66" s="1"/>
  <c r="K63" i="66" s="1"/>
  <c r="L63" i="66" s="1"/>
  <c r="M63" i="66" s="1"/>
  <c r="N63" i="66" s="1"/>
  <c r="O63" i="66" s="1"/>
  <c r="P63" i="66" s="1"/>
  <c r="Q63" i="66" s="1"/>
  <c r="R63" i="66" s="1"/>
  <c r="S63" i="66" s="1"/>
  <c r="T63" i="66" s="1"/>
  <c r="U63" i="66" s="1"/>
  <c r="V63" i="66" s="1"/>
  <c r="W63" i="66" s="1"/>
  <c r="X63" i="66" s="1"/>
  <c r="Y63" i="66" s="1"/>
  <c r="Z63" i="66" s="1"/>
  <c r="AA63" i="66" s="1"/>
  <c r="AB63" i="66" s="1"/>
  <c r="AC63" i="66" s="1"/>
  <c r="AD63" i="66" s="1"/>
  <c r="AE63" i="66" s="1"/>
  <c r="AF62" i="66"/>
  <c r="AG62" i="66" s="1"/>
  <c r="AH62" i="66" s="1"/>
  <c r="AI62" i="66" s="1"/>
  <c r="AJ62" i="66" s="1"/>
  <c r="AK62" i="66" s="1"/>
  <c r="AL62" i="66" s="1"/>
  <c r="AM62" i="66" s="1"/>
  <c r="AN62" i="66" s="1"/>
  <c r="AO62" i="66" s="1"/>
  <c r="AP62" i="66" s="1"/>
  <c r="AQ62" i="66" s="1"/>
  <c r="AR62" i="66" s="1"/>
  <c r="AS62" i="66" s="1"/>
  <c r="AT62" i="66" s="1"/>
  <c r="AU62" i="66" s="1"/>
  <c r="AV62" i="66" s="1"/>
  <c r="AW62" i="66" s="1"/>
  <c r="AX62" i="66" s="1"/>
  <c r="AY62" i="66" s="1"/>
  <c r="AY59" i="66"/>
  <c r="AX59" i="66"/>
  <c r="AW59" i="66"/>
  <c r="AV59" i="66"/>
  <c r="AU59" i="66"/>
  <c r="AT59" i="66"/>
  <c r="AS59" i="66"/>
  <c r="AR59" i="66"/>
  <c r="AQ59" i="66"/>
  <c r="AP59" i="66"/>
  <c r="AO59" i="66"/>
  <c r="AN59" i="66"/>
  <c r="AM59" i="66"/>
  <c r="AL59" i="66"/>
  <c r="AK59" i="66"/>
  <c r="AJ59" i="66"/>
  <c r="AI59" i="66"/>
  <c r="AH59" i="66"/>
  <c r="AG59" i="66"/>
  <c r="AF59" i="66"/>
  <c r="AE59" i="66"/>
  <c r="AD59" i="66"/>
  <c r="AC59" i="66"/>
  <c r="AB59" i="66"/>
  <c r="AA59" i="66"/>
  <c r="Z59" i="66"/>
  <c r="Y59" i="66"/>
  <c r="X59" i="66"/>
  <c r="W59" i="66"/>
  <c r="V59" i="66"/>
  <c r="U59" i="66"/>
  <c r="T59" i="66"/>
  <c r="S59" i="66"/>
  <c r="R59" i="66"/>
  <c r="Q59" i="66"/>
  <c r="P59" i="66"/>
  <c r="O59" i="66"/>
  <c r="N59" i="66"/>
  <c r="M59" i="66"/>
  <c r="L59" i="66"/>
  <c r="K59" i="66"/>
  <c r="J59" i="66"/>
  <c r="I59" i="66"/>
  <c r="H59" i="66"/>
  <c r="G59" i="66"/>
  <c r="F59" i="66"/>
  <c r="E59" i="66"/>
  <c r="D59" i="66"/>
  <c r="C59" i="66"/>
  <c r="B59" i="66"/>
  <c r="B70" i="66" s="1"/>
  <c r="AY58" i="66"/>
  <c r="AX58" i="66"/>
  <c r="AW58" i="66"/>
  <c r="AV58" i="66"/>
  <c r="AU58" i="66"/>
  <c r="AT58" i="66"/>
  <c r="AS58" i="66"/>
  <c r="AR58" i="66"/>
  <c r="AQ58" i="66"/>
  <c r="AP58" i="66"/>
  <c r="AO58" i="66"/>
  <c r="AN58" i="66"/>
  <c r="AM58" i="66"/>
  <c r="AL58" i="66"/>
  <c r="AK58" i="66"/>
  <c r="AJ58" i="66"/>
  <c r="AI58" i="66"/>
  <c r="AH58" i="66"/>
  <c r="AG58" i="66"/>
  <c r="AF58" i="66"/>
  <c r="AE58" i="66"/>
  <c r="AD58" i="66"/>
  <c r="AC58" i="66"/>
  <c r="AB58" i="66"/>
  <c r="AA58" i="66"/>
  <c r="Z58" i="66"/>
  <c r="Y58" i="66"/>
  <c r="X58" i="66"/>
  <c r="W58" i="66"/>
  <c r="V58" i="66"/>
  <c r="U58" i="66"/>
  <c r="T58" i="66"/>
  <c r="S58" i="66"/>
  <c r="R58" i="66"/>
  <c r="Q58" i="66"/>
  <c r="P58" i="66"/>
  <c r="O58" i="66"/>
  <c r="N58" i="66"/>
  <c r="M58" i="66"/>
  <c r="L58" i="66"/>
  <c r="K58" i="66"/>
  <c r="J58" i="66"/>
  <c r="I58" i="66"/>
  <c r="H58" i="66"/>
  <c r="G58" i="66"/>
  <c r="F58" i="66"/>
  <c r="E58" i="66"/>
  <c r="D58" i="66"/>
  <c r="C58" i="66"/>
  <c r="C69" i="66" s="1"/>
  <c r="B58" i="66"/>
  <c r="B69" i="66" s="1"/>
  <c r="B45" i="66"/>
  <c r="C45" i="66" s="1"/>
  <c r="D45" i="66" s="1"/>
  <c r="E45" i="66" s="1"/>
  <c r="F45" i="66" s="1"/>
  <c r="G45" i="66" s="1"/>
  <c r="H45" i="66" s="1"/>
  <c r="I45" i="66" s="1"/>
  <c r="J45" i="66" s="1"/>
  <c r="K45" i="66" s="1"/>
  <c r="L45" i="66" s="1"/>
  <c r="M45" i="66" s="1"/>
  <c r="N45" i="66" s="1"/>
  <c r="O45" i="66" s="1"/>
  <c r="P45" i="66" s="1"/>
  <c r="Q45" i="66" s="1"/>
  <c r="R45" i="66" s="1"/>
  <c r="S45" i="66" s="1"/>
  <c r="T45" i="66" s="1"/>
  <c r="U45" i="66" s="1"/>
  <c r="V45" i="66" s="1"/>
  <c r="W45" i="66" s="1"/>
  <c r="X45" i="66" s="1"/>
  <c r="Y45" i="66" s="1"/>
  <c r="Z45" i="66" s="1"/>
  <c r="AA45" i="66" s="1"/>
  <c r="AB45" i="66" s="1"/>
  <c r="AC45" i="66" s="1"/>
  <c r="AD45" i="66" s="1"/>
  <c r="AE45" i="66" s="1"/>
  <c r="AF45" i="66" s="1"/>
  <c r="B44" i="66"/>
  <c r="C44" i="66" s="1"/>
  <c r="D44" i="66" s="1"/>
  <c r="E44" i="66" s="1"/>
  <c r="F44" i="66" s="1"/>
  <c r="G44" i="66" s="1"/>
  <c r="H44" i="66" s="1"/>
  <c r="I44" i="66" s="1"/>
  <c r="J44" i="66" s="1"/>
  <c r="K44" i="66" s="1"/>
  <c r="L44" i="66" s="1"/>
  <c r="M44" i="66" s="1"/>
  <c r="N44" i="66" s="1"/>
  <c r="O44" i="66" s="1"/>
  <c r="P44" i="66" s="1"/>
  <c r="Q44" i="66" s="1"/>
  <c r="R44" i="66" s="1"/>
  <c r="S44" i="66" s="1"/>
  <c r="T44" i="66" s="1"/>
  <c r="U44" i="66" s="1"/>
  <c r="V44" i="66" s="1"/>
  <c r="W44" i="66" s="1"/>
  <c r="X44" i="66" s="1"/>
  <c r="Y44" i="66" s="1"/>
  <c r="Z44" i="66" s="1"/>
  <c r="AA44" i="66" s="1"/>
  <c r="AB44" i="66" s="1"/>
  <c r="AC44" i="66" s="1"/>
  <c r="AD44" i="66" s="1"/>
  <c r="AE44" i="66" s="1"/>
  <c r="B43" i="66"/>
  <c r="C43" i="66" s="1"/>
  <c r="D43" i="66" s="1"/>
  <c r="E43" i="66" s="1"/>
  <c r="F43" i="66" s="1"/>
  <c r="G43" i="66" s="1"/>
  <c r="H43" i="66" s="1"/>
  <c r="I43" i="66" s="1"/>
  <c r="J43" i="66" s="1"/>
  <c r="K43" i="66" s="1"/>
  <c r="L43" i="66" s="1"/>
  <c r="M43" i="66" s="1"/>
  <c r="N43" i="66" s="1"/>
  <c r="O43" i="66" s="1"/>
  <c r="P43" i="66" s="1"/>
  <c r="Q43" i="66" s="1"/>
  <c r="R43" i="66" s="1"/>
  <c r="S43" i="66" s="1"/>
  <c r="T43" i="66" s="1"/>
  <c r="U43" i="66" s="1"/>
  <c r="V43" i="66" s="1"/>
  <c r="W43" i="66" s="1"/>
  <c r="X43" i="66" s="1"/>
  <c r="Y43" i="66" s="1"/>
  <c r="Z43" i="66" s="1"/>
  <c r="AA43" i="66" s="1"/>
  <c r="AB43" i="66" s="1"/>
  <c r="AC43" i="66" s="1"/>
  <c r="AD43" i="66" s="1"/>
  <c r="AE43" i="66" s="1"/>
  <c r="B42" i="66"/>
  <c r="C42" i="66" s="1"/>
  <c r="D42" i="66" s="1"/>
  <c r="E42" i="66" s="1"/>
  <c r="F42" i="66" s="1"/>
  <c r="G42" i="66" s="1"/>
  <c r="H42" i="66" s="1"/>
  <c r="I42" i="66" s="1"/>
  <c r="J42" i="66" s="1"/>
  <c r="K42" i="66" s="1"/>
  <c r="L42" i="66" s="1"/>
  <c r="M42" i="66" s="1"/>
  <c r="N42" i="66" s="1"/>
  <c r="O42" i="66" s="1"/>
  <c r="P42" i="66" s="1"/>
  <c r="Q42" i="66" s="1"/>
  <c r="R42" i="66" s="1"/>
  <c r="S42" i="66" s="1"/>
  <c r="T42" i="66" s="1"/>
  <c r="U42" i="66" s="1"/>
  <c r="V42" i="66" s="1"/>
  <c r="W42" i="66" s="1"/>
  <c r="X42" i="66" s="1"/>
  <c r="Y42" i="66" s="1"/>
  <c r="Z42" i="66" s="1"/>
  <c r="AA42" i="66" s="1"/>
  <c r="AB42" i="66" s="1"/>
  <c r="AC42" i="66" s="1"/>
  <c r="AD42" i="66" s="1"/>
  <c r="AE42" i="66" s="1"/>
  <c r="B41" i="66"/>
  <c r="C41" i="66" s="1"/>
  <c r="D41" i="66" s="1"/>
  <c r="E41" i="66" s="1"/>
  <c r="F41" i="66" s="1"/>
  <c r="G41" i="66" s="1"/>
  <c r="H41" i="66" s="1"/>
  <c r="I41" i="66" s="1"/>
  <c r="J41" i="66" s="1"/>
  <c r="K41" i="66" s="1"/>
  <c r="L41" i="66" s="1"/>
  <c r="M41" i="66" s="1"/>
  <c r="N41" i="66" s="1"/>
  <c r="O41" i="66" s="1"/>
  <c r="P41" i="66" s="1"/>
  <c r="Q41" i="66" s="1"/>
  <c r="R41" i="66" s="1"/>
  <c r="S41" i="66" s="1"/>
  <c r="T41" i="66" s="1"/>
  <c r="U41" i="66" s="1"/>
  <c r="V41" i="66" s="1"/>
  <c r="W41" i="66" s="1"/>
  <c r="X41" i="66" s="1"/>
  <c r="Y41" i="66" s="1"/>
  <c r="Z41" i="66" s="1"/>
  <c r="AA41" i="66" s="1"/>
  <c r="AB41" i="66" s="1"/>
  <c r="AC41" i="66" s="1"/>
  <c r="AD41" i="66" s="1"/>
  <c r="AE41" i="66" s="1"/>
  <c r="AF41" i="66" s="1"/>
  <c r="B40" i="66"/>
  <c r="C40" i="66" s="1"/>
  <c r="D40" i="66" s="1"/>
  <c r="E40" i="66" s="1"/>
  <c r="F40" i="66" s="1"/>
  <c r="G40" i="66" s="1"/>
  <c r="H40" i="66" s="1"/>
  <c r="I40" i="66" s="1"/>
  <c r="J40" i="66" s="1"/>
  <c r="K40" i="66" s="1"/>
  <c r="L40" i="66" s="1"/>
  <c r="M40" i="66" s="1"/>
  <c r="N40" i="66" s="1"/>
  <c r="O40" i="66" s="1"/>
  <c r="P40" i="66" s="1"/>
  <c r="Q40" i="66" s="1"/>
  <c r="R40" i="66" s="1"/>
  <c r="S40" i="66" s="1"/>
  <c r="T40" i="66" s="1"/>
  <c r="U40" i="66" s="1"/>
  <c r="V40" i="66" s="1"/>
  <c r="W40" i="66" s="1"/>
  <c r="X40" i="66" s="1"/>
  <c r="Y40" i="66" s="1"/>
  <c r="Z40" i="66" s="1"/>
  <c r="AA40" i="66" s="1"/>
  <c r="AB40" i="66" s="1"/>
  <c r="AC40" i="66" s="1"/>
  <c r="AD40" i="66" s="1"/>
  <c r="AE40" i="66" s="1"/>
  <c r="AF40" i="66" s="1"/>
  <c r="AF39" i="66"/>
  <c r="AG39" i="66" s="1"/>
  <c r="AH39" i="66" s="1"/>
  <c r="AI39" i="66" s="1"/>
  <c r="AJ39" i="66" s="1"/>
  <c r="AK39" i="66" s="1"/>
  <c r="AL39" i="66" s="1"/>
  <c r="AM39" i="66" s="1"/>
  <c r="AN39" i="66" s="1"/>
  <c r="AO39" i="66" s="1"/>
  <c r="AP39" i="66" s="1"/>
  <c r="AQ39" i="66" s="1"/>
  <c r="AR39" i="66" s="1"/>
  <c r="AS39" i="66" s="1"/>
  <c r="AT39" i="66" s="1"/>
  <c r="AU39" i="66" s="1"/>
  <c r="AV39" i="66" s="1"/>
  <c r="AW39" i="66" s="1"/>
  <c r="AX39" i="66" s="1"/>
  <c r="AY39" i="66" s="1"/>
  <c r="AY36" i="66"/>
  <c r="AX36" i="66"/>
  <c r="AW36" i="66"/>
  <c r="AV36" i="66"/>
  <c r="AU36" i="66"/>
  <c r="AT36" i="66"/>
  <c r="AS36" i="66"/>
  <c r="AR36" i="66"/>
  <c r="AQ36" i="66"/>
  <c r="AP36" i="66"/>
  <c r="AO36" i="66"/>
  <c r="AN36" i="66"/>
  <c r="AM36" i="66"/>
  <c r="AL36" i="66"/>
  <c r="AK36" i="66"/>
  <c r="AJ36" i="66"/>
  <c r="AI36" i="66"/>
  <c r="AH36" i="66"/>
  <c r="AG36" i="66"/>
  <c r="AF36" i="66"/>
  <c r="AE36" i="66"/>
  <c r="AD36" i="66"/>
  <c r="AC36" i="66"/>
  <c r="AB36" i="66"/>
  <c r="AA36" i="66"/>
  <c r="Z36" i="66"/>
  <c r="Y36" i="66"/>
  <c r="X36" i="66"/>
  <c r="W36" i="66"/>
  <c r="V36" i="66"/>
  <c r="U36" i="66"/>
  <c r="T36" i="66"/>
  <c r="S36" i="66"/>
  <c r="R36" i="66"/>
  <c r="Q36" i="66"/>
  <c r="P36" i="66"/>
  <c r="O36" i="66"/>
  <c r="N36" i="66"/>
  <c r="M36" i="66"/>
  <c r="L36" i="66"/>
  <c r="K36" i="66"/>
  <c r="J36" i="66"/>
  <c r="I36" i="66"/>
  <c r="H36" i="66"/>
  <c r="G36" i="66"/>
  <c r="F36" i="66"/>
  <c r="E36" i="66"/>
  <c r="D36" i="66"/>
  <c r="C36" i="66"/>
  <c r="B36" i="66"/>
  <c r="B47" i="66" s="1"/>
  <c r="AY35" i="66"/>
  <c r="AX35" i="66"/>
  <c r="AW35" i="66"/>
  <c r="AV35" i="66"/>
  <c r="AU35" i="66"/>
  <c r="AT35" i="66"/>
  <c r="AS35" i="66"/>
  <c r="AR35" i="66"/>
  <c r="AQ35" i="66"/>
  <c r="AP35" i="66"/>
  <c r="AO35" i="66"/>
  <c r="AN35" i="66"/>
  <c r="AM35" i="66"/>
  <c r="AL35" i="66"/>
  <c r="AK35" i="66"/>
  <c r="AJ35" i="66"/>
  <c r="AI35" i="66"/>
  <c r="AH35" i="66"/>
  <c r="AG35" i="66"/>
  <c r="AF35" i="66"/>
  <c r="AE35" i="66"/>
  <c r="AD35" i="66"/>
  <c r="AC35" i="66"/>
  <c r="AB35" i="66"/>
  <c r="AA35" i="66"/>
  <c r="Z35" i="66"/>
  <c r="Y35" i="66"/>
  <c r="X35" i="66"/>
  <c r="W35" i="66"/>
  <c r="V35" i="66"/>
  <c r="U35" i="66"/>
  <c r="T35" i="66"/>
  <c r="S35" i="66"/>
  <c r="R35" i="66"/>
  <c r="Q35" i="66"/>
  <c r="P35" i="66"/>
  <c r="O35" i="66"/>
  <c r="N35" i="66"/>
  <c r="M35" i="66"/>
  <c r="L35" i="66"/>
  <c r="K35" i="66"/>
  <c r="J35" i="66"/>
  <c r="I35" i="66"/>
  <c r="H35" i="66"/>
  <c r="G35" i="66"/>
  <c r="F35" i="66"/>
  <c r="E35" i="66"/>
  <c r="D35" i="66"/>
  <c r="C35" i="66"/>
  <c r="B35" i="66"/>
  <c r="B46" i="66" s="1"/>
  <c r="AR24" i="47"/>
  <c r="AR9" i="47"/>
  <c r="E3" i="66"/>
  <c r="AF16" i="66"/>
  <c r="G19" i="52"/>
  <c r="AC9" i="47" l="1"/>
  <c r="AD9" i="47" s="1"/>
  <c r="K9" i="47"/>
  <c r="AT9" i="47" s="1"/>
  <c r="AV9" i="47"/>
  <c r="K28" i="47"/>
  <c r="AT28" i="47" s="1"/>
  <c r="AP9" i="47"/>
  <c r="C92" i="66"/>
  <c r="C138" i="66"/>
  <c r="C161" i="66"/>
  <c r="AF178" i="66"/>
  <c r="AF182" i="66"/>
  <c r="AF160" i="66"/>
  <c r="AF137" i="66"/>
  <c r="AG45" i="66"/>
  <c r="AF136" i="66"/>
  <c r="AF155" i="66"/>
  <c r="AF159" i="66"/>
  <c r="AF180" i="66"/>
  <c r="AF183" i="66"/>
  <c r="AF42" i="66"/>
  <c r="C70" i="66"/>
  <c r="D70" i="66" s="1"/>
  <c r="AF65" i="66"/>
  <c r="AF89" i="66"/>
  <c r="AF111" i="66"/>
  <c r="AF156" i="66"/>
  <c r="AF181" i="66"/>
  <c r="AV28" i="47"/>
  <c r="AG16" i="66"/>
  <c r="AF203" i="66"/>
  <c r="AF206" i="66"/>
  <c r="AF204" i="66"/>
  <c r="AF201" i="66"/>
  <c r="AG201" i="66" s="1"/>
  <c r="AF205" i="66"/>
  <c r="AF202" i="66"/>
  <c r="AF208" i="66"/>
  <c r="AF207" i="66"/>
  <c r="AG207" i="66" s="1"/>
  <c r="AF43" i="66"/>
  <c r="AF66" i="66"/>
  <c r="AF86" i="66"/>
  <c r="AF90" i="66"/>
  <c r="AG90" i="66" s="1"/>
  <c r="AF112" i="66"/>
  <c r="AF132" i="66"/>
  <c r="AF135" i="66"/>
  <c r="C162" i="66"/>
  <c r="D162" i="66" s="1"/>
  <c r="E162" i="66" s="1"/>
  <c r="F162" i="66" s="1"/>
  <c r="G162" i="66" s="1"/>
  <c r="H162" i="66" s="1"/>
  <c r="I162" i="66" s="1"/>
  <c r="J162" i="66" s="1"/>
  <c r="K162" i="66" s="1"/>
  <c r="L162" i="66" s="1"/>
  <c r="M162" i="66" s="1"/>
  <c r="N162" i="66" s="1"/>
  <c r="O162" i="66" s="1"/>
  <c r="P162" i="66" s="1"/>
  <c r="Q162" i="66" s="1"/>
  <c r="R162" i="66" s="1"/>
  <c r="S162" i="66" s="1"/>
  <c r="T162" i="66" s="1"/>
  <c r="U162" i="66" s="1"/>
  <c r="V162" i="66" s="1"/>
  <c r="W162" i="66" s="1"/>
  <c r="X162" i="66" s="1"/>
  <c r="Y162" i="66" s="1"/>
  <c r="Z162" i="66" s="1"/>
  <c r="AA162" i="66" s="1"/>
  <c r="AB162" i="66" s="1"/>
  <c r="AC162" i="66" s="1"/>
  <c r="AD162" i="66" s="1"/>
  <c r="AE162" i="66" s="1"/>
  <c r="AF162" i="66" s="1"/>
  <c r="AG162" i="66" s="1"/>
  <c r="AF157" i="66"/>
  <c r="AF44" i="66"/>
  <c r="AG44" i="66" s="1"/>
  <c r="AF63" i="66"/>
  <c r="AF67" i="66"/>
  <c r="C93" i="66"/>
  <c r="AF87" i="66"/>
  <c r="AG87" i="66" s="1"/>
  <c r="AF109" i="66"/>
  <c r="AF113" i="66"/>
  <c r="AF133" i="66"/>
  <c r="AF158" i="66"/>
  <c r="AG158" i="66" s="1"/>
  <c r="AF179" i="66"/>
  <c r="AW28" i="47"/>
  <c r="Q9" i="47"/>
  <c r="AW9" i="47" s="1"/>
  <c r="AO9" i="47"/>
  <c r="AO28" i="47"/>
  <c r="D9" i="66"/>
  <c r="H9" i="66"/>
  <c r="L9" i="66"/>
  <c r="P9" i="66"/>
  <c r="T9" i="66"/>
  <c r="X9" i="66"/>
  <c r="AB9" i="66"/>
  <c r="AF9" i="66"/>
  <c r="AJ9" i="66"/>
  <c r="AN9" i="66"/>
  <c r="AR9" i="66"/>
  <c r="AV9" i="66"/>
  <c r="B10" i="66"/>
  <c r="B21" i="66" s="1"/>
  <c r="F10" i="66"/>
  <c r="J10" i="66"/>
  <c r="N10" i="66"/>
  <c r="R10" i="66"/>
  <c r="V10" i="66"/>
  <c r="Z10" i="66"/>
  <c r="AD10" i="66"/>
  <c r="AH10" i="66"/>
  <c r="AL10" i="66"/>
  <c r="AP10" i="66"/>
  <c r="AT10" i="66"/>
  <c r="AX10" i="66"/>
  <c r="D11" i="66"/>
  <c r="H11" i="66"/>
  <c r="L11" i="66"/>
  <c r="P11" i="66"/>
  <c r="T11" i="66"/>
  <c r="X11" i="66"/>
  <c r="AB11" i="66"/>
  <c r="AF11" i="66"/>
  <c r="AJ11" i="66"/>
  <c r="AN11" i="66"/>
  <c r="AR11" i="66"/>
  <c r="AV11" i="66"/>
  <c r="B12" i="66"/>
  <c r="B23" i="66" s="1"/>
  <c r="F12" i="66"/>
  <c r="J12" i="66"/>
  <c r="N12" i="66"/>
  <c r="R12" i="66"/>
  <c r="V12" i="66"/>
  <c r="Z12" i="66"/>
  <c r="AD12" i="66"/>
  <c r="AH12" i="66"/>
  <c r="AL12" i="66"/>
  <c r="AP12" i="66"/>
  <c r="AT12" i="66"/>
  <c r="AX12" i="66"/>
  <c r="D13" i="66"/>
  <c r="H13" i="66"/>
  <c r="L13" i="66"/>
  <c r="P13" i="66"/>
  <c r="T13" i="66"/>
  <c r="X13" i="66"/>
  <c r="AB13" i="66"/>
  <c r="AF13" i="66"/>
  <c r="AJ13" i="66"/>
  <c r="AN13" i="66"/>
  <c r="AR13" i="66"/>
  <c r="AV13" i="66"/>
  <c r="C8" i="66"/>
  <c r="G8" i="66"/>
  <c r="K8" i="66"/>
  <c r="O8" i="66"/>
  <c r="S8" i="66"/>
  <c r="W8" i="66"/>
  <c r="AA8" i="66"/>
  <c r="AE8" i="66"/>
  <c r="AI8" i="66"/>
  <c r="AM8" i="66"/>
  <c r="AQ8" i="66"/>
  <c r="AU8" i="66"/>
  <c r="AY8" i="66"/>
  <c r="E9" i="66"/>
  <c r="I9" i="66"/>
  <c r="M9" i="66"/>
  <c r="Q9" i="66"/>
  <c r="U9" i="66"/>
  <c r="Y9" i="66"/>
  <c r="AC9" i="66"/>
  <c r="AG9" i="66"/>
  <c r="AK9" i="66"/>
  <c r="AO9" i="66"/>
  <c r="AS9" i="66"/>
  <c r="AW9" i="66"/>
  <c r="C10" i="66"/>
  <c r="G10" i="66"/>
  <c r="K10" i="66"/>
  <c r="O10" i="66"/>
  <c r="S10" i="66"/>
  <c r="W10" i="66"/>
  <c r="AA10" i="66"/>
  <c r="AE10" i="66"/>
  <c r="AI10" i="66"/>
  <c r="AM10" i="66"/>
  <c r="AQ10" i="66"/>
  <c r="AU10" i="66"/>
  <c r="AY10" i="66"/>
  <c r="E11" i="66"/>
  <c r="I11" i="66"/>
  <c r="M11" i="66"/>
  <c r="Q11" i="66"/>
  <c r="U11" i="66"/>
  <c r="Y11" i="66"/>
  <c r="AC11" i="66"/>
  <c r="AG11" i="66"/>
  <c r="AK11" i="66"/>
  <c r="AO11" i="66"/>
  <c r="AS11" i="66"/>
  <c r="AW11" i="66"/>
  <c r="C12" i="66"/>
  <c r="G12" i="66"/>
  <c r="K12" i="66"/>
  <c r="O12" i="66"/>
  <c r="S12" i="66"/>
  <c r="W12" i="66"/>
  <c r="AA12" i="66"/>
  <c r="AE12" i="66"/>
  <c r="AI12" i="66"/>
  <c r="AM12" i="66"/>
  <c r="AQ12" i="66"/>
  <c r="AU12" i="66"/>
  <c r="AY12" i="66"/>
  <c r="E13" i="66"/>
  <c r="I13" i="66"/>
  <c r="M13" i="66"/>
  <c r="Q13" i="66"/>
  <c r="U13" i="66"/>
  <c r="AC13" i="66"/>
  <c r="AK13" i="66"/>
  <c r="AS13" i="66"/>
  <c r="D8" i="66"/>
  <c r="L8" i="66"/>
  <c r="T8" i="66"/>
  <c r="AF8" i="66"/>
  <c r="AN8" i="66"/>
  <c r="AV8" i="66"/>
  <c r="B9" i="66"/>
  <c r="B20" i="66" s="1"/>
  <c r="F9" i="66"/>
  <c r="J9" i="66"/>
  <c r="N9" i="66"/>
  <c r="R9" i="66"/>
  <c r="V9" i="66"/>
  <c r="Z9" i="66"/>
  <c r="AD9" i="66"/>
  <c r="AH9" i="66"/>
  <c r="AL9" i="66"/>
  <c r="AP9" i="66"/>
  <c r="AT9" i="66"/>
  <c r="AX9" i="66"/>
  <c r="D10" i="66"/>
  <c r="H10" i="66"/>
  <c r="L10" i="66"/>
  <c r="P10" i="66"/>
  <c r="T10" i="66"/>
  <c r="X10" i="66"/>
  <c r="AB10" i="66"/>
  <c r="AF10" i="66"/>
  <c r="AJ10" i="66"/>
  <c r="AN10" i="66"/>
  <c r="AR10" i="66"/>
  <c r="AV10" i="66"/>
  <c r="B11" i="66"/>
  <c r="B22" i="66" s="1"/>
  <c r="F11" i="66"/>
  <c r="J11" i="66"/>
  <c r="N11" i="66"/>
  <c r="R11" i="66"/>
  <c r="V11" i="66"/>
  <c r="Z11" i="66"/>
  <c r="AD11" i="66"/>
  <c r="AH11" i="66"/>
  <c r="AL11" i="66"/>
  <c r="AP11" i="66"/>
  <c r="AT11" i="66"/>
  <c r="AX11" i="66"/>
  <c r="D12" i="66"/>
  <c r="H12" i="66"/>
  <c r="L12" i="66"/>
  <c r="P12" i="66"/>
  <c r="T12" i="66"/>
  <c r="X12" i="66"/>
  <c r="AB12" i="66"/>
  <c r="AF12" i="66"/>
  <c r="AJ12" i="66"/>
  <c r="AN12" i="66"/>
  <c r="AR12" i="66"/>
  <c r="AV12" i="66"/>
  <c r="B13" i="66"/>
  <c r="B24" i="66" s="1"/>
  <c r="F13" i="66"/>
  <c r="J13" i="66"/>
  <c r="N13" i="66"/>
  <c r="R13" i="66"/>
  <c r="V13" i="66"/>
  <c r="Z13" i="66"/>
  <c r="AD13" i="66"/>
  <c r="AH13" i="66"/>
  <c r="AL13" i="66"/>
  <c r="AP13" i="66"/>
  <c r="AT13" i="66"/>
  <c r="AX13" i="66"/>
  <c r="E8" i="66"/>
  <c r="I8" i="66"/>
  <c r="M8" i="66"/>
  <c r="Q8" i="66"/>
  <c r="U8" i="66"/>
  <c r="Y8" i="66"/>
  <c r="AC8" i="66"/>
  <c r="AG8" i="66"/>
  <c r="AK8" i="66"/>
  <c r="AO8" i="66"/>
  <c r="AS8" i="66"/>
  <c r="AW8" i="66"/>
  <c r="C9" i="66"/>
  <c r="G9" i="66"/>
  <c r="K9" i="66"/>
  <c r="O9" i="66"/>
  <c r="S9" i="66"/>
  <c r="W9" i="66"/>
  <c r="AA9" i="66"/>
  <c r="AE9" i="66"/>
  <c r="AI9" i="66"/>
  <c r="AM9" i="66"/>
  <c r="AQ9" i="66"/>
  <c r="AU9" i="66"/>
  <c r="AY9" i="66"/>
  <c r="E10" i="66"/>
  <c r="I10" i="66"/>
  <c r="M10" i="66"/>
  <c r="Q10" i="66"/>
  <c r="U10" i="66"/>
  <c r="Y10" i="66"/>
  <c r="AC10" i="66"/>
  <c r="AG10" i="66"/>
  <c r="AK10" i="66"/>
  <c r="AO10" i="66"/>
  <c r="AS10" i="66"/>
  <c r="AW10" i="66"/>
  <c r="C11" i="66"/>
  <c r="G11" i="66"/>
  <c r="K11" i="66"/>
  <c r="O11" i="66"/>
  <c r="S11" i="66"/>
  <c r="W11" i="66"/>
  <c r="AA11" i="66"/>
  <c r="AE11" i="66"/>
  <c r="AI11" i="66"/>
  <c r="AM11" i="66"/>
  <c r="AQ11" i="66"/>
  <c r="AU11" i="66"/>
  <c r="AY11" i="66"/>
  <c r="E12" i="66"/>
  <c r="I12" i="66"/>
  <c r="M12" i="66"/>
  <c r="Q12" i="66"/>
  <c r="U12" i="66"/>
  <c r="Y12" i="66"/>
  <c r="AC12" i="66"/>
  <c r="AG12" i="66"/>
  <c r="AK12" i="66"/>
  <c r="AO12" i="66"/>
  <c r="AS12" i="66"/>
  <c r="AW12" i="66"/>
  <c r="C13" i="66"/>
  <c r="G13" i="66"/>
  <c r="K13" i="66"/>
  <c r="O13" i="66"/>
  <c r="S13" i="66"/>
  <c r="W13" i="66"/>
  <c r="AA13" i="66"/>
  <c r="AE13" i="66"/>
  <c r="AI13" i="66"/>
  <c r="AM13" i="66"/>
  <c r="AQ13" i="66"/>
  <c r="AU13" i="66"/>
  <c r="AY13" i="66"/>
  <c r="F8" i="66"/>
  <c r="J8" i="66"/>
  <c r="N8" i="66"/>
  <c r="R8" i="66"/>
  <c r="V8" i="66"/>
  <c r="Z8" i="66"/>
  <c r="AD8" i="66"/>
  <c r="AH8" i="66"/>
  <c r="AL8" i="66"/>
  <c r="AP8" i="66"/>
  <c r="AT8" i="66"/>
  <c r="AX8" i="66"/>
  <c r="Y13" i="66"/>
  <c r="AG13" i="66"/>
  <c r="AO13" i="66"/>
  <c r="AW13" i="66"/>
  <c r="H8" i="66"/>
  <c r="P8" i="66"/>
  <c r="X8" i="66"/>
  <c r="AB8" i="66"/>
  <c r="AJ8" i="66"/>
  <c r="AR8" i="66"/>
  <c r="B8" i="66"/>
  <c r="B19" i="66" s="1"/>
  <c r="D7" i="66"/>
  <c r="H7" i="66"/>
  <c r="L7" i="66"/>
  <c r="P7" i="66"/>
  <c r="T7" i="66"/>
  <c r="X7" i="66"/>
  <c r="AB7" i="66"/>
  <c r="AF7" i="66"/>
  <c r="AJ7" i="66"/>
  <c r="AN7" i="66"/>
  <c r="AR7" i="66"/>
  <c r="AV7" i="66"/>
  <c r="D6" i="66"/>
  <c r="H6" i="66"/>
  <c r="L6" i="66"/>
  <c r="P6" i="66"/>
  <c r="T6" i="66"/>
  <c r="X6" i="66"/>
  <c r="AB6" i="66"/>
  <c r="AF6" i="66"/>
  <c r="AJ6" i="66"/>
  <c r="AN6" i="66"/>
  <c r="AR6" i="66"/>
  <c r="AV6" i="66"/>
  <c r="C6" i="66"/>
  <c r="C7" i="66"/>
  <c r="G7" i="66"/>
  <c r="K7" i="66"/>
  <c r="O7" i="66"/>
  <c r="S7" i="66"/>
  <c r="W7" i="66"/>
  <c r="AA7" i="66"/>
  <c r="AE7" i="66"/>
  <c r="AI7" i="66"/>
  <c r="AM7" i="66"/>
  <c r="AQ7" i="66"/>
  <c r="AU7" i="66"/>
  <c r="AY7" i="66"/>
  <c r="G6" i="66"/>
  <c r="K6" i="66"/>
  <c r="O6" i="66"/>
  <c r="S6" i="66"/>
  <c r="W6" i="66"/>
  <c r="AA6" i="66"/>
  <c r="AE6" i="66"/>
  <c r="AI6" i="66"/>
  <c r="AM6" i="66"/>
  <c r="AQ6" i="66"/>
  <c r="AU6" i="66"/>
  <c r="AY6" i="66"/>
  <c r="B7" i="66"/>
  <c r="F7" i="66"/>
  <c r="J7" i="66"/>
  <c r="N7" i="66"/>
  <c r="R7" i="66"/>
  <c r="V7" i="66"/>
  <c r="Z7" i="66"/>
  <c r="AD7" i="66"/>
  <c r="AH7" i="66"/>
  <c r="AL7" i="66"/>
  <c r="AP7" i="66"/>
  <c r="AT7" i="66"/>
  <c r="AX7" i="66"/>
  <c r="F6" i="66"/>
  <c r="J6" i="66"/>
  <c r="N6" i="66"/>
  <c r="R6" i="66"/>
  <c r="V6" i="66"/>
  <c r="Z6" i="66"/>
  <c r="AD6" i="66"/>
  <c r="AH6" i="66"/>
  <c r="AL6" i="66"/>
  <c r="AP6" i="66"/>
  <c r="AT6" i="66"/>
  <c r="AX6" i="66"/>
  <c r="E7" i="66"/>
  <c r="I7" i="66"/>
  <c r="M7" i="66"/>
  <c r="Q7" i="66"/>
  <c r="U7" i="66"/>
  <c r="Y7" i="66"/>
  <c r="AC7" i="66"/>
  <c r="AG7" i="66"/>
  <c r="AK7" i="66"/>
  <c r="AO7" i="66"/>
  <c r="AS7" i="66"/>
  <c r="AW7" i="66"/>
  <c r="E6" i="66"/>
  <c r="I6" i="66"/>
  <c r="M6" i="66"/>
  <c r="Q6" i="66"/>
  <c r="U6" i="66"/>
  <c r="Y6" i="66"/>
  <c r="AC6" i="66"/>
  <c r="AG6" i="66"/>
  <c r="AK6" i="66"/>
  <c r="AO6" i="66"/>
  <c r="AS6" i="66"/>
  <c r="AW6" i="66"/>
  <c r="B6" i="66"/>
  <c r="B17" i="66" s="1"/>
  <c r="R28" i="47"/>
  <c r="C32" i="53"/>
  <c r="B18" i="66"/>
  <c r="C46" i="66"/>
  <c r="D46" i="66" s="1"/>
  <c r="C47" i="66"/>
  <c r="D69" i="66"/>
  <c r="E69" i="66" s="1"/>
  <c r="F69" i="66" s="1"/>
  <c r="G69" i="66" s="1"/>
  <c r="H69" i="66" s="1"/>
  <c r="I69" i="66" s="1"/>
  <c r="J69" i="66" s="1"/>
  <c r="K69" i="66" s="1"/>
  <c r="L69" i="66" s="1"/>
  <c r="M69" i="66" s="1"/>
  <c r="N69" i="66" s="1"/>
  <c r="O69" i="66" s="1"/>
  <c r="P69" i="66" s="1"/>
  <c r="Q69" i="66" s="1"/>
  <c r="R69" i="66" s="1"/>
  <c r="S69" i="66" s="1"/>
  <c r="T69" i="66" s="1"/>
  <c r="U69" i="66" s="1"/>
  <c r="V69" i="66" s="1"/>
  <c r="W69" i="66" s="1"/>
  <c r="X69" i="66" s="1"/>
  <c r="Y69" i="66" s="1"/>
  <c r="Z69" i="66" s="1"/>
  <c r="AA69" i="66" s="1"/>
  <c r="AB69" i="66" s="1"/>
  <c r="AC69" i="66" s="1"/>
  <c r="AD69" i="66" s="1"/>
  <c r="AE69" i="66" s="1"/>
  <c r="AF69" i="66" s="1"/>
  <c r="AG69" i="66" s="1"/>
  <c r="D47" i="66"/>
  <c r="E47" i="66" s="1"/>
  <c r="E70" i="66"/>
  <c r="F70" i="66" s="1"/>
  <c r="G70" i="66" s="1"/>
  <c r="H70" i="66" s="1"/>
  <c r="I70" i="66" s="1"/>
  <c r="J70" i="66" s="1"/>
  <c r="K70" i="66" s="1"/>
  <c r="L70" i="66" s="1"/>
  <c r="M70" i="66" s="1"/>
  <c r="N70" i="66" s="1"/>
  <c r="O70" i="66" s="1"/>
  <c r="P70" i="66" s="1"/>
  <c r="Q70" i="66" s="1"/>
  <c r="R70" i="66" s="1"/>
  <c r="S70" i="66" s="1"/>
  <c r="T70" i="66" s="1"/>
  <c r="U70" i="66" s="1"/>
  <c r="V70" i="66" s="1"/>
  <c r="W70" i="66" s="1"/>
  <c r="X70" i="66" s="1"/>
  <c r="Y70" i="66" s="1"/>
  <c r="Z70" i="66" s="1"/>
  <c r="AA70" i="66" s="1"/>
  <c r="AB70" i="66" s="1"/>
  <c r="AC70" i="66" s="1"/>
  <c r="AD70" i="66" s="1"/>
  <c r="AE70" i="66" s="1"/>
  <c r="AF70" i="66" s="1"/>
  <c r="AG70" i="66" s="1"/>
  <c r="D92" i="66"/>
  <c r="E92" i="66" s="1"/>
  <c r="F92" i="66"/>
  <c r="G92" i="66" s="1"/>
  <c r="H92" i="66" s="1"/>
  <c r="I92" i="66" s="1"/>
  <c r="J92" i="66" s="1"/>
  <c r="K92" i="66" s="1"/>
  <c r="L92" i="66" s="1"/>
  <c r="M92" i="66" s="1"/>
  <c r="N92" i="66" s="1"/>
  <c r="O92" i="66" s="1"/>
  <c r="P92" i="66" s="1"/>
  <c r="Q92" i="66" s="1"/>
  <c r="R92" i="66" s="1"/>
  <c r="S92" i="66" s="1"/>
  <c r="T92" i="66" s="1"/>
  <c r="U92" i="66" s="1"/>
  <c r="V92" i="66" s="1"/>
  <c r="W92" i="66" s="1"/>
  <c r="X92" i="66" s="1"/>
  <c r="Y92" i="66" s="1"/>
  <c r="Z92" i="66" s="1"/>
  <c r="AA92" i="66" s="1"/>
  <c r="AB92" i="66" s="1"/>
  <c r="AC92" i="66" s="1"/>
  <c r="AD92" i="66" s="1"/>
  <c r="AE92" i="66" s="1"/>
  <c r="AF92" i="66" s="1"/>
  <c r="AG92" i="66" s="1"/>
  <c r="D93" i="66"/>
  <c r="E93" i="66" s="1"/>
  <c r="F93" i="66" s="1"/>
  <c r="G93" i="66" s="1"/>
  <c r="H93" i="66" s="1"/>
  <c r="I93" i="66" s="1"/>
  <c r="J93" i="66" s="1"/>
  <c r="K93" i="66" s="1"/>
  <c r="L93" i="66" s="1"/>
  <c r="M93" i="66" s="1"/>
  <c r="N93" i="66" s="1"/>
  <c r="O93" i="66" s="1"/>
  <c r="P93" i="66" s="1"/>
  <c r="Q93" i="66" s="1"/>
  <c r="R93" i="66" s="1"/>
  <c r="S93" i="66" s="1"/>
  <c r="T93" i="66" s="1"/>
  <c r="U93" i="66" s="1"/>
  <c r="V93" i="66" s="1"/>
  <c r="W93" i="66" s="1"/>
  <c r="X93" i="66" s="1"/>
  <c r="Y93" i="66" s="1"/>
  <c r="Z93" i="66" s="1"/>
  <c r="AA93" i="66" s="1"/>
  <c r="AB93" i="66" s="1"/>
  <c r="AC93" i="66" s="1"/>
  <c r="AD93" i="66" s="1"/>
  <c r="AE93" i="66" s="1"/>
  <c r="AF93" i="66" s="1"/>
  <c r="C115" i="66"/>
  <c r="D115" i="66" s="1"/>
  <c r="E115" i="66" s="1"/>
  <c r="F115" i="66" s="1"/>
  <c r="G115" i="66" s="1"/>
  <c r="H115" i="66" s="1"/>
  <c r="I115" i="66" s="1"/>
  <c r="J115" i="66" s="1"/>
  <c r="K115" i="66" s="1"/>
  <c r="L115" i="66" s="1"/>
  <c r="M115" i="66" s="1"/>
  <c r="N115" i="66" s="1"/>
  <c r="O115" i="66" s="1"/>
  <c r="P115" i="66" s="1"/>
  <c r="Q115" i="66" s="1"/>
  <c r="R115" i="66" s="1"/>
  <c r="S115" i="66" s="1"/>
  <c r="T115" i="66" s="1"/>
  <c r="U115" i="66" s="1"/>
  <c r="V115" i="66" s="1"/>
  <c r="W115" i="66" s="1"/>
  <c r="X115" i="66" s="1"/>
  <c r="Y115" i="66" s="1"/>
  <c r="Z115" i="66" s="1"/>
  <c r="AA115" i="66" s="1"/>
  <c r="AB115" i="66" s="1"/>
  <c r="AC115" i="66" s="1"/>
  <c r="AD115" i="66" s="1"/>
  <c r="AE115" i="66" s="1"/>
  <c r="AF115" i="66" s="1"/>
  <c r="AG115" i="66" s="1"/>
  <c r="C116" i="66"/>
  <c r="D116" i="66" s="1"/>
  <c r="E116" i="66" s="1"/>
  <c r="F116" i="66" s="1"/>
  <c r="G116" i="66" s="1"/>
  <c r="H116" i="66" s="1"/>
  <c r="I116" i="66" s="1"/>
  <c r="J116" i="66" s="1"/>
  <c r="K116" i="66" s="1"/>
  <c r="L116" i="66" s="1"/>
  <c r="M116" i="66" s="1"/>
  <c r="N116" i="66" s="1"/>
  <c r="O116" i="66" s="1"/>
  <c r="P116" i="66" s="1"/>
  <c r="Q116" i="66" s="1"/>
  <c r="R116" i="66" s="1"/>
  <c r="S116" i="66" s="1"/>
  <c r="T116" i="66" s="1"/>
  <c r="U116" i="66" s="1"/>
  <c r="V116" i="66" s="1"/>
  <c r="W116" i="66" s="1"/>
  <c r="X116" i="66" s="1"/>
  <c r="Y116" i="66" s="1"/>
  <c r="Z116" i="66" s="1"/>
  <c r="AA116" i="66" s="1"/>
  <c r="AB116" i="66" s="1"/>
  <c r="AC116" i="66" s="1"/>
  <c r="AD116" i="66" s="1"/>
  <c r="AE116" i="66" s="1"/>
  <c r="AF116" i="66" s="1"/>
  <c r="D138" i="66"/>
  <c r="E138" i="66" s="1"/>
  <c r="F138" i="66" s="1"/>
  <c r="G138" i="66" s="1"/>
  <c r="H138" i="66" s="1"/>
  <c r="I138" i="66" s="1"/>
  <c r="J138" i="66" s="1"/>
  <c r="K138" i="66" s="1"/>
  <c r="L138" i="66" s="1"/>
  <c r="M138" i="66" s="1"/>
  <c r="N138" i="66" s="1"/>
  <c r="O138" i="66" s="1"/>
  <c r="P138" i="66" s="1"/>
  <c r="Q138" i="66" s="1"/>
  <c r="R138" i="66" s="1"/>
  <c r="S138" i="66" s="1"/>
  <c r="T138" i="66" s="1"/>
  <c r="U138" i="66" s="1"/>
  <c r="V138" i="66" s="1"/>
  <c r="W138" i="66" s="1"/>
  <c r="X138" i="66" s="1"/>
  <c r="Y138" i="66" s="1"/>
  <c r="Z138" i="66" s="1"/>
  <c r="AA138" i="66" s="1"/>
  <c r="AB138" i="66" s="1"/>
  <c r="AC138" i="66" s="1"/>
  <c r="AD138" i="66" s="1"/>
  <c r="AE138" i="66" s="1"/>
  <c r="AF138" i="66" s="1"/>
  <c r="AG138" i="66" s="1"/>
  <c r="D139" i="66"/>
  <c r="E139" i="66" s="1"/>
  <c r="F139" i="66" s="1"/>
  <c r="G139" i="66" s="1"/>
  <c r="H139" i="66" s="1"/>
  <c r="I139" i="66" s="1"/>
  <c r="J139" i="66" s="1"/>
  <c r="K139" i="66" s="1"/>
  <c r="L139" i="66" s="1"/>
  <c r="M139" i="66" s="1"/>
  <c r="N139" i="66" s="1"/>
  <c r="O139" i="66" s="1"/>
  <c r="P139" i="66" s="1"/>
  <c r="Q139" i="66" s="1"/>
  <c r="R139" i="66" s="1"/>
  <c r="S139" i="66" s="1"/>
  <c r="T139" i="66" s="1"/>
  <c r="U139" i="66" s="1"/>
  <c r="V139" i="66" s="1"/>
  <c r="W139" i="66" s="1"/>
  <c r="X139" i="66" s="1"/>
  <c r="Y139" i="66" s="1"/>
  <c r="Z139" i="66" s="1"/>
  <c r="AA139" i="66" s="1"/>
  <c r="AB139" i="66" s="1"/>
  <c r="AC139" i="66" s="1"/>
  <c r="AD139" i="66" s="1"/>
  <c r="AE139" i="66" s="1"/>
  <c r="AF139" i="66" s="1"/>
  <c r="C184" i="66"/>
  <c r="D184" i="66" s="1"/>
  <c r="E184" i="66" s="1"/>
  <c r="F184" i="66" s="1"/>
  <c r="G184" i="66" s="1"/>
  <c r="H184" i="66" s="1"/>
  <c r="I184" i="66" s="1"/>
  <c r="J184" i="66" s="1"/>
  <c r="K184" i="66" s="1"/>
  <c r="L184" i="66" s="1"/>
  <c r="M184" i="66" s="1"/>
  <c r="N184" i="66" s="1"/>
  <c r="O184" i="66" s="1"/>
  <c r="P184" i="66" s="1"/>
  <c r="Q184" i="66" s="1"/>
  <c r="R184" i="66" s="1"/>
  <c r="S184" i="66" s="1"/>
  <c r="T184" i="66" s="1"/>
  <c r="U184" i="66" s="1"/>
  <c r="V184" i="66" s="1"/>
  <c r="W184" i="66" s="1"/>
  <c r="X184" i="66" s="1"/>
  <c r="Y184" i="66" s="1"/>
  <c r="Z184" i="66" s="1"/>
  <c r="AA184" i="66" s="1"/>
  <c r="AB184" i="66" s="1"/>
  <c r="AC184" i="66" s="1"/>
  <c r="AD184" i="66" s="1"/>
  <c r="AE184" i="66" s="1"/>
  <c r="AF184" i="66" s="1"/>
  <c r="AG184" i="66" s="1"/>
  <c r="C185" i="66"/>
  <c r="D161" i="66"/>
  <c r="E161" i="66" s="1"/>
  <c r="F161" i="66" s="1"/>
  <c r="G161" i="66" s="1"/>
  <c r="H161" i="66" s="1"/>
  <c r="I161" i="66" s="1"/>
  <c r="J161" i="66" s="1"/>
  <c r="K161" i="66" s="1"/>
  <c r="L161" i="66" s="1"/>
  <c r="M161" i="66" s="1"/>
  <c r="N161" i="66" s="1"/>
  <c r="O161" i="66" s="1"/>
  <c r="P161" i="66" s="1"/>
  <c r="Q161" i="66" s="1"/>
  <c r="R161" i="66" s="1"/>
  <c r="S161" i="66" s="1"/>
  <c r="T161" i="66" s="1"/>
  <c r="U161" i="66" s="1"/>
  <c r="V161" i="66" s="1"/>
  <c r="W161" i="66" s="1"/>
  <c r="X161" i="66" s="1"/>
  <c r="Y161" i="66" s="1"/>
  <c r="Z161" i="66" s="1"/>
  <c r="AA161" i="66" s="1"/>
  <c r="AB161" i="66" s="1"/>
  <c r="AC161" i="66" s="1"/>
  <c r="AD161" i="66" s="1"/>
  <c r="AE161" i="66" s="1"/>
  <c r="AF161" i="66" s="1"/>
  <c r="AG161" i="66" s="1"/>
  <c r="D185" i="66"/>
  <c r="E185" i="66" s="1"/>
  <c r="F185" i="66" s="1"/>
  <c r="G185" i="66" s="1"/>
  <c r="H185" i="66" s="1"/>
  <c r="I185" i="66" s="1"/>
  <c r="J185" i="66" s="1"/>
  <c r="K185" i="66" s="1"/>
  <c r="L185" i="66" s="1"/>
  <c r="M185" i="66" s="1"/>
  <c r="N185" i="66" s="1"/>
  <c r="O185" i="66" s="1"/>
  <c r="P185" i="66" s="1"/>
  <c r="Q185" i="66" s="1"/>
  <c r="R185" i="66" s="1"/>
  <c r="S185" i="66" s="1"/>
  <c r="T185" i="66" s="1"/>
  <c r="U185" i="66" s="1"/>
  <c r="V185" i="66" s="1"/>
  <c r="W185" i="66" s="1"/>
  <c r="X185" i="66" s="1"/>
  <c r="Y185" i="66" s="1"/>
  <c r="Z185" i="66" s="1"/>
  <c r="AA185" i="66" s="1"/>
  <c r="AB185" i="66" s="1"/>
  <c r="AC185" i="66" s="1"/>
  <c r="AD185" i="66" s="1"/>
  <c r="AE185" i="66" s="1"/>
  <c r="AF185" i="66" s="1"/>
  <c r="AR25" i="47"/>
  <c r="AR26" i="47"/>
  <c r="AR27" i="47"/>
  <c r="AR28" i="47"/>
  <c r="AR20" i="47"/>
  <c r="AR19" i="47"/>
  <c r="AR18" i="47"/>
  <c r="AR17" i="47"/>
  <c r="AR16" i="47"/>
  <c r="AR15" i="47"/>
  <c r="AR14" i="47"/>
  <c r="AR13" i="47"/>
  <c r="AR12" i="47"/>
  <c r="AR11" i="47"/>
  <c r="AR10" i="47"/>
  <c r="AH16" i="66"/>
  <c r="BK19" i="45"/>
  <c r="I38" i="60" s="1"/>
  <c r="BB19" i="45"/>
  <c r="C118" i="48" s="1"/>
  <c r="BH19" i="45"/>
  <c r="U34" i="47"/>
  <c r="B11" i="47"/>
  <c r="V11" i="47" s="1"/>
  <c r="Y11" i="47" s="1"/>
  <c r="B12" i="47"/>
  <c r="V12" i="47" s="1"/>
  <c r="Y12" i="47" s="1"/>
  <c r="B13" i="47"/>
  <c r="V13" i="47" s="1"/>
  <c r="Y13" i="47" s="1"/>
  <c r="B14" i="47"/>
  <c r="V14" i="47" s="1"/>
  <c r="Y14" i="47" s="1"/>
  <c r="B15" i="47"/>
  <c r="V15" i="47" s="1"/>
  <c r="Y15" i="47" s="1"/>
  <c r="B16" i="47"/>
  <c r="V16" i="47" s="1"/>
  <c r="Y16" i="47" s="1"/>
  <c r="B17" i="47"/>
  <c r="V17" i="47" s="1"/>
  <c r="Y17" i="47" s="1"/>
  <c r="B18" i="47"/>
  <c r="V18" i="47" s="1"/>
  <c r="Y18" i="47" s="1"/>
  <c r="B19" i="47"/>
  <c r="V19" i="47" s="1"/>
  <c r="Y19" i="47" s="1"/>
  <c r="B20" i="47"/>
  <c r="V20" i="47" s="1"/>
  <c r="Y20" i="47" s="1"/>
  <c r="B21" i="47"/>
  <c r="V21" i="47" s="1"/>
  <c r="Y21" i="47" s="1"/>
  <c r="B10" i="47"/>
  <c r="V10" i="47" s="1"/>
  <c r="Y10" i="47" s="1"/>
  <c r="Y19" i="45"/>
  <c r="H38" i="60" s="1"/>
  <c r="B23" i="47"/>
  <c r="V23" i="47" s="1"/>
  <c r="Y23" i="47" s="1"/>
  <c r="B24" i="47"/>
  <c r="V24" i="47" s="1"/>
  <c r="Y24" i="47" s="1"/>
  <c r="B25" i="47"/>
  <c r="V25" i="47" s="1"/>
  <c r="Y25" i="47" s="1"/>
  <c r="B26" i="47"/>
  <c r="V26" i="47" s="1"/>
  <c r="Y26" i="47" s="1"/>
  <c r="B27" i="47"/>
  <c r="V27" i="47" s="1"/>
  <c r="Y27" i="47" s="1"/>
  <c r="X28" i="47"/>
  <c r="B22" i="47"/>
  <c r="V22" i="47" s="1"/>
  <c r="Y22" i="47" s="1"/>
  <c r="C9" i="55"/>
  <c r="C8" i="55"/>
  <c r="C17" i="16"/>
  <c r="C112" i="48" s="1"/>
  <c r="C18" i="16"/>
  <c r="B9" i="60"/>
  <c r="G12" i="62"/>
  <c r="F39" i="62" s="1"/>
  <c r="F49" i="62" s="1"/>
  <c r="F64" i="62" s="1"/>
  <c r="F95" i="62" s="1"/>
  <c r="F80" i="62" s="1"/>
  <c r="F117" i="62" s="1"/>
  <c r="F136" i="62" s="1"/>
  <c r="F167" i="62" s="1"/>
  <c r="C37" i="55"/>
  <c r="C17" i="55"/>
  <c r="C18" i="55" s="1"/>
  <c r="C14" i="55"/>
  <c r="C13" i="55"/>
  <c r="C36" i="55"/>
  <c r="C34" i="55"/>
  <c r="C35" i="55" s="1"/>
  <c r="C32" i="55"/>
  <c r="C33" i="55" s="1"/>
  <c r="AE44" i="48"/>
  <c r="AD44" i="48"/>
  <c r="H73" i="48"/>
  <c r="AE71" i="48" s="1"/>
  <c r="E73" i="48"/>
  <c r="AD71" i="48" s="1"/>
  <c r="AE68" i="48"/>
  <c r="AD68" i="48"/>
  <c r="AE65" i="48"/>
  <c r="AD65" i="48"/>
  <c r="AD63" i="48"/>
  <c r="AE63" i="48"/>
  <c r="AE69" i="48"/>
  <c r="AD69" i="48"/>
  <c r="H64" i="48"/>
  <c r="AE62" i="48" s="1"/>
  <c r="E64" i="48"/>
  <c r="AD62" i="48" s="1"/>
  <c r="BA19" i="45"/>
  <c r="C122" i="48" s="1"/>
  <c r="C28" i="16" s="1"/>
  <c r="BG19" i="45"/>
  <c r="AY19" i="45"/>
  <c r="C120" i="48" s="1"/>
  <c r="C26" i="16" s="1"/>
  <c r="AZ19" i="45"/>
  <c r="U19" i="45"/>
  <c r="O19" i="45"/>
  <c r="D122" i="48" s="1"/>
  <c r="D28" i="16" s="1"/>
  <c r="N19" i="45"/>
  <c r="C10" i="55"/>
  <c r="D22" i="48"/>
  <c r="D21" i="48"/>
  <c r="D20" i="48"/>
  <c r="D18" i="48"/>
  <c r="D17" i="48"/>
  <c r="C12" i="55" s="1"/>
  <c r="I14" i="48"/>
  <c r="I12" i="48"/>
  <c r="C21" i="55" s="1"/>
  <c r="C6" i="55"/>
  <c r="D8" i="48"/>
  <c r="C5" i="55" s="1"/>
  <c r="I6" i="48"/>
  <c r="C2" i="55" s="1"/>
  <c r="H80" i="48"/>
  <c r="AE78" i="48" s="1"/>
  <c r="H79" i="48"/>
  <c r="AE77" i="48" s="1"/>
  <c r="E80" i="48"/>
  <c r="AD78" i="48" s="1"/>
  <c r="E79" i="48"/>
  <c r="AD77" i="48" s="1"/>
  <c r="H59" i="48"/>
  <c r="AE56" i="48" s="1"/>
  <c r="E59" i="48"/>
  <c r="AD56" i="48" s="1"/>
  <c r="AD52" i="48"/>
  <c r="AD50" i="48"/>
  <c r="H52" i="48"/>
  <c r="AE50" i="48" s="1"/>
  <c r="H48" i="48"/>
  <c r="AE46" i="48" s="1"/>
  <c r="E48" i="48"/>
  <c r="AD46" i="48" s="1"/>
  <c r="H47" i="48"/>
  <c r="AE45" i="48" s="1"/>
  <c r="AE42" i="48"/>
  <c r="AE41" i="48"/>
  <c r="AE40" i="48"/>
  <c r="AD45" i="48"/>
  <c r="AD42" i="48"/>
  <c r="AD41" i="48"/>
  <c r="AD40" i="48"/>
  <c r="AD39" i="48"/>
  <c r="H41" i="48"/>
  <c r="AE39" i="48" s="1"/>
  <c r="BI19" i="45"/>
  <c r="C121" i="48" s="1"/>
  <c r="C27" i="16" s="1"/>
  <c r="BF19" i="45"/>
  <c r="BD19" i="45"/>
  <c r="I34" i="60" s="1"/>
  <c r="BE19" i="45"/>
  <c r="BC19" i="45"/>
  <c r="C119" i="48" s="1"/>
  <c r="C25" i="16" s="1"/>
  <c r="W19" i="45"/>
  <c r="D121" i="48" s="1"/>
  <c r="D27" i="16" s="1"/>
  <c r="P19" i="45"/>
  <c r="D118" i="48" s="1"/>
  <c r="V19" i="45"/>
  <c r="T19" i="45"/>
  <c r="R19" i="45"/>
  <c r="H34" i="60" s="1"/>
  <c r="S19" i="45"/>
  <c r="Q19" i="45"/>
  <c r="D119" i="48" s="1"/>
  <c r="D25" i="16" s="1"/>
  <c r="C31" i="55"/>
  <c r="C30" i="55"/>
  <c r="U33" i="47"/>
  <c r="U32" i="47"/>
  <c r="Q34" i="47"/>
  <c r="Q16" i="30"/>
  <c r="Q15" i="30"/>
  <c r="Q16" i="28"/>
  <c r="Q15" i="28"/>
  <c r="J8" i="28"/>
  <c r="L41" i="28"/>
  <c r="C23" i="52"/>
  <c r="N18" i="28" s="1"/>
  <c r="S18" i="28" s="1"/>
  <c r="L41" i="30"/>
  <c r="J8" i="30"/>
  <c r="C28" i="55"/>
  <c r="C29" i="55"/>
  <c r="C27" i="55"/>
  <c r="C26" i="55"/>
  <c r="C25" i="55"/>
  <c r="C23" i="55"/>
  <c r="C24" i="55" s="1"/>
  <c r="C22" i="55"/>
  <c r="F25" i="42"/>
  <c r="F12" i="42"/>
  <c r="F13" i="42"/>
  <c r="F14" i="42"/>
  <c r="F15" i="42"/>
  <c r="F16" i="42"/>
  <c r="F17" i="42"/>
  <c r="F18" i="42"/>
  <c r="F19" i="42"/>
  <c r="F24" i="42"/>
  <c r="C20" i="55"/>
  <c r="C11" i="55"/>
  <c r="D4" i="56"/>
  <c r="E4" i="56" s="1"/>
  <c r="D5" i="56"/>
  <c r="E5" i="56" s="1"/>
  <c r="D6" i="56"/>
  <c r="E6" i="56" s="1"/>
  <c r="D7" i="56"/>
  <c r="E7" i="56" s="1"/>
  <c r="D8" i="56"/>
  <c r="E8" i="56" s="1"/>
  <c r="D9" i="56"/>
  <c r="E9" i="56" s="1"/>
  <c r="D10" i="56"/>
  <c r="E10" i="56" s="1"/>
  <c r="D11" i="56"/>
  <c r="E11" i="56" s="1"/>
  <c r="D12" i="56"/>
  <c r="E12" i="56" s="1"/>
  <c r="D13" i="56"/>
  <c r="E13" i="56" s="1"/>
  <c r="D16" i="56"/>
  <c r="D17" i="56"/>
  <c r="C4" i="56"/>
  <c r="C5" i="56"/>
  <c r="C6" i="56"/>
  <c r="C7" i="56"/>
  <c r="C8" i="56"/>
  <c r="C17" i="56"/>
  <c r="D3" i="56"/>
  <c r="E3" i="56" s="1"/>
  <c r="C3" i="56"/>
  <c r="C7" i="55"/>
  <c r="C24" i="52"/>
  <c r="C24" i="53" s="1"/>
  <c r="N19" i="30" s="1"/>
  <c r="S19" i="30" s="1"/>
  <c r="C21" i="52"/>
  <c r="N16" i="28" s="1"/>
  <c r="S16" i="28" s="1"/>
  <c r="E19" i="52"/>
  <c r="E19" i="53" s="1"/>
  <c r="D19" i="52"/>
  <c r="D19" i="53" s="1"/>
  <c r="C19" i="52"/>
  <c r="N14" i="28" s="1"/>
  <c r="C8" i="28" s="1"/>
  <c r="C14" i="53"/>
  <c r="B5" i="25" s="1"/>
  <c r="L20" i="53"/>
  <c r="L23" i="53" s="1"/>
  <c r="F19" i="53"/>
  <c r="N10" i="30" s="1"/>
  <c r="G19" i="53"/>
  <c r="O10" i="30" s="1"/>
  <c r="L20" i="52"/>
  <c r="L23" i="52" s="1"/>
  <c r="L24" i="52"/>
  <c r="AX19" i="45"/>
  <c r="BL19" i="45"/>
  <c r="BM19" i="45"/>
  <c r="BN19" i="45"/>
  <c r="BO19" i="45"/>
  <c r="BP19" i="45"/>
  <c r="BQ19" i="45"/>
  <c r="BR19" i="45"/>
  <c r="BS19" i="45"/>
  <c r="N6" i="31"/>
  <c r="V6" i="31"/>
  <c r="J7" i="31"/>
  <c r="F8" i="25"/>
  <c r="G8" i="25"/>
  <c r="F9" i="25"/>
  <c r="G9" i="25" s="1"/>
  <c r="F10" i="25"/>
  <c r="G10" i="25" s="1"/>
  <c r="F11" i="25"/>
  <c r="G11" i="25" s="1"/>
  <c r="F12" i="25"/>
  <c r="G12" i="25" s="1"/>
  <c r="F13" i="25"/>
  <c r="G13" i="25" s="1"/>
  <c r="F14" i="25"/>
  <c r="G14" i="25"/>
  <c r="F15" i="25"/>
  <c r="G15" i="25" s="1"/>
  <c r="F16" i="25"/>
  <c r="G16" i="25" s="1"/>
  <c r="F17" i="25"/>
  <c r="G17" i="25" s="1"/>
  <c r="F18" i="25"/>
  <c r="G18" i="25"/>
  <c r="F19" i="25"/>
  <c r="G19" i="25" s="1"/>
  <c r="F20" i="25"/>
  <c r="G20" i="25" s="1"/>
  <c r="F21" i="25"/>
  <c r="G21" i="25" s="1"/>
  <c r="F22" i="25"/>
  <c r="G22" i="25" s="1"/>
  <c r="F23" i="25"/>
  <c r="G23" i="25" s="1"/>
  <c r="F24" i="25"/>
  <c r="G24" i="25" s="1"/>
  <c r="F25" i="25"/>
  <c r="G25" i="25" s="1"/>
  <c r="F26" i="25"/>
  <c r="G26" i="25"/>
  <c r="F27" i="25"/>
  <c r="G27" i="25" s="1"/>
  <c r="F28" i="25"/>
  <c r="G28" i="25" s="1"/>
  <c r="F29" i="25"/>
  <c r="G29" i="25" s="1"/>
  <c r="F30" i="25"/>
  <c r="G30" i="25" s="1"/>
  <c r="F31" i="25"/>
  <c r="G31" i="25" s="1"/>
  <c r="F32" i="25"/>
  <c r="G32" i="25" s="1"/>
  <c r="F33" i="25"/>
  <c r="G33" i="25" s="1"/>
  <c r="F34" i="25"/>
  <c r="G34" i="25" s="1"/>
  <c r="F35" i="25"/>
  <c r="G35" i="25" s="1"/>
  <c r="F36" i="25"/>
  <c r="G36" i="25" s="1"/>
  <c r="F37" i="25"/>
  <c r="G37" i="25" s="1"/>
  <c r="F38" i="25"/>
  <c r="G38" i="25" s="1"/>
  <c r="F39" i="25"/>
  <c r="G39" i="25" s="1"/>
  <c r="F40" i="25"/>
  <c r="G40" i="25"/>
  <c r="F41" i="25"/>
  <c r="G41" i="25" s="1"/>
  <c r="F42" i="25"/>
  <c r="G42" i="25" s="1"/>
  <c r="F43" i="25"/>
  <c r="G43" i="25" s="1"/>
  <c r="F44" i="25"/>
  <c r="G44" i="25" s="1"/>
  <c r="F45" i="25"/>
  <c r="G45" i="25" s="1"/>
  <c r="F46" i="25"/>
  <c r="G46" i="25"/>
  <c r="F47" i="25"/>
  <c r="G47" i="25" s="1"/>
  <c r="F48" i="25"/>
  <c r="G48" i="25" s="1"/>
  <c r="F49" i="25"/>
  <c r="G49" i="25" s="1"/>
  <c r="F50" i="25"/>
  <c r="G50" i="25"/>
  <c r="F51" i="25"/>
  <c r="G51" i="25" s="1"/>
  <c r="F52" i="25"/>
  <c r="G52" i="25" s="1"/>
  <c r="F53" i="25"/>
  <c r="G53" i="25" s="1"/>
  <c r="F54" i="25"/>
  <c r="G54" i="25" s="1"/>
  <c r="F55" i="25"/>
  <c r="G55" i="25" s="1"/>
  <c r="F56" i="25"/>
  <c r="G56" i="25" s="1"/>
  <c r="F57" i="25"/>
  <c r="G57" i="25" s="1"/>
  <c r="F58" i="25"/>
  <c r="G58" i="25"/>
  <c r="F59" i="25"/>
  <c r="G59" i="25" s="1"/>
  <c r="F60" i="25"/>
  <c r="G60" i="25" s="1"/>
  <c r="F61" i="25"/>
  <c r="G61" i="25" s="1"/>
  <c r="F62" i="25"/>
  <c r="G62" i="25" s="1"/>
  <c r="F63" i="25"/>
  <c r="G63" i="25" s="1"/>
  <c r="F64" i="25"/>
  <c r="G64" i="25" s="1"/>
  <c r="F65" i="25"/>
  <c r="G65" i="25" s="1"/>
  <c r="F66" i="25"/>
  <c r="G66" i="25" s="1"/>
  <c r="F67" i="25"/>
  <c r="G67" i="25" s="1"/>
  <c r="F68" i="25"/>
  <c r="G68" i="25" s="1"/>
  <c r="F69" i="25"/>
  <c r="G69" i="25" s="1"/>
  <c r="F70" i="25"/>
  <c r="G70" i="25" s="1"/>
  <c r="F71" i="25"/>
  <c r="G71" i="25" s="1"/>
  <c r="F72" i="25"/>
  <c r="G72" i="25"/>
  <c r="F73" i="25"/>
  <c r="G73" i="25" s="1"/>
  <c r="F74" i="25"/>
  <c r="G74" i="25" s="1"/>
  <c r="F75" i="25"/>
  <c r="G75" i="25" s="1"/>
  <c r="F76" i="25"/>
  <c r="G76" i="25" s="1"/>
  <c r="F77" i="25"/>
  <c r="G77" i="25" s="1"/>
  <c r="F78" i="25"/>
  <c r="G78" i="25"/>
  <c r="F79" i="25"/>
  <c r="G79" i="25" s="1"/>
  <c r="F80" i="25"/>
  <c r="G80" i="25" s="1"/>
  <c r="F81" i="25"/>
  <c r="G81" i="25" s="1"/>
  <c r="F82" i="25"/>
  <c r="G82" i="25"/>
  <c r="F83" i="25"/>
  <c r="G83" i="25" s="1"/>
  <c r="F84" i="25"/>
  <c r="G84" i="25" s="1"/>
  <c r="F85" i="25"/>
  <c r="G85" i="25" s="1"/>
  <c r="F86" i="25"/>
  <c r="G86" i="25" s="1"/>
  <c r="F87" i="25"/>
  <c r="G87" i="25" s="1"/>
  <c r="F88" i="25"/>
  <c r="G88" i="25" s="1"/>
  <c r="F89" i="25"/>
  <c r="G89" i="25" s="1"/>
  <c r="F90" i="25"/>
  <c r="G90" i="25"/>
  <c r="F91" i="25"/>
  <c r="G91" i="25" s="1"/>
  <c r="F92" i="25"/>
  <c r="G92" i="25" s="1"/>
  <c r="F93" i="25"/>
  <c r="G93" i="25" s="1"/>
  <c r="F94" i="25"/>
  <c r="G94" i="25" s="1"/>
  <c r="F95" i="25"/>
  <c r="G95" i="25" s="1"/>
  <c r="F96" i="25"/>
  <c r="G96" i="25" s="1"/>
  <c r="F97" i="25"/>
  <c r="G97" i="25" s="1"/>
  <c r="F98" i="25"/>
  <c r="G98" i="25" s="1"/>
  <c r="F99" i="25"/>
  <c r="G99" i="25" s="1"/>
  <c r="F100" i="25"/>
  <c r="G100" i="25" s="1"/>
  <c r="F101" i="25"/>
  <c r="G101" i="25" s="1"/>
  <c r="F102" i="25"/>
  <c r="G102" i="25" s="1"/>
  <c r="F103" i="25"/>
  <c r="G103" i="25" s="1"/>
  <c r="F104" i="25"/>
  <c r="G104" i="25"/>
  <c r="F105" i="25"/>
  <c r="G105" i="25" s="1"/>
  <c r="F106" i="25"/>
  <c r="G106" i="25" s="1"/>
  <c r="F107" i="25"/>
  <c r="G107" i="25" s="1"/>
  <c r="F108" i="25"/>
  <c r="G108" i="25" s="1"/>
  <c r="F109" i="25"/>
  <c r="G109" i="25" s="1"/>
  <c r="F110" i="25"/>
  <c r="G110" i="25"/>
  <c r="F111" i="25"/>
  <c r="G111" i="25" s="1"/>
  <c r="F112" i="25"/>
  <c r="G112" i="25" s="1"/>
  <c r="F113" i="25"/>
  <c r="G113" i="25" s="1"/>
  <c r="F114" i="25"/>
  <c r="G114" i="25"/>
  <c r="F115" i="25"/>
  <c r="G115" i="25" s="1"/>
  <c r="F116" i="25"/>
  <c r="G116" i="25" s="1"/>
  <c r="F117" i="25"/>
  <c r="G117" i="25" s="1"/>
  <c r="F118" i="25"/>
  <c r="G118" i="25" s="1"/>
  <c r="F119" i="25"/>
  <c r="G119" i="25" s="1"/>
  <c r="F120" i="25"/>
  <c r="G120" i="25" s="1"/>
  <c r="F121" i="25"/>
  <c r="G121" i="25" s="1"/>
  <c r="F122" i="25"/>
  <c r="G122" i="25"/>
  <c r="F123" i="25"/>
  <c r="G123" i="25" s="1"/>
  <c r="F124" i="25"/>
  <c r="G124" i="25" s="1"/>
  <c r="F125" i="25"/>
  <c r="G125" i="25" s="1"/>
  <c r="F126" i="25"/>
  <c r="G126" i="25" s="1"/>
  <c r="F127" i="25"/>
  <c r="G127" i="25" s="1"/>
  <c r="F128" i="25"/>
  <c r="G128" i="25" s="1"/>
  <c r="F129" i="25"/>
  <c r="G129" i="25" s="1"/>
  <c r="F130" i="25"/>
  <c r="G130" i="25" s="1"/>
  <c r="F131" i="25"/>
  <c r="G131" i="25" s="1"/>
  <c r="F132" i="25"/>
  <c r="G132" i="25" s="1"/>
  <c r="F133" i="25"/>
  <c r="G133" i="25" s="1"/>
  <c r="F134" i="25"/>
  <c r="G134" i="25" s="1"/>
  <c r="F135" i="25"/>
  <c r="G135" i="25" s="1"/>
  <c r="F136" i="25"/>
  <c r="G136" i="25"/>
  <c r="F137" i="25"/>
  <c r="G137" i="25" s="1"/>
  <c r="F138" i="25"/>
  <c r="G138" i="25" s="1"/>
  <c r="F139" i="25"/>
  <c r="G139" i="25" s="1"/>
  <c r="F140" i="25"/>
  <c r="G140" i="25" s="1"/>
  <c r="F141" i="25"/>
  <c r="G141" i="25" s="1"/>
  <c r="F142" i="25"/>
  <c r="G142" i="25" s="1"/>
  <c r="F143" i="25"/>
  <c r="G143" i="25" s="1"/>
  <c r="F144" i="25"/>
  <c r="G144" i="25" s="1"/>
  <c r="F145" i="25"/>
  <c r="G145" i="25" s="1"/>
  <c r="F146" i="25"/>
  <c r="G146" i="25" s="1"/>
  <c r="F147" i="25"/>
  <c r="G147" i="25"/>
  <c r="F148" i="25"/>
  <c r="G148" i="25" s="1"/>
  <c r="F149" i="25"/>
  <c r="G149" i="25" s="1"/>
  <c r="F150" i="25"/>
  <c r="G150" i="25" s="1"/>
  <c r="F151" i="25"/>
  <c r="G151" i="25" s="1"/>
  <c r="F152" i="25"/>
  <c r="G152" i="25" s="1"/>
  <c r="F153" i="25"/>
  <c r="G153" i="25" s="1"/>
  <c r="F154" i="25"/>
  <c r="G154" i="25" s="1"/>
  <c r="F155" i="25"/>
  <c r="G155" i="25"/>
  <c r="F156" i="25"/>
  <c r="G156" i="25" s="1"/>
  <c r="F157" i="25"/>
  <c r="G157" i="25" s="1"/>
  <c r="F158" i="25"/>
  <c r="G158" i="25" s="1"/>
  <c r="F159" i="25"/>
  <c r="G159" i="25" s="1"/>
  <c r="F160" i="25"/>
  <c r="G160" i="25" s="1"/>
  <c r="F161" i="25"/>
  <c r="G161" i="25" s="1"/>
  <c r="F162" i="25"/>
  <c r="G162" i="25" s="1"/>
  <c r="F163" i="25"/>
  <c r="G163" i="25"/>
  <c r="F164" i="25"/>
  <c r="G164" i="25" s="1"/>
  <c r="F165" i="25"/>
  <c r="G165" i="25" s="1"/>
  <c r="F166" i="25"/>
  <c r="G166" i="25" s="1"/>
  <c r="F167" i="25"/>
  <c r="G167" i="25" s="1"/>
  <c r="F168" i="25"/>
  <c r="G168" i="25" s="1"/>
  <c r="F169" i="25"/>
  <c r="G169" i="25" s="1"/>
  <c r="F170" i="25"/>
  <c r="G170" i="25" s="1"/>
  <c r="F171" i="25"/>
  <c r="G171" i="25"/>
  <c r="F172" i="25"/>
  <c r="G172" i="25" s="1"/>
  <c r="F173" i="25"/>
  <c r="G173" i="25" s="1"/>
  <c r="F174" i="25"/>
  <c r="G174" i="25" s="1"/>
  <c r="F175" i="25"/>
  <c r="G175" i="25" s="1"/>
  <c r="F176" i="25"/>
  <c r="G176" i="25" s="1"/>
  <c r="F177" i="25"/>
  <c r="G177" i="25" s="1"/>
  <c r="F178" i="25"/>
  <c r="G178" i="25" s="1"/>
  <c r="F179" i="25"/>
  <c r="G179" i="25"/>
  <c r="F180" i="25"/>
  <c r="G180" i="25" s="1"/>
  <c r="F181" i="25"/>
  <c r="G181" i="25" s="1"/>
  <c r="F182" i="25"/>
  <c r="G182" i="25" s="1"/>
  <c r="F183" i="25"/>
  <c r="G183" i="25" s="1"/>
  <c r="F184" i="25"/>
  <c r="G184" i="25" s="1"/>
  <c r="F185" i="25"/>
  <c r="G185" i="25" s="1"/>
  <c r="F186" i="25"/>
  <c r="G186" i="25" s="1"/>
  <c r="F187" i="25"/>
  <c r="G187" i="25"/>
  <c r="F188" i="25"/>
  <c r="G188" i="25" s="1"/>
  <c r="F189" i="25"/>
  <c r="G189" i="25" s="1"/>
  <c r="F190" i="25"/>
  <c r="G190" i="25" s="1"/>
  <c r="F191" i="25"/>
  <c r="G191" i="25" s="1"/>
  <c r="F192" i="25"/>
  <c r="G192" i="25" s="1"/>
  <c r="F193" i="25"/>
  <c r="G193" i="25" s="1"/>
  <c r="F194" i="25"/>
  <c r="G194" i="25" s="1"/>
  <c r="F195" i="25"/>
  <c r="G195" i="25"/>
  <c r="F196" i="25"/>
  <c r="G196" i="25" s="1"/>
  <c r="F197" i="25"/>
  <c r="G197" i="25" s="1"/>
  <c r="F198" i="25"/>
  <c r="G198" i="25" s="1"/>
  <c r="F199" i="25"/>
  <c r="G199" i="25" s="1"/>
  <c r="F200" i="25"/>
  <c r="G200" i="25" s="1"/>
  <c r="F201" i="25"/>
  <c r="G201" i="25" s="1"/>
  <c r="F202" i="25"/>
  <c r="G202" i="25" s="1"/>
  <c r="F203" i="25"/>
  <c r="G203" i="25"/>
  <c r="F204" i="25"/>
  <c r="G204" i="25" s="1"/>
  <c r="F205" i="25"/>
  <c r="G205" i="25" s="1"/>
  <c r="F206" i="25"/>
  <c r="G206" i="25" s="1"/>
  <c r="F207" i="25"/>
  <c r="G207" i="25" s="1"/>
  <c r="F208" i="25"/>
  <c r="G208" i="25" s="1"/>
  <c r="F209" i="25"/>
  <c r="G209" i="25" s="1"/>
  <c r="F210" i="25"/>
  <c r="G210" i="25" s="1"/>
  <c r="F211" i="25"/>
  <c r="G211" i="25"/>
  <c r="F212" i="25"/>
  <c r="G212" i="25" s="1"/>
  <c r="F213" i="25"/>
  <c r="G213" i="25" s="1"/>
  <c r="F214" i="25"/>
  <c r="G214" i="25" s="1"/>
  <c r="F215" i="25"/>
  <c r="G215" i="25" s="1"/>
  <c r="F216" i="25"/>
  <c r="G216" i="25" s="1"/>
  <c r="F217" i="25"/>
  <c r="G217" i="25" s="1"/>
  <c r="F218" i="25"/>
  <c r="G218" i="25" s="1"/>
  <c r="F219" i="25"/>
  <c r="G219" i="25"/>
  <c r="F220" i="25"/>
  <c r="G220" i="25" s="1"/>
  <c r="F221" i="25"/>
  <c r="G221" i="25" s="1"/>
  <c r="F222" i="25"/>
  <c r="G222" i="25" s="1"/>
  <c r="F223" i="25"/>
  <c r="G223" i="25" s="1"/>
  <c r="F224" i="25"/>
  <c r="G224" i="25" s="1"/>
  <c r="F225" i="25"/>
  <c r="G225" i="25" s="1"/>
  <c r="F226" i="25"/>
  <c r="G226" i="25" s="1"/>
  <c r="F227" i="25"/>
  <c r="G227" i="25"/>
  <c r="F228" i="25"/>
  <c r="G228" i="25" s="1"/>
  <c r="F229" i="25"/>
  <c r="G229" i="25" s="1"/>
  <c r="F230" i="25"/>
  <c r="G230" i="25" s="1"/>
  <c r="F231" i="25"/>
  <c r="G231" i="25" s="1"/>
  <c r="F232" i="25"/>
  <c r="G232" i="25" s="1"/>
  <c r="F233" i="25"/>
  <c r="G233" i="25" s="1"/>
  <c r="F234" i="25"/>
  <c r="G234" i="25" s="1"/>
  <c r="F235" i="25"/>
  <c r="G235" i="25"/>
  <c r="F236" i="25"/>
  <c r="G236" i="25" s="1"/>
  <c r="F237" i="25"/>
  <c r="G237" i="25" s="1"/>
  <c r="F238" i="25"/>
  <c r="G238" i="25" s="1"/>
  <c r="F239" i="25"/>
  <c r="G239" i="25" s="1"/>
  <c r="F240" i="25"/>
  <c r="G240" i="25" s="1"/>
  <c r="F241" i="25"/>
  <c r="G241" i="25" s="1"/>
  <c r="F242" i="25"/>
  <c r="G242" i="25" s="1"/>
  <c r="F243" i="25"/>
  <c r="G243" i="25"/>
  <c r="F244" i="25"/>
  <c r="G244" i="25" s="1"/>
  <c r="F245" i="25"/>
  <c r="G245" i="25" s="1"/>
  <c r="F246" i="25"/>
  <c r="G246" i="25" s="1"/>
  <c r="F247" i="25"/>
  <c r="G247" i="25" s="1"/>
  <c r="F248" i="25"/>
  <c r="G248" i="25" s="1"/>
  <c r="F249" i="25"/>
  <c r="G249" i="25" s="1"/>
  <c r="F250" i="25"/>
  <c r="G250" i="25" s="1"/>
  <c r="F251" i="25"/>
  <c r="G251" i="25"/>
  <c r="F252" i="25"/>
  <c r="G252" i="25" s="1"/>
  <c r="F253" i="25"/>
  <c r="G253" i="25" s="1"/>
  <c r="F254" i="25"/>
  <c r="G254" i="25" s="1"/>
  <c r="F255" i="25"/>
  <c r="G255" i="25" s="1"/>
  <c r="F256" i="25"/>
  <c r="G256" i="25" s="1"/>
  <c r="F257" i="25"/>
  <c r="G257" i="25" s="1"/>
  <c r="F258" i="25"/>
  <c r="G258" i="25" s="1"/>
  <c r="F259" i="25"/>
  <c r="G259" i="25"/>
  <c r="F260" i="25"/>
  <c r="G260" i="25" s="1"/>
  <c r="F261" i="25"/>
  <c r="G261" i="25" s="1"/>
  <c r="F262" i="25"/>
  <c r="G262" i="25" s="1"/>
  <c r="F263" i="25"/>
  <c r="G263" i="25" s="1"/>
  <c r="F264" i="25"/>
  <c r="G264" i="25" s="1"/>
  <c r="F265" i="25"/>
  <c r="G265" i="25" s="1"/>
  <c r="F266" i="25"/>
  <c r="G266" i="25" s="1"/>
  <c r="F267" i="25"/>
  <c r="G267" i="25"/>
  <c r="F268" i="25"/>
  <c r="G268" i="25" s="1"/>
  <c r="F269" i="25"/>
  <c r="G269" i="25" s="1"/>
  <c r="F270" i="25"/>
  <c r="G270" i="25" s="1"/>
  <c r="F271" i="25"/>
  <c r="G271" i="25" s="1"/>
  <c r="F272" i="25"/>
  <c r="G272" i="25" s="1"/>
  <c r="F273" i="25"/>
  <c r="G273" i="25" s="1"/>
  <c r="F274" i="25"/>
  <c r="G274" i="25" s="1"/>
  <c r="F275" i="25"/>
  <c r="G275" i="25"/>
  <c r="F276" i="25"/>
  <c r="G276" i="25"/>
  <c r="F277" i="25"/>
  <c r="G277" i="25"/>
  <c r="F278" i="25"/>
  <c r="G278" i="25"/>
  <c r="F279" i="25"/>
  <c r="G279" i="25"/>
  <c r="F280" i="25"/>
  <c r="G280" i="25"/>
  <c r="F281" i="25"/>
  <c r="G281" i="25"/>
  <c r="F282" i="25"/>
  <c r="G282" i="25"/>
  <c r="F283" i="25"/>
  <c r="G283" i="25"/>
  <c r="F284" i="25"/>
  <c r="G284" i="25"/>
  <c r="F285" i="25"/>
  <c r="G285" i="25"/>
  <c r="F286" i="25"/>
  <c r="G286" i="25"/>
  <c r="F287" i="25"/>
  <c r="G287" i="25"/>
  <c r="F288" i="25"/>
  <c r="G288" i="25"/>
  <c r="F289" i="25"/>
  <c r="G289" i="25"/>
  <c r="F290" i="25"/>
  <c r="G290" i="25"/>
  <c r="F291" i="25"/>
  <c r="G291" i="25"/>
  <c r="F292" i="25"/>
  <c r="G292" i="25"/>
  <c r="F293" i="25"/>
  <c r="G293" i="25"/>
  <c r="F294" i="25"/>
  <c r="G294" i="25"/>
  <c r="F295" i="25"/>
  <c r="G295" i="25"/>
  <c r="F296" i="25"/>
  <c r="G296" i="25"/>
  <c r="F297" i="25"/>
  <c r="G297" i="25"/>
  <c r="F298" i="25"/>
  <c r="G298" i="25"/>
  <c r="F299" i="25"/>
  <c r="G299" i="25"/>
  <c r="F300" i="25"/>
  <c r="G300" i="25"/>
  <c r="F301" i="25"/>
  <c r="G301" i="25"/>
  <c r="F302" i="25"/>
  <c r="G302" i="25"/>
  <c r="F303" i="25"/>
  <c r="G303" i="25"/>
  <c r="F304" i="25"/>
  <c r="G304" i="25"/>
  <c r="F305" i="25"/>
  <c r="G305" i="25"/>
  <c r="F306" i="25"/>
  <c r="G306" i="25"/>
  <c r="F307" i="25"/>
  <c r="G307" i="25"/>
  <c r="F308" i="25"/>
  <c r="G308" i="25"/>
  <c r="F309" i="25"/>
  <c r="G309" i="25"/>
  <c r="F310" i="25"/>
  <c r="G310" i="25"/>
  <c r="F311" i="25"/>
  <c r="G311" i="25"/>
  <c r="F312" i="25"/>
  <c r="G312" i="25"/>
  <c r="F313" i="25"/>
  <c r="G313" i="25"/>
  <c r="F314" i="25"/>
  <c r="G314" i="25"/>
  <c r="F315" i="25"/>
  <c r="G315" i="25"/>
  <c r="F316" i="25"/>
  <c r="G316" i="25"/>
  <c r="F317" i="25"/>
  <c r="G317" i="25"/>
  <c r="F318" i="25"/>
  <c r="G318" i="25"/>
  <c r="F319" i="25"/>
  <c r="G319" i="25"/>
  <c r="F320" i="25"/>
  <c r="G320" i="25"/>
  <c r="F321" i="25"/>
  <c r="G321" i="25"/>
  <c r="F322" i="25"/>
  <c r="G322" i="25"/>
  <c r="F323" i="25"/>
  <c r="G323" i="25"/>
  <c r="F324" i="25"/>
  <c r="G324" i="25"/>
  <c r="F325" i="25"/>
  <c r="G325" i="25"/>
  <c r="F326" i="25"/>
  <c r="G326" i="25"/>
  <c r="F327" i="25"/>
  <c r="G327" i="25"/>
  <c r="F328" i="25"/>
  <c r="G328" i="25"/>
  <c r="F329" i="25"/>
  <c r="G329" i="25"/>
  <c r="F330" i="25"/>
  <c r="G330" i="25"/>
  <c r="F331" i="25"/>
  <c r="G331" i="25"/>
  <c r="F332" i="25"/>
  <c r="G332" i="25"/>
  <c r="F333" i="25"/>
  <c r="G333" i="25"/>
  <c r="F334" i="25"/>
  <c r="G334" i="25"/>
  <c r="F335" i="25"/>
  <c r="G335" i="25"/>
  <c r="F336" i="25"/>
  <c r="G336" i="25"/>
  <c r="F337" i="25"/>
  <c r="G337" i="25"/>
  <c r="F338" i="25"/>
  <c r="G338" i="25"/>
  <c r="F339" i="25"/>
  <c r="G339" i="25"/>
  <c r="F340" i="25"/>
  <c r="G340" i="25"/>
  <c r="F341" i="25"/>
  <c r="G341" i="25"/>
  <c r="F342" i="25"/>
  <c r="G342" i="25"/>
  <c r="F343" i="25"/>
  <c r="G343" i="25"/>
  <c r="F344" i="25"/>
  <c r="G344" i="25"/>
  <c r="F345" i="25"/>
  <c r="G345" i="25"/>
  <c r="F346" i="25"/>
  <c r="G346" i="25"/>
  <c r="F347" i="25"/>
  <c r="G347" i="25"/>
  <c r="F348" i="25"/>
  <c r="G348" i="25"/>
  <c r="F349" i="25"/>
  <c r="G349" i="25"/>
  <c r="F350" i="25"/>
  <c r="G350" i="25"/>
  <c r="F351" i="25"/>
  <c r="G351" i="25"/>
  <c r="F352" i="25"/>
  <c r="G352" i="25"/>
  <c r="F353" i="25"/>
  <c r="G353" i="25"/>
  <c r="F354" i="25"/>
  <c r="G354" i="25"/>
  <c r="F355" i="25"/>
  <c r="G355" i="25"/>
  <c r="F356" i="25"/>
  <c r="G356" i="25"/>
  <c r="F357" i="25"/>
  <c r="G357" i="25"/>
  <c r="F358" i="25"/>
  <c r="G358" i="25"/>
  <c r="F359" i="25"/>
  <c r="G359" i="25"/>
  <c r="F360" i="25"/>
  <c r="G360" i="25"/>
  <c r="F361" i="25"/>
  <c r="G361" i="25"/>
  <c r="F362" i="25"/>
  <c r="G362" i="25"/>
  <c r="F363" i="25"/>
  <c r="G363" i="25"/>
  <c r="F364" i="25"/>
  <c r="G364" i="25"/>
  <c r="F365" i="25"/>
  <c r="G365" i="25"/>
  <c r="F366" i="25"/>
  <c r="G366" i="25"/>
  <c r="F367" i="25"/>
  <c r="G367" i="25"/>
  <c r="F368" i="25"/>
  <c r="G368" i="25"/>
  <c r="F369" i="25"/>
  <c r="G369" i="25"/>
  <c r="F370" i="25"/>
  <c r="G370" i="25"/>
  <c r="F371" i="25"/>
  <c r="G371" i="25"/>
  <c r="F372" i="25"/>
  <c r="G372" i="25"/>
  <c r="F373" i="25"/>
  <c r="G373" i="25"/>
  <c r="F374" i="25"/>
  <c r="G374" i="25"/>
  <c r="F375" i="25"/>
  <c r="G375" i="25"/>
  <c r="F376" i="25"/>
  <c r="G376" i="25"/>
  <c r="F377" i="25"/>
  <c r="G377" i="25"/>
  <c r="F378" i="25"/>
  <c r="G378" i="25"/>
  <c r="F379" i="25"/>
  <c r="G379" i="25"/>
  <c r="F380" i="25"/>
  <c r="G380" i="25"/>
  <c r="F381" i="25"/>
  <c r="G381" i="25"/>
  <c r="F382" i="25"/>
  <c r="G382" i="25"/>
  <c r="F383" i="25"/>
  <c r="G383" i="25"/>
  <c r="F384" i="25"/>
  <c r="G384" i="25"/>
  <c r="F385" i="25"/>
  <c r="G385" i="25"/>
  <c r="F386" i="25"/>
  <c r="G386" i="25"/>
  <c r="F387" i="25"/>
  <c r="G387" i="25"/>
  <c r="F388" i="25"/>
  <c r="G388" i="25"/>
  <c r="F389" i="25"/>
  <c r="G389" i="25"/>
  <c r="F390" i="25"/>
  <c r="G390" i="25"/>
  <c r="F391" i="25"/>
  <c r="G391" i="25"/>
  <c r="F392" i="25"/>
  <c r="G392" i="25"/>
  <c r="F393" i="25"/>
  <c r="G393" i="25"/>
  <c r="F394" i="25"/>
  <c r="G394" i="25"/>
  <c r="F395" i="25"/>
  <c r="G395" i="25"/>
  <c r="F396" i="25"/>
  <c r="G396" i="25"/>
  <c r="F397" i="25"/>
  <c r="G397" i="25"/>
  <c r="F398" i="25"/>
  <c r="G398" i="25"/>
  <c r="F399" i="25"/>
  <c r="G399" i="25"/>
  <c r="F400" i="25"/>
  <c r="G400" i="25"/>
  <c r="F401" i="25"/>
  <c r="G401" i="25"/>
  <c r="F402" i="25"/>
  <c r="G402" i="25"/>
  <c r="F403" i="25"/>
  <c r="G403" i="25"/>
  <c r="F404" i="25"/>
  <c r="G404" i="25"/>
  <c r="F405" i="25"/>
  <c r="G405" i="25"/>
  <c r="F406" i="25"/>
  <c r="G406" i="25"/>
  <c r="F407" i="25"/>
  <c r="G407" i="25"/>
  <c r="F408" i="25"/>
  <c r="G408" i="25"/>
  <c r="F409" i="25"/>
  <c r="G409" i="25"/>
  <c r="F410" i="25"/>
  <c r="G410" i="25"/>
  <c r="F411" i="25"/>
  <c r="G411" i="25"/>
  <c r="F412" i="25"/>
  <c r="G412" i="25"/>
  <c r="F413" i="25"/>
  <c r="G413" i="25"/>
  <c r="F414" i="25"/>
  <c r="G414" i="25"/>
  <c r="F415" i="25"/>
  <c r="G415" i="25"/>
  <c r="F416" i="25"/>
  <c r="G416" i="25"/>
  <c r="F417" i="25"/>
  <c r="G417" i="25"/>
  <c r="F418" i="25"/>
  <c r="G418" i="25"/>
  <c r="F419" i="25"/>
  <c r="G419" i="25"/>
  <c r="F420" i="25"/>
  <c r="G420" i="25"/>
  <c r="F421" i="25"/>
  <c r="G421" i="25"/>
  <c r="F422" i="25"/>
  <c r="G422" i="25"/>
  <c r="F423" i="25"/>
  <c r="G423" i="25"/>
  <c r="F424" i="25"/>
  <c r="G424" i="25"/>
  <c r="F425" i="25"/>
  <c r="G425" i="25"/>
  <c r="F426" i="25"/>
  <c r="G426" i="25"/>
  <c r="F427" i="25"/>
  <c r="G427" i="25"/>
  <c r="F428" i="25"/>
  <c r="G428" i="25"/>
  <c r="F429" i="25"/>
  <c r="G429" i="25"/>
  <c r="F430" i="25"/>
  <c r="G430" i="25"/>
  <c r="F431" i="25"/>
  <c r="G431" i="25"/>
  <c r="F432" i="25"/>
  <c r="G432" i="25"/>
  <c r="F433" i="25"/>
  <c r="G433" i="25"/>
  <c r="F434" i="25"/>
  <c r="G434" i="25"/>
  <c r="F435" i="25"/>
  <c r="G435" i="25"/>
  <c r="F436" i="25"/>
  <c r="G436" i="25"/>
  <c r="F437" i="25"/>
  <c r="G437" i="25"/>
  <c r="F438" i="25"/>
  <c r="G438" i="25"/>
  <c r="F439" i="25"/>
  <c r="G439" i="25"/>
  <c r="F440" i="25"/>
  <c r="G440" i="25"/>
  <c r="F441" i="25"/>
  <c r="G441" i="25"/>
  <c r="F442" i="25"/>
  <c r="G442" i="25"/>
  <c r="F443" i="25"/>
  <c r="G443" i="25"/>
  <c r="F444" i="25"/>
  <c r="G444" i="25"/>
  <c r="F445" i="25"/>
  <c r="G445" i="25"/>
  <c r="F446" i="25"/>
  <c r="G446" i="25"/>
  <c r="F447" i="25"/>
  <c r="G447" i="25"/>
  <c r="F448" i="25"/>
  <c r="G448" i="25"/>
  <c r="F449" i="25"/>
  <c r="G449" i="25"/>
  <c r="F450" i="25"/>
  <c r="G450" i="25"/>
  <c r="F451" i="25"/>
  <c r="G451" i="25"/>
  <c r="F452" i="25"/>
  <c r="G452" i="25"/>
  <c r="F453" i="25"/>
  <c r="G453" i="25"/>
  <c r="F454" i="25"/>
  <c r="G454" i="25"/>
  <c r="F455" i="25"/>
  <c r="G455" i="25"/>
  <c r="F456" i="25"/>
  <c r="G456" i="25"/>
  <c r="F457" i="25"/>
  <c r="G457" i="25"/>
  <c r="F458" i="25"/>
  <c r="G458" i="25"/>
  <c r="F459" i="25"/>
  <c r="G459" i="25"/>
  <c r="F460" i="25"/>
  <c r="G460" i="25"/>
  <c r="F461" i="25"/>
  <c r="G461" i="25"/>
  <c r="F462" i="25"/>
  <c r="G462" i="25"/>
  <c r="F463" i="25"/>
  <c r="G463" i="25"/>
  <c r="F464" i="25"/>
  <c r="G464" i="25"/>
  <c r="F465" i="25"/>
  <c r="G465" i="25"/>
  <c r="F466" i="25"/>
  <c r="G466" i="25"/>
  <c r="F467" i="25"/>
  <c r="G467" i="25"/>
  <c r="F468" i="25"/>
  <c r="G468" i="25"/>
  <c r="F469" i="25"/>
  <c r="G469" i="25"/>
  <c r="F470" i="25"/>
  <c r="G470" i="25"/>
  <c r="F471" i="25"/>
  <c r="G471" i="25"/>
  <c r="F472" i="25"/>
  <c r="G472" i="25"/>
  <c r="F473" i="25"/>
  <c r="G473" i="25"/>
  <c r="F474" i="25"/>
  <c r="G474" i="25"/>
  <c r="F475" i="25"/>
  <c r="G475" i="25"/>
  <c r="F476" i="25"/>
  <c r="G476" i="25"/>
  <c r="F477" i="25"/>
  <c r="G477" i="25"/>
  <c r="F478" i="25"/>
  <c r="G478" i="25"/>
  <c r="F479" i="25"/>
  <c r="G479" i="25"/>
  <c r="F480" i="25"/>
  <c r="G480" i="25"/>
  <c r="F481" i="25"/>
  <c r="G481" i="25"/>
  <c r="F482" i="25"/>
  <c r="G482" i="25"/>
  <c r="F483" i="25"/>
  <c r="G483" i="25"/>
  <c r="F484" i="25"/>
  <c r="G484" i="25"/>
  <c r="F485" i="25"/>
  <c r="G485" i="25"/>
  <c r="F486" i="25"/>
  <c r="G486" i="25"/>
  <c r="F487" i="25"/>
  <c r="G487" i="25"/>
  <c r="F488" i="25"/>
  <c r="G488" i="25"/>
  <c r="F489" i="25"/>
  <c r="G489" i="25"/>
  <c r="F490" i="25"/>
  <c r="G490" i="25"/>
  <c r="F491" i="25"/>
  <c r="G491" i="25"/>
  <c r="F492" i="25"/>
  <c r="G492" i="25"/>
  <c r="F493" i="25"/>
  <c r="G493" i="25"/>
  <c r="F494" i="25"/>
  <c r="G494" i="25"/>
  <c r="F495" i="25"/>
  <c r="G495" i="25"/>
  <c r="F496" i="25"/>
  <c r="G496" i="25"/>
  <c r="F497" i="25"/>
  <c r="G497" i="25"/>
  <c r="F498" i="25"/>
  <c r="G498" i="25"/>
  <c r="F499" i="25"/>
  <c r="G499" i="25"/>
  <c r="F500" i="25"/>
  <c r="G500" i="25"/>
  <c r="F501" i="25"/>
  <c r="G501" i="25"/>
  <c r="F502" i="25"/>
  <c r="G502" i="25"/>
  <c r="F503" i="25"/>
  <c r="G503" i="25"/>
  <c r="F504" i="25"/>
  <c r="G504" i="25"/>
  <c r="F505" i="25"/>
  <c r="G505" i="25"/>
  <c r="F506" i="25"/>
  <c r="G506" i="25"/>
  <c r="F507" i="25"/>
  <c r="G507" i="25"/>
  <c r="F508" i="25"/>
  <c r="G508" i="25"/>
  <c r="F509" i="25"/>
  <c r="G509" i="25"/>
  <c r="F510" i="25"/>
  <c r="G510" i="25"/>
  <c r="F511" i="25"/>
  <c r="G511" i="25"/>
  <c r="F512" i="25"/>
  <c r="G512" i="25"/>
  <c r="F513" i="25"/>
  <c r="G513" i="25"/>
  <c r="F514" i="25"/>
  <c r="G514" i="25"/>
  <c r="F515" i="25"/>
  <c r="G515" i="25"/>
  <c r="F516" i="25"/>
  <c r="G516" i="25"/>
  <c r="F517" i="25"/>
  <c r="G517" i="25"/>
  <c r="F518" i="25"/>
  <c r="G518" i="25"/>
  <c r="F519" i="25"/>
  <c r="G519" i="25"/>
  <c r="F520" i="25"/>
  <c r="G520" i="25"/>
  <c r="F521" i="25"/>
  <c r="G521" i="25"/>
  <c r="F522" i="25"/>
  <c r="G522" i="25"/>
  <c r="F523" i="25"/>
  <c r="G523" i="25"/>
  <c r="F524" i="25"/>
  <c r="G524" i="25"/>
  <c r="F525" i="25"/>
  <c r="G525" i="25"/>
  <c r="F526" i="25"/>
  <c r="G526" i="25"/>
  <c r="F527" i="25"/>
  <c r="G527" i="25"/>
  <c r="F528" i="25"/>
  <c r="G528" i="25"/>
  <c r="F529" i="25"/>
  <c r="G529" i="25"/>
  <c r="F530" i="25"/>
  <c r="G530" i="25"/>
  <c r="F531" i="25"/>
  <c r="G531" i="25"/>
  <c r="F532" i="25"/>
  <c r="G532" i="25"/>
  <c r="F533" i="25"/>
  <c r="G533" i="25"/>
  <c r="F534" i="25"/>
  <c r="G534" i="25"/>
  <c r="F535" i="25"/>
  <c r="G535" i="25"/>
  <c r="F536" i="25"/>
  <c r="G536" i="25"/>
  <c r="F537" i="25"/>
  <c r="G537" i="25"/>
  <c r="F538" i="25"/>
  <c r="G538" i="25"/>
  <c r="F539" i="25"/>
  <c r="G539" i="25"/>
  <c r="F540" i="25"/>
  <c r="G540" i="25"/>
  <c r="F541" i="25"/>
  <c r="G541" i="25"/>
  <c r="F542" i="25"/>
  <c r="G542" i="25"/>
  <c r="F543" i="25"/>
  <c r="G543" i="25"/>
  <c r="F544" i="25"/>
  <c r="G544" i="25"/>
  <c r="F545" i="25"/>
  <c r="G545" i="25"/>
  <c r="F546" i="25"/>
  <c r="G546" i="25"/>
  <c r="F547" i="25"/>
  <c r="G547" i="25"/>
  <c r="F548" i="25"/>
  <c r="G548" i="25"/>
  <c r="F549" i="25"/>
  <c r="G549" i="25"/>
  <c r="F550" i="25"/>
  <c r="G550" i="25"/>
  <c r="F551" i="25"/>
  <c r="G551" i="25"/>
  <c r="F552" i="25"/>
  <c r="G552" i="25"/>
  <c r="F553" i="25"/>
  <c r="G553" i="25"/>
  <c r="F554" i="25"/>
  <c r="G554" i="25"/>
  <c r="F555" i="25"/>
  <c r="G555" i="25"/>
  <c r="F556" i="25"/>
  <c r="G556" i="25"/>
  <c r="F557" i="25"/>
  <c r="G557" i="25"/>
  <c r="F558" i="25"/>
  <c r="G558" i="25"/>
  <c r="F559" i="25"/>
  <c r="G559" i="25"/>
  <c r="F560" i="25"/>
  <c r="G560" i="25"/>
  <c r="F561" i="25"/>
  <c r="G561" i="25"/>
  <c r="F562" i="25"/>
  <c r="G562" i="25"/>
  <c r="F563" i="25"/>
  <c r="G563" i="25"/>
  <c r="F564" i="25"/>
  <c r="G564" i="25"/>
  <c r="F565" i="25"/>
  <c r="G565" i="25"/>
  <c r="F566" i="25"/>
  <c r="G566" i="25"/>
  <c r="F567" i="25"/>
  <c r="G567" i="25"/>
  <c r="F568" i="25"/>
  <c r="G568" i="25"/>
  <c r="F569" i="25"/>
  <c r="G569" i="25"/>
  <c r="F570" i="25"/>
  <c r="G570" i="25"/>
  <c r="F571" i="25"/>
  <c r="G571" i="25"/>
  <c r="F572" i="25"/>
  <c r="G572" i="25"/>
  <c r="F573" i="25"/>
  <c r="G573" i="25"/>
  <c r="F574" i="25"/>
  <c r="G574" i="25"/>
  <c r="F575" i="25"/>
  <c r="G575" i="25"/>
  <c r="F576" i="25"/>
  <c r="G576" i="25"/>
  <c r="F577" i="25"/>
  <c r="G577" i="25"/>
  <c r="F578" i="25"/>
  <c r="G578" i="25"/>
  <c r="F579" i="25"/>
  <c r="G579" i="25"/>
  <c r="F580" i="25"/>
  <c r="G580" i="25"/>
  <c r="F581" i="25"/>
  <c r="G581" i="25"/>
  <c r="F582" i="25"/>
  <c r="G582" i="25"/>
  <c r="F583" i="25"/>
  <c r="G583" i="25"/>
  <c r="F584" i="25"/>
  <c r="G584" i="25"/>
  <c r="F585" i="25"/>
  <c r="G585" i="25"/>
  <c r="F586" i="25"/>
  <c r="G586" i="25"/>
  <c r="F587" i="25"/>
  <c r="G587" i="25"/>
  <c r="F588" i="25"/>
  <c r="G588" i="25"/>
  <c r="F589" i="25"/>
  <c r="G589" i="25"/>
  <c r="F590" i="25"/>
  <c r="G590" i="25"/>
  <c r="F591" i="25"/>
  <c r="G591" i="25"/>
  <c r="F592" i="25"/>
  <c r="G592" i="25"/>
  <c r="F593" i="25"/>
  <c r="G593" i="25"/>
  <c r="F594" i="25"/>
  <c r="G594" i="25"/>
  <c r="F595" i="25"/>
  <c r="G595" i="25"/>
  <c r="F596" i="25"/>
  <c r="G596" i="25"/>
  <c r="F597" i="25"/>
  <c r="G597" i="25"/>
  <c r="F598" i="25"/>
  <c r="G598" i="25"/>
  <c r="F599" i="25"/>
  <c r="G599" i="25"/>
  <c r="F600" i="25"/>
  <c r="G600" i="25"/>
  <c r="F601" i="25"/>
  <c r="G601" i="25"/>
  <c r="F602" i="25"/>
  <c r="G602" i="25"/>
  <c r="F603" i="25"/>
  <c r="G603" i="25"/>
  <c r="F604" i="25"/>
  <c r="G604" i="25"/>
  <c r="F605" i="25"/>
  <c r="G605" i="25"/>
  <c r="F606" i="25"/>
  <c r="G606" i="25"/>
  <c r="F607" i="25"/>
  <c r="G607" i="25"/>
  <c r="F608" i="25"/>
  <c r="G608" i="25"/>
  <c r="F609" i="25"/>
  <c r="G609" i="25"/>
  <c r="F610" i="25"/>
  <c r="G610" i="25"/>
  <c r="F611" i="25"/>
  <c r="G611" i="25"/>
  <c r="F612" i="25"/>
  <c r="G612" i="25"/>
  <c r="F613" i="25"/>
  <c r="G613" i="25"/>
  <c r="F614" i="25"/>
  <c r="G614" i="25"/>
  <c r="F615" i="25"/>
  <c r="G615" i="25"/>
  <c r="F616" i="25"/>
  <c r="G616" i="25"/>
  <c r="F617" i="25"/>
  <c r="G617" i="25"/>
  <c r="F618" i="25"/>
  <c r="G618" i="25"/>
  <c r="F619" i="25"/>
  <c r="G619" i="25"/>
  <c r="F620" i="25"/>
  <c r="G620" i="25"/>
  <c r="F621" i="25"/>
  <c r="G621" i="25"/>
  <c r="F622" i="25"/>
  <c r="G622" i="25"/>
  <c r="F623" i="25"/>
  <c r="G623" i="25"/>
  <c r="F624" i="25"/>
  <c r="G624" i="25"/>
  <c r="F625" i="25"/>
  <c r="G625" i="25"/>
  <c r="F626" i="25"/>
  <c r="G626" i="25"/>
  <c r="F627" i="25"/>
  <c r="G627" i="25"/>
  <c r="F628" i="25"/>
  <c r="G628" i="25"/>
  <c r="F629" i="25"/>
  <c r="G629" i="25"/>
  <c r="F630" i="25"/>
  <c r="G630" i="25"/>
  <c r="F631" i="25"/>
  <c r="G631" i="25"/>
  <c r="F632" i="25"/>
  <c r="G632" i="25"/>
  <c r="F633" i="25"/>
  <c r="G633" i="25"/>
  <c r="F634" i="25"/>
  <c r="G634" i="25"/>
  <c r="F635" i="25"/>
  <c r="G635" i="25"/>
  <c r="F636" i="25"/>
  <c r="G636" i="25"/>
  <c r="F637" i="25"/>
  <c r="G637" i="25"/>
  <c r="F638" i="25"/>
  <c r="G638" i="25"/>
  <c r="F639" i="25"/>
  <c r="G639" i="25"/>
  <c r="F640" i="25"/>
  <c r="G640" i="25"/>
  <c r="F641" i="25"/>
  <c r="G641" i="25"/>
  <c r="F642" i="25"/>
  <c r="G642" i="25"/>
  <c r="F643" i="25"/>
  <c r="G643" i="25"/>
  <c r="F644" i="25"/>
  <c r="G644" i="25"/>
  <c r="F645" i="25"/>
  <c r="G645" i="25"/>
  <c r="F646" i="25"/>
  <c r="G646" i="25"/>
  <c r="F647" i="25"/>
  <c r="G647" i="25"/>
  <c r="F648" i="25"/>
  <c r="G648" i="25"/>
  <c r="F649" i="25"/>
  <c r="G649" i="25"/>
  <c r="F650" i="25"/>
  <c r="G650" i="25"/>
  <c r="F651" i="25"/>
  <c r="G651" i="25"/>
  <c r="F652" i="25"/>
  <c r="G652" i="25"/>
  <c r="F653" i="25"/>
  <c r="G653" i="25"/>
  <c r="F654" i="25"/>
  <c r="G654" i="25"/>
  <c r="F655" i="25"/>
  <c r="G655" i="25"/>
  <c r="F656" i="25"/>
  <c r="G656" i="25"/>
  <c r="F657" i="25"/>
  <c r="G657" i="25"/>
  <c r="F658" i="25"/>
  <c r="G658" i="25"/>
  <c r="F659" i="25"/>
  <c r="G659" i="25"/>
  <c r="F660" i="25"/>
  <c r="G660" i="25"/>
  <c r="F661" i="25"/>
  <c r="G661" i="25"/>
  <c r="F662" i="25"/>
  <c r="G662" i="25"/>
  <c r="F663" i="25"/>
  <c r="G663" i="25"/>
  <c r="F664" i="25"/>
  <c r="G664" i="25"/>
  <c r="F665" i="25"/>
  <c r="G665" i="25"/>
  <c r="F666" i="25"/>
  <c r="G666" i="25"/>
  <c r="F667" i="25"/>
  <c r="G667" i="25"/>
  <c r="F668" i="25"/>
  <c r="G668" i="25"/>
  <c r="F669" i="25"/>
  <c r="G669" i="25"/>
  <c r="F670" i="25"/>
  <c r="G670" i="25"/>
  <c r="F671" i="25"/>
  <c r="G671" i="25"/>
  <c r="F672" i="25"/>
  <c r="G672" i="25"/>
  <c r="F673" i="25"/>
  <c r="G673" i="25"/>
  <c r="F674" i="25"/>
  <c r="G674" i="25"/>
  <c r="F675" i="25"/>
  <c r="G675" i="25"/>
  <c r="F676" i="25"/>
  <c r="G676" i="25"/>
  <c r="F677" i="25"/>
  <c r="G677" i="25"/>
  <c r="F678" i="25"/>
  <c r="G678" i="25"/>
  <c r="F679" i="25"/>
  <c r="G679" i="25"/>
  <c r="F680" i="25"/>
  <c r="G680" i="25"/>
  <c r="F681" i="25"/>
  <c r="G681" i="25"/>
  <c r="F682" i="25"/>
  <c r="G682" i="25"/>
  <c r="F683" i="25"/>
  <c r="G683" i="25"/>
  <c r="F684" i="25"/>
  <c r="G684" i="25"/>
  <c r="F685" i="25"/>
  <c r="G685" i="25"/>
  <c r="F686" i="25"/>
  <c r="G686" i="25"/>
  <c r="F687" i="25"/>
  <c r="G687" i="25"/>
  <c r="F688" i="25"/>
  <c r="G688" i="25"/>
  <c r="F689" i="25"/>
  <c r="G689" i="25"/>
  <c r="F690" i="25"/>
  <c r="G690" i="25"/>
  <c r="F691" i="25"/>
  <c r="G691" i="25"/>
  <c r="F692" i="25"/>
  <c r="G692" i="25"/>
  <c r="F693" i="25"/>
  <c r="G693" i="25"/>
  <c r="F694" i="25"/>
  <c r="G694" i="25"/>
  <c r="F695" i="25"/>
  <c r="G695" i="25"/>
  <c r="F696" i="25"/>
  <c r="G696" i="25"/>
  <c r="F697" i="25"/>
  <c r="G697" i="25"/>
  <c r="F698" i="25"/>
  <c r="G698" i="25"/>
  <c r="F699" i="25"/>
  <c r="G699" i="25"/>
  <c r="F700" i="25"/>
  <c r="G700" i="25"/>
  <c r="F701" i="25"/>
  <c r="G701" i="25"/>
  <c r="F702" i="25"/>
  <c r="G702" i="25"/>
  <c r="F703" i="25"/>
  <c r="G703" i="25"/>
  <c r="F704" i="25"/>
  <c r="G704" i="25"/>
  <c r="F705" i="25"/>
  <c r="G705" i="25"/>
  <c r="F706" i="25"/>
  <c r="G706" i="25"/>
  <c r="F707" i="25"/>
  <c r="G707" i="25"/>
  <c r="F708" i="25"/>
  <c r="G708" i="25"/>
  <c r="F709" i="25"/>
  <c r="G709" i="25"/>
  <c r="F710" i="25"/>
  <c r="G710" i="25"/>
  <c r="F711" i="25"/>
  <c r="G711" i="25"/>
  <c r="F712" i="25"/>
  <c r="G712" i="25"/>
  <c r="F713" i="25"/>
  <c r="G713" i="25"/>
  <c r="F714" i="25"/>
  <c r="G714" i="25"/>
  <c r="F715" i="25"/>
  <c r="G715" i="25"/>
  <c r="F716" i="25"/>
  <c r="G716" i="25"/>
  <c r="F717" i="25"/>
  <c r="G717" i="25"/>
  <c r="F718" i="25"/>
  <c r="G718" i="25"/>
  <c r="F719" i="25"/>
  <c r="G719" i="25"/>
  <c r="F720" i="25"/>
  <c r="G720" i="25"/>
  <c r="F721" i="25"/>
  <c r="G721" i="25"/>
  <c r="F722" i="25"/>
  <c r="G722" i="25"/>
  <c r="F723" i="25"/>
  <c r="G723" i="25"/>
  <c r="F724" i="25"/>
  <c r="G724" i="25"/>
  <c r="F725" i="25"/>
  <c r="G725" i="25"/>
  <c r="F726" i="25"/>
  <c r="G726" i="25"/>
  <c r="F727" i="25"/>
  <c r="G727" i="25"/>
  <c r="F728" i="25"/>
  <c r="G728" i="25"/>
  <c r="F729" i="25"/>
  <c r="G729" i="25"/>
  <c r="F730" i="25"/>
  <c r="G730" i="25"/>
  <c r="F731" i="25"/>
  <c r="G731" i="25"/>
  <c r="F732" i="25"/>
  <c r="G732" i="25"/>
  <c r="F733" i="25"/>
  <c r="G733" i="25"/>
  <c r="F734" i="25"/>
  <c r="G734" i="25"/>
  <c r="F735" i="25"/>
  <c r="G735" i="25"/>
  <c r="F736" i="25"/>
  <c r="G736" i="25"/>
  <c r="F737" i="25"/>
  <c r="G737" i="25"/>
  <c r="F738" i="25"/>
  <c r="G738" i="25"/>
  <c r="F739" i="25"/>
  <c r="G739" i="25"/>
  <c r="F740" i="25"/>
  <c r="G740" i="25"/>
  <c r="F741" i="25"/>
  <c r="G741" i="25"/>
  <c r="F742" i="25"/>
  <c r="G742" i="25"/>
  <c r="F743" i="25"/>
  <c r="G743" i="25"/>
  <c r="F744" i="25"/>
  <c r="G744" i="25"/>
  <c r="F745" i="25"/>
  <c r="G745" i="25"/>
  <c r="F746" i="25"/>
  <c r="G746" i="25"/>
  <c r="F747" i="25"/>
  <c r="G747" i="25"/>
  <c r="F748" i="25"/>
  <c r="G748" i="25"/>
  <c r="F749" i="25"/>
  <c r="G749" i="25"/>
  <c r="F750" i="25"/>
  <c r="G750" i="25"/>
  <c r="F751" i="25"/>
  <c r="G751" i="25"/>
  <c r="F752" i="25"/>
  <c r="G752" i="25"/>
  <c r="F753" i="25"/>
  <c r="G753" i="25"/>
  <c r="F754" i="25"/>
  <c r="G754" i="25"/>
  <c r="F755" i="25"/>
  <c r="G755" i="25"/>
  <c r="F756" i="25"/>
  <c r="G756" i="25"/>
  <c r="F757" i="25"/>
  <c r="G757" i="25"/>
  <c r="F758" i="25"/>
  <c r="G758" i="25"/>
  <c r="F759" i="25"/>
  <c r="G759" i="25"/>
  <c r="F760" i="25"/>
  <c r="G760" i="25"/>
  <c r="F761" i="25"/>
  <c r="G761" i="25"/>
  <c r="F762" i="25"/>
  <c r="G762" i="25"/>
  <c r="F763" i="25"/>
  <c r="G763" i="25"/>
  <c r="F764" i="25"/>
  <c r="G764" i="25"/>
  <c r="F765" i="25"/>
  <c r="G765" i="25"/>
  <c r="F766" i="25"/>
  <c r="G766" i="25"/>
  <c r="F767" i="25"/>
  <c r="G767" i="25"/>
  <c r="F768" i="25"/>
  <c r="G768" i="25"/>
  <c r="F769" i="25"/>
  <c r="G769" i="25"/>
  <c r="F770" i="25"/>
  <c r="G770" i="25"/>
  <c r="F771" i="25"/>
  <c r="G771" i="25"/>
  <c r="F772" i="25"/>
  <c r="G772" i="25"/>
  <c r="F773" i="25"/>
  <c r="G773" i="25"/>
  <c r="F774" i="25"/>
  <c r="G774" i="25"/>
  <c r="F775" i="25"/>
  <c r="G775" i="25"/>
  <c r="F776" i="25"/>
  <c r="G776" i="25"/>
  <c r="F777" i="25"/>
  <c r="G777" i="25"/>
  <c r="F778" i="25"/>
  <c r="G778" i="25"/>
  <c r="F779" i="25"/>
  <c r="G779" i="25"/>
  <c r="F780" i="25"/>
  <c r="G780" i="25"/>
  <c r="F781" i="25"/>
  <c r="G781" i="25"/>
  <c r="F782" i="25"/>
  <c r="G782" i="25"/>
  <c r="F783" i="25"/>
  <c r="G783" i="25"/>
  <c r="F784" i="25"/>
  <c r="G784" i="25"/>
  <c r="F785" i="25"/>
  <c r="G785" i="25"/>
  <c r="F786" i="25"/>
  <c r="G786" i="25"/>
  <c r="F787" i="25"/>
  <c r="G787" i="25"/>
  <c r="F788" i="25"/>
  <c r="G788" i="25"/>
  <c r="F789" i="25"/>
  <c r="G789" i="25"/>
  <c r="F790" i="25"/>
  <c r="G790" i="25"/>
  <c r="F791" i="25"/>
  <c r="G791" i="25"/>
  <c r="F792" i="25"/>
  <c r="G792" i="25"/>
  <c r="F793" i="25"/>
  <c r="G793" i="25"/>
  <c r="F794" i="25"/>
  <c r="G794" i="25"/>
  <c r="F795" i="25"/>
  <c r="G795" i="25"/>
  <c r="F796" i="25"/>
  <c r="G796" i="25"/>
  <c r="F797" i="25"/>
  <c r="G797" i="25"/>
  <c r="F798" i="25"/>
  <c r="G798" i="25"/>
  <c r="F799" i="25"/>
  <c r="G799" i="25"/>
  <c r="F800" i="25"/>
  <c r="G800" i="25"/>
  <c r="F801" i="25"/>
  <c r="G801" i="25"/>
  <c r="F802" i="25"/>
  <c r="G802" i="25"/>
  <c r="F803" i="25"/>
  <c r="G803" i="25"/>
  <c r="F804" i="25"/>
  <c r="G804" i="25"/>
  <c r="F805" i="25"/>
  <c r="G805" i="25"/>
  <c r="F806" i="25"/>
  <c r="G806" i="25"/>
  <c r="F807" i="25"/>
  <c r="G807" i="25"/>
  <c r="F808" i="25"/>
  <c r="G808" i="25"/>
  <c r="F809" i="25"/>
  <c r="G809" i="25"/>
  <c r="F810" i="25"/>
  <c r="G810" i="25"/>
  <c r="F811" i="25"/>
  <c r="G811" i="25"/>
  <c r="F812" i="25"/>
  <c r="G812" i="25"/>
  <c r="F813" i="25"/>
  <c r="G813" i="25"/>
  <c r="F814" i="25"/>
  <c r="G814" i="25"/>
  <c r="F815" i="25"/>
  <c r="G815" i="25"/>
  <c r="F816" i="25"/>
  <c r="G816" i="25"/>
  <c r="F817" i="25"/>
  <c r="G817" i="25"/>
  <c r="F818" i="25"/>
  <c r="G818" i="25"/>
  <c r="F819" i="25"/>
  <c r="G819" i="25"/>
  <c r="F820" i="25"/>
  <c r="G820" i="25"/>
  <c r="F821" i="25"/>
  <c r="G821" i="25"/>
  <c r="F822" i="25"/>
  <c r="G822" i="25"/>
  <c r="F823" i="25"/>
  <c r="G823" i="25"/>
  <c r="F824" i="25"/>
  <c r="G824" i="25"/>
  <c r="F825" i="25"/>
  <c r="G825" i="25"/>
  <c r="F826" i="25"/>
  <c r="G826" i="25"/>
  <c r="F827" i="25"/>
  <c r="G827" i="25"/>
  <c r="F828" i="25"/>
  <c r="G828" i="25"/>
  <c r="F829" i="25"/>
  <c r="G829" i="25"/>
  <c r="F830" i="25"/>
  <c r="G830" i="25"/>
  <c r="F831" i="25"/>
  <c r="G831" i="25"/>
  <c r="F832" i="25"/>
  <c r="G832" i="25"/>
  <c r="F833" i="25"/>
  <c r="G833" i="25"/>
  <c r="F834" i="25"/>
  <c r="G834" i="25"/>
  <c r="F835" i="25"/>
  <c r="G835" i="25"/>
  <c r="F836" i="25"/>
  <c r="G836" i="25"/>
  <c r="F837" i="25"/>
  <c r="G837" i="25"/>
  <c r="F838" i="25"/>
  <c r="G838" i="25"/>
  <c r="F839" i="25"/>
  <c r="G839" i="25"/>
  <c r="F840" i="25"/>
  <c r="G840" i="25"/>
  <c r="F841" i="25"/>
  <c r="G841" i="25"/>
  <c r="F842" i="25"/>
  <c r="G842" i="25"/>
  <c r="F843" i="25"/>
  <c r="G843" i="25"/>
  <c r="F844" i="25"/>
  <c r="G844" i="25"/>
  <c r="F845" i="25"/>
  <c r="G845" i="25"/>
  <c r="F846" i="25"/>
  <c r="G846" i="25"/>
  <c r="F847" i="25"/>
  <c r="G847" i="25"/>
  <c r="F848" i="25"/>
  <c r="G848" i="25"/>
  <c r="F849" i="25"/>
  <c r="G849" i="25"/>
  <c r="F850" i="25"/>
  <c r="G850" i="25"/>
  <c r="F851" i="25"/>
  <c r="G851" i="25"/>
  <c r="F852" i="25"/>
  <c r="G852" i="25"/>
  <c r="F853" i="25"/>
  <c r="G853" i="25"/>
  <c r="F854" i="25"/>
  <c r="G854" i="25"/>
  <c r="F855" i="25"/>
  <c r="G855" i="25"/>
  <c r="F856" i="25"/>
  <c r="G856" i="25"/>
  <c r="F857" i="25"/>
  <c r="G857" i="25"/>
  <c r="F858" i="25"/>
  <c r="G858" i="25"/>
  <c r="F859" i="25"/>
  <c r="G859" i="25"/>
  <c r="F860" i="25"/>
  <c r="G860" i="25"/>
  <c r="F861" i="25"/>
  <c r="G861" i="25"/>
  <c r="F862" i="25"/>
  <c r="G862" i="25"/>
  <c r="F863" i="25"/>
  <c r="G863" i="25"/>
  <c r="F864" i="25"/>
  <c r="G864" i="25"/>
  <c r="F865" i="25"/>
  <c r="G865" i="25"/>
  <c r="F866" i="25"/>
  <c r="G866" i="25"/>
  <c r="F867" i="25"/>
  <c r="G867" i="25"/>
  <c r="F868" i="25"/>
  <c r="G868" i="25"/>
  <c r="F869" i="25"/>
  <c r="G869" i="25"/>
  <c r="F870" i="25"/>
  <c r="G870" i="25"/>
  <c r="F871" i="25"/>
  <c r="G871" i="25"/>
  <c r="F872" i="25"/>
  <c r="G872" i="25"/>
  <c r="F873" i="25"/>
  <c r="G873" i="25"/>
  <c r="F874" i="25"/>
  <c r="G874" i="25"/>
  <c r="F875" i="25"/>
  <c r="G875" i="25"/>
  <c r="F876" i="25"/>
  <c r="G876" i="25"/>
  <c r="F877" i="25"/>
  <c r="G877" i="25"/>
  <c r="F878" i="25"/>
  <c r="G878" i="25"/>
  <c r="F879" i="25"/>
  <c r="G879" i="25"/>
  <c r="F880" i="25"/>
  <c r="G880" i="25"/>
  <c r="F881" i="25"/>
  <c r="G881" i="25"/>
  <c r="F882" i="25"/>
  <c r="G882" i="25"/>
  <c r="F883" i="25"/>
  <c r="G883" i="25"/>
  <c r="F884" i="25"/>
  <c r="G884" i="25"/>
  <c r="F885" i="25"/>
  <c r="G885" i="25"/>
  <c r="F886" i="25"/>
  <c r="G886" i="25"/>
  <c r="F887" i="25"/>
  <c r="G887" i="25"/>
  <c r="F888" i="25"/>
  <c r="G888" i="25"/>
  <c r="F889" i="25"/>
  <c r="G889" i="25"/>
  <c r="F890" i="25"/>
  <c r="G890" i="25"/>
  <c r="F891" i="25"/>
  <c r="G891" i="25"/>
  <c r="F892" i="25"/>
  <c r="G892" i="25"/>
  <c r="F893" i="25"/>
  <c r="G893" i="25"/>
  <c r="F894" i="25"/>
  <c r="G894" i="25"/>
  <c r="F895" i="25"/>
  <c r="G895" i="25"/>
  <c r="F896" i="25"/>
  <c r="G896" i="25"/>
  <c r="F897" i="25"/>
  <c r="G897" i="25"/>
  <c r="F898" i="25"/>
  <c r="G898" i="25"/>
  <c r="F899" i="25"/>
  <c r="G899" i="25"/>
  <c r="F900" i="25"/>
  <c r="G900" i="25"/>
  <c r="F901" i="25"/>
  <c r="G901" i="25"/>
  <c r="F902" i="25"/>
  <c r="G902" i="25"/>
  <c r="F903" i="25"/>
  <c r="G903" i="25"/>
  <c r="F904" i="25"/>
  <c r="G904" i="25"/>
  <c r="F905" i="25"/>
  <c r="G905" i="25"/>
  <c r="F906" i="25"/>
  <c r="G906" i="25"/>
  <c r="F907" i="25"/>
  <c r="G907" i="25"/>
  <c r="F908" i="25"/>
  <c r="G908" i="25"/>
  <c r="N6" i="24"/>
  <c r="V6" i="24"/>
  <c r="J7" i="24"/>
  <c r="B4" i="23"/>
  <c r="H4" i="23"/>
  <c r="F6" i="23"/>
  <c r="G6" i="23" s="1"/>
  <c r="H6" i="23" s="1"/>
  <c r="F7" i="23"/>
  <c r="G7" i="23"/>
  <c r="H7" i="23" s="1"/>
  <c r="F8" i="23"/>
  <c r="G8" i="23" s="1"/>
  <c r="H8" i="23"/>
  <c r="F9" i="23"/>
  <c r="G9" i="23"/>
  <c r="H9" i="23" s="1"/>
  <c r="F10" i="23"/>
  <c r="G10" i="23" s="1"/>
  <c r="H10" i="23"/>
  <c r="F11" i="23"/>
  <c r="G11" i="23" s="1"/>
  <c r="H11" i="23" s="1"/>
  <c r="F12" i="23"/>
  <c r="G12" i="23" s="1"/>
  <c r="H12" i="23" s="1"/>
  <c r="F13" i="23"/>
  <c r="G13" i="23"/>
  <c r="H13" i="23" s="1"/>
  <c r="F14" i="23"/>
  <c r="G14" i="23" s="1"/>
  <c r="H14" i="23" s="1"/>
  <c r="F15" i="23"/>
  <c r="G15" i="23" s="1"/>
  <c r="H15" i="23" s="1"/>
  <c r="F16" i="23"/>
  <c r="G16" i="23" s="1"/>
  <c r="H16" i="23" s="1"/>
  <c r="F17" i="23"/>
  <c r="G17" i="23" s="1"/>
  <c r="H17" i="23" s="1"/>
  <c r="F18" i="23"/>
  <c r="G18" i="23" s="1"/>
  <c r="H18" i="23" s="1"/>
  <c r="F19" i="23"/>
  <c r="G19" i="23" s="1"/>
  <c r="H19" i="23" s="1"/>
  <c r="F20" i="23"/>
  <c r="G20" i="23" s="1"/>
  <c r="H20" i="23" s="1"/>
  <c r="F21" i="23"/>
  <c r="G21" i="23" s="1"/>
  <c r="H21" i="23" s="1"/>
  <c r="F22" i="23"/>
  <c r="G22" i="23" s="1"/>
  <c r="H22" i="23" s="1"/>
  <c r="F23" i="23"/>
  <c r="G23" i="23"/>
  <c r="H23" i="23" s="1"/>
  <c r="F24" i="23"/>
  <c r="G24" i="23" s="1"/>
  <c r="H24" i="23"/>
  <c r="F25" i="23"/>
  <c r="G25" i="23"/>
  <c r="H25" i="23" s="1"/>
  <c r="F26" i="23"/>
  <c r="G26" i="23" s="1"/>
  <c r="H26" i="23"/>
  <c r="F27" i="23"/>
  <c r="G27" i="23" s="1"/>
  <c r="H27" i="23" s="1"/>
  <c r="F28" i="23"/>
  <c r="G28" i="23" s="1"/>
  <c r="H28" i="23" s="1"/>
  <c r="F29" i="23"/>
  <c r="G29" i="23"/>
  <c r="H29" i="23" s="1"/>
  <c r="F30" i="23"/>
  <c r="G30" i="23" s="1"/>
  <c r="H30" i="23" s="1"/>
  <c r="F31" i="23"/>
  <c r="G31" i="23" s="1"/>
  <c r="H31" i="23" s="1"/>
  <c r="F32" i="23"/>
  <c r="G32" i="23" s="1"/>
  <c r="H32" i="23" s="1"/>
  <c r="F33" i="23"/>
  <c r="G33" i="23" s="1"/>
  <c r="H33" i="23" s="1"/>
  <c r="F34" i="23"/>
  <c r="G34" i="23" s="1"/>
  <c r="H34" i="23" s="1"/>
  <c r="F35" i="23"/>
  <c r="G35" i="23" s="1"/>
  <c r="H35" i="23" s="1"/>
  <c r="F36" i="23"/>
  <c r="G36" i="23" s="1"/>
  <c r="H36" i="23" s="1"/>
  <c r="F37" i="23"/>
  <c r="G37" i="23" s="1"/>
  <c r="H37" i="23" s="1"/>
  <c r="F38" i="23"/>
  <c r="G38" i="23" s="1"/>
  <c r="H38" i="23" s="1"/>
  <c r="F39" i="23"/>
  <c r="G39" i="23"/>
  <c r="H39" i="23" s="1"/>
  <c r="F40" i="23"/>
  <c r="G40" i="23" s="1"/>
  <c r="H40" i="23"/>
  <c r="F41" i="23"/>
  <c r="G41" i="23"/>
  <c r="H41" i="23" s="1"/>
  <c r="F42" i="23"/>
  <c r="G42" i="23" s="1"/>
  <c r="H42" i="23"/>
  <c r="F43" i="23"/>
  <c r="G43" i="23" s="1"/>
  <c r="H43" i="23" s="1"/>
  <c r="F44" i="23"/>
  <c r="G44" i="23" s="1"/>
  <c r="H44" i="23" s="1"/>
  <c r="F45" i="23"/>
  <c r="G45" i="23"/>
  <c r="H45" i="23" s="1"/>
  <c r="F46" i="23"/>
  <c r="G46" i="23" s="1"/>
  <c r="H46" i="23" s="1"/>
  <c r="F47" i="23"/>
  <c r="G47" i="23" s="1"/>
  <c r="H47" i="23" s="1"/>
  <c r="F48" i="23"/>
  <c r="G48" i="23" s="1"/>
  <c r="H48" i="23" s="1"/>
  <c r="F49" i="23"/>
  <c r="G49" i="23" s="1"/>
  <c r="H49" i="23" s="1"/>
  <c r="F50" i="23"/>
  <c r="G50" i="23" s="1"/>
  <c r="H50" i="23" s="1"/>
  <c r="F51" i="23"/>
  <c r="G51" i="23" s="1"/>
  <c r="H51" i="23" s="1"/>
  <c r="F52" i="23"/>
  <c r="G52" i="23" s="1"/>
  <c r="H52" i="23" s="1"/>
  <c r="F53" i="23"/>
  <c r="G53" i="23" s="1"/>
  <c r="H53" i="23" s="1"/>
  <c r="F54" i="23"/>
  <c r="G54" i="23" s="1"/>
  <c r="H54" i="23" s="1"/>
  <c r="F55" i="23"/>
  <c r="G55" i="23"/>
  <c r="H55" i="23" s="1"/>
  <c r="F56" i="23"/>
  <c r="G56" i="23" s="1"/>
  <c r="H56" i="23"/>
  <c r="F57" i="23"/>
  <c r="G57" i="23"/>
  <c r="H57" i="23" s="1"/>
  <c r="F58" i="23"/>
  <c r="G58" i="23" s="1"/>
  <c r="H58" i="23"/>
  <c r="F59" i="23"/>
  <c r="G59" i="23" s="1"/>
  <c r="H59" i="23" s="1"/>
  <c r="F60" i="23"/>
  <c r="G60" i="23" s="1"/>
  <c r="H60" i="23" s="1"/>
  <c r="F61" i="23"/>
  <c r="G61" i="23"/>
  <c r="H61" i="23" s="1"/>
  <c r="F62" i="23"/>
  <c r="G62" i="23" s="1"/>
  <c r="H62" i="23" s="1"/>
  <c r="F63" i="23"/>
  <c r="G63" i="23" s="1"/>
  <c r="H63" i="23" s="1"/>
  <c r="F64" i="23"/>
  <c r="G64" i="23" s="1"/>
  <c r="H64" i="23" s="1"/>
  <c r="F65" i="23"/>
  <c r="G65" i="23" s="1"/>
  <c r="H65" i="23" s="1"/>
  <c r="F66" i="23"/>
  <c r="G66" i="23" s="1"/>
  <c r="H66" i="23" s="1"/>
  <c r="F67" i="23"/>
  <c r="G67" i="23" s="1"/>
  <c r="H67" i="23" s="1"/>
  <c r="F68" i="23"/>
  <c r="G68" i="23" s="1"/>
  <c r="H68" i="23" s="1"/>
  <c r="F69" i="23"/>
  <c r="G69" i="23" s="1"/>
  <c r="H69" i="23" s="1"/>
  <c r="F70" i="23"/>
  <c r="G70" i="23" s="1"/>
  <c r="H70" i="23" s="1"/>
  <c r="F71" i="23"/>
  <c r="G71" i="23"/>
  <c r="H71" i="23" s="1"/>
  <c r="F72" i="23"/>
  <c r="G72" i="23" s="1"/>
  <c r="H72" i="23"/>
  <c r="F73" i="23"/>
  <c r="G73" i="23"/>
  <c r="H73" i="23" s="1"/>
  <c r="F74" i="23"/>
  <c r="G74" i="23" s="1"/>
  <c r="H74" i="23"/>
  <c r="F75" i="23"/>
  <c r="G75" i="23" s="1"/>
  <c r="H75" i="23" s="1"/>
  <c r="F76" i="23"/>
  <c r="G76" i="23" s="1"/>
  <c r="H76" i="23" s="1"/>
  <c r="F77" i="23"/>
  <c r="G77" i="23"/>
  <c r="H77" i="23" s="1"/>
  <c r="F78" i="23"/>
  <c r="G78" i="23" s="1"/>
  <c r="H78" i="23" s="1"/>
  <c r="F79" i="23"/>
  <c r="G79" i="23" s="1"/>
  <c r="H79" i="23" s="1"/>
  <c r="F80" i="23"/>
  <c r="G80" i="23" s="1"/>
  <c r="H80" i="23" s="1"/>
  <c r="F81" i="23"/>
  <c r="G81" i="23" s="1"/>
  <c r="H81" i="23" s="1"/>
  <c r="F82" i="23"/>
  <c r="G82" i="23" s="1"/>
  <c r="H82" i="23" s="1"/>
  <c r="F83" i="23"/>
  <c r="G83" i="23" s="1"/>
  <c r="H83" i="23" s="1"/>
  <c r="F84" i="23"/>
  <c r="G84" i="23" s="1"/>
  <c r="H84" i="23" s="1"/>
  <c r="F85" i="23"/>
  <c r="G85" i="23" s="1"/>
  <c r="H85" i="23" s="1"/>
  <c r="F86" i="23"/>
  <c r="G86" i="23" s="1"/>
  <c r="H86" i="23" s="1"/>
  <c r="F87" i="23"/>
  <c r="G87" i="23"/>
  <c r="H87" i="23" s="1"/>
  <c r="F88" i="23"/>
  <c r="G88" i="23" s="1"/>
  <c r="H88" i="23"/>
  <c r="F89" i="23"/>
  <c r="G89" i="23"/>
  <c r="H89" i="23" s="1"/>
  <c r="F90" i="23"/>
  <c r="G90" i="23" s="1"/>
  <c r="H90" i="23"/>
  <c r="F91" i="23"/>
  <c r="G91" i="23" s="1"/>
  <c r="H91" i="23" s="1"/>
  <c r="F92" i="23"/>
  <c r="G92" i="23" s="1"/>
  <c r="H92" i="23" s="1"/>
  <c r="F93" i="23"/>
  <c r="G93" i="23"/>
  <c r="H93" i="23" s="1"/>
  <c r="F94" i="23"/>
  <c r="G94" i="23" s="1"/>
  <c r="H94" i="23" s="1"/>
  <c r="F95" i="23"/>
  <c r="G95" i="23" s="1"/>
  <c r="H95" i="23" s="1"/>
  <c r="F96" i="23"/>
  <c r="G96" i="23" s="1"/>
  <c r="H96" i="23"/>
  <c r="F97" i="23"/>
  <c r="G97" i="23" s="1"/>
  <c r="H97" i="23" s="1"/>
  <c r="F98" i="23"/>
  <c r="G98" i="23" s="1"/>
  <c r="H98" i="23" s="1"/>
  <c r="F99" i="23"/>
  <c r="G99" i="23" s="1"/>
  <c r="H99" i="23" s="1"/>
  <c r="F100" i="23"/>
  <c r="G100" i="23" s="1"/>
  <c r="H100" i="23" s="1"/>
  <c r="F101" i="23"/>
  <c r="G101" i="23" s="1"/>
  <c r="H101" i="23" s="1"/>
  <c r="F102" i="23"/>
  <c r="G102" i="23" s="1"/>
  <c r="H102" i="23" s="1"/>
  <c r="F103" i="23"/>
  <c r="G103" i="23"/>
  <c r="H103" i="23" s="1"/>
  <c r="F104" i="23"/>
  <c r="G104" i="23" s="1"/>
  <c r="H104" i="23"/>
  <c r="F105" i="23"/>
  <c r="G105" i="23"/>
  <c r="H105" i="23" s="1"/>
  <c r="F106" i="23"/>
  <c r="G106" i="23" s="1"/>
  <c r="H106" i="23"/>
  <c r="F107" i="23"/>
  <c r="G107" i="23" s="1"/>
  <c r="H107" i="23" s="1"/>
  <c r="F108" i="23"/>
  <c r="G108" i="23" s="1"/>
  <c r="H108" i="23" s="1"/>
  <c r="F109" i="23"/>
  <c r="G109" i="23"/>
  <c r="H109" i="23" s="1"/>
  <c r="F110" i="23"/>
  <c r="G110" i="23" s="1"/>
  <c r="H110" i="23" s="1"/>
  <c r="F111" i="23"/>
  <c r="G111" i="23" s="1"/>
  <c r="H111" i="23" s="1"/>
  <c r="F112" i="23"/>
  <c r="G112" i="23" s="1"/>
  <c r="H112" i="23" s="1"/>
  <c r="F113" i="23"/>
  <c r="G113" i="23"/>
  <c r="H113" i="23" s="1"/>
  <c r="F114" i="23"/>
  <c r="G114" i="23" s="1"/>
  <c r="H114" i="23" s="1"/>
  <c r="F115" i="23"/>
  <c r="G115" i="23" s="1"/>
  <c r="H115" i="23" s="1"/>
  <c r="F116" i="23"/>
  <c r="G116" i="23" s="1"/>
  <c r="H116" i="23" s="1"/>
  <c r="F117" i="23"/>
  <c r="G117" i="23" s="1"/>
  <c r="H117" i="23" s="1"/>
  <c r="F118" i="23"/>
  <c r="G118" i="23" s="1"/>
  <c r="H118" i="23" s="1"/>
  <c r="F119" i="23"/>
  <c r="G119" i="23" s="1"/>
  <c r="H119" i="23" s="1"/>
  <c r="F120" i="23"/>
  <c r="G120" i="23" s="1"/>
  <c r="H120" i="23"/>
  <c r="F121" i="23"/>
  <c r="G121" i="23" s="1"/>
  <c r="H121" i="23" s="1"/>
  <c r="F122" i="23"/>
  <c r="G122" i="23" s="1"/>
  <c r="H122" i="23"/>
  <c r="F123" i="23"/>
  <c r="G123" i="23" s="1"/>
  <c r="H123" i="23" s="1"/>
  <c r="F124" i="23"/>
  <c r="G124" i="23" s="1"/>
  <c r="H124" i="23" s="1"/>
  <c r="F125" i="23"/>
  <c r="G125" i="23"/>
  <c r="H125" i="23" s="1"/>
  <c r="F126" i="23"/>
  <c r="G126" i="23" s="1"/>
  <c r="H126" i="23" s="1"/>
  <c r="F127" i="23"/>
  <c r="G127" i="23" s="1"/>
  <c r="H127" i="23" s="1"/>
  <c r="F128" i="23"/>
  <c r="G128" i="23" s="1"/>
  <c r="H128" i="23" s="1"/>
  <c r="F129" i="23"/>
  <c r="G129" i="23"/>
  <c r="H129" i="23" s="1"/>
  <c r="F130" i="23"/>
  <c r="G130" i="23" s="1"/>
  <c r="H130" i="23" s="1"/>
  <c r="F131" i="23"/>
  <c r="G131" i="23" s="1"/>
  <c r="H131" i="23" s="1"/>
  <c r="F132" i="23"/>
  <c r="G132" i="23" s="1"/>
  <c r="H132" i="23" s="1"/>
  <c r="F133" i="23"/>
  <c r="G133" i="23" s="1"/>
  <c r="H133" i="23" s="1"/>
  <c r="F134" i="23"/>
  <c r="G134" i="23" s="1"/>
  <c r="H134" i="23" s="1"/>
  <c r="F135" i="23"/>
  <c r="G135" i="23" s="1"/>
  <c r="H135" i="23" s="1"/>
  <c r="F136" i="23"/>
  <c r="G136" i="23" s="1"/>
  <c r="H136" i="23" s="1"/>
  <c r="F137" i="23"/>
  <c r="G137" i="23" s="1"/>
  <c r="H137" i="23" s="1"/>
  <c r="F138" i="23"/>
  <c r="G138" i="23" s="1"/>
  <c r="H138" i="23" s="1"/>
  <c r="F139" i="23"/>
  <c r="G139" i="23" s="1"/>
  <c r="H139" i="23" s="1"/>
  <c r="F140" i="23"/>
  <c r="G140" i="23" s="1"/>
  <c r="H140" i="23" s="1"/>
  <c r="F141" i="23"/>
  <c r="G141" i="23"/>
  <c r="H141" i="23" s="1"/>
  <c r="F142" i="23"/>
  <c r="G142" i="23" s="1"/>
  <c r="H142" i="23" s="1"/>
  <c r="F143" i="23"/>
  <c r="G143" i="23" s="1"/>
  <c r="H143" i="23" s="1"/>
  <c r="F144" i="23"/>
  <c r="G144" i="23" s="1"/>
  <c r="H144" i="23" s="1"/>
  <c r="F145" i="23"/>
  <c r="G145" i="23" s="1"/>
  <c r="H145" i="23" s="1"/>
  <c r="F146" i="23"/>
  <c r="G146" i="23" s="1"/>
  <c r="H146" i="23" s="1"/>
  <c r="F147" i="23"/>
  <c r="G147" i="23" s="1"/>
  <c r="H147" i="23" s="1"/>
  <c r="F148" i="23"/>
  <c r="G148" i="23" s="1"/>
  <c r="H148" i="23" s="1"/>
  <c r="F149" i="23"/>
  <c r="G149" i="23"/>
  <c r="H149" i="23" s="1"/>
  <c r="F150" i="23"/>
  <c r="G150" i="23" s="1"/>
  <c r="H150" i="23" s="1"/>
  <c r="F151" i="23"/>
  <c r="G151" i="23" s="1"/>
  <c r="H151" i="23" s="1"/>
  <c r="F152" i="23"/>
  <c r="G152" i="23" s="1"/>
  <c r="H152" i="23" s="1"/>
  <c r="F153" i="23"/>
  <c r="G153" i="23" s="1"/>
  <c r="H153" i="23" s="1"/>
  <c r="F154" i="23"/>
  <c r="G154" i="23" s="1"/>
  <c r="H154" i="23" s="1"/>
  <c r="F155" i="23"/>
  <c r="G155" i="23" s="1"/>
  <c r="H155" i="23" s="1"/>
  <c r="F156" i="23"/>
  <c r="G156" i="23" s="1"/>
  <c r="H156" i="23" s="1"/>
  <c r="F157" i="23"/>
  <c r="G157" i="23"/>
  <c r="H157" i="23" s="1"/>
  <c r="F158" i="23"/>
  <c r="G158" i="23" s="1"/>
  <c r="H158" i="23" s="1"/>
  <c r="F159" i="23"/>
  <c r="G159" i="23" s="1"/>
  <c r="H159" i="23" s="1"/>
  <c r="F160" i="23"/>
  <c r="G160" i="23" s="1"/>
  <c r="H160" i="23" s="1"/>
  <c r="F161" i="23"/>
  <c r="G161" i="23"/>
  <c r="H161" i="23" s="1"/>
  <c r="F162" i="23"/>
  <c r="G162" i="23" s="1"/>
  <c r="H162" i="23" s="1"/>
  <c r="F163" i="23"/>
  <c r="G163" i="23" s="1"/>
  <c r="H163" i="23" s="1"/>
  <c r="F164" i="23"/>
  <c r="G164" i="23" s="1"/>
  <c r="H164" i="23" s="1"/>
  <c r="F165" i="23"/>
  <c r="G165" i="23" s="1"/>
  <c r="H165" i="23" s="1"/>
  <c r="F166" i="23"/>
  <c r="G166" i="23" s="1"/>
  <c r="H166" i="23" s="1"/>
  <c r="F167" i="23"/>
  <c r="G167" i="23" s="1"/>
  <c r="H167" i="23" s="1"/>
  <c r="F168" i="23"/>
  <c r="G168" i="23" s="1"/>
  <c r="H168" i="23" s="1"/>
  <c r="F169" i="23"/>
  <c r="G169" i="23" s="1"/>
  <c r="H169" i="23" s="1"/>
  <c r="F170" i="23"/>
  <c r="G170" i="23" s="1"/>
  <c r="H170" i="23" s="1"/>
  <c r="F171" i="23"/>
  <c r="G171" i="23" s="1"/>
  <c r="H171" i="23" s="1"/>
  <c r="F172" i="23"/>
  <c r="G172" i="23" s="1"/>
  <c r="H172" i="23" s="1"/>
  <c r="F173" i="23"/>
  <c r="G173" i="23"/>
  <c r="H173" i="23" s="1"/>
  <c r="F174" i="23"/>
  <c r="G174" i="23" s="1"/>
  <c r="H174" i="23" s="1"/>
  <c r="F175" i="23"/>
  <c r="G175" i="23" s="1"/>
  <c r="H175" i="23" s="1"/>
  <c r="F176" i="23"/>
  <c r="G176" i="23" s="1"/>
  <c r="H176" i="23" s="1"/>
  <c r="F177" i="23"/>
  <c r="G177" i="23" s="1"/>
  <c r="H177" i="23" s="1"/>
  <c r="F178" i="23"/>
  <c r="G178" i="23" s="1"/>
  <c r="H178" i="23" s="1"/>
  <c r="F179" i="23"/>
  <c r="G179" i="23" s="1"/>
  <c r="H179" i="23" s="1"/>
  <c r="F180" i="23"/>
  <c r="G180" i="23" s="1"/>
  <c r="H180" i="23" s="1"/>
  <c r="F181" i="23"/>
  <c r="G181" i="23"/>
  <c r="H181" i="23" s="1"/>
  <c r="F182" i="23"/>
  <c r="G182" i="23" s="1"/>
  <c r="H182" i="23" s="1"/>
  <c r="F183" i="23"/>
  <c r="G183" i="23" s="1"/>
  <c r="H183" i="23" s="1"/>
  <c r="F184" i="23"/>
  <c r="G184" i="23" s="1"/>
  <c r="H184" i="23" s="1"/>
  <c r="F185" i="23"/>
  <c r="G185" i="23" s="1"/>
  <c r="H185" i="23" s="1"/>
  <c r="F186" i="23"/>
  <c r="G186" i="23" s="1"/>
  <c r="H186" i="23" s="1"/>
  <c r="F187" i="23"/>
  <c r="G187" i="23" s="1"/>
  <c r="H187" i="23" s="1"/>
  <c r="F188" i="23"/>
  <c r="G188" i="23" s="1"/>
  <c r="H188" i="23" s="1"/>
  <c r="F189" i="23"/>
  <c r="G189" i="23"/>
  <c r="H189" i="23" s="1"/>
  <c r="F190" i="23"/>
  <c r="G190" i="23" s="1"/>
  <c r="H190" i="23" s="1"/>
  <c r="F191" i="23"/>
  <c r="G191" i="23" s="1"/>
  <c r="H191" i="23" s="1"/>
  <c r="F192" i="23"/>
  <c r="G192" i="23" s="1"/>
  <c r="H192" i="23" s="1"/>
  <c r="F193" i="23"/>
  <c r="G193" i="23"/>
  <c r="H193" i="23" s="1"/>
  <c r="F194" i="23"/>
  <c r="G194" i="23" s="1"/>
  <c r="H194" i="23" s="1"/>
  <c r="F195" i="23"/>
  <c r="G195" i="23" s="1"/>
  <c r="H195" i="23" s="1"/>
  <c r="F196" i="23"/>
  <c r="G196" i="23" s="1"/>
  <c r="H196" i="23" s="1"/>
  <c r="F197" i="23"/>
  <c r="G197" i="23" s="1"/>
  <c r="H197" i="23" s="1"/>
  <c r="F198" i="23"/>
  <c r="G198" i="23" s="1"/>
  <c r="H198" i="23" s="1"/>
  <c r="F199" i="23"/>
  <c r="G199" i="23" s="1"/>
  <c r="H199" i="23" s="1"/>
  <c r="F200" i="23"/>
  <c r="G200" i="23" s="1"/>
  <c r="H200" i="23" s="1"/>
  <c r="F201" i="23"/>
  <c r="G201" i="23" s="1"/>
  <c r="H201" i="23" s="1"/>
  <c r="F202" i="23"/>
  <c r="G202" i="23" s="1"/>
  <c r="H202" i="23" s="1"/>
  <c r="F203" i="23"/>
  <c r="G203" i="23" s="1"/>
  <c r="H203" i="23" s="1"/>
  <c r="F204" i="23"/>
  <c r="G204" i="23" s="1"/>
  <c r="H204" i="23" s="1"/>
  <c r="F205" i="23"/>
  <c r="G205" i="23"/>
  <c r="H205" i="23" s="1"/>
  <c r="F206" i="23"/>
  <c r="G206" i="23" s="1"/>
  <c r="H206" i="23" s="1"/>
  <c r="F207" i="23"/>
  <c r="G207" i="23" s="1"/>
  <c r="H207" i="23" s="1"/>
  <c r="F208" i="23"/>
  <c r="G208" i="23" s="1"/>
  <c r="H208" i="23" s="1"/>
  <c r="F209" i="23"/>
  <c r="G209" i="23" s="1"/>
  <c r="H209" i="23" s="1"/>
  <c r="F210" i="23"/>
  <c r="G210" i="23" s="1"/>
  <c r="H210" i="23" s="1"/>
  <c r="F211" i="23"/>
  <c r="G211" i="23" s="1"/>
  <c r="H211" i="23" s="1"/>
  <c r="F212" i="23"/>
  <c r="G212" i="23" s="1"/>
  <c r="H212" i="23" s="1"/>
  <c r="F213" i="23"/>
  <c r="G213" i="23"/>
  <c r="H213" i="23" s="1"/>
  <c r="F214" i="23"/>
  <c r="G214" i="23" s="1"/>
  <c r="H214" i="23" s="1"/>
  <c r="F215" i="23"/>
  <c r="G215" i="23" s="1"/>
  <c r="H215" i="23" s="1"/>
  <c r="F216" i="23"/>
  <c r="G216" i="23" s="1"/>
  <c r="H216" i="23" s="1"/>
  <c r="F217" i="23"/>
  <c r="G217" i="23" s="1"/>
  <c r="H217" i="23" s="1"/>
  <c r="F218" i="23"/>
  <c r="G218" i="23" s="1"/>
  <c r="H218" i="23" s="1"/>
  <c r="F219" i="23"/>
  <c r="G219" i="23" s="1"/>
  <c r="H219" i="23" s="1"/>
  <c r="F220" i="23"/>
  <c r="G220" i="23" s="1"/>
  <c r="H220" i="23" s="1"/>
  <c r="F221" i="23"/>
  <c r="G221" i="23"/>
  <c r="H221" i="23" s="1"/>
  <c r="F222" i="23"/>
  <c r="G222" i="23" s="1"/>
  <c r="H222" i="23" s="1"/>
  <c r="F223" i="23"/>
  <c r="G223" i="23" s="1"/>
  <c r="H223" i="23" s="1"/>
  <c r="F224" i="23"/>
  <c r="G224" i="23" s="1"/>
  <c r="H224" i="23" s="1"/>
  <c r="F225" i="23"/>
  <c r="G225" i="23"/>
  <c r="H225" i="23" s="1"/>
  <c r="F226" i="23"/>
  <c r="G226" i="23" s="1"/>
  <c r="H226" i="23" s="1"/>
  <c r="F227" i="23"/>
  <c r="G227" i="23" s="1"/>
  <c r="H227" i="23" s="1"/>
  <c r="F228" i="23"/>
  <c r="G228" i="23" s="1"/>
  <c r="H228" i="23" s="1"/>
  <c r="F229" i="23"/>
  <c r="G229" i="23" s="1"/>
  <c r="H229" i="23" s="1"/>
  <c r="F230" i="23"/>
  <c r="G230" i="23" s="1"/>
  <c r="H230" i="23" s="1"/>
  <c r="F231" i="23"/>
  <c r="G231" i="23" s="1"/>
  <c r="H231" i="23" s="1"/>
  <c r="F232" i="23"/>
  <c r="G232" i="23" s="1"/>
  <c r="H232" i="23" s="1"/>
  <c r="F233" i="23"/>
  <c r="G233" i="23" s="1"/>
  <c r="H233" i="23" s="1"/>
  <c r="F234" i="23"/>
  <c r="G234" i="23" s="1"/>
  <c r="H234" i="23" s="1"/>
  <c r="F235" i="23"/>
  <c r="G235" i="23" s="1"/>
  <c r="H235" i="23" s="1"/>
  <c r="F236" i="23"/>
  <c r="G236" i="23" s="1"/>
  <c r="H236" i="23" s="1"/>
  <c r="F237" i="23"/>
  <c r="G237" i="23"/>
  <c r="H237" i="23" s="1"/>
  <c r="F238" i="23"/>
  <c r="G238" i="23" s="1"/>
  <c r="H238" i="23" s="1"/>
  <c r="F239" i="23"/>
  <c r="G239" i="23" s="1"/>
  <c r="H239" i="23" s="1"/>
  <c r="F240" i="23"/>
  <c r="G240" i="23" s="1"/>
  <c r="H240" i="23" s="1"/>
  <c r="F241" i="23"/>
  <c r="G241" i="23" s="1"/>
  <c r="H241" i="23" s="1"/>
  <c r="F242" i="23"/>
  <c r="G242" i="23" s="1"/>
  <c r="H242" i="23" s="1"/>
  <c r="F243" i="23"/>
  <c r="G243" i="23" s="1"/>
  <c r="H243" i="23" s="1"/>
  <c r="F244" i="23"/>
  <c r="G244" i="23" s="1"/>
  <c r="H244" i="23" s="1"/>
  <c r="F245" i="23"/>
  <c r="G245" i="23"/>
  <c r="H245" i="23" s="1"/>
  <c r="F246" i="23"/>
  <c r="G246" i="23" s="1"/>
  <c r="H246" i="23" s="1"/>
  <c r="F247" i="23"/>
  <c r="G247" i="23" s="1"/>
  <c r="H247" i="23" s="1"/>
  <c r="F248" i="23"/>
  <c r="G248" i="23" s="1"/>
  <c r="H248" i="23" s="1"/>
  <c r="F249" i="23"/>
  <c r="G249" i="23" s="1"/>
  <c r="H249" i="23" s="1"/>
  <c r="F250" i="23"/>
  <c r="G250" i="23" s="1"/>
  <c r="H250" i="23" s="1"/>
  <c r="F251" i="23"/>
  <c r="G251" i="23" s="1"/>
  <c r="H251" i="23" s="1"/>
  <c r="F252" i="23"/>
  <c r="G252" i="23" s="1"/>
  <c r="H252" i="23" s="1"/>
  <c r="F253" i="23"/>
  <c r="G253" i="23"/>
  <c r="H253" i="23" s="1"/>
  <c r="F254" i="23"/>
  <c r="G254" i="23" s="1"/>
  <c r="H254" i="23" s="1"/>
  <c r="F255" i="23"/>
  <c r="G255" i="23" s="1"/>
  <c r="H255" i="23" s="1"/>
  <c r="F256" i="23"/>
  <c r="G256" i="23" s="1"/>
  <c r="H256" i="23" s="1"/>
  <c r="F257" i="23"/>
  <c r="G257" i="23"/>
  <c r="H257" i="23" s="1"/>
  <c r="F258" i="23"/>
  <c r="G258" i="23" s="1"/>
  <c r="H258" i="23" s="1"/>
  <c r="F259" i="23"/>
  <c r="G259" i="23" s="1"/>
  <c r="H259" i="23" s="1"/>
  <c r="F260" i="23"/>
  <c r="G260" i="23" s="1"/>
  <c r="H260" i="23" s="1"/>
  <c r="F261" i="23"/>
  <c r="G261" i="23" s="1"/>
  <c r="H261" i="23" s="1"/>
  <c r="F262" i="23"/>
  <c r="G262" i="23" s="1"/>
  <c r="H262" i="23" s="1"/>
  <c r="F263" i="23"/>
  <c r="G263" i="23" s="1"/>
  <c r="H263" i="23" s="1"/>
  <c r="F264" i="23"/>
  <c r="G264" i="23" s="1"/>
  <c r="H264" i="23" s="1"/>
  <c r="F265" i="23"/>
  <c r="G265" i="23" s="1"/>
  <c r="H265" i="23" s="1"/>
  <c r="F266" i="23"/>
  <c r="G266" i="23" s="1"/>
  <c r="H266" i="23" s="1"/>
  <c r="F267" i="23"/>
  <c r="G267" i="23" s="1"/>
  <c r="H267" i="23" s="1"/>
  <c r="F268" i="23"/>
  <c r="G268" i="23" s="1"/>
  <c r="H268" i="23" s="1"/>
  <c r="F269" i="23"/>
  <c r="G269" i="23"/>
  <c r="H269" i="23" s="1"/>
  <c r="F270" i="23"/>
  <c r="G270" i="23" s="1"/>
  <c r="H270" i="23" s="1"/>
  <c r="F271" i="23"/>
  <c r="G271" i="23" s="1"/>
  <c r="H271" i="23" s="1"/>
  <c r="F272" i="23"/>
  <c r="G272" i="23" s="1"/>
  <c r="H272" i="23" s="1"/>
  <c r="F273" i="23"/>
  <c r="G273" i="23" s="1"/>
  <c r="H273" i="23" s="1"/>
  <c r="F274" i="23"/>
  <c r="G274" i="23" s="1"/>
  <c r="H274" i="23" s="1"/>
  <c r="F275" i="23"/>
  <c r="G275" i="23" s="1"/>
  <c r="H275" i="23" s="1"/>
  <c r="F276" i="23"/>
  <c r="G276" i="23" s="1"/>
  <c r="H276" i="23" s="1"/>
  <c r="F277" i="23"/>
  <c r="G277" i="23"/>
  <c r="H277" i="23" s="1"/>
  <c r="F278" i="23"/>
  <c r="G278" i="23" s="1"/>
  <c r="H278" i="23" s="1"/>
  <c r="F279" i="23"/>
  <c r="G279" i="23" s="1"/>
  <c r="H279" i="23" s="1"/>
  <c r="F280" i="23"/>
  <c r="G280" i="23" s="1"/>
  <c r="H280" i="23" s="1"/>
  <c r="F281" i="23"/>
  <c r="G281" i="23" s="1"/>
  <c r="H281" i="23" s="1"/>
  <c r="F282" i="23"/>
  <c r="G282" i="23" s="1"/>
  <c r="H282" i="23" s="1"/>
  <c r="F283" i="23"/>
  <c r="G283" i="23" s="1"/>
  <c r="H283" i="23" s="1"/>
  <c r="F284" i="23"/>
  <c r="G284" i="23" s="1"/>
  <c r="H284" i="23" s="1"/>
  <c r="F285" i="23"/>
  <c r="G285" i="23"/>
  <c r="H285" i="23" s="1"/>
  <c r="F286" i="23"/>
  <c r="G286" i="23" s="1"/>
  <c r="H286" i="23" s="1"/>
  <c r="F287" i="23"/>
  <c r="G287" i="23" s="1"/>
  <c r="H287" i="23" s="1"/>
  <c r="F288" i="23"/>
  <c r="G288" i="23" s="1"/>
  <c r="H288" i="23" s="1"/>
  <c r="F289" i="23"/>
  <c r="G289" i="23"/>
  <c r="H289" i="23" s="1"/>
  <c r="F290" i="23"/>
  <c r="G290" i="23" s="1"/>
  <c r="H290" i="23" s="1"/>
  <c r="F291" i="23"/>
  <c r="G291" i="23" s="1"/>
  <c r="H291" i="23" s="1"/>
  <c r="F292" i="23"/>
  <c r="G292" i="23" s="1"/>
  <c r="H292" i="23" s="1"/>
  <c r="F293" i="23"/>
  <c r="G293" i="23" s="1"/>
  <c r="H293" i="23" s="1"/>
  <c r="F294" i="23"/>
  <c r="G294" i="23" s="1"/>
  <c r="H294" i="23" s="1"/>
  <c r="F295" i="23"/>
  <c r="G295" i="23" s="1"/>
  <c r="H295" i="23" s="1"/>
  <c r="F296" i="23"/>
  <c r="G296" i="23" s="1"/>
  <c r="H296" i="23" s="1"/>
  <c r="F297" i="23"/>
  <c r="G297" i="23" s="1"/>
  <c r="H297" i="23" s="1"/>
  <c r="F298" i="23"/>
  <c r="G298" i="23" s="1"/>
  <c r="H298" i="23" s="1"/>
  <c r="F299" i="23"/>
  <c r="G299" i="23" s="1"/>
  <c r="H299" i="23" s="1"/>
  <c r="F300" i="23"/>
  <c r="G300" i="23" s="1"/>
  <c r="H300" i="23" s="1"/>
  <c r="F301" i="23"/>
  <c r="G301" i="23"/>
  <c r="H301" i="23" s="1"/>
  <c r="F302" i="23"/>
  <c r="G302" i="23" s="1"/>
  <c r="H302" i="23" s="1"/>
  <c r="F303" i="23"/>
  <c r="G303" i="23" s="1"/>
  <c r="H303" i="23" s="1"/>
  <c r="F304" i="23"/>
  <c r="G304" i="23" s="1"/>
  <c r="H304" i="23" s="1"/>
  <c r="F305" i="23"/>
  <c r="G305" i="23" s="1"/>
  <c r="H305" i="23" s="1"/>
  <c r="F306" i="23"/>
  <c r="G306" i="23" s="1"/>
  <c r="H306" i="23" s="1"/>
  <c r="F307" i="23"/>
  <c r="G307" i="23" s="1"/>
  <c r="H307" i="23" s="1"/>
  <c r="F308" i="23"/>
  <c r="G308" i="23" s="1"/>
  <c r="H308" i="23" s="1"/>
  <c r="F309" i="23"/>
  <c r="G309" i="23"/>
  <c r="H309" i="23" s="1"/>
  <c r="F310" i="23"/>
  <c r="G310" i="23" s="1"/>
  <c r="H310" i="23" s="1"/>
  <c r="F311" i="23"/>
  <c r="G311" i="23" s="1"/>
  <c r="H311" i="23" s="1"/>
  <c r="F312" i="23"/>
  <c r="G312" i="23" s="1"/>
  <c r="H312" i="23" s="1"/>
  <c r="F313" i="23"/>
  <c r="G313" i="23" s="1"/>
  <c r="H313" i="23" s="1"/>
  <c r="F314" i="23"/>
  <c r="G314" i="23" s="1"/>
  <c r="H314" i="23" s="1"/>
  <c r="F315" i="23"/>
  <c r="G315" i="23" s="1"/>
  <c r="H315" i="23" s="1"/>
  <c r="F316" i="23"/>
  <c r="G316" i="23" s="1"/>
  <c r="H316" i="23" s="1"/>
  <c r="F317" i="23"/>
  <c r="G317" i="23"/>
  <c r="H317" i="23" s="1"/>
  <c r="F318" i="23"/>
  <c r="G318" i="23" s="1"/>
  <c r="H318" i="23" s="1"/>
  <c r="F319" i="23"/>
  <c r="G319" i="23" s="1"/>
  <c r="H319" i="23" s="1"/>
  <c r="F320" i="23"/>
  <c r="G320" i="23" s="1"/>
  <c r="H320" i="23" s="1"/>
  <c r="F321" i="23"/>
  <c r="G321" i="23"/>
  <c r="H321" i="23" s="1"/>
  <c r="F322" i="23"/>
  <c r="G322" i="23" s="1"/>
  <c r="H322" i="23" s="1"/>
  <c r="F323" i="23"/>
  <c r="G323" i="23" s="1"/>
  <c r="H323" i="23" s="1"/>
  <c r="F324" i="23"/>
  <c r="G324" i="23" s="1"/>
  <c r="H324" i="23" s="1"/>
  <c r="F325" i="23"/>
  <c r="G325" i="23" s="1"/>
  <c r="H325" i="23" s="1"/>
  <c r="F326" i="23"/>
  <c r="G326" i="23" s="1"/>
  <c r="H326" i="23" s="1"/>
  <c r="F327" i="23"/>
  <c r="G327" i="23" s="1"/>
  <c r="H327" i="23" s="1"/>
  <c r="F328" i="23"/>
  <c r="G328" i="23" s="1"/>
  <c r="H328" i="23" s="1"/>
  <c r="F329" i="23"/>
  <c r="G329" i="23" s="1"/>
  <c r="H329" i="23" s="1"/>
  <c r="F330" i="23"/>
  <c r="G330" i="23" s="1"/>
  <c r="H330" i="23" s="1"/>
  <c r="F331" i="23"/>
  <c r="G331" i="23" s="1"/>
  <c r="H331" i="23" s="1"/>
  <c r="F332" i="23"/>
  <c r="G332" i="23" s="1"/>
  <c r="H332" i="23" s="1"/>
  <c r="F333" i="23"/>
  <c r="G333" i="23"/>
  <c r="H333" i="23" s="1"/>
  <c r="F334" i="23"/>
  <c r="G334" i="23" s="1"/>
  <c r="H334" i="23" s="1"/>
  <c r="F335" i="23"/>
  <c r="G335" i="23" s="1"/>
  <c r="H335" i="23" s="1"/>
  <c r="F336" i="23"/>
  <c r="G336" i="23" s="1"/>
  <c r="H336" i="23" s="1"/>
  <c r="F337" i="23"/>
  <c r="G337" i="23" s="1"/>
  <c r="H337" i="23" s="1"/>
  <c r="F338" i="23"/>
  <c r="G338" i="23" s="1"/>
  <c r="H338" i="23" s="1"/>
  <c r="F339" i="23"/>
  <c r="G339" i="23" s="1"/>
  <c r="H339" i="23" s="1"/>
  <c r="F340" i="23"/>
  <c r="G340" i="23" s="1"/>
  <c r="H340" i="23" s="1"/>
  <c r="F341" i="23"/>
  <c r="G341" i="23"/>
  <c r="H341" i="23" s="1"/>
  <c r="F342" i="23"/>
  <c r="G342" i="23" s="1"/>
  <c r="H342" i="23" s="1"/>
  <c r="F343" i="23"/>
  <c r="G343" i="23" s="1"/>
  <c r="H343" i="23" s="1"/>
  <c r="F344" i="23"/>
  <c r="G344" i="23" s="1"/>
  <c r="H344" i="23" s="1"/>
  <c r="F345" i="23"/>
  <c r="G345" i="23" s="1"/>
  <c r="H345" i="23" s="1"/>
  <c r="F346" i="23"/>
  <c r="G346" i="23" s="1"/>
  <c r="H346" i="23" s="1"/>
  <c r="F347" i="23"/>
  <c r="G347" i="23" s="1"/>
  <c r="H347" i="23" s="1"/>
  <c r="F348" i="23"/>
  <c r="G348" i="23" s="1"/>
  <c r="H348" i="23" s="1"/>
  <c r="F349" i="23"/>
  <c r="G349" i="23"/>
  <c r="H349" i="23" s="1"/>
  <c r="F350" i="23"/>
  <c r="G350" i="23" s="1"/>
  <c r="H350" i="23" s="1"/>
  <c r="F351" i="23"/>
  <c r="G351" i="23"/>
  <c r="H351" i="23" s="1"/>
  <c r="F352" i="23"/>
  <c r="G352" i="23" s="1"/>
  <c r="H352" i="23" s="1"/>
  <c r="F353" i="23"/>
  <c r="G353" i="23" s="1"/>
  <c r="H353" i="23" s="1"/>
  <c r="F354" i="23"/>
  <c r="G354" i="23" s="1"/>
  <c r="H354" i="23" s="1"/>
  <c r="F355" i="23"/>
  <c r="G355" i="23"/>
  <c r="H355" i="23" s="1"/>
  <c r="F356" i="23"/>
  <c r="G356" i="23" s="1"/>
  <c r="H356" i="23" s="1"/>
  <c r="F357" i="23"/>
  <c r="G357" i="23" s="1"/>
  <c r="H357" i="23" s="1"/>
  <c r="F358" i="23"/>
  <c r="G358" i="23" s="1"/>
  <c r="H358" i="23" s="1"/>
  <c r="F359" i="23"/>
  <c r="G359" i="23"/>
  <c r="H359" i="23" s="1"/>
  <c r="F360" i="23"/>
  <c r="G360" i="23" s="1"/>
  <c r="H360" i="23" s="1"/>
  <c r="F361" i="23"/>
  <c r="G361" i="23" s="1"/>
  <c r="H361" i="23" s="1"/>
  <c r="F362" i="23"/>
  <c r="G362" i="23" s="1"/>
  <c r="H362" i="23" s="1"/>
  <c r="F363" i="23"/>
  <c r="G363" i="23" s="1"/>
  <c r="H363" i="23" s="1"/>
  <c r="F364" i="23"/>
  <c r="G364" i="23" s="1"/>
  <c r="H364" i="23" s="1"/>
  <c r="F365" i="23"/>
  <c r="G365" i="23"/>
  <c r="H365" i="23" s="1"/>
  <c r="F366" i="23"/>
  <c r="G366" i="23" s="1"/>
  <c r="H366" i="23" s="1"/>
  <c r="F367" i="23"/>
  <c r="G367" i="23"/>
  <c r="H367" i="23" s="1"/>
  <c r="F368" i="23"/>
  <c r="G368" i="23" s="1"/>
  <c r="H368" i="23" s="1"/>
  <c r="F369" i="23"/>
  <c r="G369" i="23" s="1"/>
  <c r="H369" i="23" s="1"/>
  <c r="F370" i="23"/>
  <c r="G370" i="23" s="1"/>
  <c r="H370" i="23" s="1"/>
  <c r="F371" i="23"/>
  <c r="G371" i="23"/>
  <c r="H371" i="23" s="1"/>
  <c r="F372" i="23"/>
  <c r="G372" i="23" s="1"/>
  <c r="H372" i="23" s="1"/>
  <c r="F373" i="23"/>
  <c r="G373" i="23" s="1"/>
  <c r="H373" i="23" s="1"/>
  <c r="F374" i="23"/>
  <c r="G374" i="23" s="1"/>
  <c r="H374" i="23" s="1"/>
  <c r="F375" i="23"/>
  <c r="G375" i="23"/>
  <c r="H375" i="23" s="1"/>
  <c r="F376" i="23"/>
  <c r="G376" i="23" s="1"/>
  <c r="H376" i="23" s="1"/>
  <c r="F377" i="23"/>
  <c r="G377" i="23" s="1"/>
  <c r="H377" i="23" s="1"/>
  <c r="F378" i="23"/>
  <c r="G378" i="23" s="1"/>
  <c r="H378" i="23" s="1"/>
  <c r="F379" i="23"/>
  <c r="G379" i="23" s="1"/>
  <c r="H379" i="23" s="1"/>
  <c r="F380" i="23"/>
  <c r="G380" i="23" s="1"/>
  <c r="H380" i="23" s="1"/>
  <c r="F381" i="23"/>
  <c r="G381" i="23"/>
  <c r="H381" i="23" s="1"/>
  <c r="F382" i="23"/>
  <c r="G382" i="23" s="1"/>
  <c r="H382" i="23" s="1"/>
  <c r="F383" i="23"/>
  <c r="G383" i="23"/>
  <c r="H383" i="23" s="1"/>
  <c r="F384" i="23"/>
  <c r="G384" i="23" s="1"/>
  <c r="H384" i="23" s="1"/>
  <c r="F385" i="23"/>
  <c r="G385" i="23" s="1"/>
  <c r="H385" i="23" s="1"/>
  <c r="F386" i="23"/>
  <c r="G386" i="23" s="1"/>
  <c r="H386" i="23" s="1"/>
  <c r="F387" i="23"/>
  <c r="G387" i="23"/>
  <c r="H387" i="23" s="1"/>
  <c r="F388" i="23"/>
  <c r="G388" i="23" s="1"/>
  <c r="H388" i="23" s="1"/>
  <c r="F389" i="23"/>
  <c r="G389" i="23" s="1"/>
  <c r="H389" i="23" s="1"/>
  <c r="F390" i="23"/>
  <c r="G390" i="23" s="1"/>
  <c r="H390" i="23" s="1"/>
  <c r="F391" i="23"/>
  <c r="G391" i="23"/>
  <c r="H391" i="23" s="1"/>
  <c r="F392" i="23"/>
  <c r="G392" i="23" s="1"/>
  <c r="H392" i="23" s="1"/>
  <c r="F393" i="23"/>
  <c r="G393" i="23" s="1"/>
  <c r="H393" i="23" s="1"/>
  <c r="F394" i="23"/>
  <c r="G394" i="23" s="1"/>
  <c r="H394" i="23" s="1"/>
  <c r="F395" i="23"/>
  <c r="G395" i="23" s="1"/>
  <c r="H395" i="23" s="1"/>
  <c r="F396" i="23"/>
  <c r="G396" i="23" s="1"/>
  <c r="H396" i="23" s="1"/>
  <c r="F397" i="23"/>
  <c r="G397" i="23"/>
  <c r="H397" i="23" s="1"/>
  <c r="F398" i="23"/>
  <c r="G398" i="23" s="1"/>
  <c r="H398" i="23" s="1"/>
  <c r="F399" i="23"/>
  <c r="G399" i="23"/>
  <c r="H399" i="23" s="1"/>
  <c r="F400" i="23"/>
  <c r="G400" i="23" s="1"/>
  <c r="H400" i="23" s="1"/>
  <c r="F401" i="23"/>
  <c r="G401" i="23" s="1"/>
  <c r="H401" i="23" s="1"/>
  <c r="F402" i="23"/>
  <c r="G402" i="23" s="1"/>
  <c r="H402" i="23" s="1"/>
  <c r="F403" i="23"/>
  <c r="G403" i="23"/>
  <c r="H403" i="23" s="1"/>
  <c r="F404" i="23"/>
  <c r="G404" i="23" s="1"/>
  <c r="H404" i="23" s="1"/>
  <c r="F405" i="23"/>
  <c r="G405" i="23" s="1"/>
  <c r="H405" i="23" s="1"/>
  <c r="F406" i="23"/>
  <c r="G406" i="23" s="1"/>
  <c r="H406" i="23" s="1"/>
  <c r="F407" i="23"/>
  <c r="G407" i="23"/>
  <c r="H407" i="23" s="1"/>
  <c r="F408" i="23"/>
  <c r="G408" i="23" s="1"/>
  <c r="H408" i="23" s="1"/>
  <c r="F409" i="23"/>
  <c r="G409" i="23"/>
  <c r="H409" i="23" s="1"/>
  <c r="F410" i="23"/>
  <c r="G410" i="23" s="1"/>
  <c r="H410" i="23" s="1"/>
  <c r="F411" i="23"/>
  <c r="G411" i="23" s="1"/>
  <c r="H411" i="23" s="1"/>
  <c r="F412" i="23"/>
  <c r="G412" i="23" s="1"/>
  <c r="H412" i="23"/>
  <c r="F413" i="23"/>
  <c r="G413" i="23"/>
  <c r="H413" i="23" s="1"/>
  <c r="F414" i="23"/>
  <c r="G414" i="23"/>
  <c r="H414" i="23" s="1"/>
  <c r="F415" i="23"/>
  <c r="G415" i="23"/>
  <c r="H415" i="23" s="1"/>
  <c r="F416" i="23"/>
  <c r="G416" i="23" s="1"/>
  <c r="H416" i="23"/>
  <c r="F417" i="23"/>
  <c r="G417" i="23" s="1"/>
  <c r="H417" i="23" s="1"/>
  <c r="F418" i="23"/>
  <c r="G418" i="23" s="1"/>
  <c r="H418" i="23" s="1"/>
  <c r="F419" i="23"/>
  <c r="G419" i="23" s="1"/>
  <c r="H419" i="23" s="1"/>
  <c r="F420" i="23"/>
  <c r="G420" i="23" s="1"/>
  <c r="H420" i="23" s="1"/>
  <c r="F421" i="23"/>
  <c r="G421" i="23"/>
  <c r="H421" i="23" s="1"/>
  <c r="F422" i="23"/>
  <c r="G422" i="23" s="1"/>
  <c r="H422" i="23" s="1"/>
  <c r="F423" i="23"/>
  <c r="G423" i="23"/>
  <c r="H423" i="23"/>
  <c r="F424" i="23"/>
  <c r="G424" i="23" s="1"/>
  <c r="H424" i="23" s="1"/>
  <c r="F425" i="23"/>
  <c r="G425" i="23" s="1"/>
  <c r="H425" i="23" s="1"/>
  <c r="F426" i="23"/>
  <c r="G426" i="23" s="1"/>
  <c r="H426" i="23" s="1"/>
  <c r="F427" i="23"/>
  <c r="G427" i="23"/>
  <c r="H427" i="23" s="1"/>
  <c r="F428" i="23"/>
  <c r="G428" i="23" s="1"/>
  <c r="H428" i="23"/>
  <c r="F429" i="23"/>
  <c r="G429" i="23" s="1"/>
  <c r="H429" i="23" s="1"/>
  <c r="F430" i="23"/>
  <c r="G430" i="23"/>
  <c r="H430" i="23" s="1"/>
  <c r="F431" i="23"/>
  <c r="G431" i="23" s="1"/>
  <c r="H431" i="23" s="1"/>
  <c r="F432" i="23"/>
  <c r="G432" i="23" s="1"/>
  <c r="H432" i="23" s="1"/>
  <c r="F433" i="23"/>
  <c r="G433" i="23" s="1"/>
  <c r="H433" i="23" s="1"/>
  <c r="F434" i="23"/>
  <c r="G434" i="23"/>
  <c r="H434" i="23" s="1"/>
  <c r="F435" i="23"/>
  <c r="G435" i="23" s="1"/>
  <c r="H435" i="23"/>
  <c r="F436" i="23"/>
  <c r="G436" i="23" s="1"/>
  <c r="H436" i="23"/>
  <c r="F437" i="23"/>
  <c r="G437" i="23"/>
  <c r="H437" i="23" s="1"/>
  <c r="F438" i="23"/>
  <c r="G438" i="23"/>
  <c r="H438" i="23" s="1"/>
  <c r="F439" i="23"/>
  <c r="G439" i="23"/>
  <c r="H439" i="23" s="1"/>
  <c r="F440" i="23"/>
  <c r="G440" i="23" s="1"/>
  <c r="H440" i="23" s="1"/>
  <c r="F441" i="23"/>
  <c r="G441" i="23"/>
  <c r="H441" i="23" s="1"/>
  <c r="F442" i="23"/>
  <c r="G442" i="23"/>
  <c r="H442" i="23" s="1"/>
  <c r="F443" i="23"/>
  <c r="G443" i="23"/>
  <c r="H443" i="23" s="1"/>
  <c r="F444" i="23"/>
  <c r="G444" i="23" s="1"/>
  <c r="H444" i="23" s="1"/>
  <c r="F445" i="23"/>
  <c r="G445" i="23" s="1"/>
  <c r="H445" i="23" s="1"/>
  <c r="F446" i="23"/>
  <c r="G446" i="23" s="1"/>
  <c r="H446" i="23" s="1"/>
  <c r="F447" i="23"/>
  <c r="G447" i="23" s="1"/>
  <c r="H447" i="23" s="1"/>
  <c r="F448" i="23"/>
  <c r="G448" i="23" s="1"/>
  <c r="H448" i="23"/>
  <c r="F449" i="23"/>
  <c r="G449" i="23"/>
  <c r="H449" i="23" s="1"/>
  <c r="F450" i="23"/>
  <c r="G450" i="23"/>
  <c r="H450" i="23" s="1"/>
  <c r="F451" i="23"/>
  <c r="G451" i="23" s="1"/>
  <c r="H451" i="23" s="1"/>
  <c r="F452" i="23"/>
  <c r="G452" i="23" s="1"/>
  <c r="H452" i="23" s="1"/>
  <c r="F453" i="23"/>
  <c r="G453" i="23" s="1"/>
  <c r="H453" i="23" s="1"/>
  <c r="F454" i="23"/>
  <c r="G454" i="23"/>
  <c r="H454" i="23" s="1"/>
  <c r="F455" i="23"/>
  <c r="G455" i="23" s="1"/>
  <c r="H455" i="23" s="1"/>
  <c r="F456" i="23"/>
  <c r="G456" i="23" s="1"/>
  <c r="H456" i="23" s="1"/>
  <c r="F457" i="23"/>
  <c r="G457" i="23" s="1"/>
  <c r="H457" i="23" s="1"/>
  <c r="F458" i="23"/>
  <c r="G458" i="23"/>
  <c r="H458" i="23" s="1"/>
  <c r="F459" i="23"/>
  <c r="G459" i="23" s="1"/>
  <c r="H459" i="23" s="1"/>
  <c r="F460" i="23"/>
  <c r="G460" i="23" s="1"/>
  <c r="H460" i="23" s="1"/>
  <c r="F461" i="23"/>
  <c r="G461" i="23" s="1"/>
  <c r="H461" i="23" s="1"/>
  <c r="F462" i="23"/>
  <c r="G462" i="23"/>
  <c r="H462" i="23" s="1"/>
  <c r="F463" i="23"/>
  <c r="G463" i="23" s="1"/>
  <c r="H463" i="23" s="1"/>
  <c r="F464" i="23"/>
  <c r="G464" i="23" s="1"/>
  <c r="H464" i="23" s="1"/>
  <c r="F465" i="23"/>
  <c r="G465" i="23" s="1"/>
  <c r="H465" i="23" s="1"/>
  <c r="F466" i="23"/>
  <c r="G466" i="23"/>
  <c r="H466" i="23" s="1"/>
  <c r="F467" i="23"/>
  <c r="G467" i="23" s="1"/>
  <c r="H467" i="23" s="1"/>
  <c r="F468" i="23"/>
  <c r="G468" i="23" s="1"/>
  <c r="H468" i="23" s="1"/>
  <c r="F469" i="23"/>
  <c r="G469" i="23" s="1"/>
  <c r="H469" i="23" s="1"/>
  <c r="F470" i="23"/>
  <c r="G470" i="23"/>
  <c r="H470" i="23" s="1"/>
  <c r="F471" i="23"/>
  <c r="G471" i="23" s="1"/>
  <c r="H471" i="23" s="1"/>
  <c r="F472" i="23"/>
  <c r="G472" i="23" s="1"/>
  <c r="H472" i="23" s="1"/>
  <c r="F473" i="23"/>
  <c r="G473" i="23" s="1"/>
  <c r="H473" i="23" s="1"/>
  <c r="F474" i="23"/>
  <c r="G474" i="23"/>
  <c r="H474" i="23" s="1"/>
  <c r="F475" i="23"/>
  <c r="G475" i="23" s="1"/>
  <c r="H475" i="23" s="1"/>
  <c r="F476" i="23"/>
  <c r="G476" i="23" s="1"/>
  <c r="H476" i="23" s="1"/>
  <c r="F477" i="23"/>
  <c r="G477" i="23" s="1"/>
  <c r="H477" i="23" s="1"/>
  <c r="F478" i="23"/>
  <c r="G478" i="23"/>
  <c r="H478" i="23" s="1"/>
  <c r="F479" i="23"/>
  <c r="G479" i="23" s="1"/>
  <c r="H479" i="23" s="1"/>
  <c r="F480" i="23"/>
  <c r="G480" i="23" s="1"/>
  <c r="H480" i="23" s="1"/>
  <c r="F481" i="23"/>
  <c r="G481" i="23" s="1"/>
  <c r="H481" i="23" s="1"/>
  <c r="F482" i="23"/>
  <c r="G482" i="23"/>
  <c r="H482" i="23" s="1"/>
  <c r="F483" i="23"/>
  <c r="G483" i="23" s="1"/>
  <c r="H483" i="23" s="1"/>
  <c r="F484" i="23"/>
  <c r="G484" i="23" s="1"/>
  <c r="H484" i="23" s="1"/>
  <c r="F485" i="23"/>
  <c r="G485" i="23" s="1"/>
  <c r="H485" i="23" s="1"/>
  <c r="F486" i="23"/>
  <c r="G486" i="23"/>
  <c r="H486" i="23" s="1"/>
  <c r="F487" i="23"/>
  <c r="G487" i="23" s="1"/>
  <c r="H487" i="23" s="1"/>
  <c r="F488" i="23"/>
  <c r="G488" i="23" s="1"/>
  <c r="H488" i="23" s="1"/>
  <c r="F489" i="23"/>
  <c r="G489" i="23" s="1"/>
  <c r="H489" i="23" s="1"/>
  <c r="F490" i="23"/>
  <c r="G490" i="23"/>
  <c r="H490" i="23" s="1"/>
  <c r="F491" i="23"/>
  <c r="G491" i="23" s="1"/>
  <c r="H491" i="23" s="1"/>
  <c r="F492" i="23"/>
  <c r="G492" i="23" s="1"/>
  <c r="H492" i="23" s="1"/>
  <c r="F493" i="23"/>
  <c r="G493" i="23" s="1"/>
  <c r="H493" i="23" s="1"/>
  <c r="F494" i="23"/>
  <c r="G494" i="23"/>
  <c r="H494" i="23" s="1"/>
  <c r="F495" i="23"/>
  <c r="G495" i="23" s="1"/>
  <c r="H495" i="23" s="1"/>
  <c r="F496" i="23"/>
  <c r="G496" i="23" s="1"/>
  <c r="H496" i="23" s="1"/>
  <c r="F497" i="23"/>
  <c r="G497" i="23" s="1"/>
  <c r="H497" i="23" s="1"/>
  <c r="F498" i="23"/>
  <c r="G498" i="23"/>
  <c r="H498" i="23" s="1"/>
  <c r="F499" i="23"/>
  <c r="G499" i="23" s="1"/>
  <c r="H499" i="23" s="1"/>
  <c r="F500" i="23"/>
  <c r="G500" i="23" s="1"/>
  <c r="H500" i="23" s="1"/>
  <c r="F501" i="23"/>
  <c r="G501" i="23" s="1"/>
  <c r="H501" i="23" s="1"/>
  <c r="F502" i="23"/>
  <c r="G502" i="23"/>
  <c r="H502" i="23" s="1"/>
  <c r="F503" i="23"/>
  <c r="G503" i="23" s="1"/>
  <c r="H503" i="23" s="1"/>
  <c r="F504" i="23"/>
  <c r="G504" i="23" s="1"/>
  <c r="H504" i="23" s="1"/>
  <c r="F505" i="23"/>
  <c r="G505" i="23" s="1"/>
  <c r="H505" i="23" s="1"/>
  <c r="F506" i="23"/>
  <c r="G506" i="23"/>
  <c r="H506" i="23" s="1"/>
  <c r="F507" i="23"/>
  <c r="G507" i="23" s="1"/>
  <c r="H507" i="23" s="1"/>
  <c r="F508" i="23"/>
  <c r="G508" i="23" s="1"/>
  <c r="H508" i="23" s="1"/>
  <c r="F509" i="23"/>
  <c r="G509" i="23" s="1"/>
  <c r="H509" i="23" s="1"/>
  <c r="F510" i="23"/>
  <c r="G510" i="23"/>
  <c r="H510" i="23" s="1"/>
  <c r="F511" i="23"/>
  <c r="G511" i="23" s="1"/>
  <c r="H511" i="23" s="1"/>
  <c r="F512" i="23"/>
  <c r="G512" i="23" s="1"/>
  <c r="H512" i="23" s="1"/>
  <c r="F513" i="23"/>
  <c r="G513" i="23" s="1"/>
  <c r="H513" i="23" s="1"/>
  <c r="F514" i="23"/>
  <c r="G514" i="23"/>
  <c r="H514" i="23" s="1"/>
  <c r="F515" i="23"/>
  <c r="G515" i="23" s="1"/>
  <c r="H515" i="23" s="1"/>
  <c r="F516" i="23"/>
  <c r="G516" i="23" s="1"/>
  <c r="H516" i="23" s="1"/>
  <c r="F517" i="23"/>
  <c r="G517" i="23" s="1"/>
  <c r="H517" i="23" s="1"/>
  <c r="F518" i="23"/>
  <c r="G518" i="23"/>
  <c r="H518" i="23" s="1"/>
  <c r="F519" i="23"/>
  <c r="G519" i="23" s="1"/>
  <c r="H519" i="23" s="1"/>
  <c r="F520" i="23"/>
  <c r="G520" i="23" s="1"/>
  <c r="H520" i="23" s="1"/>
  <c r="F521" i="23"/>
  <c r="G521" i="23" s="1"/>
  <c r="H521" i="23" s="1"/>
  <c r="F522" i="23"/>
  <c r="G522" i="23"/>
  <c r="H522" i="23" s="1"/>
  <c r="F523" i="23"/>
  <c r="G523" i="23" s="1"/>
  <c r="H523" i="23" s="1"/>
  <c r="F524" i="23"/>
  <c r="G524" i="23" s="1"/>
  <c r="H524" i="23" s="1"/>
  <c r="F525" i="23"/>
  <c r="G525" i="23" s="1"/>
  <c r="H525" i="23" s="1"/>
  <c r="F526" i="23"/>
  <c r="G526" i="23"/>
  <c r="H526" i="23" s="1"/>
  <c r="F527" i="23"/>
  <c r="G527" i="23" s="1"/>
  <c r="H527" i="23" s="1"/>
  <c r="F528" i="23"/>
  <c r="G528" i="23" s="1"/>
  <c r="H528" i="23" s="1"/>
  <c r="F529" i="23"/>
  <c r="G529" i="23" s="1"/>
  <c r="H529" i="23" s="1"/>
  <c r="F530" i="23"/>
  <c r="G530" i="23"/>
  <c r="H530" i="23" s="1"/>
  <c r="F531" i="23"/>
  <c r="G531" i="23" s="1"/>
  <c r="H531" i="23" s="1"/>
  <c r="F532" i="23"/>
  <c r="G532" i="23" s="1"/>
  <c r="H532" i="23" s="1"/>
  <c r="F533" i="23"/>
  <c r="G533" i="23" s="1"/>
  <c r="H533" i="23" s="1"/>
  <c r="F534" i="23"/>
  <c r="G534" i="23"/>
  <c r="H534" i="23" s="1"/>
  <c r="F535" i="23"/>
  <c r="G535" i="23" s="1"/>
  <c r="H535" i="23" s="1"/>
  <c r="F536" i="23"/>
  <c r="G536" i="23" s="1"/>
  <c r="H536" i="23" s="1"/>
  <c r="F537" i="23"/>
  <c r="G537" i="23" s="1"/>
  <c r="H537" i="23" s="1"/>
  <c r="F538" i="23"/>
  <c r="G538" i="23"/>
  <c r="H538" i="23" s="1"/>
  <c r="F539" i="23"/>
  <c r="G539" i="23" s="1"/>
  <c r="H539" i="23" s="1"/>
  <c r="F540" i="23"/>
  <c r="G540" i="23" s="1"/>
  <c r="H540" i="23" s="1"/>
  <c r="F541" i="23"/>
  <c r="G541" i="23" s="1"/>
  <c r="H541" i="23" s="1"/>
  <c r="F542" i="23"/>
  <c r="G542" i="23"/>
  <c r="H542" i="23" s="1"/>
  <c r="F543" i="23"/>
  <c r="G543" i="23" s="1"/>
  <c r="H543" i="23" s="1"/>
  <c r="F544" i="23"/>
  <c r="G544" i="23" s="1"/>
  <c r="H544" i="23" s="1"/>
  <c r="F545" i="23"/>
  <c r="G545" i="23" s="1"/>
  <c r="H545" i="23" s="1"/>
  <c r="F546" i="23"/>
  <c r="G546" i="23"/>
  <c r="H546" i="23" s="1"/>
  <c r="F547" i="23"/>
  <c r="G547" i="23" s="1"/>
  <c r="H547" i="23" s="1"/>
  <c r="F548" i="23"/>
  <c r="G548" i="23" s="1"/>
  <c r="H548" i="23" s="1"/>
  <c r="F549" i="23"/>
  <c r="G549" i="23" s="1"/>
  <c r="H549" i="23" s="1"/>
  <c r="F550" i="23"/>
  <c r="G550" i="23"/>
  <c r="H550" i="23" s="1"/>
  <c r="F551" i="23"/>
  <c r="G551" i="23" s="1"/>
  <c r="H551" i="23" s="1"/>
  <c r="F552" i="23"/>
  <c r="G552" i="23" s="1"/>
  <c r="H552" i="23" s="1"/>
  <c r="F553" i="23"/>
  <c r="G553" i="23" s="1"/>
  <c r="H553" i="23" s="1"/>
  <c r="F554" i="23"/>
  <c r="G554" i="23"/>
  <c r="H554" i="23" s="1"/>
  <c r="F555" i="23"/>
  <c r="G555" i="23" s="1"/>
  <c r="H555" i="23" s="1"/>
  <c r="F556" i="23"/>
  <c r="G556" i="23" s="1"/>
  <c r="H556" i="23" s="1"/>
  <c r="F557" i="23"/>
  <c r="G557" i="23" s="1"/>
  <c r="H557" i="23" s="1"/>
  <c r="F558" i="23"/>
  <c r="G558" i="23"/>
  <c r="H558" i="23" s="1"/>
  <c r="F559" i="23"/>
  <c r="G559" i="23" s="1"/>
  <c r="H559" i="23" s="1"/>
  <c r="F560" i="23"/>
  <c r="G560" i="23" s="1"/>
  <c r="H560" i="23" s="1"/>
  <c r="F561" i="23"/>
  <c r="G561" i="23" s="1"/>
  <c r="H561" i="23" s="1"/>
  <c r="F562" i="23"/>
  <c r="G562" i="23"/>
  <c r="H562" i="23" s="1"/>
  <c r="F563" i="23"/>
  <c r="G563" i="23" s="1"/>
  <c r="H563" i="23" s="1"/>
  <c r="F564" i="23"/>
  <c r="G564" i="23" s="1"/>
  <c r="H564" i="23" s="1"/>
  <c r="F565" i="23"/>
  <c r="G565" i="23" s="1"/>
  <c r="H565" i="23" s="1"/>
  <c r="F566" i="23"/>
  <c r="G566" i="23"/>
  <c r="H566" i="23" s="1"/>
  <c r="F567" i="23"/>
  <c r="G567" i="23" s="1"/>
  <c r="H567" i="23" s="1"/>
  <c r="F568" i="23"/>
  <c r="G568" i="23" s="1"/>
  <c r="H568" i="23" s="1"/>
  <c r="F569" i="23"/>
  <c r="G569" i="23" s="1"/>
  <c r="H569" i="23" s="1"/>
  <c r="F570" i="23"/>
  <c r="G570" i="23"/>
  <c r="H570" i="23" s="1"/>
  <c r="F571" i="23"/>
  <c r="G571" i="23" s="1"/>
  <c r="H571" i="23" s="1"/>
  <c r="F572" i="23"/>
  <c r="G572" i="23" s="1"/>
  <c r="H572" i="23" s="1"/>
  <c r="F573" i="23"/>
  <c r="G573" i="23" s="1"/>
  <c r="H573" i="23" s="1"/>
  <c r="F574" i="23"/>
  <c r="G574" i="23"/>
  <c r="H574" i="23" s="1"/>
  <c r="F575" i="23"/>
  <c r="G575" i="23" s="1"/>
  <c r="H575" i="23" s="1"/>
  <c r="F576" i="23"/>
  <c r="G576" i="23" s="1"/>
  <c r="H576" i="23" s="1"/>
  <c r="F577" i="23"/>
  <c r="G577" i="23" s="1"/>
  <c r="H577" i="23" s="1"/>
  <c r="F578" i="23"/>
  <c r="G578" i="23"/>
  <c r="H578" i="23" s="1"/>
  <c r="F579" i="23"/>
  <c r="G579" i="23" s="1"/>
  <c r="H579" i="23" s="1"/>
  <c r="F580" i="23"/>
  <c r="G580" i="23" s="1"/>
  <c r="H580" i="23" s="1"/>
  <c r="F581" i="23"/>
  <c r="G581" i="23" s="1"/>
  <c r="H581" i="23" s="1"/>
  <c r="F582" i="23"/>
  <c r="G582" i="23"/>
  <c r="H582" i="23" s="1"/>
  <c r="F583" i="23"/>
  <c r="G583" i="23" s="1"/>
  <c r="H583" i="23" s="1"/>
  <c r="F584" i="23"/>
  <c r="G584" i="23" s="1"/>
  <c r="H584" i="23" s="1"/>
  <c r="F585" i="23"/>
  <c r="G585" i="23" s="1"/>
  <c r="H585" i="23" s="1"/>
  <c r="F586" i="23"/>
  <c r="G586" i="23"/>
  <c r="H586" i="23" s="1"/>
  <c r="F587" i="23"/>
  <c r="G587" i="23" s="1"/>
  <c r="H587" i="23"/>
  <c r="F588" i="23"/>
  <c r="G588" i="23"/>
  <c r="H588" i="23" s="1"/>
  <c r="F589" i="23"/>
  <c r="G589" i="23" s="1"/>
  <c r="H589" i="23" s="1"/>
  <c r="F590" i="23"/>
  <c r="G590" i="23" s="1"/>
  <c r="H590" i="23" s="1"/>
  <c r="F591" i="23"/>
  <c r="G591" i="23" s="1"/>
  <c r="H591" i="23" s="1"/>
  <c r="F592" i="23"/>
  <c r="G592" i="23" s="1"/>
  <c r="H592" i="23" s="1"/>
  <c r="F593" i="23"/>
  <c r="G593" i="23" s="1"/>
  <c r="H593" i="23" s="1"/>
  <c r="F594" i="23"/>
  <c r="G594" i="23"/>
  <c r="H594" i="23" s="1"/>
  <c r="F595" i="23"/>
  <c r="G595" i="23" s="1"/>
  <c r="H595" i="23"/>
  <c r="F596" i="23"/>
  <c r="G596" i="23"/>
  <c r="H596" i="23" s="1"/>
  <c r="F597" i="23"/>
  <c r="G597" i="23" s="1"/>
  <c r="H597" i="23" s="1"/>
  <c r="F598" i="23"/>
  <c r="G598" i="23" s="1"/>
  <c r="H598" i="23" s="1"/>
  <c r="F599" i="23"/>
  <c r="G599" i="23" s="1"/>
  <c r="H599" i="23" s="1"/>
  <c r="F600" i="23"/>
  <c r="G600" i="23"/>
  <c r="H600" i="23" s="1"/>
  <c r="F601" i="23"/>
  <c r="G601" i="23" s="1"/>
  <c r="H601" i="23" s="1"/>
  <c r="F602" i="23"/>
  <c r="G602" i="23" s="1"/>
  <c r="H602" i="23" s="1"/>
  <c r="F603" i="23"/>
  <c r="G603" i="23" s="1"/>
  <c r="H603" i="23" s="1"/>
  <c r="F604" i="23"/>
  <c r="G604" i="23" s="1"/>
  <c r="H604" i="23" s="1"/>
  <c r="F605" i="23"/>
  <c r="G605" i="23" s="1"/>
  <c r="H605" i="23" s="1"/>
  <c r="F606" i="23"/>
  <c r="G606" i="23"/>
  <c r="H606" i="23" s="1"/>
  <c r="F607" i="23"/>
  <c r="G607" i="23" s="1"/>
  <c r="H607" i="23"/>
  <c r="F608" i="23"/>
  <c r="G608" i="23"/>
  <c r="H608" i="23" s="1"/>
  <c r="F609" i="23"/>
  <c r="G609" i="23" s="1"/>
  <c r="H609" i="23" s="1"/>
  <c r="F610" i="23"/>
  <c r="G610" i="23" s="1"/>
  <c r="H610" i="23" s="1"/>
  <c r="F611" i="23"/>
  <c r="G611" i="23" s="1"/>
  <c r="H611" i="23" s="1"/>
  <c r="F612" i="23"/>
  <c r="G612" i="23" s="1"/>
  <c r="H612" i="23" s="1"/>
  <c r="F613" i="23"/>
  <c r="G613" i="23" s="1"/>
  <c r="H613" i="23" s="1"/>
  <c r="F614" i="23"/>
  <c r="G614" i="23"/>
  <c r="H614" i="23" s="1"/>
  <c r="F615" i="23"/>
  <c r="G615" i="23" s="1"/>
  <c r="H615" i="23" s="1"/>
  <c r="F616" i="23"/>
  <c r="G616" i="23" s="1"/>
  <c r="H616" i="23" s="1"/>
  <c r="F617" i="23"/>
  <c r="G617" i="23" s="1"/>
  <c r="H617" i="23" s="1"/>
  <c r="F618" i="23"/>
  <c r="G618" i="23"/>
  <c r="H618" i="23" s="1"/>
  <c r="F619" i="23"/>
  <c r="G619" i="23" s="1"/>
  <c r="H619" i="23"/>
  <c r="F620" i="23"/>
  <c r="G620" i="23"/>
  <c r="H620" i="23" s="1"/>
  <c r="F621" i="23"/>
  <c r="G621" i="23" s="1"/>
  <c r="H621" i="23" s="1"/>
  <c r="F622" i="23"/>
  <c r="G622" i="23" s="1"/>
  <c r="H622" i="23" s="1"/>
  <c r="F623" i="23"/>
  <c r="G623" i="23" s="1"/>
  <c r="H623" i="23" s="1"/>
  <c r="F624" i="23"/>
  <c r="G624" i="23" s="1"/>
  <c r="H624" i="23" s="1"/>
  <c r="F625" i="23"/>
  <c r="G625" i="23" s="1"/>
  <c r="H625" i="23" s="1"/>
  <c r="F626" i="23"/>
  <c r="G626" i="23"/>
  <c r="H626" i="23" s="1"/>
  <c r="F627" i="23"/>
  <c r="G627" i="23" s="1"/>
  <c r="H627" i="23"/>
  <c r="F628" i="23"/>
  <c r="G628" i="23"/>
  <c r="H628" i="23" s="1"/>
  <c r="F629" i="23"/>
  <c r="G629" i="23" s="1"/>
  <c r="H629" i="23" s="1"/>
  <c r="F630" i="23"/>
  <c r="G630" i="23" s="1"/>
  <c r="H630" i="23" s="1"/>
  <c r="F631" i="23"/>
  <c r="G631" i="23" s="1"/>
  <c r="H631" i="23" s="1"/>
  <c r="F632" i="23"/>
  <c r="G632" i="23"/>
  <c r="H632" i="23" s="1"/>
  <c r="F633" i="23"/>
  <c r="G633" i="23" s="1"/>
  <c r="H633" i="23" s="1"/>
  <c r="F634" i="23"/>
  <c r="G634" i="23" s="1"/>
  <c r="H634" i="23" s="1"/>
  <c r="F635" i="23"/>
  <c r="G635" i="23" s="1"/>
  <c r="H635" i="23" s="1"/>
  <c r="F636" i="23"/>
  <c r="G636" i="23" s="1"/>
  <c r="H636" i="23" s="1"/>
  <c r="F637" i="23"/>
  <c r="G637" i="23" s="1"/>
  <c r="H637" i="23" s="1"/>
  <c r="F638" i="23"/>
  <c r="G638" i="23"/>
  <c r="H638" i="23" s="1"/>
  <c r="F639" i="23"/>
  <c r="G639" i="23" s="1"/>
  <c r="H639" i="23"/>
  <c r="F640" i="23"/>
  <c r="G640" i="23"/>
  <c r="H640" i="23" s="1"/>
  <c r="F641" i="23"/>
  <c r="G641" i="23" s="1"/>
  <c r="H641" i="23" s="1"/>
  <c r="F642" i="23"/>
  <c r="G642" i="23" s="1"/>
  <c r="H642" i="23" s="1"/>
  <c r="F643" i="23"/>
  <c r="G643" i="23" s="1"/>
  <c r="H643" i="23" s="1"/>
  <c r="F644" i="23"/>
  <c r="G644" i="23" s="1"/>
  <c r="H644" i="23" s="1"/>
  <c r="F645" i="23"/>
  <c r="G645" i="23" s="1"/>
  <c r="H645" i="23" s="1"/>
  <c r="F646" i="23"/>
  <c r="G646" i="23"/>
  <c r="H646" i="23" s="1"/>
  <c r="F647" i="23"/>
  <c r="G647" i="23" s="1"/>
  <c r="H647" i="23" s="1"/>
  <c r="F648" i="23"/>
  <c r="G648" i="23" s="1"/>
  <c r="H648" i="23" s="1"/>
  <c r="F649" i="23"/>
  <c r="G649" i="23" s="1"/>
  <c r="H649" i="23" s="1"/>
  <c r="F650" i="23"/>
  <c r="G650" i="23"/>
  <c r="H650" i="23" s="1"/>
  <c r="F651" i="23"/>
  <c r="G651" i="23" s="1"/>
  <c r="H651" i="23"/>
  <c r="F652" i="23"/>
  <c r="G652" i="23"/>
  <c r="H652" i="23" s="1"/>
  <c r="F653" i="23"/>
  <c r="G653" i="23" s="1"/>
  <c r="H653" i="23" s="1"/>
  <c r="F654" i="23"/>
  <c r="G654" i="23" s="1"/>
  <c r="H654" i="23" s="1"/>
  <c r="F655" i="23"/>
  <c r="G655" i="23" s="1"/>
  <c r="H655" i="23" s="1"/>
  <c r="F656" i="23"/>
  <c r="G656" i="23" s="1"/>
  <c r="H656" i="23" s="1"/>
  <c r="F657" i="23"/>
  <c r="G657" i="23" s="1"/>
  <c r="H657" i="23" s="1"/>
  <c r="F658" i="23"/>
  <c r="G658" i="23"/>
  <c r="H658" i="23" s="1"/>
  <c r="F659" i="23"/>
  <c r="G659" i="23" s="1"/>
  <c r="H659" i="23"/>
  <c r="F660" i="23"/>
  <c r="G660" i="23"/>
  <c r="H660" i="23" s="1"/>
  <c r="F661" i="23"/>
  <c r="G661" i="23" s="1"/>
  <c r="H661" i="23" s="1"/>
  <c r="F662" i="23"/>
  <c r="G662" i="23" s="1"/>
  <c r="H662" i="23" s="1"/>
  <c r="F663" i="23"/>
  <c r="G663" i="23" s="1"/>
  <c r="H663" i="23" s="1"/>
  <c r="F664" i="23"/>
  <c r="G664" i="23"/>
  <c r="H664" i="23" s="1"/>
  <c r="F665" i="23"/>
  <c r="G665" i="23" s="1"/>
  <c r="H665" i="23" s="1"/>
  <c r="F666" i="23"/>
  <c r="G666" i="23" s="1"/>
  <c r="H666" i="23" s="1"/>
  <c r="F667" i="23"/>
  <c r="G667" i="23" s="1"/>
  <c r="H667" i="23" s="1"/>
  <c r="F668" i="23"/>
  <c r="G668" i="23" s="1"/>
  <c r="H668" i="23" s="1"/>
  <c r="F669" i="23"/>
  <c r="G669" i="23" s="1"/>
  <c r="H669" i="23" s="1"/>
  <c r="F670" i="23"/>
  <c r="G670" i="23"/>
  <c r="H670" i="23" s="1"/>
  <c r="F671" i="23"/>
  <c r="G671" i="23" s="1"/>
  <c r="H671" i="23"/>
  <c r="F672" i="23"/>
  <c r="G672" i="23"/>
  <c r="H672" i="23" s="1"/>
  <c r="F673" i="23"/>
  <c r="G673" i="23" s="1"/>
  <c r="H673" i="23" s="1"/>
  <c r="F674" i="23"/>
  <c r="G674" i="23" s="1"/>
  <c r="H674" i="23" s="1"/>
  <c r="F675" i="23"/>
  <c r="G675" i="23" s="1"/>
  <c r="H675" i="23" s="1"/>
  <c r="F676" i="23"/>
  <c r="G676" i="23" s="1"/>
  <c r="H676" i="23" s="1"/>
  <c r="F677" i="23"/>
  <c r="G677" i="23" s="1"/>
  <c r="H677" i="23" s="1"/>
  <c r="F678" i="23"/>
  <c r="G678" i="23"/>
  <c r="H678" i="23" s="1"/>
  <c r="F679" i="23"/>
  <c r="G679" i="23" s="1"/>
  <c r="H679" i="23" s="1"/>
  <c r="F680" i="23"/>
  <c r="G680" i="23" s="1"/>
  <c r="H680" i="23" s="1"/>
  <c r="F681" i="23"/>
  <c r="G681" i="23" s="1"/>
  <c r="H681" i="23" s="1"/>
  <c r="F682" i="23"/>
  <c r="G682" i="23"/>
  <c r="H682" i="23" s="1"/>
  <c r="F683" i="23"/>
  <c r="G683" i="23" s="1"/>
  <c r="H683" i="23"/>
  <c r="F684" i="23"/>
  <c r="G684" i="23"/>
  <c r="H684" i="23" s="1"/>
  <c r="F685" i="23"/>
  <c r="G685" i="23" s="1"/>
  <c r="H685" i="23" s="1"/>
  <c r="F686" i="23"/>
  <c r="G686" i="23" s="1"/>
  <c r="H686" i="23" s="1"/>
  <c r="F687" i="23"/>
  <c r="G687" i="23" s="1"/>
  <c r="H687" i="23" s="1"/>
  <c r="F688" i="23"/>
  <c r="G688" i="23" s="1"/>
  <c r="H688" i="23" s="1"/>
  <c r="F689" i="23"/>
  <c r="G689" i="23" s="1"/>
  <c r="H689" i="23" s="1"/>
  <c r="F690" i="23"/>
  <c r="G690" i="23"/>
  <c r="H690" i="23" s="1"/>
  <c r="F691" i="23"/>
  <c r="G691" i="23" s="1"/>
  <c r="H691" i="23"/>
  <c r="F692" i="23"/>
  <c r="G692" i="23"/>
  <c r="H692" i="23" s="1"/>
  <c r="F693" i="23"/>
  <c r="G693" i="23" s="1"/>
  <c r="H693" i="23" s="1"/>
  <c r="F694" i="23"/>
  <c r="G694" i="23" s="1"/>
  <c r="H694" i="23" s="1"/>
  <c r="F695" i="23"/>
  <c r="G695" i="23" s="1"/>
  <c r="H695" i="23" s="1"/>
  <c r="F696" i="23"/>
  <c r="G696" i="23"/>
  <c r="H696" i="23" s="1"/>
  <c r="F697" i="23"/>
  <c r="G697" i="23" s="1"/>
  <c r="H697" i="23" s="1"/>
  <c r="F698" i="23"/>
  <c r="G698" i="23" s="1"/>
  <c r="H698" i="23" s="1"/>
  <c r="F699" i="23"/>
  <c r="G699" i="23" s="1"/>
  <c r="H699" i="23" s="1"/>
  <c r="F700" i="23"/>
  <c r="G700" i="23" s="1"/>
  <c r="H700" i="23" s="1"/>
  <c r="F701" i="23"/>
  <c r="G701" i="23" s="1"/>
  <c r="H701" i="23" s="1"/>
  <c r="F702" i="23"/>
  <c r="G702" i="23"/>
  <c r="H702" i="23" s="1"/>
  <c r="F703" i="23"/>
  <c r="G703" i="23" s="1"/>
  <c r="H703" i="23"/>
  <c r="F704" i="23"/>
  <c r="G704" i="23"/>
  <c r="H704" i="23" s="1"/>
  <c r="F705" i="23"/>
  <c r="G705" i="23" s="1"/>
  <c r="H705" i="23" s="1"/>
  <c r="F706" i="23"/>
  <c r="G706" i="23" s="1"/>
  <c r="H706" i="23" s="1"/>
  <c r="F707" i="23"/>
  <c r="G707" i="23" s="1"/>
  <c r="H707" i="23" s="1"/>
  <c r="F708" i="23"/>
  <c r="G708" i="23" s="1"/>
  <c r="H708" i="23" s="1"/>
  <c r="F709" i="23"/>
  <c r="G709" i="23" s="1"/>
  <c r="H709" i="23" s="1"/>
  <c r="F710" i="23"/>
  <c r="G710" i="23"/>
  <c r="H710" i="23" s="1"/>
  <c r="F711" i="23"/>
  <c r="G711" i="23" s="1"/>
  <c r="H711" i="23" s="1"/>
  <c r="F712" i="23"/>
  <c r="G712" i="23" s="1"/>
  <c r="H712" i="23" s="1"/>
  <c r="F713" i="23"/>
  <c r="G713" i="23" s="1"/>
  <c r="H713" i="23" s="1"/>
  <c r="F714" i="23"/>
  <c r="G714" i="23"/>
  <c r="H714" i="23" s="1"/>
  <c r="F715" i="23"/>
  <c r="G715" i="23" s="1"/>
  <c r="H715" i="23"/>
  <c r="F716" i="23"/>
  <c r="G716" i="23"/>
  <c r="H716" i="23" s="1"/>
  <c r="F717" i="23"/>
  <c r="G717" i="23" s="1"/>
  <c r="H717" i="23" s="1"/>
  <c r="F718" i="23"/>
  <c r="G718" i="23" s="1"/>
  <c r="H718" i="23" s="1"/>
  <c r="F719" i="23"/>
  <c r="G719" i="23" s="1"/>
  <c r="H719" i="23" s="1"/>
  <c r="F720" i="23"/>
  <c r="G720" i="23" s="1"/>
  <c r="H720" i="23" s="1"/>
  <c r="F721" i="23"/>
  <c r="G721" i="23" s="1"/>
  <c r="H721" i="23" s="1"/>
  <c r="F722" i="23"/>
  <c r="G722" i="23"/>
  <c r="H722" i="23" s="1"/>
  <c r="F723" i="23"/>
  <c r="G723" i="23" s="1"/>
  <c r="H723" i="23"/>
  <c r="F724" i="23"/>
  <c r="G724" i="23"/>
  <c r="H724" i="23" s="1"/>
  <c r="F725" i="23"/>
  <c r="G725" i="23" s="1"/>
  <c r="H725" i="23" s="1"/>
  <c r="F726" i="23"/>
  <c r="G726" i="23" s="1"/>
  <c r="H726" i="23" s="1"/>
  <c r="F727" i="23"/>
  <c r="G727" i="23" s="1"/>
  <c r="H727" i="23" s="1"/>
  <c r="F728" i="23"/>
  <c r="G728" i="23"/>
  <c r="H728" i="23" s="1"/>
  <c r="F729" i="23"/>
  <c r="G729" i="23" s="1"/>
  <c r="H729" i="23" s="1"/>
  <c r="F730" i="23"/>
  <c r="G730" i="23" s="1"/>
  <c r="H730" i="23" s="1"/>
  <c r="F731" i="23"/>
  <c r="G731" i="23" s="1"/>
  <c r="H731" i="23" s="1"/>
  <c r="F732" i="23"/>
  <c r="G732" i="23" s="1"/>
  <c r="H732" i="23" s="1"/>
  <c r="F733" i="23"/>
  <c r="G733" i="23" s="1"/>
  <c r="H733" i="23" s="1"/>
  <c r="F734" i="23"/>
  <c r="G734" i="23"/>
  <c r="H734" i="23" s="1"/>
  <c r="F735" i="23"/>
  <c r="G735" i="23" s="1"/>
  <c r="H735" i="23"/>
  <c r="F736" i="23"/>
  <c r="G736" i="23"/>
  <c r="H736" i="23" s="1"/>
  <c r="F737" i="23"/>
  <c r="G737" i="23" s="1"/>
  <c r="H737" i="23" s="1"/>
  <c r="F738" i="23"/>
  <c r="G738" i="23" s="1"/>
  <c r="H738" i="23" s="1"/>
  <c r="F739" i="23"/>
  <c r="G739" i="23" s="1"/>
  <c r="H739" i="23" s="1"/>
  <c r="F740" i="23"/>
  <c r="G740" i="23" s="1"/>
  <c r="H740" i="23" s="1"/>
  <c r="F741" i="23"/>
  <c r="G741" i="23" s="1"/>
  <c r="H741" i="23" s="1"/>
  <c r="F742" i="23"/>
  <c r="G742" i="23"/>
  <c r="H742" i="23" s="1"/>
  <c r="F743" i="23"/>
  <c r="G743" i="23" s="1"/>
  <c r="H743" i="23" s="1"/>
  <c r="F744" i="23"/>
  <c r="G744" i="23" s="1"/>
  <c r="H744" i="23" s="1"/>
  <c r="F745" i="23"/>
  <c r="G745" i="23" s="1"/>
  <c r="H745" i="23" s="1"/>
  <c r="F746" i="23"/>
  <c r="G746" i="23"/>
  <c r="H746" i="23" s="1"/>
  <c r="F747" i="23"/>
  <c r="G747" i="23" s="1"/>
  <c r="H747" i="23"/>
  <c r="F748" i="23"/>
  <c r="G748" i="23"/>
  <c r="H748" i="23" s="1"/>
  <c r="F749" i="23"/>
  <c r="G749" i="23" s="1"/>
  <c r="H749" i="23" s="1"/>
  <c r="F750" i="23"/>
  <c r="G750" i="23" s="1"/>
  <c r="H750" i="23" s="1"/>
  <c r="F751" i="23"/>
  <c r="G751" i="23" s="1"/>
  <c r="H751" i="23" s="1"/>
  <c r="F752" i="23"/>
  <c r="G752" i="23" s="1"/>
  <c r="H752" i="23" s="1"/>
  <c r="F753" i="23"/>
  <c r="G753" i="23" s="1"/>
  <c r="H753" i="23" s="1"/>
  <c r="F754" i="23"/>
  <c r="G754" i="23"/>
  <c r="H754" i="23" s="1"/>
  <c r="F755" i="23"/>
  <c r="G755" i="23" s="1"/>
  <c r="H755" i="23"/>
  <c r="F756" i="23"/>
  <c r="G756" i="23"/>
  <c r="H756" i="23" s="1"/>
  <c r="F757" i="23"/>
  <c r="G757" i="23" s="1"/>
  <c r="H757" i="23" s="1"/>
  <c r="F758" i="23"/>
  <c r="G758" i="23" s="1"/>
  <c r="H758" i="23" s="1"/>
  <c r="F759" i="23"/>
  <c r="G759" i="23" s="1"/>
  <c r="H759" i="23" s="1"/>
  <c r="F760" i="23"/>
  <c r="G760" i="23"/>
  <c r="H760" i="23" s="1"/>
  <c r="F761" i="23"/>
  <c r="G761" i="23" s="1"/>
  <c r="H761" i="23" s="1"/>
  <c r="F762" i="23"/>
  <c r="G762" i="23" s="1"/>
  <c r="H762" i="23" s="1"/>
  <c r="F763" i="23"/>
  <c r="G763" i="23" s="1"/>
  <c r="H763" i="23" s="1"/>
  <c r="F764" i="23"/>
  <c r="G764" i="23" s="1"/>
  <c r="H764" i="23" s="1"/>
  <c r="F765" i="23"/>
  <c r="G765" i="23" s="1"/>
  <c r="H765" i="23" s="1"/>
  <c r="F766" i="23"/>
  <c r="G766" i="23"/>
  <c r="H766" i="23" s="1"/>
  <c r="F767" i="23"/>
  <c r="G767" i="23" s="1"/>
  <c r="H767" i="23"/>
  <c r="F768" i="23"/>
  <c r="G768" i="23"/>
  <c r="H768" i="23" s="1"/>
  <c r="F769" i="23"/>
  <c r="G769" i="23" s="1"/>
  <c r="H769" i="23" s="1"/>
  <c r="F770" i="23"/>
  <c r="G770" i="23" s="1"/>
  <c r="H770" i="23" s="1"/>
  <c r="F771" i="23"/>
  <c r="G771" i="23" s="1"/>
  <c r="H771" i="23" s="1"/>
  <c r="F772" i="23"/>
  <c r="G772" i="23" s="1"/>
  <c r="H772" i="23" s="1"/>
  <c r="F773" i="23"/>
  <c r="G773" i="23" s="1"/>
  <c r="H773" i="23" s="1"/>
  <c r="F774" i="23"/>
  <c r="G774" i="23"/>
  <c r="H774" i="23" s="1"/>
  <c r="F775" i="23"/>
  <c r="G775" i="23" s="1"/>
  <c r="H775" i="23" s="1"/>
  <c r="F776" i="23"/>
  <c r="G776" i="23" s="1"/>
  <c r="H776" i="23" s="1"/>
  <c r="F777" i="23"/>
  <c r="G777" i="23" s="1"/>
  <c r="H777" i="23" s="1"/>
  <c r="F778" i="23"/>
  <c r="G778" i="23"/>
  <c r="H778" i="23" s="1"/>
  <c r="F779" i="23"/>
  <c r="G779" i="23" s="1"/>
  <c r="H779" i="23"/>
  <c r="F780" i="23"/>
  <c r="G780" i="23"/>
  <c r="H780" i="23" s="1"/>
  <c r="F781" i="23"/>
  <c r="G781" i="23" s="1"/>
  <c r="H781" i="23" s="1"/>
  <c r="F782" i="23"/>
  <c r="G782" i="23" s="1"/>
  <c r="H782" i="23" s="1"/>
  <c r="F783" i="23"/>
  <c r="G783" i="23" s="1"/>
  <c r="H783" i="23" s="1"/>
  <c r="F784" i="23"/>
  <c r="G784" i="23" s="1"/>
  <c r="H784" i="23" s="1"/>
  <c r="F785" i="23"/>
  <c r="G785" i="23" s="1"/>
  <c r="H785" i="23" s="1"/>
  <c r="F786" i="23"/>
  <c r="G786" i="23"/>
  <c r="H786" i="23" s="1"/>
  <c r="F787" i="23"/>
  <c r="G787" i="23" s="1"/>
  <c r="H787" i="23"/>
  <c r="F788" i="23"/>
  <c r="G788" i="23"/>
  <c r="H788" i="23" s="1"/>
  <c r="F789" i="23"/>
  <c r="G789" i="23" s="1"/>
  <c r="H789" i="23" s="1"/>
  <c r="F790" i="23"/>
  <c r="G790" i="23" s="1"/>
  <c r="H790" i="23" s="1"/>
  <c r="F791" i="23"/>
  <c r="G791" i="23" s="1"/>
  <c r="H791" i="23" s="1"/>
  <c r="F792" i="23"/>
  <c r="G792" i="23"/>
  <c r="H792" i="23" s="1"/>
  <c r="F793" i="23"/>
  <c r="G793" i="23" s="1"/>
  <c r="H793" i="23" s="1"/>
  <c r="F794" i="23"/>
  <c r="G794" i="23" s="1"/>
  <c r="H794" i="23" s="1"/>
  <c r="F795" i="23"/>
  <c r="G795" i="23" s="1"/>
  <c r="H795" i="23" s="1"/>
  <c r="F796" i="23"/>
  <c r="G796" i="23" s="1"/>
  <c r="H796" i="23" s="1"/>
  <c r="F797" i="23"/>
  <c r="G797" i="23" s="1"/>
  <c r="H797" i="23" s="1"/>
  <c r="F798" i="23"/>
  <c r="G798" i="23"/>
  <c r="H798" i="23" s="1"/>
  <c r="F799" i="23"/>
  <c r="G799" i="23" s="1"/>
  <c r="H799" i="23"/>
  <c r="F800" i="23"/>
  <c r="G800" i="23"/>
  <c r="H800" i="23" s="1"/>
  <c r="F801" i="23"/>
  <c r="G801" i="23" s="1"/>
  <c r="H801" i="23" s="1"/>
  <c r="F802" i="23"/>
  <c r="G802" i="23" s="1"/>
  <c r="H802" i="23" s="1"/>
  <c r="F803" i="23"/>
  <c r="G803" i="23" s="1"/>
  <c r="H803" i="23" s="1"/>
  <c r="F804" i="23"/>
  <c r="G804" i="23" s="1"/>
  <c r="H804" i="23" s="1"/>
  <c r="F805" i="23"/>
  <c r="G805" i="23" s="1"/>
  <c r="H805" i="23" s="1"/>
  <c r="F806" i="23"/>
  <c r="G806" i="23"/>
  <c r="H806" i="23" s="1"/>
  <c r="F807" i="23"/>
  <c r="G807" i="23" s="1"/>
  <c r="H807" i="23" s="1"/>
  <c r="F808" i="23"/>
  <c r="G808" i="23" s="1"/>
  <c r="H808" i="23" s="1"/>
  <c r="F809" i="23"/>
  <c r="G809" i="23" s="1"/>
  <c r="H809" i="23" s="1"/>
  <c r="F810" i="23"/>
  <c r="G810" i="23"/>
  <c r="H810" i="23" s="1"/>
  <c r="F811" i="23"/>
  <c r="G811" i="23" s="1"/>
  <c r="H811" i="23"/>
  <c r="F812" i="23"/>
  <c r="G812" i="23"/>
  <c r="H812" i="23" s="1"/>
  <c r="F813" i="23"/>
  <c r="G813" i="23" s="1"/>
  <c r="H813" i="23" s="1"/>
  <c r="F814" i="23"/>
  <c r="G814" i="23" s="1"/>
  <c r="H814" i="23" s="1"/>
  <c r="F815" i="23"/>
  <c r="G815" i="23" s="1"/>
  <c r="H815" i="23" s="1"/>
  <c r="F816" i="23"/>
  <c r="G816" i="23" s="1"/>
  <c r="H816" i="23" s="1"/>
  <c r="F817" i="23"/>
  <c r="G817" i="23" s="1"/>
  <c r="H817" i="23" s="1"/>
  <c r="F818" i="23"/>
  <c r="G818" i="23"/>
  <c r="H818" i="23" s="1"/>
  <c r="F819" i="23"/>
  <c r="G819" i="23" s="1"/>
  <c r="H819" i="23"/>
  <c r="F820" i="23"/>
  <c r="G820" i="23"/>
  <c r="H820" i="23" s="1"/>
  <c r="F821" i="23"/>
  <c r="G821" i="23" s="1"/>
  <c r="H821" i="23" s="1"/>
  <c r="F822" i="23"/>
  <c r="G822" i="23" s="1"/>
  <c r="H822" i="23" s="1"/>
  <c r="F823" i="23"/>
  <c r="G823" i="23" s="1"/>
  <c r="H823" i="23" s="1"/>
  <c r="F824" i="23"/>
  <c r="G824" i="23"/>
  <c r="H824" i="23" s="1"/>
  <c r="F825" i="23"/>
  <c r="G825" i="23" s="1"/>
  <c r="H825" i="23" s="1"/>
  <c r="F826" i="23"/>
  <c r="G826" i="23" s="1"/>
  <c r="H826" i="23" s="1"/>
  <c r="F827" i="23"/>
  <c r="G827" i="23" s="1"/>
  <c r="H827" i="23" s="1"/>
  <c r="F828" i="23"/>
  <c r="G828" i="23" s="1"/>
  <c r="H828" i="23" s="1"/>
  <c r="F829" i="23"/>
  <c r="G829" i="23" s="1"/>
  <c r="H829" i="23" s="1"/>
  <c r="F830" i="23"/>
  <c r="G830" i="23"/>
  <c r="H830" i="23" s="1"/>
  <c r="F831" i="23"/>
  <c r="G831" i="23" s="1"/>
  <c r="H831" i="23"/>
  <c r="F832" i="23"/>
  <c r="G832" i="23"/>
  <c r="H832" i="23" s="1"/>
  <c r="F833" i="23"/>
  <c r="G833" i="23" s="1"/>
  <c r="H833" i="23" s="1"/>
  <c r="F834" i="23"/>
  <c r="G834" i="23" s="1"/>
  <c r="H834" i="23" s="1"/>
  <c r="F835" i="23"/>
  <c r="G835" i="23" s="1"/>
  <c r="H835" i="23" s="1"/>
  <c r="F836" i="23"/>
  <c r="G836" i="23" s="1"/>
  <c r="H836" i="23" s="1"/>
  <c r="F837" i="23"/>
  <c r="G837" i="23" s="1"/>
  <c r="H837" i="23" s="1"/>
  <c r="F838" i="23"/>
  <c r="G838" i="23"/>
  <c r="H838" i="23" s="1"/>
  <c r="F839" i="23"/>
  <c r="G839" i="23" s="1"/>
  <c r="H839" i="23" s="1"/>
  <c r="F840" i="23"/>
  <c r="G840" i="23" s="1"/>
  <c r="H840" i="23" s="1"/>
  <c r="F841" i="23"/>
  <c r="G841" i="23" s="1"/>
  <c r="H841" i="23" s="1"/>
  <c r="F842" i="23"/>
  <c r="G842" i="23"/>
  <c r="H842" i="23" s="1"/>
  <c r="F843" i="23"/>
  <c r="G843" i="23" s="1"/>
  <c r="H843" i="23"/>
  <c r="F844" i="23"/>
  <c r="G844" i="23"/>
  <c r="H844" i="23" s="1"/>
  <c r="F845" i="23"/>
  <c r="G845" i="23" s="1"/>
  <c r="H845" i="23" s="1"/>
  <c r="F846" i="23"/>
  <c r="G846" i="23" s="1"/>
  <c r="H846" i="23" s="1"/>
  <c r="F847" i="23"/>
  <c r="G847" i="23" s="1"/>
  <c r="H847" i="23" s="1"/>
  <c r="F848" i="23"/>
  <c r="G848" i="23" s="1"/>
  <c r="H848" i="23" s="1"/>
  <c r="F849" i="23"/>
  <c r="G849" i="23" s="1"/>
  <c r="H849" i="23" s="1"/>
  <c r="F850" i="23"/>
  <c r="G850" i="23"/>
  <c r="H850" i="23" s="1"/>
  <c r="F851" i="23"/>
  <c r="G851" i="23" s="1"/>
  <c r="H851" i="23"/>
  <c r="F852" i="23"/>
  <c r="G852" i="23"/>
  <c r="H852" i="23" s="1"/>
  <c r="F853" i="23"/>
  <c r="G853" i="23" s="1"/>
  <c r="H853" i="23" s="1"/>
  <c r="F854" i="23"/>
  <c r="G854" i="23" s="1"/>
  <c r="H854" i="23" s="1"/>
  <c r="F855" i="23"/>
  <c r="G855" i="23" s="1"/>
  <c r="H855" i="23" s="1"/>
  <c r="F856" i="23"/>
  <c r="G856" i="23"/>
  <c r="H856" i="23" s="1"/>
  <c r="F857" i="23"/>
  <c r="G857" i="23" s="1"/>
  <c r="H857" i="23" s="1"/>
  <c r="F858" i="23"/>
  <c r="G858" i="23" s="1"/>
  <c r="H858" i="23" s="1"/>
  <c r="F859" i="23"/>
  <c r="G859" i="23" s="1"/>
  <c r="H859" i="23" s="1"/>
  <c r="F860" i="23"/>
  <c r="G860" i="23" s="1"/>
  <c r="H860" i="23" s="1"/>
  <c r="F861" i="23"/>
  <c r="G861" i="23" s="1"/>
  <c r="H861" i="23" s="1"/>
  <c r="F862" i="23"/>
  <c r="G862" i="23"/>
  <c r="H862" i="23" s="1"/>
  <c r="F863" i="23"/>
  <c r="G863" i="23" s="1"/>
  <c r="H863" i="23"/>
  <c r="F864" i="23"/>
  <c r="G864" i="23"/>
  <c r="H864" i="23" s="1"/>
  <c r="F865" i="23"/>
  <c r="G865" i="23" s="1"/>
  <c r="H865" i="23" s="1"/>
  <c r="F866" i="23"/>
  <c r="G866" i="23" s="1"/>
  <c r="H866" i="23" s="1"/>
  <c r="F867" i="23"/>
  <c r="G867" i="23" s="1"/>
  <c r="H867" i="23" s="1"/>
  <c r="F868" i="23"/>
  <c r="G868" i="23" s="1"/>
  <c r="H868" i="23" s="1"/>
  <c r="F869" i="23"/>
  <c r="G869" i="23" s="1"/>
  <c r="H869" i="23" s="1"/>
  <c r="F870" i="23"/>
  <c r="G870" i="23"/>
  <c r="H870" i="23" s="1"/>
  <c r="F871" i="23"/>
  <c r="G871" i="23" s="1"/>
  <c r="H871" i="23" s="1"/>
  <c r="F872" i="23"/>
  <c r="G872" i="23" s="1"/>
  <c r="H872" i="23" s="1"/>
  <c r="F873" i="23"/>
  <c r="G873" i="23" s="1"/>
  <c r="H873" i="23" s="1"/>
  <c r="F874" i="23"/>
  <c r="G874" i="23"/>
  <c r="H874" i="23" s="1"/>
  <c r="F875" i="23"/>
  <c r="G875" i="23" s="1"/>
  <c r="H875" i="23"/>
  <c r="F876" i="23"/>
  <c r="G876" i="23"/>
  <c r="H876" i="23" s="1"/>
  <c r="F877" i="23"/>
  <c r="G877" i="23" s="1"/>
  <c r="H877" i="23" s="1"/>
  <c r="F878" i="23"/>
  <c r="G878" i="23" s="1"/>
  <c r="H878" i="23" s="1"/>
  <c r="F879" i="23"/>
  <c r="G879" i="23" s="1"/>
  <c r="H879" i="23" s="1"/>
  <c r="F880" i="23"/>
  <c r="G880" i="23" s="1"/>
  <c r="H880" i="23" s="1"/>
  <c r="F881" i="23"/>
  <c r="G881" i="23" s="1"/>
  <c r="H881" i="23" s="1"/>
  <c r="F882" i="23"/>
  <c r="G882" i="23"/>
  <c r="H882" i="23" s="1"/>
  <c r="F883" i="23"/>
  <c r="G883" i="23" s="1"/>
  <c r="H883" i="23"/>
  <c r="F884" i="23"/>
  <c r="G884" i="23"/>
  <c r="H884" i="23" s="1"/>
  <c r="F885" i="23"/>
  <c r="G885" i="23" s="1"/>
  <c r="H885" i="23" s="1"/>
  <c r="F886" i="23"/>
  <c r="G886" i="23" s="1"/>
  <c r="H886" i="23" s="1"/>
  <c r="F887" i="23"/>
  <c r="G887" i="23" s="1"/>
  <c r="H887" i="23" s="1"/>
  <c r="F888" i="23"/>
  <c r="G888" i="23"/>
  <c r="H888" i="23" s="1"/>
  <c r="F889" i="23"/>
  <c r="G889" i="23" s="1"/>
  <c r="H889" i="23" s="1"/>
  <c r="F890" i="23"/>
  <c r="G890" i="23" s="1"/>
  <c r="H890" i="23" s="1"/>
  <c r="F891" i="23"/>
  <c r="G891" i="23" s="1"/>
  <c r="H891" i="23" s="1"/>
  <c r="F892" i="23"/>
  <c r="G892" i="23" s="1"/>
  <c r="H892" i="23" s="1"/>
  <c r="F893" i="23"/>
  <c r="G893" i="23" s="1"/>
  <c r="H893" i="23" s="1"/>
  <c r="F894" i="23"/>
  <c r="G894" i="23"/>
  <c r="H894" i="23" s="1"/>
  <c r="F895" i="23"/>
  <c r="G895" i="23" s="1"/>
  <c r="H895" i="23"/>
  <c r="F896" i="23"/>
  <c r="G896" i="23"/>
  <c r="H896" i="23" s="1"/>
  <c r="F897" i="23"/>
  <c r="G897" i="23" s="1"/>
  <c r="H897" i="23" s="1"/>
  <c r="F898" i="23"/>
  <c r="G898" i="23" s="1"/>
  <c r="H898" i="23" s="1"/>
  <c r="F899" i="23"/>
  <c r="G899" i="23" s="1"/>
  <c r="H899" i="23" s="1"/>
  <c r="F900" i="23"/>
  <c r="G900" i="23" s="1"/>
  <c r="H900" i="23" s="1"/>
  <c r="F901" i="23"/>
  <c r="G901" i="23" s="1"/>
  <c r="H901" i="23" s="1"/>
  <c r="F902" i="23"/>
  <c r="G902" i="23"/>
  <c r="H902" i="23" s="1"/>
  <c r="F903" i="23"/>
  <c r="G903" i="23" s="1"/>
  <c r="H903" i="23" s="1"/>
  <c r="F904" i="23"/>
  <c r="G904" i="23" s="1"/>
  <c r="H904" i="23" s="1"/>
  <c r="F905" i="23"/>
  <c r="G905" i="23" s="1"/>
  <c r="H905" i="23" s="1"/>
  <c r="F906" i="23"/>
  <c r="G906" i="23"/>
  <c r="H906" i="23" s="1"/>
  <c r="E88" i="48"/>
  <c r="X19" i="45"/>
  <c r="Z19" i="45"/>
  <c r="AA19" i="45"/>
  <c r="AB19" i="45"/>
  <c r="AC19" i="45"/>
  <c r="AD19" i="45"/>
  <c r="AE19" i="45"/>
  <c r="AF19" i="45"/>
  <c r="AG19" i="45"/>
  <c r="AH19" i="45"/>
  <c r="AI19" i="45"/>
  <c r="AJ19" i="45"/>
  <c r="AK19" i="45"/>
  <c r="AL19" i="45"/>
  <c r="AM19" i="45"/>
  <c r="AN19" i="45"/>
  <c r="AO19" i="45"/>
  <c r="AP19" i="45"/>
  <c r="AQ19" i="45"/>
  <c r="AR19" i="45"/>
  <c r="AS19" i="45"/>
  <c r="AT19" i="45"/>
  <c r="AU19" i="45"/>
  <c r="AV19" i="45"/>
  <c r="AW19" i="45"/>
  <c r="E101" i="48"/>
  <c r="E100" i="48"/>
  <c r="AD98" i="48" s="1"/>
  <c r="BJ19" i="45"/>
  <c r="AE55" i="48"/>
  <c r="C10" i="16"/>
  <c r="D27" i="48"/>
  <c r="E27" i="48"/>
  <c r="F27" i="48"/>
  <c r="G27" i="48"/>
  <c r="H27" i="48"/>
  <c r="G88" i="48"/>
  <c r="G89" i="48"/>
  <c r="G90" i="48"/>
  <c r="G91" i="48"/>
  <c r="G99" i="48"/>
  <c r="G100" i="48"/>
  <c r="G101" i="48"/>
  <c r="E110" i="48"/>
  <c r="I110" i="48" s="1"/>
  <c r="G110" i="48"/>
  <c r="I25" i="48"/>
  <c r="C10" i="56"/>
  <c r="C11" i="56"/>
  <c r="C13" i="56"/>
  <c r="C13" i="16"/>
  <c r="I24" i="48"/>
  <c r="C16" i="56"/>
  <c r="C12" i="56"/>
  <c r="C20" i="52"/>
  <c r="N15" i="28" s="1"/>
  <c r="I23" i="48"/>
  <c r="C9" i="56"/>
  <c r="N10" i="28"/>
  <c r="O10" i="28"/>
  <c r="C22" i="52"/>
  <c r="N17" i="28" s="1"/>
  <c r="S17" i="28" s="1"/>
  <c r="E91" i="48"/>
  <c r="I91" i="48" s="1"/>
  <c r="E89" i="48"/>
  <c r="I89" i="48" s="1"/>
  <c r="E99" i="48"/>
  <c r="V4" i="31"/>
  <c r="S4" i="31"/>
  <c r="AC4" i="31"/>
  <c r="M4" i="24"/>
  <c r="AK4" i="24"/>
  <c r="K4" i="24"/>
  <c r="J4" i="31"/>
  <c r="J4" i="24"/>
  <c r="AA4" i="24"/>
  <c r="R4" i="24"/>
  <c r="O4" i="31"/>
  <c r="AD4" i="31"/>
  <c r="Q4" i="24"/>
  <c r="Q4" i="31"/>
  <c r="AK4" i="31"/>
  <c r="U4" i="31"/>
  <c r="I4" i="24"/>
  <c r="O4" i="24"/>
  <c r="U4" i="24"/>
  <c r="K4" i="31"/>
  <c r="W4" i="31"/>
  <c r="S4" i="24"/>
  <c r="V4" i="24"/>
  <c r="M4" i="31"/>
  <c r="AC4" i="24"/>
  <c r="R4" i="31"/>
  <c r="W4" i="24"/>
  <c r="Y4" i="24"/>
  <c r="N4" i="24"/>
  <c r="I4" i="31"/>
  <c r="Z4" i="24"/>
  <c r="AG4" i="24"/>
  <c r="Z4" i="31"/>
  <c r="AG4" i="31"/>
  <c r="N4" i="31"/>
  <c r="AD4" i="24"/>
  <c r="Y4" i="31"/>
  <c r="AA4" i="31"/>
  <c r="D24" i="16" l="1"/>
  <c r="D31" i="16" s="1"/>
  <c r="D125" i="48"/>
  <c r="C24" i="16"/>
  <c r="C31" i="16" s="1"/>
  <c r="C125" i="48"/>
  <c r="C127" i="48" s="1"/>
  <c r="J127" i="48" s="1"/>
  <c r="AC26" i="47"/>
  <c r="AD26" i="47" s="1"/>
  <c r="AC15" i="47"/>
  <c r="AD15" i="47" s="1"/>
  <c r="AC11" i="47"/>
  <c r="AD11" i="47" s="1"/>
  <c r="AC22" i="47"/>
  <c r="AD22" i="47" s="1"/>
  <c r="AC10" i="47"/>
  <c r="AD10" i="47" s="1"/>
  <c r="AC18" i="47"/>
  <c r="AD18" i="47" s="1"/>
  <c r="AC24" i="47"/>
  <c r="AD24" i="47" s="1"/>
  <c r="AC21" i="47"/>
  <c r="AD21" i="47" s="1"/>
  <c r="AC17" i="47"/>
  <c r="AD17" i="47" s="1"/>
  <c r="AC13" i="47"/>
  <c r="AD13" i="47" s="1"/>
  <c r="AC19" i="47"/>
  <c r="AD19" i="47" s="1"/>
  <c r="AC25" i="47"/>
  <c r="AD25" i="47" s="1"/>
  <c r="AC14" i="47"/>
  <c r="AD14" i="47" s="1"/>
  <c r="AC27" i="47"/>
  <c r="AD27" i="47" s="1"/>
  <c r="AC23" i="47"/>
  <c r="AD23" i="47" s="1"/>
  <c r="AC20" i="47"/>
  <c r="AD20" i="47" s="1"/>
  <c r="AC16" i="47"/>
  <c r="AD16" i="47" s="1"/>
  <c r="AC12" i="47"/>
  <c r="AD12" i="47" s="1"/>
  <c r="AX28" i="47"/>
  <c r="C113" i="48"/>
  <c r="E124" i="48" s="1"/>
  <c r="H30" i="16"/>
  <c r="E30" i="16"/>
  <c r="J30" i="16" s="1"/>
  <c r="E18" i="56"/>
  <c r="C27" i="42" s="1"/>
  <c r="E90" i="48"/>
  <c r="AD88" i="48" s="1"/>
  <c r="L24" i="53"/>
  <c r="AG134" i="66"/>
  <c r="AH134" i="66" s="1"/>
  <c r="AG68" i="66"/>
  <c r="AG64" i="66"/>
  <c r="AH64" i="66" s="1"/>
  <c r="AG88" i="66"/>
  <c r="AG40" i="66"/>
  <c r="AH40" i="66" s="1"/>
  <c r="B18" i="28"/>
  <c r="AG185" i="66"/>
  <c r="AG116" i="66"/>
  <c r="C18" i="66"/>
  <c r="D18" i="66" s="1"/>
  <c r="E18" i="66" s="1"/>
  <c r="F18" i="66" s="1"/>
  <c r="G18" i="66" s="1"/>
  <c r="H18" i="66" s="1"/>
  <c r="I18" i="66" s="1"/>
  <c r="J18" i="66" s="1"/>
  <c r="K18" i="66" s="1"/>
  <c r="L18" i="66" s="1"/>
  <c r="M18" i="66" s="1"/>
  <c r="N18" i="66" s="1"/>
  <c r="O18" i="66" s="1"/>
  <c r="P18" i="66" s="1"/>
  <c r="Q18" i="66" s="1"/>
  <c r="R18" i="66" s="1"/>
  <c r="S18" i="66" s="1"/>
  <c r="T18" i="66" s="1"/>
  <c r="U18" i="66" s="1"/>
  <c r="V18" i="66" s="1"/>
  <c r="W18" i="66" s="1"/>
  <c r="X18" i="66" s="1"/>
  <c r="Y18" i="66" s="1"/>
  <c r="Z18" i="66" s="1"/>
  <c r="AA18" i="66" s="1"/>
  <c r="AB18" i="66" s="1"/>
  <c r="AC18" i="66" s="1"/>
  <c r="AD18" i="66" s="1"/>
  <c r="AE18" i="66" s="1"/>
  <c r="AF18" i="66" s="1"/>
  <c r="AG18" i="66" s="1"/>
  <c r="AH18" i="66" s="1"/>
  <c r="AG133" i="66"/>
  <c r="AH133" i="66" s="1"/>
  <c r="AG135" i="66"/>
  <c r="AG86" i="66"/>
  <c r="AG208" i="66"/>
  <c r="AH208" i="66" s="1"/>
  <c r="AG204" i="66"/>
  <c r="AH204" i="66" s="1"/>
  <c r="AG111" i="66"/>
  <c r="AG42" i="66"/>
  <c r="AG155" i="66"/>
  <c r="AH155" i="66" s="1"/>
  <c r="AG113" i="66"/>
  <c r="AH113" i="66" s="1"/>
  <c r="AG67" i="66"/>
  <c r="AG132" i="66"/>
  <c r="AG66" i="66"/>
  <c r="AG202" i="66"/>
  <c r="AG206" i="66"/>
  <c r="AG139" i="66"/>
  <c r="AH139" i="66" s="1"/>
  <c r="AG93" i="66"/>
  <c r="AH93" i="66" s="1"/>
  <c r="AG179" i="66"/>
  <c r="AH179" i="66" s="1"/>
  <c r="AG109" i="66"/>
  <c r="AG63" i="66"/>
  <c r="AG157" i="66"/>
  <c r="AG112" i="66"/>
  <c r="AH112" i="66" s="1"/>
  <c r="AG43" i="66"/>
  <c r="AG205" i="66"/>
  <c r="AG203" i="66"/>
  <c r="C19" i="66"/>
  <c r="D19" i="66" s="1"/>
  <c r="E19" i="66" s="1"/>
  <c r="F19" i="66" s="1"/>
  <c r="G19" i="66" s="1"/>
  <c r="H19" i="66" s="1"/>
  <c r="I19" i="66" s="1"/>
  <c r="J19" i="66" s="1"/>
  <c r="K19" i="66" s="1"/>
  <c r="L19" i="66" s="1"/>
  <c r="M19" i="66" s="1"/>
  <c r="N19" i="66" s="1"/>
  <c r="O19" i="66" s="1"/>
  <c r="P19" i="66" s="1"/>
  <c r="Q19" i="66" s="1"/>
  <c r="R19" i="66" s="1"/>
  <c r="S19" i="66" s="1"/>
  <c r="T19" i="66" s="1"/>
  <c r="U19" i="66" s="1"/>
  <c r="V19" i="66" s="1"/>
  <c r="W19" i="66" s="1"/>
  <c r="X19" i="66" s="1"/>
  <c r="Y19" i="66" s="1"/>
  <c r="Z19" i="66" s="1"/>
  <c r="AA19" i="66" s="1"/>
  <c r="AB19" i="66" s="1"/>
  <c r="AC19" i="66" s="1"/>
  <c r="AD19" i="66" s="1"/>
  <c r="AE19" i="66" s="1"/>
  <c r="AF19" i="66" s="1"/>
  <c r="AG19" i="66" s="1"/>
  <c r="AH19" i="66" s="1"/>
  <c r="Q14" i="28"/>
  <c r="B16" i="28"/>
  <c r="AH162" i="66"/>
  <c r="AH88" i="66"/>
  <c r="AH111" i="66"/>
  <c r="AH42" i="66"/>
  <c r="N19" i="28"/>
  <c r="S19" i="28" s="1"/>
  <c r="S23" i="28" s="1"/>
  <c r="C19" i="53"/>
  <c r="N14" i="30" s="1"/>
  <c r="C8" i="30" s="1"/>
  <c r="B8" i="30" s="1"/>
  <c r="AH161" i="66"/>
  <c r="AH138" i="66"/>
  <c r="AH92" i="66"/>
  <c r="AH67" i="66"/>
  <c r="AH132" i="66"/>
  <c r="AH66" i="66"/>
  <c r="AH202" i="66"/>
  <c r="AH206" i="66"/>
  <c r="AH68" i="66"/>
  <c r="AH45" i="66"/>
  <c r="H30" i="60"/>
  <c r="I30" i="60"/>
  <c r="D30" i="60" s="1"/>
  <c r="AH185" i="66"/>
  <c r="AH116" i="66"/>
  <c r="AH109" i="66"/>
  <c r="AH63" i="66"/>
  <c r="AH157" i="66"/>
  <c r="AH43" i="66"/>
  <c r="AH205" i="66"/>
  <c r="AH203" i="66"/>
  <c r="AG89" i="66"/>
  <c r="AH89" i="66" s="1"/>
  <c r="AG183" i="66"/>
  <c r="AH183" i="66" s="1"/>
  <c r="AG136" i="66"/>
  <c r="AH136" i="66" s="1"/>
  <c r="AG41" i="66"/>
  <c r="AH41" i="66" s="1"/>
  <c r="AG160" i="66"/>
  <c r="AH160" i="66" s="1"/>
  <c r="AH184" i="66"/>
  <c r="AH115" i="66"/>
  <c r="AH70" i="66"/>
  <c r="AH158" i="66"/>
  <c r="AH87" i="66"/>
  <c r="AH44" i="66"/>
  <c r="AH90" i="66"/>
  <c r="AH207" i="66"/>
  <c r="AH201" i="66"/>
  <c r="AG181" i="66"/>
  <c r="AH181" i="66" s="1"/>
  <c r="AG65" i="66"/>
  <c r="AH65" i="66" s="1"/>
  <c r="AG180" i="66"/>
  <c r="AH180" i="66" s="1"/>
  <c r="AG114" i="66"/>
  <c r="AH114" i="66" s="1"/>
  <c r="AG182" i="66"/>
  <c r="AH182" i="66" s="1"/>
  <c r="AG137" i="66"/>
  <c r="AH137" i="66" s="1"/>
  <c r="AH69" i="66"/>
  <c r="AX9" i="47"/>
  <c r="AH135" i="66"/>
  <c r="AH86" i="66"/>
  <c r="AG110" i="66"/>
  <c r="AH110" i="66" s="1"/>
  <c r="AG156" i="66"/>
  <c r="AH156" i="66" s="1"/>
  <c r="AG159" i="66"/>
  <c r="AH159" i="66" s="1"/>
  <c r="AG91" i="66"/>
  <c r="AH91" i="66" s="1"/>
  <c r="AG178" i="66"/>
  <c r="AH178" i="66" s="1"/>
  <c r="C34" i="60"/>
  <c r="D34" i="60"/>
  <c r="D38" i="60"/>
  <c r="Q22" i="47"/>
  <c r="Q27" i="47"/>
  <c r="AM27" i="47" s="1"/>
  <c r="Q25" i="47"/>
  <c r="AM25" i="47" s="1"/>
  <c r="Q23" i="47"/>
  <c r="AM23" i="47" s="1"/>
  <c r="Q26" i="47"/>
  <c r="Q24" i="47"/>
  <c r="H24" i="16"/>
  <c r="H32" i="60"/>
  <c r="H36" i="60"/>
  <c r="I33" i="60"/>
  <c r="I35" i="60"/>
  <c r="H37" i="60"/>
  <c r="J120" i="48"/>
  <c r="I31" i="60"/>
  <c r="F34" i="60"/>
  <c r="H33" i="60"/>
  <c r="E95" i="48"/>
  <c r="I95" i="48" s="1"/>
  <c r="H35" i="60"/>
  <c r="H31" i="60"/>
  <c r="J119" i="48"/>
  <c r="I32" i="60"/>
  <c r="D32" i="60" s="1"/>
  <c r="I27" i="16"/>
  <c r="J121" i="48"/>
  <c r="I36" i="60"/>
  <c r="F38" i="60"/>
  <c r="C22" i="66"/>
  <c r="D22" i="66" s="1"/>
  <c r="E22" i="66" s="1"/>
  <c r="F22" i="66" s="1"/>
  <c r="G22" i="66" s="1"/>
  <c r="H22" i="66" s="1"/>
  <c r="I22" i="66" s="1"/>
  <c r="J22" i="66" s="1"/>
  <c r="K22" i="66" s="1"/>
  <c r="L22" i="66" s="1"/>
  <c r="M22" i="66" s="1"/>
  <c r="N22" i="66" s="1"/>
  <c r="O22" i="66" s="1"/>
  <c r="P22" i="66" s="1"/>
  <c r="Q22" i="66" s="1"/>
  <c r="R22" i="66" s="1"/>
  <c r="S22" i="66" s="1"/>
  <c r="T22" i="66" s="1"/>
  <c r="U22" i="66" s="1"/>
  <c r="V22" i="66" s="1"/>
  <c r="W22" i="66" s="1"/>
  <c r="X22" i="66" s="1"/>
  <c r="Y22" i="66" s="1"/>
  <c r="Z22" i="66" s="1"/>
  <c r="AA22" i="66" s="1"/>
  <c r="AB22" i="66" s="1"/>
  <c r="AC22" i="66" s="1"/>
  <c r="AD22" i="66" s="1"/>
  <c r="AE22" i="66" s="1"/>
  <c r="AF22" i="66" s="1"/>
  <c r="AG22" i="66" s="1"/>
  <c r="AH22" i="66" s="1"/>
  <c r="C21" i="66"/>
  <c r="D21" i="66" s="1"/>
  <c r="E21" i="66" s="1"/>
  <c r="F21" i="66" s="1"/>
  <c r="G21" i="66" s="1"/>
  <c r="H21" i="66" s="1"/>
  <c r="I21" i="66" s="1"/>
  <c r="J21" i="66" s="1"/>
  <c r="K21" i="66" s="1"/>
  <c r="L21" i="66" s="1"/>
  <c r="M21" i="66" s="1"/>
  <c r="N21" i="66" s="1"/>
  <c r="O21" i="66" s="1"/>
  <c r="P21" i="66" s="1"/>
  <c r="Q21" i="66" s="1"/>
  <c r="R21" i="66" s="1"/>
  <c r="S21" i="66" s="1"/>
  <c r="T21" i="66" s="1"/>
  <c r="U21" i="66" s="1"/>
  <c r="V21" i="66" s="1"/>
  <c r="W21" i="66" s="1"/>
  <c r="X21" i="66" s="1"/>
  <c r="Y21" i="66" s="1"/>
  <c r="Z21" i="66" s="1"/>
  <c r="AA21" i="66" s="1"/>
  <c r="AB21" i="66" s="1"/>
  <c r="AC21" i="66" s="1"/>
  <c r="AD21" i="66" s="1"/>
  <c r="AE21" i="66" s="1"/>
  <c r="AF21" i="66" s="1"/>
  <c r="AG21" i="66" s="1"/>
  <c r="AH21" i="66" s="1"/>
  <c r="C21" i="53"/>
  <c r="N16" i="30" s="1"/>
  <c r="S16" i="30" s="1"/>
  <c r="C20" i="66"/>
  <c r="D20" i="66" s="1"/>
  <c r="E20" i="66" s="1"/>
  <c r="F20" i="66" s="1"/>
  <c r="G20" i="66" s="1"/>
  <c r="H20" i="66" s="1"/>
  <c r="I20" i="66" s="1"/>
  <c r="J20" i="66" s="1"/>
  <c r="K20" i="66" s="1"/>
  <c r="L20" i="66" s="1"/>
  <c r="M20" i="66" s="1"/>
  <c r="N20" i="66" s="1"/>
  <c r="O20" i="66" s="1"/>
  <c r="P20" i="66" s="1"/>
  <c r="Q20" i="66" s="1"/>
  <c r="R20" i="66" s="1"/>
  <c r="S20" i="66" s="1"/>
  <c r="T20" i="66" s="1"/>
  <c r="U20" i="66" s="1"/>
  <c r="V20" i="66" s="1"/>
  <c r="W20" i="66" s="1"/>
  <c r="X20" i="66" s="1"/>
  <c r="Y20" i="66" s="1"/>
  <c r="Z20" i="66" s="1"/>
  <c r="AA20" i="66" s="1"/>
  <c r="AB20" i="66" s="1"/>
  <c r="AC20" i="66" s="1"/>
  <c r="AD20" i="66" s="1"/>
  <c r="AE20" i="66" s="1"/>
  <c r="AF20" i="66" s="1"/>
  <c r="AG20" i="66" s="1"/>
  <c r="AH20" i="66" s="1"/>
  <c r="C17" i="66"/>
  <c r="D17" i="66" s="1"/>
  <c r="E17" i="66" s="1"/>
  <c r="F17" i="66" s="1"/>
  <c r="G17" i="66" s="1"/>
  <c r="H17" i="66" s="1"/>
  <c r="I17" i="66" s="1"/>
  <c r="J17" i="66" s="1"/>
  <c r="K17" i="66" s="1"/>
  <c r="L17" i="66" s="1"/>
  <c r="M17" i="66" s="1"/>
  <c r="N17" i="66" s="1"/>
  <c r="O17" i="66" s="1"/>
  <c r="P17" i="66" s="1"/>
  <c r="Q17" i="66" s="1"/>
  <c r="R17" i="66" s="1"/>
  <c r="S17" i="66" s="1"/>
  <c r="T17" i="66" s="1"/>
  <c r="U17" i="66" s="1"/>
  <c r="V17" i="66" s="1"/>
  <c r="W17" i="66" s="1"/>
  <c r="X17" i="66" s="1"/>
  <c r="Y17" i="66" s="1"/>
  <c r="Z17" i="66" s="1"/>
  <c r="AA17" i="66" s="1"/>
  <c r="AB17" i="66" s="1"/>
  <c r="AC17" i="66" s="1"/>
  <c r="AD17" i="66" s="1"/>
  <c r="AE17" i="66" s="1"/>
  <c r="AF17" i="66" s="1"/>
  <c r="AG17" i="66" s="1"/>
  <c r="AH17" i="66" s="1"/>
  <c r="C23" i="66"/>
  <c r="D23" i="66" s="1"/>
  <c r="E23" i="66" s="1"/>
  <c r="F23" i="66" s="1"/>
  <c r="G23" i="66" s="1"/>
  <c r="H23" i="66" s="1"/>
  <c r="I23" i="66" s="1"/>
  <c r="J23" i="66" s="1"/>
  <c r="K23" i="66" s="1"/>
  <c r="L23" i="66" s="1"/>
  <c r="M23" i="66" s="1"/>
  <c r="N23" i="66" s="1"/>
  <c r="O23" i="66" s="1"/>
  <c r="P23" i="66" s="1"/>
  <c r="Q23" i="66" s="1"/>
  <c r="R23" i="66" s="1"/>
  <c r="S23" i="66" s="1"/>
  <c r="T23" i="66" s="1"/>
  <c r="U23" i="66" s="1"/>
  <c r="V23" i="66" s="1"/>
  <c r="W23" i="66" s="1"/>
  <c r="X23" i="66" s="1"/>
  <c r="Y23" i="66" s="1"/>
  <c r="Z23" i="66" s="1"/>
  <c r="AA23" i="66" s="1"/>
  <c r="AB23" i="66" s="1"/>
  <c r="AC23" i="66" s="1"/>
  <c r="AD23" i="66" s="1"/>
  <c r="AE23" i="66" s="1"/>
  <c r="AF23" i="66" s="1"/>
  <c r="AG23" i="66" s="1"/>
  <c r="AH23" i="66" s="1"/>
  <c r="E102" i="48"/>
  <c r="I102" i="48" s="1"/>
  <c r="C20" i="53"/>
  <c r="C12" i="52"/>
  <c r="C12" i="53" s="1"/>
  <c r="G102" i="48"/>
  <c r="G109" i="48" s="1"/>
  <c r="E37" i="48" s="1"/>
  <c r="H29" i="16"/>
  <c r="H26" i="16"/>
  <c r="H25" i="16"/>
  <c r="AD108" i="48"/>
  <c r="AD89" i="48"/>
  <c r="I88" i="48"/>
  <c r="AD86" i="48"/>
  <c r="AD87" i="48"/>
  <c r="I101" i="48"/>
  <c r="AD99" i="48"/>
  <c r="AD60" i="48"/>
  <c r="AE60" i="48"/>
  <c r="I100" i="48"/>
  <c r="I99" i="48"/>
  <c r="AD97" i="48"/>
  <c r="AD57" i="48"/>
  <c r="AE57" i="48"/>
  <c r="AD59" i="48"/>
  <c r="AE59" i="48"/>
  <c r="H54" i="48"/>
  <c r="AE52" i="48" s="1"/>
  <c r="I27" i="48"/>
  <c r="E33" i="48" s="1"/>
  <c r="H28" i="16"/>
  <c r="H27" i="16"/>
  <c r="C3" i="55"/>
  <c r="C4" i="55"/>
  <c r="W28" i="47"/>
  <c r="Z28" i="47"/>
  <c r="AA28" i="47"/>
  <c r="E32" i="48"/>
  <c r="C14" i="105" s="1"/>
  <c r="C35" i="53"/>
  <c r="P10" i="28"/>
  <c r="B11" i="28"/>
  <c r="C22" i="53"/>
  <c r="N17" i="30" s="1"/>
  <c r="S17" i="30" s="1"/>
  <c r="C24" i="66"/>
  <c r="D24" i="66" s="1"/>
  <c r="E24" i="66" s="1"/>
  <c r="F24" i="66" s="1"/>
  <c r="G24" i="66" s="1"/>
  <c r="H24" i="66" s="1"/>
  <c r="I24" i="66" s="1"/>
  <c r="J24" i="66" s="1"/>
  <c r="K24" i="66" s="1"/>
  <c r="L24" i="66" s="1"/>
  <c r="M24" i="66" s="1"/>
  <c r="N24" i="66" s="1"/>
  <c r="O24" i="66" s="1"/>
  <c r="P24" i="66" s="1"/>
  <c r="Q24" i="66" s="1"/>
  <c r="R24" i="66" s="1"/>
  <c r="S24" i="66" s="1"/>
  <c r="T24" i="66" s="1"/>
  <c r="U24" i="66" s="1"/>
  <c r="V24" i="66" s="1"/>
  <c r="W24" i="66" s="1"/>
  <c r="X24" i="66" s="1"/>
  <c r="Y24" i="66" s="1"/>
  <c r="Z24" i="66" s="1"/>
  <c r="AA24" i="66" s="1"/>
  <c r="AB24" i="66" s="1"/>
  <c r="AC24" i="66" s="1"/>
  <c r="AD24" i="66" s="1"/>
  <c r="AE24" i="66" s="1"/>
  <c r="AF24" i="66" s="1"/>
  <c r="AG24" i="66" s="1"/>
  <c r="AH24" i="66" s="1"/>
  <c r="F47" i="66"/>
  <c r="E46" i="66"/>
  <c r="AI16" i="66"/>
  <c r="AD54" i="48"/>
  <c r="N22" i="47"/>
  <c r="P22" i="47"/>
  <c r="O22" i="47"/>
  <c r="AP22" i="47" s="1"/>
  <c r="AM28" i="47"/>
  <c r="AN28" i="47"/>
  <c r="N26" i="47"/>
  <c r="P26" i="47"/>
  <c r="O26" i="47"/>
  <c r="AP26" i="47" s="1"/>
  <c r="N24" i="47"/>
  <c r="P24" i="47"/>
  <c r="O24" i="47"/>
  <c r="AP24" i="47" s="1"/>
  <c r="N10" i="47"/>
  <c r="P10" i="47"/>
  <c r="O10" i="47"/>
  <c r="AP10" i="47" s="1"/>
  <c r="N20" i="47"/>
  <c r="P20" i="47"/>
  <c r="N18" i="47"/>
  <c r="P18" i="47"/>
  <c r="O18" i="47"/>
  <c r="AP18" i="47" s="1"/>
  <c r="N16" i="47"/>
  <c r="P16" i="47"/>
  <c r="O16" i="47"/>
  <c r="AP16" i="47" s="1"/>
  <c r="N14" i="47"/>
  <c r="P14" i="47"/>
  <c r="O14" i="47"/>
  <c r="AP14" i="47" s="1"/>
  <c r="N12" i="47"/>
  <c r="P12" i="47"/>
  <c r="O12" i="47"/>
  <c r="AP12" i="47" s="1"/>
  <c r="P27" i="47"/>
  <c r="N27" i="47"/>
  <c r="P25" i="47"/>
  <c r="N25" i="47"/>
  <c r="P23" i="47"/>
  <c r="N23" i="47"/>
  <c r="P21" i="47"/>
  <c r="N21" i="47"/>
  <c r="P19" i="47"/>
  <c r="Q19" i="47"/>
  <c r="AM19" i="47" s="1"/>
  <c r="N19" i="47"/>
  <c r="P17" i="47"/>
  <c r="N17" i="47"/>
  <c r="P15" i="47"/>
  <c r="N15" i="47"/>
  <c r="P13" i="47"/>
  <c r="N13" i="47"/>
  <c r="P11" i="47"/>
  <c r="N11" i="47"/>
  <c r="K32" i="53"/>
  <c r="E94" i="48"/>
  <c r="C25" i="52"/>
  <c r="C23" i="53"/>
  <c r="N18" i="30" s="1"/>
  <c r="S18" i="30" s="1"/>
  <c r="B8" i="28"/>
  <c r="AD55" i="48"/>
  <c r="C12" i="16"/>
  <c r="G97" i="48"/>
  <c r="AE54" i="48"/>
  <c r="U35" i="47"/>
  <c r="C21" i="103" s="1"/>
  <c r="N22" i="28"/>
  <c r="Q14" i="30"/>
  <c r="G96" i="48"/>
  <c r="G5" i="25"/>
  <c r="N5" i="25"/>
  <c r="C5" i="25"/>
  <c r="M5" i="25"/>
  <c r="E5" i="25"/>
  <c r="K5" i="25"/>
  <c r="D5" i="25"/>
  <c r="I5" i="25"/>
  <c r="J5" i="25"/>
  <c r="O5" i="25"/>
  <c r="L5" i="25"/>
  <c r="B11" i="30"/>
  <c r="P10" i="30"/>
  <c r="M15" i="31"/>
  <c r="N14" i="24"/>
  <c r="J15" i="31"/>
  <c r="L15" i="31"/>
  <c r="N15" i="31"/>
  <c r="J14" i="31"/>
  <c r="L14" i="24"/>
  <c r="M15" i="24"/>
  <c r="L14" i="31"/>
  <c r="N15" i="24"/>
  <c r="M14" i="31"/>
  <c r="L15" i="24"/>
  <c r="N14" i="31"/>
  <c r="M14" i="24"/>
  <c r="K124" i="48" l="1"/>
  <c r="E123" i="48"/>
  <c r="I24" i="16"/>
  <c r="E126" i="48"/>
  <c r="K126" i="48" s="1"/>
  <c r="I126" i="48"/>
  <c r="I119" i="48"/>
  <c r="I121" i="48"/>
  <c r="I124" i="48"/>
  <c r="I118" i="48"/>
  <c r="I120" i="48"/>
  <c r="I123" i="48"/>
  <c r="C136" i="48"/>
  <c r="C137" i="48"/>
  <c r="D137" i="48"/>
  <c r="D136" i="48"/>
  <c r="I28" i="48"/>
  <c r="H19" i="103"/>
  <c r="H18" i="103"/>
  <c r="H20" i="103"/>
  <c r="C11" i="60"/>
  <c r="K14" i="47"/>
  <c r="AW23" i="47"/>
  <c r="K16" i="47"/>
  <c r="AT16" i="47" s="1"/>
  <c r="K10" i="47"/>
  <c r="AT10" i="47" s="1"/>
  <c r="K12" i="47"/>
  <c r="AT12" i="47" s="1"/>
  <c r="K26" i="47"/>
  <c r="AT26" i="47" s="1"/>
  <c r="K18" i="47"/>
  <c r="K24" i="47"/>
  <c r="AT24" i="47" s="1"/>
  <c r="K22" i="47"/>
  <c r="AT22" i="47" s="1"/>
  <c r="AW24" i="47"/>
  <c r="AW27" i="47"/>
  <c r="H31" i="16"/>
  <c r="I122" i="48"/>
  <c r="E27" i="16"/>
  <c r="J27" i="16" s="1"/>
  <c r="I90" i="48"/>
  <c r="B16" i="30"/>
  <c r="B18" i="30"/>
  <c r="C14" i="16"/>
  <c r="C25" i="92"/>
  <c r="C19" i="55"/>
  <c r="C24" i="92"/>
  <c r="AI156" i="66"/>
  <c r="AI86" i="66"/>
  <c r="AI137" i="66"/>
  <c r="AI65" i="66"/>
  <c r="AI90" i="66"/>
  <c r="AI70" i="66"/>
  <c r="AI41" i="66"/>
  <c r="AI203" i="66"/>
  <c r="AI157" i="66"/>
  <c r="AI116" i="66"/>
  <c r="AI45" i="66"/>
  <c r="AI202" i="66"/>
  <c r="AI67" i="66"/>
  <c r="AI161" i="66"/>
  <c r="AI42" i="66"/>
  <c r="C25" i="53"/>
  <c r="AI23" i="66"/>
  <c r="E28" i="16"/>
  <c r="J28" i="16" s="1"/>
  <c r="L32" i="53"/>
  <c r="AI17" i="66"/>
  <c r="AI22" i="66"/>
  <c r="I37" i="60"/>
  <c r="C30" i="60"/>
  <c r="AW25" i="47"/>
  <c r="AV16" i="47"/>
  <c r="AV10" i="47"/>
  <c r="E29" i="16"/>
  <c r="J29" i="16" s="1"/>
  <c r="I29" i="16"/>
  <c r="E26" i="16"/>
  <c r="J26" i="16" s="1"/>
  <c r="I31" i="16"/>
  <c r="E122" i="48"/>
  <c r="E118" i="48"/>
  <c r="E120" i="48"/>
  <c r="E119" i="48"/>
  <c r="E24" i="16"/>
  <c r="AW19" i="47"/>
  <c r="AI19" i="66"/>
  <c r="AI18" i="66"/>
  <c r="AI20" i="66"/>
  <c r="AI178" i="66"/>
  <c r="AI110" i="66"/>
  <c r="AI135" i="66"/>
  <c r="AI69" i="66"/>
  <c r="AI182" i="66"/>
  <c r="AI181" i="66"/>
  <c r="AI44" i="66"/>
  <c r="AI115" i="66"/>
  <c r="AI136" i="66"/>
  <c r="AI205" i="66"/>
  <c r="AI63" i="66"/>
  <c r="AI185" i="66"/>
  <c r="AI134" i="66"/>
  <c r="AI66" i="66"/>
  <c r="AI113" i="66"/>
  <c r="AI111" i="66"/>
  <c r="AV14" i="47"/>
  <c r="AW26" i="47"/>
  <c r="AI21" i="66"/>
  <c r="AI91" i="66"/>
  <c r="AI204" i="66"/>
  <c r="AI40" i="66"/>
  <c r="AI93" i="66"/>
  <c r="AI114" i="66"/>
  <c r="AI201" i="66"/>
  <c r="AI87" i="66"/>
  <c r="AI184" i="66"/>
  <c r="AI183" i="66"/>
  <c r="AI43" i="66"/>
  <c r="AI109" i="66"/>
  <c r="AI68" i="66"/>
  <c r="AI132" i="66"/>
  <c r="AI92" i="66"/>
  <c r="AI88" i="66"/>
  <c r="AW22" i="47"/>
  <c r="AI24" i="66"/>
  <c r="AI159" i="66"/>
  <c r="AI208" i="66"/>
  <c r="AI133" i="66"/>
  <c r="AI139" i="66"/>
  <c r="AI180" i="66"/>
  <c r="AI207" i="66"/>
  <c r="AI158" i="66"/>
  <c r="AI160" i="66"/>
  <c r="AI89" i="66"/>
  <c r="AI112" i="66"/>
  <c r="AI179" i="66"/>
  <c r="AI206" i="66"/>
  <c r="AI64" i="66"/>
  <c r="AI138" i="66"/>
  <c r="AI155" i="66"/>
  <c r="AI162" i="66"/>
  <c r="Q17" i="47"/>
  <c r="AM17" i="47" s="1"/>
  <c r="Q11" i="47"/>
  <c r="AM11" i="47" s="1"/>
  <c r="Q15" i="47"/>
  <c r="AM15" i="47" s="1"/>
  <c r="AV24" i="47"/>
  <c r="C37" i="60"/>
  <c r="C36" i="60"/>
  <c r="Q21" i="47"/>
  <c r="AM21" i="47" s="1"/>
  <c r="AV18" i="47"/>
  <c r="AV22" i="47"/>
  <c r="N15" i="30"/>
  <c r="N22" i="30" s="1"/>
  <c r="AV12" i="47"/>
  <c r="AV26" i="47"/>
  <c r="Q13" i="47"/>
  <c r="AM13" i="47" s="1"/>
  <c r="F31" i="60"/>
  <c r="C31" i="60"/>
  <c r="F35" i="60"/>
  <c r="C35" i="60"/>
  <c r="C32" i="60"/>
  <c r="F33" i="60"/>
  <c r="C33" i="60"/>
  <c r="D36" i="60"/>
  <c r="D33" i="60"/>
  <c r="D31" i="60"/>
  <c r="D35" i="60"/>
  <c r="D37" i="60"/>
  <c r="O20" i="47"/>
  <c r="AP20" i="47" s="1"/>
  <c r="E25" i="16"/>
  <c r="J25" i="16" s="1"/>
  <c r="I25" i="16"/>
  <c r="E121" i="48"/>
  <c r="E109" i="48"/>
  <c r="I28" i="16"/>
  <c r="I26" i="16"/>
  <c r="F30" i="60"/>
  <c r="F36" i="60"/>
  <c r="J122" i="48"/>
  <c r="K37" i="60"/>
  <c r="F32" i="60"/>
  <c r="S23" i="30"/>
  <c r="O15" i="47"/>
  <c r="AP15" i="47" s="1"/>
  <c r="AO15" i="47"/>
  <c r="O11" i="47"/>
  <c r="AP11" i="47" s="1"/>
  <c r="AO11" i="47"/>
  <c r="O19" i="47"/>
  <c r="AP19" i="47" s="1"/>
  <c r="AO19" i="47"/>
  <c r="O23" i="47"/>
  <c r="AP23" i="47" s="1"/>
  <c r="AO23" i="47"/>
  <c r="O27" i="47"/>
  <c r="AP27" i="47" s="1"/>
  <c r="AO27" i="47"/>
  <c r="AT14" i="47"/>
  <c r="AO14" i="47"/>
  <c r="AT18" i="47"/>
  <c r="AO18" i="47"/>
  <c r="AO10" i="47"/>
  <c r="AO26" i="47"/>
  <c r="O13" i="47"/>
  <c r="AP13" i="47" s="1"/>
  <c r="AO13" i="47"/>
  <c r="O17" i="47"/>
  <c r="AP17" i="47" s="1"/>
  <c r="AO17" i="47"/>
  <c r="O21" i="47"/>
  <c r="AP21" i="47" s="1"/>
  <c r="AO21" i="47"/>
  <c r="O25" i="47"/>
  <c r="AP25" i="47" s="1"/>
  <c r="AO25" i="47"/>
  <c r="AO12" i="47"/>
  <c r="AO16" i="47"/>
  <c r="AO20" i="47"/>
  <c r="AO24" i="47"/>
  <c r="AO22" i="47"/>
  <c r="P30" i="47"/>
  <c r="J118" i="48"/>
  <c r="D32" i="52"/>
  <c r="D35" i="52" s="1"/>
  <c r="N30" i="47"/>
  <c r="R9" i="47"/>
  <c r="AN9" i="47" s="1"/>
  <c r="C15" i="55"/>
  <c r="C16" i="55" s="1"/>
  <c r="I22" i="48"/>
  <c r="C12" i="105" s="1"/>
  <c r="AD92" i="48"/>
  <c r="D132" i="48"/>
  <c r="D133" i="48"/>
  <c r="D134" i="48"/>
  <c r="D135" i="48"/>
  <c r="D138" i="48"/>
  <c r="C132" i="48"/>
  <c r="C133" i="48"/>
  <c r="C134" i="48"/>
  <c r="C135" i="48"/>
  <c r="C138" i="48"/>
  <c r="R23" i="47"/>
  <c r="AN23" i="47" s="1"/>
  <c r="Q14" i="47"/>
  <c r="AM14" i="47" s="1"/>
  <c r="AM22" i="47"/>
  <c r="R19" i="47"/>
  <c r="AN19" i="47" s="1"/>
  <c r="R25" i="47"/>
  <c r="AN25" i="47" s="1"/>
  <c r="R27" i="47"/>
  <c r="AN27" i="47" s="1"/>
  <c r="Q12" i="47"/>
  <c r="AM12" i="47" s="1"/>
  <c r="Q16" i="47"/>
  <c r="AM16" i="47" s="1"/>
  <c r="Q18" i="47"/>
  <c r="AM18" i="47" s="1"/>
  <c r="Q20" i="47"/>
  <c r="AM20" i="47" s="1"/>
  <c r="Q10" i="47"/>
  <c r="AM10" i="47" s="1"/>
  <c r="AM24" i="47"/>
  <c r="AM26" i="47"/>
  <c r="H34" i="16"/>
  <c r="H33" i="16"/>
  <c r="C131" i="48"/>
  <c r="D131" i="48"/>
  <c r="AL21" i="47"/>
  <c r="AL22" i="47"/>
  <c r="AM9" i="47"/>
  <c r="F46" i="66"/>
  <c r="G47" i="66"/>
  <c r="AS25" i="47"/>
  <c r="AL25" i="47"/>
  <c r="AS26" i="47"/>
  <c r="AL26" i="47"/>
  <c r="AL23" i="47"/>
  <c r="AS23" i="47"/>
  <c r="AS27" i="47"/>
  <c r="AL27" i="47"/>
  <c r="AL24" i="47"/>
  <c r="AS24" i="47"/>
  <c r="AS28" i="47"/>
  <c r="AL28" i="47"/>
  <c r="AL11" i="47"/>
  <c r="AL15" i="47"/>
  <c r="AL19" i="47"/>
  <c r="AS19" i="47"/>
  <c r="AL12" i="47"/>
  <c r="AL16" i="47"/>
  <c r="AL20" i="47"/>
  <c r="AL13" i="47"/>
  <c r="AL17" i="47"/>
  <c r="AL14" i="47"/>
  <c r="AL18" i="47"/>
  <c r="AL10" i="47"/>
  <c r="AL9" i="47"/>
  <c r="AS9" i="47"/>
  <c r="AJ16" i="66"/>
  <c r="G94" i="48"/>
  <c r="I94" i="48" s="1"/>
  <c r="I17" i="48"/>
  <c r="E30" i="48" s="1"/>
  <c r="B17" i="30"/>
  <c r="B17" i="28"/>
  <c r="B10" i="28" s="1"/>
  <c r="H5" i="25"/>
  <c r="C16" i="52" s="1"/>
  <c r="C16" i="53" s="1"/>
  <c r="B12" i="30"/>
  <c r="B9" i="30" s="1"/>
  <c r="B12" i="28"/>
  <c r="B9" i="28" s="1"/>
  <c r="K119" i="48" l="1"/>
  <c r="AD118" i="48"/>
  <c r="K123" i="48"/>
  <c r="K122" i="48"/>
  <c r="C15" i="105"/>
  <c r="C13" i="105"/>
  <c r="I125" i="48"/>
  <c r="D21" i="60" s="1"/>
  <c r="C38" i="16"/>
  <c r="D43" i="16"/>
  <c r="C43" i="16"/>
  <c r="AD116" i="48"/>
  <c r="E125" i="48"/>
  <c r="O124" i="48" s="1"/>
  <c r="H21" i="103"/>
  <c r="AX24" i="47"/>
  <c r="R11" i="47"/>
  <c r="AN11" i="47" s="1"/>
  <c r="K27" i="47"/>
  <c r="AT27" i="47" s="1"/>
  <c r="AU27" i="47" s="1"/>
  <c r="K15" i="47"/>
  <c r="AT15" i="47" s="1"/>
  <c r="K19" i="47"/>
  <c r="AT19" i="47" s="1"/>
  <c r="AU19" i="47" s="1"/>
  <c r="K13" i="47"/>
  <c r="AT13" i="47" s="1"/>
  <c r="K17" i="47"/>
  <c r="AT17" i="47" s="1"/>
  <c r="K20" i="47"/>
  <c r="AT20" i="47" s="1"/>
  <c r="K11" i="47"/>
  <c r="AT11" i="47" s="1"/>
  <c r="K21" i="47"/>
  <c r="AT21" i="47" s="1"/>
  <c r="K23" i="47"/>
  <c r="AT23" i="47" s="1"/>
  <c r="AU23" i="47" s="1"/>
  <c r="K25" i="47"/>
  <c r="AT25" i="47" s="1"/>
  <c r="AU25" i="47" s="1"/>
  <c r="J24" i="16"/>
  <c r="E31" i="16"/>
  <c r="B10" i="30"/>
  <c r="AU28" i="47"/>
  <c r="AU9" i="47"/>
  <c r="AJ22" i="66"/>
  <c r="R15" i="47"/>
  <c r="AN15" i="47" s="1"/>
  <c r="I109" i="48"/>
  <c r="AJ64" i="66"/>
  <c r="AJ89" i="66"/>
  <c r="AJ180" i="66"/>
  <c r="AJ159" i="66"/>
  <c r="R13" i="47"/>
  <c r="AN13" i="47" s="1"/>
  <c r="C38" i="55"/>
  <c r="AX26" i="47"/>
  <c r="AJ92" i="66"/>
  <c r="AJ43" i="66"/>
  <c r="AJ201" i="66"/>
  <c r="I127" i="48"/>
  <c r="R21" i="47"/>
  <c r="AN21" i="47" s="1"/>
  <c r="C22" i="60"/>
  <c r="E22" i="60" s="1"/>
  <c r="F22" i="60" s="1"/>
  <c r="D127" i="48"/>
  <c r="AJ116" i="66"/>
  <c r="AS17" i="47"/>
  <c r="AS16" i="47"/>
  <c r="AW21" i="47"/>
  <c r="AS13" i="47"/>
  <c r="AS15" i="47"/>
  <c r="AS20" i="47"/>
  <c r="AX22" i="47"/>
  <c r="AS11" i="47"/>
  <c r="AS21" i="47"/>
  <c r="AD120" i="48"/>
  <c r="J31" i="16"/>
  <c r="AD107" i="48"/>
  <c r="K120" i="48"/>
  <c r="K118" i="48"/>
  <c r="AJ204" i="66"/>
  <c r="AJ137" i="66"/>
  <c r="AJ66" i="66"/>
  <c r="AJ205" i="66"/>
  <c r="AJ181" i="66"/>
  <c r="AJ110" i="66"/>
  <c r="AJ19" i="66"/>
  <c r="AJ202" i="66"/>
  <c r="AJ65" i="66"/>
  <c r="AJ162" i="66"/>
  <c r="AJ206" i="66"/>
  <c r="AJ160" i="66"/>
  <c r="AJ139" i="66"/>
  <c r="AJ24" i="66"/>
  <c r="AJ90" i="66"/>
  <c r="AJ132" i="66"/>
  <c r="AJ183" i="66"/>
  <c r="AJ114" i="66"/>
  <c r="AJ91" i="66"/>
  <c r="AJ161" i="66"/>
  <c r="AJ23" i="66"/>
  <c r="AJ134" i="66"/>
  <c r="AJ136" i="66"/>
  <c r="AJ182" i="66"/>
  <c r="AJ178" i="66"/>
  <c r="AJ45" i="66"/>
  <c r="AJ156" i="66"/>
  <c r="R17" i="47"/>
  <c r="AN17" i="47" s="1"/>
  <c r="AJ155" i="66"/>
  <c r="AJ179" i="66"/>
  <c r="AJ158" i="66"/>
  <c r="AJ133" i="66"/>
  <c r="AJ86" i="66"/>
  <c r="AJ68" i="66"/>
  <c r="AJ184" i="66"/>
  <c r="AJ93" i="66"/>
  <c r="AJ21" i="66"/>
  <c r="AJ157" i="66"/>
  <c r="AJ111" i="66"/>
  <c r="AJ185" i="66"/>
  <c r="AJ115" i="66"/>
  <c r="AJ69" i="66"/>
  <c r="AJ20" i="66"/>
  <c r="AJ203" i="66"/>
  <c r="AJ17" i="66"/>
  <c r="AW17" i="47"/>
  <c r="AJ138" i="66"/>
  <c r="AJ112" i="66"/>
  <c r="AJ207" i="66"/>
  <c r="AJ208" i="66"/>
  <c r="AJ67" i="66"/>
  <c r="AJ88" i="66"/>
  <c r="AJ109" i="66"/>
  <c r="AJ87" i="66"/>
  <c r="AJ40" i="66"/>
  <c r="AJ70" i="66"/>
  <c r="AJ113" i="66"/>
  <c r="AJ63" i="66"/>
  <c r="AJ44" i="66"/>
  <c r="AJ135" i="66"/>
  <c r="AJ18" i="66"/>
  <c r="AJ42" i="66"/>
  <c r="AJ41" i="66"/>
  <c r="AV20" i="47"/>
  <c r="AW13" i="47"/>
  <c r="AV11" i="47"/>
  <c r="AV23" i="47"/>
  <c r="AX23" i="47" s="1"/>
  <c r="AV21" i="47"/>
  <c r="AW18" i="47"/>
  <c r="AX18" i="47" s="1"/>
  <c r="AV15" i="47"/>
  <c r="AV17" i="47"/>
  <c r="AW15" i="47"/>
  <c r="AW12" i="47"/>
  <c r="AX12" i="47" s="1"/>
  <c r="AV19" i="47"/>
  <c r="AX19" i="47" s="1"/>
  <c r="AW14" i="47"/>
  <c r="AX14" i="47" s="1"/>
  <c r="AW16" i="47"/>
  <c r="AX16" i="47" s="1"/>
  <c r="AV27" i="47"/>
  <c r="AX27" i="47" s="1"/>
  <c r="AV25" i="47"/>
  <c r="AX25" i="47" s="1"/>
  <c r="AW20" i="47"/>
  <c r="AW10" i="47"/>
  <c r="AX10" i="47" s="1"/>
  <c r="AV13" i="47"/>
  <c r="AX13" i="47" s="1"/>
  <c r="AW11" i="47"/>
  <c r="F37" i="60"/>
  <c r="E37" i="60"/>
  <c r="C32" i="52"/>
  <c r="C35" i="52" s="1"/>
  <c r="G47" i="52" s="1"/>
  <c r="K121" i="48"/>
  <c r="AS10" i="47"/>
  <c r="AS18" i="47"/>
  <c r="AS14" i="47"/>
  <c r="AS12" i="47"/>
  <c r="O30" i="47"/>
  <c r="D114" i="103" s="1"/>
  <c r="R14" i="47"/>
  <c r="AN14" i="47" s="1"/>
  <c r="J125" i="48"/>
  <c r="C23" i="60"/>
  <c r="Q30" i="47"/>
  <c r="D113" i="103" s="1"/>
  <c r="AD91" i="48"/>
  <c r="I93" i="48"/>
  <c r="E96" i="48"/>
  <c r="K96" i="48" s="1"/>
  <c r="AD119" i="48"/>
  <c r="AD117" i="48"/>
  <c r="AD122" i="48"/>
  <c r="R10" i="47"/>
  <c r="AN10" i="47" s="1"/>
  <c r="R26" i="47"/>
  <c r="AN26" i="47" s="1"/>
  <c r="AU26" i="47" s="1"/>
  <c r="R16" i="47"/>
  <c r="AN16" i="47" s="1"/>
  <c r="R20" i="47"/>
  <c r="AN20" i="47" s="1"/>
  <c r="AA9" i="47"/>
  <c r="X9" i="47"/>
  <c r="Z9" i="47" s="1"/>
  <c r="W9" i="47"/>
  <c r="X17" i="47"/>
  <c r="Z17" i="47" s="1"/>
  <c r="AA17" i="47"/>
  <c r="W17" i="47"/>
  <c r="R12" i="47"/>
  <c r="AN12" i="47" s="1"/>
  <c r="X24" i="47"/>
  <c r="Z24" i="47" s="1"/>
  <c r="W24" i="47"/>
  <c r="AA24" i="47"/>
  <c r="X15" i="47"/>
  <c r="Z15" i="47" s="1"/>
  <c r="AA15" i="47"/>
  <c r="W15" i="47"/>
  <c r="X27" i="47"/>
  <c r="Z27" i="47" s="1"/>
  <c r="W27" i="47"/>
  <c r="AA27" i="47"/>
  <c r="X20" i="47"/>
  <c r="Z20" i="47" s="1"/>
  <c r="W20" i="47"/>
  <c r="AA20" i="47"/>
  <c r="X12" i="47"/>
  <c r="Z12" i="47" s="1"/>
  <c r="W12" i="47"/>
  <c r="AA12" i="47"/>
  <c r="X21" i="47"/>
  <c r="Z21" i="47" s="1"/>
  <c r="AA21" i="47"/>
  <c r="W21" i="47"/>
  <c r="X22" i="47"/>
  <c r="Z22" i="47" s="1"/>
  <c r="AA22" i="47"/>
  <c r="W22" i="47"/>
  <c r="X19" i="47"/>
  <c r="Z19" i="47" s="1"/>
  <c r="W19" i="47"/>
  <c r="AA19" i="47"/>
  <c r="X11" i="47"/>
  <c r="Z11" i="47" s="1"/>
  <c r="AA11" i="47"/>
  <c r="W11" i="47"/>
  <c r="X23" i="47"/>
  <c r="Z23" i="47" s="1"/>
  <c r="W23" i="47"/>
  <c r="AA23" i="47"/>
  <c r="X16" i="47"/>
  <c r="Z16" i="47" s="1"/>
  <c r="W16" i="47"/>
  <c r="AA16" i="47"/>
  <c r="X13" i="47"/>
  <c r="Z13" i="47" s="1"/>
  <c r="W13" i="47"/>
  <c r="AA13" i="47"/>
  <c r="X25" i="47"/>
  <c r="Z25" i="47" s="1"/>
  <c r="AA25" i="47"/>
  <c r="W25" i="47"/>
  <c r="R24" i="47"/>
  <c r="AN24" i="47" s="1"/>
  <c r="AU24" i="47" s="1"/>
  <c r="R18" i="47"/>
  <c r="AN18" i="47" s="1"/>
  <c r="AS22" i="47"/>
  <c r="R22" i="47"/>
  <c r="AN22" i="47" s="1"/>
  <c r="D32" i="53"/>
  <c r="D42" i="16"/>
  <c r="D41" i="16"/>
  <c r="C40" i="16"/>
  <c r="D37" i="16"/>
  <c r="D40" i="16"/>
  <c r="D38" i="16"/>
  <c r="C39" i="16"/>
  <c r="C41" i="16"/>
  <c r="D39" i="16"/>
  <c r="C42" i="16"/>
  <c r="C37" i="16"/>
  <c r="H47" i="66"/>
  <c r="G46" i="66"/>
  <c r="AK16" i="66"/>
  <c r="M32" i="52"/>
  <c r="N32" i="52" s="1"/>
  <c r="K14" i="24"/>
  <c r="K15" i="24"/>
  <c r="J13" i="30"/>
  <c r="J17" i="30" s="1"/>
  <c r="C129" i="30" s="1"/>
  <c r="J13" i="28"/>
  <c r="J17" i="28" s="1"/>
  <c r="C147" i="28" s="1"/>
  <c r="G108" i="48"/>
  <c r="E36" i="48" s="1"/>
  <c r="O121" i="48" l="1"/>
  <c r="O122" i="48"/>
  <c r="O123" i="48"/>
  <c r="O119" i="48"/>
  <c r="O118" i="48"/>
  <c r="O125" i="48" s="1"/>
  <c r="O120" i="48"/>
  <c r="C70" i="105"/>
  <c r="D70" i="105"/>
  <c r="C44" i="16"/>
  <c r="AJ25" i="47"/>
  <c r="AI25" i="47"/>
  <c r="AJ23" i="47"/>
  <c r="AI23" i="47"/>
  <c r="AI27" i="47"/>
  <c r="AJ27" i="47"/>
  <c r="AJ26" i="47"/>
  <c r="AI26" i="47"/>
  <c r="AJ28" i="47"/>
  <c r="AI28" i="47"/>
  <c r="AJ24" i="47"/>
  <c r="AI24" i="47"/>
  <c r="AJ9" i="47"/>
  <c r="AI9" i="47"/>
  <c r="AJ19" i="47"/>
  <c r="AI19" i="47"/>
  <c r="AU10" i="47"/>
  <c r="AE26" i="47"/>
  <c r="AE10" i="47"/>
  <c r="AE23" i="47"/>
  <c r="AE27" i="47"/>
  <c r="AE19" i="47"/>
  <c r="AE24" i="47"/>
  <c r="AE25" i="47"/>
  <c r="AU14" i="47"/>
  <c r="D44" i="16"/>
  <c r="AK22" i="66"/>
  <c r="AU22" i="47"/>
  <c r="AU12" i="47"/>
  <c r="AU16" i="47"/>
  <c r="AU20" i="47"/>
  <c r="AU18" i="47"/>
  <c r="AD123" i="48"/>
  <c r="E127" i="48"/>
  <c r="K127" i="48" s="1"/>
  <c r="K101" i="48"/>
  <c r="K99" i="48"/>
  <c r="K93" i="48"/>
  <c r="K100" i="48"/>
  <c r="K91" i="48"/>
  <c r="K90" i="48"/>
  <c r="K95" i="48"/>
  <c r="K89" i="48"/>
  <c r="K88" i="48"/>
  <c r="K97" i="48"/>
  <c r="K102" i="48"/>
  <c r="AU21" i="47"/>
  <c r="AU15" i="47"/>
  <c r="K94" i="48"/>
  <c r="K109" i="48"/>
  <c r="I92" i="48"/>
  <c r="K92" i="48"/>
  <c r="AU11" i="47"/>
  <c r="AU13" i="47"/>
  <c r="AU17" i="47"/>
  <c r="AX21" i="47"/>
  <c r="AX17" i="47"/>
  <c r="J14" i="24"/>
  <c r="O14" i="24" s="1"/>
  <c r="M16" i="24" s="1"/>
  <c r="G49" i="52"/>
  <c r="K32" i="52"/>
  <c r="L32" i="52" s="1"/>
  <c r="O32" i="52" s="1"/>
  <c r="K54" i="28"/>
  <c r="K56" i="28" s="1"/>
  <c r="G43" i="52"/>
  <c r="G45" i="52" s="1"/>
  <c r="B20" i="28"/>
  <c r="J15" i="24"/>
  <c r="O15" i="24" s="1"/>
  <c r="B22" i="28"/>
  <c r="S20" i="28" s="1"/>
  <c r="S21" i="28" s="1"/>
  <c r="S15" i="28" s="1"/>
  <c r="AK41" i="66"/>
  <c r="AK40" i="66"/>
  <c r="AK17" i="66"/>
  <c r="AL17" i="66" s="1"/>
  <c r="AK115" i="66"/>
  <c r="AK86" i="66"/>
  <c r="AK136" i="66"/>
  <c r="AK90" i="66"/>
  <c r="AL90" i="66" s="1"/>
  <c r="AK19" i="66"/>
  <c r="AK43" i="66"/>
  <c r="AK42" i="66"/>
  <c r="AK63" i="66"/>
  <c r="AL63" i="66" s="1"/>
  <c r="AK87" i="66"/>
  <c r="AK208" i="66"/>
  <c r="AK203" i="66"/>
  <c r="AK185" i="66"/>
  <c r="AL185" i="66" s="1"/>
  <c r="AK93" i="66"/>
  <c r="AK133" i="66"/>
  <c r="AK45" i="66"/>
  <c r="AK134" i="66"/>
  <c r="AL134" i="66" s="1"/>
  <c r="AK114" i="66"/>
  <c r="AK24" i="66"/>
  <c r="AK162" i="66"/>
  <c r="AK110" i="66"/>
  <c r="AL110" i="66" s="1"/>
  <c r="AK137" i="66"/>
  <c r="AK159" i="66"/>
  <c r="AK44" i="66"/>
  <c r="AK67" i="66"/>
  <c r="AL67" i="66" s="1"/>
  <c r="AK138" i="66"/>
  <c r="AK21" i="66"/>
  <c r="AK155" i="66"/>
  <c r="AK156" i="66"/>
  <c r="AL156" i="66" s="1"/>
  <c r="AK91" i="66"/>
  <c r="AK206" i="66"/>
  <c r="AK66" i="66"/>
  <c r="AK18" i="66"/>
  <c r="AL18" i="66" s="1"/>
  <c r="AK113" i="66"/>
  <c r="AK109" i="66"/>
  <c r="AK207" i="66"/>
  <c r="AK92" i="66"/>
  <c r="AL92" i="66" s="1"/>
  <c r="AK20" i="66"/>
  <c r="AK111" i="66"/>
  <c r="AK184" i="66"/>
  <c r="AK158" i="66"/>
  <c r="AL158" i="66" s="1"/>
  <c r="AK116" i="66"/>
  <c r="AK178" i="66"/>
  <c r="AK23" i="66"/>
  <c r="AK183" i="66"/>
  <c r="AL183" i="66" s="1"/>
  <c r="AK139" i="66"/>
  <c r="AK65" i="66"/>
  <c r="AK181" i="66"/>
  <c r="AK204" i="66"/>
  <c r="AL204" i="66" s="1"/>
  <c r="AK180" i="66"/>
  <c r="AK135" i="66"/>
  <c r="AK70" i="66"/>
  <c r="AK88" i="66"/>
  <c r="AL88" i="66" s="1"/>
  <c r="AK112" i="66"/>
  <c r="AK64" i="66"/>
  <c r="AK69" i="66"/>
  <c r="AK157" i="66"/>
  <c r="AL157" i="66" s="1"/>
  <c r="AK68" i="66"/>
  <c r="AK179" i="66"/>
  <c r="AK89" i="66"/>
  <c r="AK182" i="66"/>
  <c r="AL182" i="66" s="1"/>
  <c r="AK161" i="66"/>
  <c r="AK132" i="66"/>
  <c r="AK160" i="66"/>
  <c r="AK202" i="66"/>
  <c r="AL202" i="66" s="1"/>
  <c r="AK205" i="66"/>
  <c r="AK201" i="66"/>
  <c r="AX20" i="47"/>
  <c r="AX15" i="47"/>
  <c r="AX11" i="47"/>
  <c r="K125" i="48"/>
  <c r="N124" i="48" s="1"/>
  <c r="C21" i="60"/>
  <c r="E21" i="60" s="1"/>
  <c r="F21" i="60" s="1"/>
  <c r="C4" i="60" s="1"/>
  <c r="C6" i="60" s="1"/>
  <c r="V35" i="47"/>
  <c r="X35" i="47" s="1"/>
  <c r="C24" i="60"/>
  <c r="E24" i="60" s="1"/>
  <c r="F24" i="60" s="1"/>
  <c r="E23" i="60"/>
  <c r="F23" i="60" s="1"/>
  <c r="R30" i="47"/>
  <c r="C86" i="103" s="1"/>
  <c r="I96" i="48"/>
  <c r="AD94" i="48"/>
  <c r="E108" i="48"/>
  <c r="AD90" i="48"/>
  <c r="X10" i="47"/>
  <c r="Z10" i="47" s="1"/>
  <c r="W10" i="47"/>
  <c r="AA10" i="47"/>
  <c r="X18" i="47"/>
  <c r="Z18" i="47" s="1"/>
  <c r="W18" i="47"/>
  <c r="AA18" i="47"/>
  <c r="X26" i="47"/>
  <c r="Z26" i="47" s="1"/>
  <c r="W26" i="47"/>
  <c r="AA26" i="47"/>
  <c r="X14" i="47"/>
  <c r="Z14" i="47" s="1"/>
  <c r="W14" i="47"/>
  <c r="AA14" i="47"/>
  <c r="D35" i="53"/>
  <c r="M32" i="53"/>
  <c r="N32" i="53" s="1"/>
  <c r="O32" i="53" s="1"/>
  <c r="G43" i="53"/>
  <c r="G45" i="53" s="1"/>
  <c r="B20" i="30"/>
  <c r="B22" i="30"/>
  <c r="S20" i="30" s="1"/>
  <c r="S21" i="30" s="1"/>
  <c r="K54" i="30"/>
  <c r="K56" i="30" s="1"/>
  <c r="K14" i="31"/>
  <c r="K15" i="31"/>
  <c r="C58" i="30"/>
  <c r="C124" i="30"/>
  <c r="C149" i="30"/>
  <c r="C137" i="30"/>
  <c r="C93" i="30"/>
  <c r="C104" i="30"/>
  <c r="C100" i="30"/>
  <c r="C143" i="30"/>
  <c r="C131" i="30"/>
  <c r="C147" i="30"/>
  <c r="C94" i="30"/>
  <c r="H46" i="66"/>
  <c r="I47" i="66"/>
  <c r="C135" i="30"/>
  <c r="C125" i="30"/>
  <c r="C109" i="30"/>
  <c r="C67" i="30"/>
  <c r="C98" i="30"/>
  <c r="C78" i="30"/>
  <c r="C57" i="30"/>
  <c r="C119" i="30"/>
  <c r="C128" i="30"/>
  <c r="C71" i="30"/>
  <c r="AL16" i="66"/>
  <c r="C92" i="30"/>
  <c r="C106" i="30"/>
  <c r="C51" i="30"/>
  <c r="C76" i="30"/>
  <c r="F9" i="30" s="1"/>
  <c r="C53" i="30"/>
  <c r="C79" i="30"/>
  <c r="C110" i="30"/>
  <c r="C72" i="30"/>
  <c r="C136" i="30"/>
  <c r="C99" i="30"/>
  <c r="C66" i="30"/>
  <c r="C103" i="30"/>
  <c r="C87" i="30"/>
  <c r="C120" i="30"/>
  <c r="C54" i="30"/>
  <c r="C121" i="30"/>
  <c r="C102" i="30"/>
  <c r="C63" i="30"/>
  <c r="C64" i="30"/>
  <c r="C91" i="30"/>
  <c r="C122" i="30"/>
  <c r="C130" i="30"/>
  <c r="C141" i="30"/>
  <c r="C113" i="30"/>
  <c r="C73" i="30"/>
  <c r="C117" i="30"/>
  <c r="C88" i="30"/>
  <c r="C105" i="30"/>
  <c r="C132" i="30"/>
  <c r="C75" i="30"/>
  <c r="C150" i="30"/>
  <c r="C146" i="30"/>
  <c r="C86" i="30"/>
  <c r="C144" i="30"/>
  <c r="C118" i="30"/>
  <c r="C60" i="30"/>
  <c r="C138" i="30"/>
  <c r="C148" i="30"/>
  <c r="C55" i="30"/>
  <c r="C83" i="30"/>
  <c r="C114" i="30"/>
  <c r="C133" i="30"/>
  <c r="C89" i="30"/>
  <c r="C145" i="30"/>
  <c r="C84" i="30"/>
  <c r="C108" i="30"/>
  <c r="C61" i="30"/>
  <c r="C127" i="30"/>
  <c r="C77" i="30"/>
  <c r="C96" i="30"/>
  <c r="C59" i="30"/>
  <c r="C123" i="30"/>
  <c r="C90" i="30"/>
  <c r="C69" i="30"/>
  <c r="C140" i="30"/>
  <c r="C111" i="30"/>
  <c r="C115" i="30"/>
  <c r="C142" i="30"/>
  <c r="C68" i="30"/>
  <c r="C56" i="30"/>
  <c r="C62" i="30"/>
  <c r="C112" i="30"/>
  <c r="C139" i="30"/>
  <c r="C101" i="30"/>
  <c r="F24" i="30" s="1"/>
  <c r="C81" i="30"/>
  <c r="C116" i="30"/>
  <c r="C82" i="30"/>
  <c r="C134" i="30"/>
  <c r="C126" i="30"/>
  <c r="C74" i="30"/>
  <c r="C97" i="30"/>
  <c r="C52" i="30"/>
  <c r="C85" i="30"/>
  <c r="C80" i="30"/>
  <c r="C70" i="30"/>
  <c r="C95" i="30"/>
  <c r="C65" i="30"/>
  <c r="C107" i="30"/>
  <c r="C122" i="28"/>
  <c r="C55" i="28"/>
  <c r="C132" i="28"/>
  <c r="C134" i="28"/>
  <c r="C63" i="28"/>
  <c r="C145" i="28"/>
  <c r="C58" i="28"/>
  <c r="C85" i="28"/>
  <c r="C92" i="28"/>
  <c r="C51" i="28"/>
  <c r="C64" i="28"/>
  <c r="C114" i="28"/>
  <c r="C68" i="28"/>
  <c r="C84" i="28"/>
  <c r="C90" i="28"/>
  <c r="C54" i="28"/>
  <c r="C121" i="28"/>
  <c r="C120" i="28"/>
  <c r="C95" i="28"/>
  <c r="C123" i="28"/>
  <c r="C86" i="28"/>
  <c r="C97" i="28"/>
  <c r="C76" i="28"/>
  <c r="F9" i="28" s="1"/>
  <c r="C53" i="28"/>
  <c r="C77" i="28"/>
  <c r="C67" i="28"/>
  <c r="C75" i="28"/>
  <c r="C143" i="28"/>
  <c r="C116" i="28"/>
  <c r="C74" i="28"/>
  <c r="C106" i="28"/>
  <c r="C138" i="28"/>
  <c r="C69" i="28"/>
  <c r="C105" i="28"/>
  <c r="C137" i="28"/>
  <c r="C88" i="28"/>
  <c r="C52" i="28"/>
  <c r="C56" i="28"/>
  <c r="C127" i="28"/>
  <c r="C115" i="28"/>
  <c r="C135" i="28"/>
  <c r="C70" i="28"/>
  <c r="C102" i="28"/>
  <c r="C65" i="28"/>
  <c r="C125" i="28"/>
  <c r="C128" i="28"/>
  <c r="C87" i="28"/>
  <c r="C91" i="28"/>
  <c r="C82" i="28"/>
  <c r="C146" i="28"/>
  <c r="C113" i="28"/>
  <c r="C104" i="28"/>
  <c r="C79" i="28"/>
  <c r="C139" i="28"/>
  <c r="C78" i="28"/>
  <c r="C142" i="28"/>
  <c r="C101" i="28"/>
  <c r="F24" i="28" s="1"/>
  <c r="C80" i="28"/>
  <c r="C108" i="28"/>
  <c r="C99" i="28"/>
  <c r="C110" i="28"/>
  <c r="C73" i="28"/>
  <c r="C133" i="28"/>
  <c r="C144" i="28"/>
  <c r="C103" i="28"/>
  <c r="C118" i="28"/>
  <c r="C150" i="28"/>
  <c r="C81" i="28"/>
  <c r="C109" i="28"/>
  <c r="C141" i="28"/>
  <c r="C96" i="28"/>
  <c r="C59" i="28"/>
  <c r="C140" i="28"/>
  <c r="C119" i="28"/>
  <c r="C131" i="28"/>
  <c r="C107" i="28"/>
  <c r="C66" i="28"/>
  <c r="C98" i="28"/>
  <c r="C130" i="28"/>
  <c r="C61" i="28"/>
  <c r="C93" i="28"/>
  <c r="C129" i="28"/>
  <c r="C72" i="28"/>
  <c r="C136" i="28"/>
  <c r="C124" i="28"/>
  <c r="C111" i="28"/>
  <c r="C83" i="28"/>
  <c r="C148" i="28"/>
  <c r="C62" i="28"/>
  <c r="C94" i="28"/>
  <c r="C126" i="28"/>
  <c r="C57" i="28"/>
  <c r="C89" i="28"/>
  <c r="C117" i="28"/>
  <c r="C149" i="28"/>
  <c r="C112" i="28"/>
  <c r="C60" i="28"/>
  <c r="C71" i="28"/>
  <c r="C100" i="28"/>
  <c r="N123" i="48" l="1"/>
  <c r="N122" i="48"/>
  <c r="N120" i="48"/>
  <c r="N118" i="48"/>
  <c r="N125" i="48" s="1"/>
  <c r="N119" i="48"/>
  <c r="N121" i="48"/>
  <c r="AI11" i="47"/>
  <c r="AJ11" i="47"/>
  <c r="AI18" i="47"/>
  <c r="AJ18" i="47"/>
  <c r="AI15" i="47"/>
  <c r="AJ15" i="47"/>
  <c r="AJ20" i="47"/>
  <c r="AI20" i="47"/>
  <c r="AJ17" i="47"/>
  <c r="AI17" i="47"/>
  <c r="AJ21" i="47"/>
  <c r="AI21" i="47"/>
  <c r="AJ16" i="47"/>
  <c r="AI16" i="47"/>
  <c r="AJ22" i="47"/>
  <c r="AI22" i="47"/>
  <c r="AI13" i="47"/>
  <c r="AJ13" i="47"/>
  <c r="AI12" i="47"/>
  <c r="AJ12" i="47"/>
  <c r="AJ14" i="47"/>
  <c r="AI14" i="47"/>
  <c r="AI10" i="47"/>
  <c r="AJ10" i="47"/>
  <c r="AX30" i="47"/>
  <c r="AE28" i="47"/>
  <c r="AE9" i="47"/>
  <c r="AL22" i="66"/>
  <c r="AD105" i="48"/>
  <c r="K108" i="48"/>
  <c r="C3" i="60"/>
  <c r="C13" i="60" s="1"/>
  <c r="S14" i="28"/>
  <c r="T14" i="28" s="1"/>
  <c r="B25" i="28" s="1"/>
  <c r="F12" i="28" s="1"/>
  <c r="G41" i="52" s="1"/>
  <c r="J18" i="24"/>
  <c r="F26" i="28"/>
  <c r="J54" i="28" s="1"/>
  <c r="J56" i="28" s="1"/>
  <c r="K18" i="24"/>
  <c r="F15" i="28"/>
  <c r="H54" i="28" s="1"/>
  <c r="M54" i="28" s="1"/>
  <c r="AM18" i="66"/>
  <c r="AL160" i="66"/>
  <c r="AM160" i="66" s="1"/>
  <c r="AL89" i="66"/>
  <c r="AL69" i="66"/>
  <c r="AL70" i="66"/>
  <c r="AL181" i="66"/>
  <c r="AM181" i="66" s="1"/>
  <c r="AL23" i="66"/>
  <c r="AL184" i="66"/>
  <c r="AL207" i="66"/>
  <c r="AL66" i="66"/>
  <c r="AM66" i="66" s="1"/>
  <c r="AL155" i="66"/>
  <c r="AL44" i="66"/>
  <c r="AL162" i="66"/>
  <c r="AL45" i="66"/>
  <c r="AM45" i="66" s="1"/>
  <c r="AL203" i="66"/>
  <c r="AL42" i="66"/>
  <c r="AL136" i="66"/>
  <c r="AL40" i="66"/>
  <c r="AM40" i="66" s="1"/>
  <c r="AL201" i="66"/>
  <c r="AL132" i="66"/>
  <c r="AM132" i="66" s="1"/>
  <c r="AL179" i="66"/>
  <c r="AL64" i="66"/>
  <c r="AL135" i="66"/>
  <c r="AL65" i="66"/>
  <c r="AM65" i="66" s="1"/>
  <c r="AL178" i="66"/>
  <c r="AL111" i="66"/>
  <c r="AL109" i="66"/>
  <c r="AL206" i="66"/>
  <c r="AM206" i="66" s="1"/>
  <c r="AL21" i="66"/>
  <c r="AL159" i="66"/>
  <c r="AL24" i="66"/>
  <c r="AL133" i="66"/>
  <c r="AM133" i="66" s="1"/>
  <c r="AL208" i="66"/>
  <c r="AL43" i="66"/>
  <c r="AL86" i="66"/>
  <c r="AL41" i="66"/>
  <c r="AM41" i="66" s="1"/>
  <c r="AM156" i="66"/>
  <c r="AL205" i="66"/>
  <c r="AL161" i="66"/>
  <c r="AL68" i="66"/>
  <c r="AM68" i="66" s="1"/>
  <c r="AL112" i="66"/>
  <c r="AL180" i="66"/>
  <c r="AL139" i="66"/>
  <c r="AL116" i="66"/>
  <c r="AM116" i="66" s="1"/>
  <c r="AL20" i="66"/>
  <c r="AL113" i="66"/>
  <c r="AL91" i="66"/>
  <c r="AL138" i="66"/>
  <c r="AM138" i="66" s="1"/>
  <c r="AL137" i="66"/>
  <c r="AL114" i="66"/>
  <c r="AL93" i="66"/>
  <c r="AL87" i="66"/>
  <c r="AM87" i="66" s="1"/>
  <c r="AL19" i="66"/>
  <c r="AL115" i="66"/>
  <c r="AA35" i="47"/>
  <c r="C15" i="60" s="1"/>
  <c r="Z35" i="47"/>
  <c r="J16" i="24"/>
  <c r="N16" i="24"/>
  <c r="L16" i="24"/>
  <c r="K16" i="24"/>
  <c r="I108" i="48"/>
  <c r="O14" i="31"/>
  <c r="K16" i="31" s="1"/>
  <c r="S15" i="30"/>
  <c r="S14" i="30" s="1"/>
  <c r="G49" i="53"/>
  <c r="G47" i="53"/>
  <c r="K18" i="31"/>
  <c r="J18" i="31"/>
  <c r="O15" i="31"/>
  <c r="J47" i="66"/>
  <c r="I46" i="66"/>
  <c r="AM16" i="66"/>
  <c r="D49" i="52"/>
  <c r="D47" i="52"/>
  <c r="F49" i="52"/>
  <c r="F47" i="52"/>
  <c r="F41" i="103" l="1"/>
  <c r="F44" i="103"/>
  <c r="F45" i="103"/>
  <c r="F42" i="103"/>
  <c r="F43" i="103"/>
  <c r="F46" i="103"/>
  <c r="C18" i="103"/>
  <c r="C19" i="103" s="1"/>
  <c r="AM22" i="66"/>
  <c r="C103" i="103"/>
  <c r="AE15" i="47"/>
  <c r="AE16" i="47"/>
  <c r="AE11" i="47"/>
  <c r="AE13" i="47"/>
  <c r="AE20" i="47"/>
  <c r="AE12" i="47"/>
  <c r="AE17" i="47"/>
  <c r="AE22" i="47"/>
  <c r="AE21" i="47"/>
  <c r="AE14" i="47"/>
  <c r="AE18" i="47"/>
  <c r="AM67" i="66"/>
  <c r="S22" i="28"/>
  <c r="H56" i="28"/>
  <c r="F25" i="28"/>
  <c r="F43" i="52" s="1"/>
  <c r="AN181" i="66"/>
  <c r="AM93" i="66"/>
  <c r="AM91" i="66"/>
  <c r="AM139" i="66"/>
  <c r="AM161" i="66"/>
  <c r="AM92" i="66"/>
  <c r="AM86" i="66"/>
  <c r="AM24" i="66"/>
  <c r="AM109" i="66"/>
  <c r="AM135" i="66"/>
  <c r="AM201" i="66"/>
  <c r="AM158" i="66"/>
  <c r="AM136" i="66"/>
  <c r="AM162" i="66"/>
  <c r="AM207" i="66"/>
  <c r="AM70" i="66"/>
  <c r="AM90" i="66"/>
  <c r="AM204" i="66"/>
  <c r="AM115" i="66"/>
  <c r="AM114" i="66"/>
  <c r="AN114" i="66" s="1"/>
  <c r="AM113" i="66"/>
  <c r="AM180" i="66"/>
  <c r="AM205" i="66"/>
  <c r="AM183" i="66"/>
  <c r="AN183" i="66" s="1"/>
  <c r="AM43" i="66"/>
  <c r="AM159" i="66"/>
  <c r="AM111" i="66"/>
  <c r="AM64" i="66"/>
  <c r="AN64" i="66" s="1"/>
  <c r="AM17" i="66"/>
  <c r="AM88" i="66"/>
  <c r="AM42" i="66"/>
  <c r="AM44" i="66"/>
  <c r="AN44" i="66" s="1"/>
  <c r="AM184" i="66"/>
  <c r="AM69" i="66"/>
  <c r="AM185" i="66"/>
  <c r="AM182" i="66"/>
  <c r="AN182" i="66" s="1"/>
  <c r="AM19" i="66"/>
  <c r="AM137" i="66"/>
  <c r="AM20" i="66"/>
  <c r="AN20" i="66" s="1"/>
  <c r="AM112" i="66"/>
  <c r="AM63" i="66"/>
  <c r="AM157" i="66"/>
  <c r="AM208" i="66"/>
  <c r="AN208" i="66" s="1"/>
  <c r="AM21" i="66"/>
  <c r="AM178" i="66"/>
  <c r="AM179" i="66"/>
  <c r="AM134" i="66"/>
  <c r="AN134" i="66" s="1"/>
  <c r="AM202" i="66"/>
  <c r="AM203" i="66"/>
  <c r="AM155" i="66"/>
  <c r="AM23" i="66"/>
  <c r="AN23" i="66" s="1"/>
  <c r="AM89" i="66"/>
  <c r="AM110" i="66"/>
  <c r="C8" i="60"/>
  <c r="F8" i="28"/>
  <c r="F14" i="28"/>
  <c r="D43" i="52" s="1"/>
  <c r="D45" i="52" s="1"/>
  <c r="F23" i="28"/>
  <c r="F15" i="30"/>
  <c r="H54" i="30" s="1"/>
  <c r="F26" i="30"/>
  <c r="J54" i="30" s="1"/>
  <c r="M16" i="31"/>
  <c r="N16" i="31"/>
  <c r="L16" i="31"/>
  <c r="J16" i="31"/>
  <c r="S22" i="30"/>
  <c r="T14" i="30"/>
  <c r="B25" i="30" s="1"/>
  <c r="F12" i="30" s="1"/>
  <c r="G41" i="53" s="1"/>
  <c r="W35" i="47"/>
  <c r="C14" i="60"/>
  <c r="J46" i="66"/>
  <c r="K47" i="66"/>
  <c r="AN16" i="66"/>
  <c r="AN22" i="66" s="1"/>
  <c r="C23" i="103" l="1"/>
  <c r="C22" i="103"/>
  <c r="AN70" i="66"/>
  <c r="AN158" i="66"/>
  <c r="AN24" i="66"/>
  <c r="AN139" i="66"/>
  <c r="AN133" i="66"/>
  <c r="AN110" i="66"/>
  <c r="AN203" i="66"/>
  <c r="AN156" i="66"/>
  <c r="AN40" i="66"/>
  <c r="AO158" i="66"/>
  <c r="AO133" i="66"/>
  <c r="AN155" i="66"/>
  <c r="AN179" i="66"/>
  <c r="AN157" i="66"/>
  <c r="AN137" i="66"/>
  <c r="AO137" i="66" s="1"/>
  <c r="AN65" i="66"/>
  <c r="AN185" i="66"/>
  <c r="AN42" i="66"/>
  <c r="AN111" i="66"/>
  <c r="AO111" i="66" s="1"/>
  <c r="AN205" i="66"/>
  <c r="AN115" i="66"/>
  <c r="AN116" i="66"/>
  <c r="AN207" i="66"/>
  <c r="AO207" i="66" s="1"/>
  <c r="AN201" i="66"/>
  <c r="AN86" i="66"/>
  <c r="AN91" i="66"/>
  <c r="AN66" i="66"/>
  <c r="AO66" i="66" s="1"/>
  <c r="AN68" i="66"/>
  <c r="AO110" i="66"/>
  <c r="AN178" i="66"/>
  <c r="AN63" i="66"/>
  <c r="AN19" i="66"/>
  <c r="AN41" i="66"/>
  <c r="AN69" i="66"/>
  <c r="AN88" i="66"/>
  <c r="AN159" i="66"/>
  <c r="AN180" i="66"/>
  <c r="AN45" i="66"/>
  <c r="AN204" i="66"/>
  <c r="AN162" i="66"/>
  <c r="AN135" i="66"/>
  <c r="AN92" i="66"/>
  <c r="AN93" i="66"/>
  <c r="AN67" i="66"/>
  <c r="AN138" i="66"/>
  <c r="AO182" i="66"/>
  <c r="AN89" i="66"/>
  <c r="AN202" i="66"/>
  <c r="AN21" i="66"/>
  <c r="AO21" i="66" s="1"/>
  <c r="AN112" i="66"/>
  <c r="AN160" i="66"/>
  <c r="AN87" i="66"/>
  <c r="AN184" i="66"/>
  <c r="AO184" i="66" s="1"/>
  <c r="AN17" i="66"/>
  <c r="AN43" i="66"/>
  <c r="AN113" i="66"/>
  <c r="AN206" i="66"/>
  <c r="AO206" i="66" s="1"/>
  <c r="AN90" i="66"/>
  <c r="AN136" i="66"/>
  <c r="AN109" i="66"/>
  <c r="AN161" i="66"/>
  <c r="AO161" i="66" s="1"/>
  <c r="AN18" i="66"/>
  <c r="AN132" i="66"/>
  <c r="C9" i="60"/>
  <c r="I43" i="52"/>
  <c r="M54" i="30"/>
  <c r="D49" i="53"/>
  <c r="J56" i="30"/>
  <c r="F49" i="53"/>
  <c r="F47" i="53"/>
  <c r="D47" i="53"/>
  <c r="H56" i="30"/>
  <c r="F25" i="30"/>
  <c r="F43" i="53" s="1"/>
  <c r="F8" i="30"/>
  <c r="F23" i="30"/>
  <c r="F14" i="30"/>
  <c r="D43" i="53" s="1"/>
  <c r="L47" i="66"/>
  <c r="K46" i="66"/>
  <c r="AO16" i="66"/>
  <c r="AO22" i="66" s="1"/>
  <c r="E24" i="103" l="1"/>
  <c r="AO67" i="66"/>
  <c r="AO162" i="66"/>
  <c r="AO159" i="66"/>
  <c r="AO19" i="66"/>
  <c r="AO156" i="66"/>
  <c r="AO40" i="66"/>
  <c r="AO18" i="66"/>
  <c r="AO90" i="66"/>
  <c r="AO17" i="66"/>
  <c r="AO112" i="66"/>
  <c r="AO183" i="66"/>
  <c r="AO93" i="66"/>
  <c r="AO204" i="66"/>
  <c r="AO88" i="66"/>
  <c r="AO63" i="66"/>
  <c r="AO68" i="66"/>
  <c r="AO201" i="66"/>
  <c r="AO205" i="66"/>
  <c r="AP111" i="66"/>
  <c r="AO109" i="66"/>
  <c r="AO113" i="66"/>
  <c r="AO87" i="66"/>
  <c r="AP87" i="66" s="1"/>
  <c r="AO202" i="66"/>
  <c r="AO134" i="66"/>
  <c r="AO92" i="66"/>
  <c r="AO45" i="66"/>
  <c r="AP45" i="66" s="1"/>
  <c r="AO69" i="66"/>
  <c r="AO178" i="66"/>
  <c r="AO64" i="66"/>
  <c r="AO91" i="66"/>
  <c r="AP91" i="66" s="1"/>
  <c r="AO116" i="66"/>
  <c r="AO42" i="66"/>
  <c r="AO157" i="66"/>
  <c r="AO181" i="66"/>
  <c r="AP181" i="66" s="1"/>
  <c r="AO70" i="66"/>
  <c r="AO208" i="66"/>
  <c r="AP21" i="66"/>
  <c r="AO132" i="66"/>
  <c r="AO136" i="66"/>
  <c r="AP136" i="66" s="1"/>
  <c r="AO43" i="66"/>
  <c r="AO160" i="66"/>
  <c r="AO89" i="66"/>
  <c r="AO138" i="66"/>
  <c r="AP138" i="66" s="1"/>
  <c r="AO135" i="66"/>
  <c r="AO180" i="66"/>
  <c r="AO41" i="66"/>
  <c r="AO203" i="66"/>
  <c r="AP203" i="66" s="1"/>
  <c r="AO20" i="66"/>
  <c r="AO86" i="66"/>
  <c r="AO115" i="66"/>
  <c r="AO185" i="66"/>
  <c r="AP185" i="66" s="1"/>
  <c r="AO179" i="66"/>
  <c r="AO139" i="66"/>
  <c r="AO114" i="66"/>
  <c r="AO23" i="66"/>
  <c r="AP23" i="66" s="1"/>
  <c r="AP159" i="66"/>
  <c r="AO65" i="66"/>
  <c r="AO155" i="66"/>
  <c r="AP155" i="66" s="1"/>
  <c r="AO24" i="66"/>
  <c r="AO44" i="66"/>
  <c r="I43" i="53"/>
  <c r="D45" i="53"/>
  <c r="L46" i="66"/>
  <c r="M47" i="66"/>
  <c r="AP16" i="66"/>
  <c r="AP161" i="66" s="1"/>
  <c r="AP162" i="66" l="1"/>
  <c r="AP114" i="66"/>
  <c r="AP115" i="66"/>
  <c r="AP41" i="66"/>
  <c r="AP89" i="66"/>
  <c r="AP132" i="66"/>
  <c r="AP206" i="66"/>
  <c r="AP157" i="66"/>
  <c r="AP64" i="66"/>
  <c r="AP92" i="66"/>
  <c r="AP113" i="66"/>
  <c r="AP204" i="66"/>
  <c r="AP201" i="66"/>
  <c r="AP112" i="66"/>
  <c r="AP207" i="66"/>
  <c r="AP182" i="66"/>
  <c r="AP24" i="66"/>
  <c r="AP68" i="66"/>
  <c r="AP17" i="66"/>
  <c r="AP156" i="66"/>
  <c r="AP133" i="66"/>
  <c r="AP22" i="66"/>
  <c r="AQ22" i="66" s="1"/>
  <c r="AQ41" i="66"/>
  <c r="AP65" i="66"/>
  <c r="AP110" i="66"/>
  <c r="AP67" i="66"/>
  <c r="AP90" i="66"/>
  <c r="AP139" i="66"/>
  <c r="AP86" i="66"/>
  <c r="AP180" i="66"/>
  <c r="AP160" i="66"/>
  <c r="AP158" i="66"/>
  <c r="AP88" i="66"/>
  <c r="AP208" i="66"/>
  <c r="AP42" i="66"/>
  <c r="AP178" i="66"/>
  <c r="AP134" i="66"/>
  <c r="AP109" i="66"/>
  <c r="AP66" i="66"/>
  <c r="AP184" i="66"/>
  <c r="AQ156" i="66"/>
  <c r="AP44" i="66"/>
  <c r="AP205" i="66"/>
  <c r="AP19" i="66"/>
  <c r="AP183" i="66"/>
  <c r="AP18" i="66"/>
  <c r="AP179" i="66"/>
  <c r="AP20" i="66"/>
  <c r="AP135" i="66"/>
  <c r="AQ135" i="66" s="1"/>
  <c r="AP43" i="66"/>
  <c r="AP137" i="66"/>
  <c r="AP93" i="66"/>
  <c r="AQ93" i="66" s="1"/>
  <c r="AP70" i="66"/>
  <c r="AQ70" i="66" s="1"/>
  <c r="AP116" i="66"/>
  <c r="AP69" i="66"/>
  <c r="AP202" i="66"/>
  <c r="AQ202" i="66" s="1"/>
  <c r="AP40" i="66"/>
  <c r="AQ40" i="66" s="1"/>
  <c r="AP63" i="66"/>
  <c r="AQ112" i="66"/>
  <c r="AQ185" i="66"/>
  <c r="AQ207" i="66"/>
  <c r="AQ181" i="66"/>
  <c r="AQ45" i="66"/>
  <c r="AQ87" i="66"/>
  <c r="N47" i="66"/>
  <c r="M46" i="66"/>
  <c r="AQ16" i="66"/>
  <c r="AQ161" i="66" s="1"/>
  <c r="AQ133" i="66" l="1"/>
  <c r="AQ21" i="66"/>
  <c r="AQ201" i="66"/>
  <c r="AQ69" i="66"/>
  <c r="AQ68" i="66"/>
  <c r="AQ138" i="66"/>
  <c r="AQ183" i="66"/>
  <c r="AQ182" i="66"/>
  <c r="AQ66" i="66"/>
  <c r="AQ42" i="66"/>
  <c r="AQ160" i="66"/>
  <c r="AQ90" i="66"/>
  <c r="AQ113" i="66"/>
  <c r="AR156" i="66"/>
  <c r="AQ20" i="66"/>
  <c r="AQ19" i="66"/>
  <c r="AQ111" i="66"/>
  <c r="AR111" i="66" s="1"/>
  <c r="AQ89" i="66"/>
  <c r="AQ203" i="66"/>
  <c r="AQ109" i="66"/>
  <c r="AQ208" i="66"/>
  <c r="AR208" i="66" s="1"/>
  <c r="AQ180" i="66"/>
  <c r="AQ67" i="66"/>
  <c r="AQ64" i="66"/>
  <c r="AQ114" i="66"/>
  <c r="AR114" i="66" s="1"/>
  <c r="AQ23" i="66"/>
  <c r="AQ137" i="66"/>
  <c r="AQ179" i="66"/>
  <c r="AQ205" i="66"/>
  <c r="AQ92" i="66"/>
  <c r="AQ115" i="66"/>
  <c r="AQ159" i="66"/>
  <c r="AQ134" i="66"/>
  <c r="AQ88" i="66"/>
  <c r="AQ86" i="66"/>
  <c r="AQ110" i="66"/>
  <c r="AQ206" i="66"/>
  <c r="AQ162" i="66"/>
  <c r="AQ24" i="66"/>
  <c r="AQ204" i="66"/>
  <c r="AR204" i="66" s="1"/>
  <c r="AQ91" i="66"/>
  <c r="AQ136" i="66"/>
  <c r="AQ63" i="66"/>
  <c r="AQ116" i="66"/>
  <c r="AR116" i="66" s="1"/>
  <c r="AQ43" i="66"/>
  <c r="AQ18" i="66"/>
  <c r="AQ44" i="66"/>
  <c r="AQ157" i="66"/>
  <c r="AR157" i="66" s="1"/>
  <c r="AQ17" i="66"/>
  <c r="AQ184" i="66"/>
  <c r="AQ178" i="66"/>
  <c r="AQ158" i="66"/>
  <c r="AR158" i="66" s="1"/>
  <c r="AQ139" i="66"/>
  <c r="AQ65" i="66"/>
  <c r="AQ132" i="66"/>
  <c r="AQ155" i="66"/>
  <c r="AR155" i="66" s="1"/>
  <c r="N46" i="66"/>
  <c r="O47" i="66"/>
  <c r="AR16" i="66"/>
  <c r="AR161" i="66" s="1"/>
  <c r="AR207" i="66" l="1"/>
  <c r="AS207" i="66" s="1"/>
  <c r="AR45" i="66"/>
  <c r="AR65" i="66"/>
  <c r="AR184" i="66"/>
  <c r="AR18" i="66"/>
  <c r="AR136" i="66"/>
  <c r="AS136" i="66" s="1"/>
  <c r="AR90" i="66"/>
  <c r="AR206" i="66"/>
  <c r="AR134" i="66"/>
  <c r="AR205" i="66"/>
  <c r="AR68" i="66"/>
  <c r="AR139" i="66"/>
  <c r="AR17" i="66"/>
  <c r="AR43" i="66"/>
  <c r="AR91" i="66"/>
  <c r="AR40" i="66"/>
  <c r="AR202" i="66"/>
  <c r="AS206" i="66"/>
  <c r="AR22" i="66"/>
  <c r="AR66" i="66"/>
  <c r="AR133" i="66"/>
  <c r="AS133" i="66" s="1"/>
  <c r="AR110" i="66"/>
  <c r="AR159" i="66"/>
  <c r="AR179" i="66"/>
  <c r="AR21" i="66"/>
  <c r="AS21" i="66" s="1"/>
  <c r="AR183" i="66"/>
  <c r="AR64" i="66"/>
  <c r="AR109" i="66"/>
  <c r="AR19" i="66"/>
  <c r="AS19" i="66" s="1"/>
  <c r="AR87" i="66"/>
  <c r="AR135" i="66"/>
  <c r="AS158" i="66"/>
  <c r="AR112" i="66"/>
  <c r="AR182" i="66"/>
  <c r="AR24" i="66"/>
  <c r="AS24" i="66" s="1"/>
  <c r="AR86" i="66"/>
  <c r="AR115" i="66"/>
  <c r="AR137" i="66"/>
  <c r="AR113" i="66"/>
  <c r="AS113" i="66" s="1"/>
  <c r="AR185" i="66"/>
  <c r="AR67" i="66"/>
  <c r="AR203" i="66"/>
  <c r="AR20" i="66"/>
  <c r="AS20" i="66" s="1"/>
  <c r="AR41" i="66"/>
  <c r="AR181" i="66"/>
  <c r="AS114" i="66"/>
  <c r="AS139" i="66"/>
  <c r="AR132" i="66"/>
  <c r="AS132" i="66" s="1"/>
  <c r="AR178" i="66"/>
  <c r="AR44" i="66"/>
  <c r="AS44" i="66" s="1"/>
  <c r="AR63" i="66"/>
  <c r="AR201" i="66"/>
  <c r="AS201" i="66" s="1"/>
  <c r="AR138" i="66"/>
  <c r="AS138" i="66" s="1"/>
  <c r="AR70" i="66"/>
  <c r="AS70" i="66" s="1"/>
  <c r="AR162" i="66"/>
  <c r="AR88" i="66"/>
  <c r="AS88" i="66" s="1"/>
  <c r="AR92" i="66"/>
  <c r="AS92" i="66" s="1"/>
  <c r="AR69" i="66"/>
  <c r="AS69" i="66" s="1"/>
  <c r="AR42" i="66"/>
  <c r="AR23" i="66"/>
  <c r="AS23" i="66" s="1"/>
  <c r="AR180" i="66"/>
  <c r="AS180" i="66" s="1"/>
  <c r="AR89" i="66"/>
  <c r="AS89" i="66" s="1"/>
  <c r="AR93" i="66"/>
  <c r="AR160" i="66"/>
  <c r="AS160" i="66" s="1"/>
  <c r="P47" i="66"/>
  <c r="O46" i="66"/>
  <c r="AS16" i="66"/>
  <c r="AS161" i="66" s="1"/>
  <c r="AS157" i="66" l="1"/>
  <c r="AS43" i="66"/>
  <c r="AS178" i="66"/>
  <c r="AS155" i="66"/>
  <c r="AS45" i="66"/>
  <c r="AS18" i="66"/>
  <c r="AS203" i="66"/>
  <c r="AS137" i="66"/>
  <c r="AS182" i="66"/>
  <c r="AS156" i="66"/>
  <c r="AS65" i="66"/>
  <c r="AS109" i="66"/>
  <c r="AS179" i="66"/>
  <c r="AS66" i="66"/>
  <c r="AS17" i="66"/>
  <c r="AS90" i="66"/>
  <c r="AS134" i="66"/>
  <c r="AT134" i="66" s="1"/>
  <c r="AS181" i="66"/>
  <c r="AS67" i="66"/>
  <c r="AS115" i="66"/>
  <c r="AS112" i="66"/>
  <c r="AT112" i="66" s="1"/>
  <c r="AS208" i="66"/>
  <c r="AS135" i="66"/>
  <c r="AS64" i="66"/>
  <c r="AS159" i="66"/>
  <c r="AT159" i="66" s="1"/>
  <c r="AS22" i="66"/>
  <c r="AS111" i="66"/>
  <c r="AS184" i="66"/>
  <c r="AT89" i="66"/>
  <c r="AT24" i="66"/>
  <c r="AS93" i="66"/>
  <c r="AS42" i="66"/>
  <c r="AS162" i="66"/>
  <c r="AT162" i="66" s="1"/>
  <c r="AS63" i="66"/>
  <c r="AS204" i="66"/>
  <c r="AS202" i="66"/>
  <c r="AS40" i="66"/>
  <c r="AT40" i="66" s="1"/>
  <c r="AS41" i="66"/>
  <c r="AS185" i="66"/>
  <c r="AS86" i="66"/>
  <c r="AS116" i="66"/>
  <c r="AT116" i="66" s="1"/>
  <c r="AS205" i="66"/>
  <c r="AS87" i="66"/>
  <c r="AT87" i="66" s="1"/>
  <c r="AS183" i="66"/>
  <c r="AS110" i="66"/>
  <c r="AT110" i="66" s="1"/>
  <c r="AS91" i="66"/>
  <c r="AS68" i="66"/>
  <c r="AT68" i="66" s="1"/>
  <c r="P46" i="66"/>
  <c r="Q47" i="66"/>
  <c r="AT16" i="66"/>
  <c r="AT161" i="66" s="1"/>
  <c r="AT88" i="66" l="1"/>
  <c r="AT206" i="66"/>
  <c r="AT69" i="66"/>
  <c r="AT179" i="66"/>
  <c r="AT182" i="66"/>
  <c r="AT45" i="66"/>
  <c r="AT92" i="66"/>
  <c r="AT158" i="66"/>
  <c r="AT183" i="66"/>
  <c r="AT86" i="66"/>
  <c r="AT202" i="66"/>
  <c r="AT42" i="66"/>
  <c r="AT23" i="66"/>
  <c r="AT207" i="66"/>
  <c r="AT184" i="66"/>
  <c r="AT64" i="66"/>
  <c r="AT115" i="66"/>
  <c r="AT139" i="66"/>
  <c r="AT21" i="66"/>
  <c r="AT90" i="66"/>
  <c r="AT109" i="66"/>
  <c r="AT137" i="66"/>
  <c r="AT155" i="66"/>
  <c r="AT180" i="66"/>
  <c r="AT20" i="66"/>
  <c r="AT185" i="66"/>
  <c r="AT204" i="66"/>
  <c r="AT93" i="66"/>
  <c r="AT43" i="66"/>
  <c r="AT114" i="66"/>
  <c r="AT111" i="66"/>
  <c r="AT135" i="66"/>
  <c r="AT67" i="66"/>
  <c r="AT201" i="66"/>
  <c r="AT113" i="66"/>
  <c r="AT17" i="66"/>
  <c r="AT65" i="66"/>
  <c r="AT203" i="66"/>
  <c r="AT178" i="66"/>
  <c r="AT133" i="66"/>
  <c r="AT70" i="66"/>
  <c r="AT91" i="66"/>
  <c r="AT205" i="66"/>
  <c r="AT41" i="66"/>
  <c r="AT63" i="66"/>
  <c r="AT132" i="66"/>
  <c r="AT19" i="66"/>
  <c r="AT44" i="66"/>
  <c r="AT22" i="66"/>
  <c r="AT208" i="66"/>
  <c r="AT181" i="66"/>
  <c r="AT160" i="66"/>
  <c r="AT157" i="66"/>
  <c r="AT66" i="66"/>
  <c r="AT156" i="66"/>
  <c r="AT18" i="66"/>
  <c r="AT138" i="66"/>
  <c r="AT136" i="66"/>
  <c r="AU136" i="66" s="1"/>
  <c r="R47" i="66"/>
  <c r="Q46" i="66"/>
  <c r="AU16" i="66"/>
  <c r="AU161" i="66" s="1"/>
  <c r="AU155" i="66" l="1"/>
  <c r="AU21" i="66"/>
  <c r="AU18" i="66"/>
  <c r="AU160" i="66"/>
  <c r="AU44" i="66"/>
  <c r="AU41" i="66"/>
  <c r="AU112" i="66"/>
  <c r="AU89" i="66"/>
  <c r="AU133" i="66"/>
  <c r="AU17" i="66"/>
  <c r="AU135" i="66"/>
  <c r="AU93" i="66"/>
  <c r="AU184" i="66"/>
  <c r="AU202" i="66"/>
  <c r="AU92" i="66"/>
  <c r="AU69" i="66"/>
  <c r="AU24" i="66"/>
  <c r="AU156" i="66"/>
  <c r="AU181" i="66"/>
  <c r="AU19" i="66"/>
  <c r="AU205" i="66"/>
  <c r="AU88" i="66"/>
  <c r="AU178" i="66"/>
  <c r="AU113" i="66"/>
  <c r="AU111" i="66"/>
  <c r="AU204" i="66"/>
  <c r="AU162" i="66"/>
  <c r="AU137" i="66"/>
  <c r="AU139" i="66"/>
  <c r="AU207" i="66"/>
  <c r="AU86" i="66"/>
  <c r="AU45" i="66"/>
  <c r="AU206" i="66"/>
  <c r="AU40" i="66"/>
  <c r="AV135" i="66"/>
  <c r="AU66" i="66"/>
  <c r="AU208" i="66"/>
  <c r="AU132" i="66"/>
  <c r="AU91" i="66"/>
  <c r="AU116" i="66"/>
  <c r="AU203" i="66"/>
  <c r="AU201" i="66"/>
  <c r="AU114" i="66"/>
  <c r="AU185" i="66"/>
  <c r="AU20" i="66"/>
  <c r="AU109" i="66"/>
  <c r="AU115" i="66"/>
  <c r="AU23" i="66"/>
  <c r="AU183" i="66"/>
  <c r="AU182" i="66"/>
  <c r="AU134" i="66"/>
  <c r="AU110" i="66"/>
  <c r="AU138" i="66"/>
  <c r="AU157" i="66"/>
  <c r="AU22" i="66"/>
  <c r="AV22" i="66" s="1"/>
  <c r="AU63" i="66"/>
  <c r="AU68" i="66"/>
  <c r="AU70" i="66"/>
  <c r="AU65" i="66"/>
  <c r="AV65" i="66" s="1"/>
  <c r="AU67" i="66"/>
  <c r="AU43" i="66"/>
  <c r="AU87" i="66"/>
  <c r="AU180" i="66"/>
  <c r="AV180" i="66" s="1"/>
  <c r="AU90" i="66"/>
  <c r="AU64" i="66"/>
  <c r="AU42" i="66"/>
  <c r="AU158" i="66"/>
  <c r="AV158" i="66" s="1"/>
  <c r="AU179" i="66"/>
  <c r="AU159" i="66"/>
  <c r="R46" i="66"/>
  <c r="S47" i="66"/>
  <c r="AV16" i="66"/>
  <c r="AV161" i="66" s="1"/>
  <c r="AV159" i="66" l="1"/>
  <c r="AV64" i="66"/>
  <c r="AV182" i="66"/>
  <c r="AV109" i="66"/>
  <c r="AV201" i="66"/>
  <c r="AV132" i="66"/>
  <c r="AV17" i="66"/>
  <c r="AV206" i="66"/>
  <c r="AV139" i="66"/>
  <c r="AV111" i="66"/>
  <c r="AV205" i="66"/>
  <c r="AV24" i="66"/>
  <c r="AV184" i="66"/>
  <c r="AV133" i="66"/>
  <c r="AV42" i="66"/>
  <c r="AV87" i="66"/>
  <c r="AV70" i="66"/>
  <c r="AV157" i="66"/>
  <c r="AV41" i="66"/>
  <c r="AV183" i="66"/>
  <c r="AV20" i="66"/>
  <c r="AV203" i="66"/>
  <c r="AV208" i="66"/>
  <c r="AV89" i="66"/>
  <c r="AV45" i="66"/>
  <c r="AV137" i="66"/>
  <c r="AV113" i="66"/>
  <c r="AV19" i="66"/>
  <c r="AV69" i="66"/>
  <c r="AV21" i="66"/>
  <c r="AW21" i="66" s="1"/>
  <c r="AV44" i="66"/>
  <c r="AV43" i="66"/>
  <c r="AV68" i="66"/>
  <c r="AV138" i="66"/>
  <c r="AV110" i="66"/>
  <c r="AV23" i="66"/>
  <c r="AV185" i="66"/>
  <c r="AV116" i="66"/>
  <c r="AV66" i="66"/>
  <c r="AV160" i="66"/>
  <c r="AV86" i="66"/>
  <c r="AV162" i="66"/>
  <c r="AV178" i="66"/>
  <c r="AV181" i="66"/>
  <c r="AV92" i="66"/>
  <c r="AV112" i="66"/>
  <c r="AV18" i="66"/>
  <c r="AV179" i="66"/>
  <c r="AV90" i="66"/>
  <c r="AV67" i="66"/>
  <c r="AV63" i="66"/>
  <c r="AV155" i="66"/>
  <c r="AV134" i="66"/>
  <c r="AV115" i="66"/>
  <c r="AV114" i="66"/>
  <c r="AV91" i="66"/>
  <c r="AV136" i="66"/>
  <c r="AV40" i="66"/>
  <c r="AV207" i="66"/>
  <c r="AV204" i="66"/>
  <c r="AV88" i="66"/>
  <c r="AV156" i="66"/>
  <c r="AV202" i="66"/>
  <c r="AV93" i="66"/>
  <c r="AW93" i="66" s="1"/>
  <c r="T47" i="66"/>
  <c r="S46" i="66"/>
  <c r="AW16" i="66"/>
  <c r="AW161" i="66" s="1"/>
  <c r="AW132" i="66" l="1"/>
  <c r="AW156" i="66"/>
  <c r="AW40" i="66"/>
  <c r="AW115" i="66"/>
  <c r="AW67" i="66"/>
  <c r="AW135" i="66"/>
  <c r="AW112" i="66"/>
  <c r="AW162" i="66"/>
  <c r="AW116" i="66"/>
  <c r="AW138" i="66"/>
  <c r="AW137" i="66"/>
  <c r="AW203" i="66"/>
  <c r="AW157" i="66"/>
  <c r="AW133" i="66"/>
  <c r="AW111" i="66"/>
  <c r="AW182" i="66"/>
  <c r="AW88" i="66"/>
  <c r="AW136" i="66"/>
  <c r="AW134" i="66"/>
  <c r="AW90" i="66"/>
  <c r="AW17" i="66"/>
  <c r="AW92" i="66"/>
  <c r="AW86" i="66"/>
  <c r="AW185" i="66"/>
  <c r="AW68" i="66"/>
  <c r="AW109" i="66"/>
  <c r="AW69" i="66"/>
  <c r="AW45" i="66"/>
  <c r="AW20" i="66"/>
  <c r="AW70" i="66"/>
  <c r="AW184" i="66"/>
  <c r="AW139" i="66"/>
  <c r="AW22" i="66"/>
  <c r="AX93" i="66"/>
  <c r="AW204" i="66"/>
  <c r="AW91" i="66"/>
  <c r="AW155" i="66"/>
  <c r="AW179" i="66"/>
  <c r="AX179" i="66" s="1"/>
  <c r="AW180" i="66"/>
  <c r="AW181" i="66"/>
  <c r="AW160" i="66"/>
  <c r="AW23" i="66"/>
  <c r="AX23" i="66" s="1"/>
  <c r="AW43" i="66"/>
  <c r="AW65" i="66"/>
  <c r="AW19" i="66"/>
  <c r="AW89" i="66"/>
  <c r="AX89" i="66" s="1"/>
  <c r="AW183" i="66"/>
  <c r="AW87" i="66"/>
  <c r="AW24" i="66"/>
  <c r="AW206" i="66"/>
  <c r="AX206" i="66" s="1"/>
  <c r="AW158" i="66"/>
  <c r="AW202" i="66"/>
  <c r="AW207" i="66"/>
  <c r="AW114" i="66"/>
  <c r="AW63" i="66"/>
  <c r="AW159" i="66"/>
  <c r="AW18" i="66"/>
  <c r="AW178" i="66"/>
  <c r="AW66" i="66"/>
  <c r="AW110" i="66"/>
  <c r="AW64" i="66"/>
  <c r="AW44" i="66"/>
  <c r="AW113" i="66"/>
  <c r="AW208" i="66"/>
  <c r="AW41" i="66"/>
  <c r="AW42" i="66"/>
  <c r="AW205" i="66"/>
  <c r="AW201" i="66"/>
  <c r="T46" i="66"/>
  <c r="U47" i="66"/>
  <c r="AX16" i="66"/>
  <c r="AX161" i="66" s="1"/>
  <c r="AX138" i="66" l="1"/>
  <c r="AX139" i="66"/>
  <c r="AX42" i="66"/>
  <c r="AX44" i="66"/>
  <c r="AX178" i="66"/>
  <c r="AX114" i="66"/>
  <c r="AX45" i="66"/>
  <c r="AX185" i="66"/>
  <c r="AX90" i="66"/>
  <c r="AX182" i="66"/>
  <c r="AX203" i="66"/>
  <c r="AX112" i="66"/>
  <c r="AX41" i="66"/>
  <c r="AX64" i="66"/>
  <c r="AX18" i="66"/>
  <c r="AX207" i="66"/>
  <c r="AX132" i="66"/>
  <c r="AX24" i="66"/>
  <c r="AX19" i="66"/>
  <c r="AX160" i="66"/>
  <c r="AX155" i="66"/>
  <c r="AX162" i="66"/>
  <c r="AX184" i="66"/>
  <c r="AX69" i="66"/>
  <c r="AX86" i="66"/>
  <c r="AX134" i="66"/>
  <c r="AX111" i="66"/>
  <c r="AX137" i="66"/>
  <c r="AX115" i="66"/>
  <c r="AY93" i="66"/>
  <c r="AX201" i="66"/>
  <c r="AX208" i="66"/>
  <c r="AX110" i="66"/>
  <c r="AX159" i="66"/>
  <c r="AY159" i="66" s="1"/>
  <c r="AX202" i="66"/>
  <c r="AX40" i="66"/>
  <c r="AX87" i="66"/>
  <c r="AX65" i="66"/>
  <c r="AY65" i="66" s="1"/>
  <c r="AX181" i="66"/>
  <c r="AX91" i="66"/>
  <c r="AX67" i="66"/>
  <c r="AX70" i="66"/>
  <c r="AY70" i="66" s="1"/>
  <c r="AX109" i="66"/>
  <c r="AX92" i="66"/>
  <c r="AX136" i="66"/>
  <c r="AX133" i="66"/>
  <c r="AY133" i="66" s="1"/>
  <c r="AX21" i="66"/>
  <c r="AX156" i="66"/>
  <c r="AX205" i="66"/>
  <c r="AX113" i="66"/>
  <c r="AX66" i="66"/>
  <c r="AX63" i="66"/>
  <c r="AX135" i="66"/>
  <c r="AX158" i="66"/>
  <c r="AX183" i="66"/>
  <c r="AX43" i="66"/>
  <c r="AX180" i="66"/>
  <c r="AX204" i="66"/>
  <c r="AX22" i="66"/>
  <c r="AX20" i="66"/>
  <c r="AX68" i="66"/>
  <c r="AX17" i="66"/>
  <c r="AX88" i="66"/>
  <c r="AX157" i="66"/>
  <c r="AX116" i="66"/>
  <c r="AY116" i="66" s="1"/>
  <c r="V47" i="66"/>
  <c r="U46" i="66"/>
  <c r="AY16" i="66"/>
  <c r="AY161" i="66" s="1"/>
  <c r="AY88" i="66" l="1"/>
  <c r="AY22" i="66"/>
  <c r="AY183" i="66"/>
  <c r="AY66" i="66"/>
  <c r="AY137" i="66"/>
  <c r="AY206" i="66"/>
  <c r="AY69" i="66"/>
  <c r="AY160" i="66"/>
  <c r="AY207" i="66"/>
  <c r="AY112" i="66"/>
  <c r="AY185" i="66"/>
  <c r="AY138" i="66"/>
  <c r="AY17" i="66"/>
  <c r="AY204" i="66"/>
  <c r="AY158" i="66"/>
  <c r="AY113" i="66"/>
  <c r="AY44" i="66"/>
  <c r="AY136" i="66"/>
  <c r="AY67" i="66"/>
  <c r="AY87" i="66"/>
  <c r="AY110" i="66"/>
  <c r="AY89" i="66"/>
  <c r="AY111" i="66"/>
  <c r="AY184" i="66"/>
  <c r="AY19" i="66"/>
  <c r="AY18" i="66"/>
  <c r="AY203" i="66"/>
  <c r="AY45" i="66"/>
  <c r="AY178" i="66"/>
  <c r="AY68" i="66"/>
  <c r="AY180" i="66"/>
  <c r="AY135" i="66"/>
  <c r="AY205" i="66"/>
  <c r="AY156" i="66"/>
  <c r="AY92" i="66"/>
  <c r="AY91" i="66"/>
  <c r="AY40" i="66"/>
  <c r="AY208" i="66"/>
  <c r="AY114" i="66"/>
  <c r="AY134" i="66"/>
  <c r="AY162" i="66"/>
  <c r="AY24" i="66"/>
  <c r="AY64" i="66"/>
  <c r="AY182" i="66"/>
  <c r="AY139" i="66"/>
  <c r="AY42" i="66"/>
  <c r="AY157" i="66"/>
  <c r="AY20" i="66"/>
  <c r="AY43" i="66"/>
  <c r="AY63" i="66"/>
  <c r="AY179" i="66"/>
  <c r="AY21" i="66"/>
  <c r="AY109" i="66"/>
  <c r="AY181" i="66"/>
  <c r="AY202" i="66"/>
  <c r="AY201" i="66"/>
  <c r="AY115" i="66"/>
  <c r="AY86" i="66"/>
  <c r="AY155" i="66"/>
  <c r="AY132" i="66"/>
  <c r="AY41" i="66"/>
  <c r="AY90" i="66"/>
  <c r="AY23" i="66"/>
  <c r="V46" i="66"/>
  <c r="W47" i="66"/>
  <c r="X47" i="66" l="1"/>
  <c r="W46" i="66"/>
  <c r="X46" i="66" l="1"/>
  <c r="Y47" i="66"/>
  <c r="Z47" i="66" l="1"/>
  <c r="Y46" i="66"/>
  <c r="Z46" i="66" l="1"/>
  <c r="AA47" i="66"/>
  <c r="AB47" i="66" l="1"/>
  <c r="AA46" i="66"/>
  <c r="AB46" i="66" l="1"/>
  <c r="AC47" i="66"/>
  <c r="AD47" i="66" l="1"/>
  <c r="AC46" i="66"/>
  <c r="AD46" i="66" l="1"/>
  <c r="AE47" i="66"/>
  <c r="AF47" i="66" l="1"/>
  <c r="AE46" i="66"/>
  <c r="AF46" i="66" l="1"/>
  <c r="AG47" i="66"/>
  <c r="AH47" i="66" l="1"/>
  <c r="AG46" i="66"/>
  <c r="AH46" i="66" l="1"/>
  <c r="AI47" i="66"/>
  <c r="AJ47" i="66" l="1"/>
  <c r="AI46" i="66"/>
  <c r="AJ46" i="66" l="1"/>
  <c r="AK47" i="66"/>
  <c r="AL47" i="66" l="1"/>
  <c r="AK46" i="66"/>
  <c r="AL46" i="66" l="1"/>
  <c r="AM47" i="66"/>
  <c r="AN47" i="66" l="1"/>
  <c r="AM46" i="66"/>
  <c r="AN46" i="66" l="1"/>
  <c r="AO47" i="66"/>
  <c r="AP47" i="66" l="1"/>
  <c r="AO46" i="66"/>
  <c r="AP46" i="66" l="1"/>
  <c r="AQ47" i="66"/>
  <c r="AR47" i="66" l="1"/>
  <c r="AQ46" i="66"/>
  <c r="AR46" i="66" l="1"/>
  <c r="AS47" i="66"/>
  <c r="AT47" i="66" l="1"/>
  <c r="AS46" i="66"/>
  <c r="AT46" i="66" l="1"/>
  <c r="AU47" i="66"/>
  <c r="AV47" i="66" l="1"/>
  <c r="AU46" i="66"/>
  <c r="AV46" i="66" l="1"/>
  <c r="AW47" i="66"/>
  <c r="AX47" i="66" l="1"/>
  <c r="AW46" i="66"/>
  <c r="AX46" i="66" l="1"/>
  <c r="AY47" i="66"/>
  <c r="AY46" i="66" l="1"/>
  <c r="H9" i="98" l="1"/>
  <c r="D12" i="98" l="1"/>
  <c r="C12" i="98" s="1"/>
  <c r="E28" i="102"/>
  <c r="E30" i="102" s="1"/>
  <c r="E20" i="102"/>
  <c r="D15" i="98"/>
  <c r="D13" i="98" l="1"/>
  <c r="D14" i="98" s="1"/>
  <c r="E52" i="98" s="1"/>
  <c r="E22" i="102"/>
  <c r="C36" i="102"/>
  <c r="C21" i="98"/>
  <c r="C20" i="98"/>
  <c r="E48" i="98"/>
  <c r="E60" i="98"/>
  <c r="E51" i="98"/>
  <c r="E54" i="98"/>
  <c r="E49" i="98"/>
  <c r="E55" i="98"/>
  <c r="E62" i="98"/>
  <c r="E56" i="98"/>
  <c r="E41" i="98"/>
  <c r="E40" i="98"/>
  <c r="E43" i="98"/>
  <c r="E46" i="98"/>
  <c r="E61" i="98"/>
  <c r="E39" i="98"/>
  <c r="E42" i="98"/>
  <c r="E57" i="98"/>
  <c r="E59" i="98"/>
  <c r="E50" i="98"/>
  <c r="E47" i="98"/>
  <c r="E53" i="98"/>
  <c r="E58" i="98"/>
  <c r="C13" i="98"/>
  <c r="C14" i="98" s="1"/>
  <c r="C15" i="98"/>
  <c r="E15" i="98" s="1"/>
  <c r="E44" i="98" l="1"/>
  <c r="E45" i="98"/>
  <c r="D36" i="102"/>
  <c r="C38" i="102"/>
  <c r="D38" i="102" s="1"/>
  <c r="C22" i="98"/>
  <c r="D45" i="98"/>
  <c r="D47" i="98"/>
  <c r="D62" i="98"/>
  <c r="D54" i="98"/>
  <c r="D41" i="98"/>
  <c r="D50" i="98"/>
  <c r="D49" i="98"/>
  <c r="D46" i="98"/>
  <c r="D39" i="98"/>
  <c r="D55" i="98"/>
  <c r="D60" i="98"/>
  <c r="D48" i="98"/>
  <c r="D57" i="98"/>
  <c r="D43" i="98"/>
  <c r="D42" i="98"/>
  <c r="D58" i="98"/>
  <c r="D44" i="98"/>
  <c r="D59" i="98"/>
  <c r="D51" i="98"/>
  <c r="D61" i="98"/>
  <c r="D40" i="98"/>
  <c r="D52" i="98"/>
  <c r="D56" i="98"/>
  <c r="D53" i="98"/>
  <c r="E63" i="98"/>
  <c r="D63" i="98" l="1"/>
  <c r="D31" i="98" l="1"/>
  <c r="D32" i="98"/>
  <c r="D33" i="98" l="1"/>
  <c r="D34" i="98" l="1"/>
  <c r="C34" i="98" s="1"/>
  <c r="C33" i="98"/>
  <c r="C25" i="103" l="1"/>
  <c r="C26" i="103" s="1"/>
  <c r="C66" i="103"/>
  <c r="C62" i="103" l="1"/>
  <c r="C83" i="103" s="1"/>
  <c r="C63" i="103"/>
  <c r="C84" i="103" s="1"/>
  <c r="E35" i="103"/>
  <c r="G37" i="103"/>
  <c r="G35" i="103"/>
  <c r="E34" i="103"/>
  <c r="G34" i="103"/>
  <c r="E37" i="103"/>
  <c r="E36" i="103"/>
  <c r="C104" i="103"/>
  <c r="E18" i="103" s="1"/>
  <c r="Y35" i="47" s="1"/>
  <c r="C12" i="60" s="1"/>
  <c r="G36" i="103"/>
  <c r="C79" i="103"/>
  <c r="C113" i="103" l="1"/>
  <c r="C52" i="103" s="1"/>
  <c r="C114" i="103"/>
  <c r="C53" i="103" s="1"/>
  <c r="D62" i="103"/>
  <c r="D63" i="103"/>
  <c r="C70" i="103" s="1"/>
  <c r="C69" i="103" s="1"/>
  <c r="E96" i="103"/>
  <c r="E97" i="103"/>
  <c r="D89" i="103"/>
  <c r="E90" i="103" s="1"/>
  <c r="D94" i="103"/>
  <c r="F94" i="103" s="1"/>
  <c r="D92" i="103"/>
  <c r="F92" i="103" s="1"/>
  <c r="E95" i="103" l="1"/>
  <c r="E94" i="103"/>
  <c r="F95" i="103"/>
  <c r="F89" i="103"/>
  <c r="E62" i="103" s="1"/>
  <c r="E92" i="103"/>
  <c r="F90" i="103"/>
  <c r="E93" i="103"/>
  <c r="E89" i="103"/>
  <c r="F93" i="103"/>
  <c r="E63" i="103" l="1"/>
</calcChain>
</file>

<file path=xl/comments1.xml><?xml version="1.0" encoding="utf-8"?>
<comments xmlns="http://schemas.openxmlformats.org/spreadsheetml/2006/main">
  <authors>
    <author>Shelley Beaulieu</author>
    <author>Chris DeAlmagro</author>
  </authors>
  <commentList>
    <comment ref="D10" authorId="0" shapeId="0">
      <text>
        <r>
          <rPr>
            <sz val="8"/>
            <color indexed="81"/>
            <rFont val="Tahoma"/>
            <family val="2"/>
          </rPr>
          <t xml:space="preserve">Insert N/A only if there is no square footage associated with this space.
</t>
        </r>
      </text>
    </comment>
    <comment ref="C37" authorId="1" shapeId="0">
      <text>
        <r>
          <rPr>
            <sz val="8"/>
            <color indexed="81"/>
            <rFont val="Tahoma"/>
            <family val="2"/>
          </rPr>
          <t xml:space="preserve">The following format should be used: &lt;Simulation Software&gt; v&lt;version #&gt;.  e.g. eQuest v3.63.
</t>
        </r>
      </text>
    </comment>
    <comment ref="C38" authorId="1" shapeId="0">
      <text>
        <r>
          <rPr>
            <sz val="8"/>
            <color indexed="81"/>
            <rFont val="Tahoma"/>
            <family val="2"/>
          </rPr>
          <t xml:space="preserve">Enter the weather file used in the simulation software.  This file should be the one most closely associated with the project.
</t>
        </r>
      </text>
    </comment>
    <comment ref="C42" authorId="1" shapeId="0">
      <text>
        <r>
          <rPr>
            <sz val="8"/>
            <color indexed="81"/>
            <rFont val="Tahoma"/>
            <family val="2"/>
          </rPr>
          <t xml:space="preserve">The revision number corresponds to the revision of each milestone.  For example, if this spreadsheet is submitted for the As-built model for the first time, even if there were 3 Proposed submittals, the revision number is 0 (As-built_rev0), not rev3 as it is the first As-built.
</t>
        </r>
      </text>
    </comment>
    <comment ref="B61" authorId="1" shapeId="0">
      <text>
        <r>
          <rPr>
            <sz val="8"/>
            <color indexed="81"/>
            <rFont val="Tahoma"/>
            <family val="2"/>
          </rPr>
          <t xml:space="preserve"> If there are other Partner Fees, please replace &lt;Other&gt; with a brief description.
</t>
        </r>
      </text>
    </comment>
  </commentList>
</comments>
</file>

<file path=xl/comments2.xml><?xml version="1.0" encoding="utf-8"?>
<comments xmlns="http://schemas.openxmlformats.org/spreadsheetml/2006/main">
  <authors>
    <author>Shelley Beaulieu</author>
    <author>Chris DeAlmagro</author>
    <author>Gayathri Vijayakumar</author>
  </authors>
  <commentList>
    <comment ref="B13" authorId="0" shapeId="0">
      <text>
        <r>
          <rPr>
            <sz val="8"/>
            <color indexed="81"/>
            <rFont val="Tahoma"/>
            <family val="2"/>
          </rPr>
          <t>Enter brief description including thickness of insulation, type of insulation, and framing.  E.g. (4" Rigid Insulation).  
If there are several different wall types, include each type, separated by a semicolon.  In this case, the Detailed Measures tab data that is autogenerated for this measure will likely need to be overwritten.</t>
        </r>
      </text>
    </comment>
    <comment ref="B14" authorId="0" shapeId="0">
      <text>
        <r>
          <rPr>
            <sz val="8"/>
            <color indexed="81"/>
            <rFont val="Tahoma"/>
            <family val="2"/>
          </rPr>
          <t>Enter U-value number (e.g. 0.064).
If the building has multiple above grade wall types, enter each U-value separated by a semicolon, in the same order as the wall descriptions given above.</t>
        </r>
      </text>
    </comment>
    <comment ref="B15" authorId="0" shapeId="0">
      <text>
        <r>
          <rPr>
            <sz val="8"/>
            <color indexed="81"/>
            <rFont val="Tahoma"/>
            <family val="2"/>
          </rPr>
          <t xml:space="preserve">Enter brief description including thickness of insulation, type of insulation, and framing.  E.g. (4" Rigid Insulation)
</t>
        </r>
      </text>
    </comment>
    <comment ref="B16" authorId="0" shapeId="0">
      <text>
        <r>
          <rPr>
            <sz val="8"/>
            <color indexed="81"/>
            <rFont val="Tahoma"/>
            <family val="2"/>
          </rPr>
          <t xml:space="preserve">Enter U-value number (e.g. 0.090).
</t>
        </r>
      </text>
    </comment>
    <comment ref="B17" authorId="0" shapeId="0">
      <text>
        <r>
          <rPr>
            <sz val="8"/>
            <color indexed="81"/>
            <rFont val="Tahoma"/>
            <family val="2"/>
          </rPr>
          <t>Enter brief description including thickness of insulation, type of insulation, and framing.  Separate different wall types using a semicolon. E.g. (4" Rigid Insulation (North Wall); 5" Rigid Insulation (All Other).</t>
        </r>
      </text>
    </comment>
    <comment ref="B18" authorId="0" shapeId="0">
      <text>
        <r>
          <rPr>
            <sz val="8"/>
            <color indexed="81"/>
            <rFont val="Tahoma"/>
            <family val="2"/>
          </rPr>
          <t>Enter C-value number (e.g. 0.119).</t>
        </r>
      </text>
    </comment>
    <comment ref="B19" authorId="0" shapeId="0">
      <text>
        <r>
          <rPr>
            <sz val="8"/>
            <color indexed="81"/>
            <rFont val="Tahoma"/>
            <family val="2"/>
          </rPr>
          <t>Enter brief description including thickness of insulation, type of insulation, and framing.</t>
        </r>
      </text>
    </comment>
    <comment ref="B20" authorId="0" shapeId="0">
      <text>
        <r>
          <rPr>
            <sz val="8"/>
            <color indexed="81"/>
            <rFont val="Tahoma"/>
            <family val="2"/>
          </rPr>
          <t>Enter U-value number (e.g. 0.038).</t>
        </r>
      </text>
    </comment>
    <comment ref="B21" authorId="0" shapeId="0">
      <text>
        <r>
          <rPr>
            <sz val="8"/>
            <color indexed="81"/>
            <rFont val="Tahoma"/>
            <family val="2"/>
          </rPr>
          <t>Enter brief description including thickness of insulation, type of insulation, and framing.</t>
        </r>
      </text>
    </comment>
    <comment ref="B22" authorId="0" shapeId="0">
      <text>
        <r>
          <rPr>
            <sz val="8"/>
            <color indexed="81"/>
            <rFont val="Tahoma"/>
            <family val="2"/>
          </rPr>
          <t xml:space="preserve">Enter F-value number (e.g. 0.540).
</t>
        </r>
      </text>
    </comment>
    <comment ref="B23" authorId="0" shapeId="0">
      <text>
        <r>
          <rPr>
            <sz val="8"/>
            <color indexed="81"/>
            <rFont val="Tahoma"/>
            <family val="2"/>
          </rPr>
          <t>Enter brief description including thickness of insulation, type of insulation, and framing.</t>
        </r>
      </text>
    </comment>
    <comment ref="B24" authorId="0" shapeId="0">
      <text>
        <r>
          <rPr>
            <sz val="8"/>
            <color indexed="81"/>
            <rFont val="Tahoma"/>
            <family val="2"/>
          </rPr>
          <t xml:space="preserve">Enter F-value number (e.g. 0.540).
</t>
        </r>
      </text>
    </comment>
    <comment ref="B25" authorId="0" shapeId="0">
      <text>
        <r>
          <rPr>
            <sz val="8"/>
            <color indexed="81"/>
            <rFont val="Tahoma"/>
            <family val="2"/>
          </rPr>
          <t>Enter brief description including thickness of insulation, type of insulation, and framing.</t>
        </r>
      </text>
    </comment>
    <comment ref="B26" authorId="0" shapeId="0">
      <text>
        <r>
          <rPr>
            <sz val="8"/>
            <color indexed="81"/>
            <rFont val="Tahoma"/>
            <family val="2"/>
          </rPr>
          <t>Enter C-value number (e.g. 1.140).</t>
        </r>
      </text>
    </comment>
    <comment ref="B27" authorId="0" shapeId="0">
      <text>
        <r>
          <rPr>
            <sz val="8"/>
            <color indexed="81"/>
            <rFont val="Tahoma"/>
            <family val="2"/>
          </rPr>
          <t>Enter brief description including thickness of insulation, type of insulation, and framing.</t>
        </r>
      </text>
    </comment>
    <comment ref="B28" authorId="0" shapeId="0">
      <text>
        <r>
          <rPr>
            <sz val="8"/>
            <color indexed="81"/>
            <rFont val="Tahoma"/>
            <family val="2"/>
          </rPr>
          <t>Enter U-value number (e.g. 0.480).</t>
        </r>
      </text>
    </comment>
    <comment ref="B29" authorId="0" shapeId="0">
      <text>
        <r>
          <rPr>
            <sz val="8"/>
            <color indexed="81"/>
            <rFont val="Tahoma"/>
            <family val="2"/>
          </rPr>
          <t xml:space="preserve">Window-to-wall ratio is taken as the sum of all window area, including decorative glass and skylights, divided by the total exterior above-grade wall area.
</t>
        </r>
      </text>
    </comment>
    <comment ref="B30" authorId="0" shapeId="0">
      <text>
        <r>
          <rPr>
            <sz val="8"/>
            <color indexed="81"/>
            <rFont val="Tahoma"/>
            <family val="2"/>
          </rPr>
          <t>Enter frame type (e.g. Vinyl frame)</t>
        </r>
      </text>
    </comment>
    <comment ref="B31" authorId="0" shapeId="0">
      <text>
        <r>
          <rPr>
            <sz val="8"/>
            <color indexed="81"/>
            <rFont val="Tahoma"/>
            <family val="2"/>
          </rPr>
          <t>Enter glazing type (e.g. Double-paned, argon-filled)</t>
        </r>
      </text>
    </comment>
    <comment ref="B32" authorId="0" shapeId="0">
      <text>
        <r>
          <rPr>
            <sz val="8"/>
            <color indexed="81"/>
            <rFont val="Tahoma"/>
            <family val="2"/>
          </rPr>
          <t xml:space="preserve">Enter U-value number (e.g. 0.064).
</t>
        </r>
      </text>
    </comment>
    <comment ref="B33" authorId="0" shapeId="0">
      <text>
        <r>
          <rPr>
            <sz val="8"/>
            <color indexed="81"/>
            <rFont val="Tahoma"/>
            <family val="2"/>
          </rPr>
          <t>Enter SHGC number (e.g. 0.40).</t>
        </r>
      </text>
    </comment>
    <comment ref="B34" authorId="0" shapeId="0">
      <text>
        <r>
          <rPr>
            <sz val="8"/>
            <color indexed="81"/>
            <rFont val="Tahoma"/>
            <family val="2"/>
          </rPr>
          <t>Enter type of shanding device, if applicable.</t>
        </r>
      </text>
    </comment>
    <comment ref="B35" authorId="0" shapeId="0">
      <text>
        <r>
          <rPr>
            <sz val="8"/>
            <color indexed="81"/>
            <rFont val="Tahoma"/>
            <family val="2"/>
          </rPr>
          <t xml:space="preserve">Enter type of door (e.g. Swinging opaque).
</t>
        </r>
      </text>
    </comment>
    <comment ref="B36" authorId="0" shapeId="0">
      <text>
        <r>
          <rPr>
            <sz val="8"/>
            <color indexed="81"/>
            <rFont val="Tahoma"/>
            <family val="2"/>
          </rPr>
          <t>Enter U-value number (e.g. 0.70).</t>
        </r>
      </text>
    </comment>
    <comment ref="B40" authorId="0" shapeId="0">
      <text>
        <r>
          <rPr>
            <sz val="8"/>
            <color indexed="81"/>
            <rFont val="Tahoma"/>
            <family val="2"/>
          </rPr>
          <t xml:space="preserve">Enter LPD number (e.g. 0.7).
</t>
        </r>
      </text>
    </comment>
    <comment ref="B42" authorId="0" shapeId="0">
      <text>
        <r>
          <rPr>
            <sz val="8"/>
            <color indexed="81"/>
            <rFont val="Tahoma"/>
            <family val="2"/>
          </rPr>
          <t xml:space="preserve">List each applicable space type and its associated LPD (e.g. Lobby: 1.3 W/SF).
</t>
        </r>
      </text>
    </comment>
    <comment ref="B43" authorId="0" shapeId="0">
      <text>
        <r>
          <rPr>
            <sz val="8"/>
            <color indexed="81"/>
            <rFont val="Tahoma"/>
            <family val="2"/>
          </rPr>
          <t xml:space="preserve">Include type of lighting controls and the space(s) the control(s) serve (e.g. Occupancy Sensors - Stairwells).
</t>
        </r>
      </text>
    </comment>
    <comment ref="B44" authorId="0" shapeId="0">
      <text>
        <r>
          <rPr>
            <sz val="8"/>
            <color indexed="81"/>
            <rFont val="Tahoma"/>
            <family val="2"/>
          </rPr>
          <t>Enter total lighting power (kW).</t>
        </r>
      </text>
    </comment>
    <comment ref="B45" authorId="0" shapeId="0">
      <text>
        <r>
          <rPr>
            <sz val="8"/>
            <color indexed="81"/>
            <rFont val="Tahoma"/>
            <family val="2"/>
          </rPr>
          <t xml:space="preserve">Enter LPD number (W/SF).
</t>
        </r>
      </text>
    </comment>
    <comment ref="B46" authorId="0" shapeId="0">
      <text>
        <r>
          <rPr>
            <sz val="8"/>
            <color indexed="81"/>
            <rFont val="Tahoma"/>
            <family val="2"/>
          </rPr>
          <t xml:space="preserve">Enter total lighting power (kW).
</t>
        </r>
      </text>
    </comment>
    <comment ref="H49" authorId="0" shapeId="0">
      <text>
        <r>
          <rPr>
            <sz val="8"/>
            <color indexed="81"/>
            <rFont val="Tahoma"/>
            <family val="2"/>
          </rPr>
          <t xml:space="preserve">Enter Manufacturer only if the equipment is installed in the buidling.
</t>
        </r>
      </text>
    </comment>
    <comment ref="I49" authorId="0" shapeId="0">
      <text>
        <r>
          <rPr>
            <sz val="8"/>
            <color indexed="81"/>
            <rFont val="Tahoma"/>
            <family val="2"/>
          </rPr>
          <t xml:space="preserve">Enter model number only if the equipment is installed in the buidling.
</t>
        </r>
      </text>
    </comment>
    <comment ref="B58" authorId="0" shapeId="0">
      <text>
        <r>
          <rPr>
            <sz val="8"/>
            <color indexed="81"/>
            <rFont val="Tahoma"/>
            <family val="2"/>
          </rPr>
          <t xml:space="preserve">Choose type of stove (electric or gas).
</t>
        </r>
      </text>
    </comment>
    <comment ref="B59" authorId="1" shapeId="0">
      <text>
        <r>
          <rPr>
            <sz val="8"/>
            <color indexed="81"/>
            <rFont val="Tahoma"/>
            <family val="2"/>
          </rPr>
          <t xml:space="preserve">Replace "&lt;Other Appliance&gt;" with the appliance type, or leave blank if there are no other appliance types.
</t>
        </r>
      </text>
    </comment>
    <comment ref="G64" authorId="0" shapeId="0">
      <text>
        <r>
          <rPr>
            <sz val="8"/>
            <color indexed="81"/>
            <rFont val="Tahoma"/>
            <family val="2"/>
          </rPr>
          <t xml:space="preserve">Enter Manufacturer only if the equipment is installed in the buidling.
</t>
        </r>
      </text>
    </comment>
    <comment ref="H64" authorId="0" shapeId="0">
      <text>
        <r>
          <rPr>
            <sz val="8"/>
            <color indexed="81"/>
            <rFont val="Tahoma"/>
            <family val="2"/>
          </rPr>
          <t xml:space="preserve">Enter model number only if the equipment is installed in the buidling.
</t>
        </r>
      </text>
    </comment>
    <comment ref="J64" authorId="0" shapeId="0">
      <text>
        <r>
          <rPr>
            <sz val="8"/>
            <color indexed="81"/>
            <rFont val="Tahoma"/>
            <family val="2"/>
          </rPr>
          <t xml:space="preserve">Enter the spaces served in this space.  (e.g. apartments, common area, whole building, corridor, etc.)
</t>
        </r>
      </text>
    </comment>
    <comment ref="B65" authorId="0" shapeId="0">
      <text>
        <r>
          <rPr>
            <sz val="8"/>
            <color indexed="81"/>
            <rFont val="Tahoma"/>
            <family val="2"/>
          </rPr>
          <t xml:space="preserve">The primary system is the system that serves the majority of the building.
</t>
        </r>
      </text>
    </comment>
    <comment ref="B67" authorId="0" shapeId="0">
      <text>
        <r>
          <rPr>
            <sz val="8"/>
            <color indexed="81"/>
            <rFont val="Tahoma"/>
            <family val="2"/>
          </rPr>
          <t xml:space="preserve">Choose correct units of efficiency (AFUE, COP, Ec, Et or HSPF).
</t>
        </r>
      </text>
    </comment>
    <comment ref="D67" authorId="2" shapeId="0">
      <text>
        <r>
          <rPr>
            <sz val="9"/>
            <color indexed="81"/>
            <rFont val="Calibri"/>
            <family val="2"/>
            <scheme val="minor"/>
          </rPr>
          <t>For System 1:
Appendix G, G3.1.3.2:
Efficiency depends on capacity calculated by model:
80% AFUE:  &lt;300,000 BTUH
80% Et:  300,000 -2,500,000 BTUH</t>
        </r>
        <r>
          <rPr>
            <sz val="12"/>
            <color indexed="81"/>
            <rFont val="Tahoma"/>
            <family val="2"/>
          </rPr>
          <t xml:space="preserve">
</t>
        </r>
      </text>
    </comment>
    <comment ref="B68" authorId="0" shapeId="0">
      <text>
        <r>
          <rPr>
            <sz val="8"/>
            <color indexed="81"/>
            <rFont val="Tahoma"/>
            <family val="2"/>
          </rPr>
          <t xml:space="preserve">Enter the total capacity of the primary heating system (e.g. enter 2 MMBTU for two 1 MMBTU boilers).
</t>
        </r>
      </text>
    </comment>
    <comment ref="D69" authorId="0" shapeId="0">
      <text>
        <r>
          <rPr>
            <sz val="8"/>
            <color indexed="81"/>
            <rFont val="Tahoma"/>
            <family val="2"/>
          </rPr>
          <t>If there is &gt;20,000 SF of contiguous non-residential space, use additional system type for nonpredominant conditions (using ASHRAE Tables G3.1.1A and G3.1.1B) in that space.</t>
        </r>
      </text>
    </comment>
    <comment ref="B71" authorId="0" shapeId="0">
      <text>
        <r>
          <rPr>
            <sz val="8"/>
            <color indexed="81"/>
            <rFont val="Tahoma"/>
            <family val="2"/>
          </rPr>
          <t>Choose correct units of efficiency (AFUE, COP, Ec, Et or HSPF).</t>
        </r>
      </text>
    </comment>
    <comment ref="B75" authorId="0" shapeId="0">
      <text>
        <r>
          <rPr>
            <sz val="8"/>
            <color indexed="81"/>
            <rFont val="Tahoma"/>
            <family val="2"/>
          </rPr>
          <t xml:space="preserve">Choose correct units of efficiency (AFUE, COP, Ec, Et or HSPF).
</t>
        </r>
      </text>
    </comment>
    <comment ref="G80" authorId="0" shapeId="0">
      <text>
        <r>
          <rPr>
            <sz val="8"/>
            <color indexed="81"/>
            <rFont val="Tahoma"/>
            <family val="2"/>
          </rPr>
          <t xml:space="preserve">Enter Manufacturer only if the equipment is installed in the buidling.
</t>
        </r>
      </text>
    </comment>
    <comment ref="H80" authorId="0" shapeId="0">
      <text>
        <r>
          <rPr>
            <sz val="8"/>
            <color indexed="81"/>
            <rFont val="Tahoma"/>
            <family val="2"/>
          </rPr>
          <t xml:space="preserve">Enter model number only if the equipment is installed in the buidling.
</t>
        </r>
      </text>
    </comment>
    <comment ref="J80" authorId="0" shapeId="0">
      <text>
        <r>
          <rPr>
            <sz val="8"/>
            <color indexed="81"/>
            <rFont val="Tahoma"/>
            <family val="2"/>
          </rPr>
          <t xml:space="preserve">Enter the spaces served in this space.  (e.g. apartments, common area, whole building, corridor, etc.)
</t>
        </r>
      </text>
    </comment>
    <comment ref="B81" authorId="0" shapeId="0">
      <text>
        <r>
          <rPr>
            <sz val="8"/>
            <color indexed="81"/>
            <rFont val="Tahoma"/>
            <family val="2"/>
          </rPr>
          <t>The primary system is the system that serves the majority of the building.</t>
        </r>
      </text>
    </comment>
    <comment ref="B83" authorId="0" shapeId="0">
      <text>
        <r>
          <rPr>
            <sz val="8"/>
            <color indexed="81"/>
            <rFont val="Tahoma"/>
            <family val="2"/>
          </rPr>
          <t xml:space="preserve">Choose correct units of efficiency (EER, SEER).
</t>
        </r>
      </text>
    </comment>
    <comment ref="B84" authorId="0" shapeId="0">
      <text>
        <r>
          <rPr>
            <sz val="8"/>
            <color indexed="81"/>
            <rFont val="Tahoma"/>
            <family val="2"/>
          </rPr>
          <t xml:space="preserve">Enter the total capacity of the primary cooling system (e.g. enter 12 tons for twelve 1 ton ACs).
</t>
        </r>
      </text>
    </comment>
    <comment ref="B87" authorId="0" shapeId="0">
      <text>
        <r>
          <rPr>
            <sz val="8"/>
            <color indexed="81"/>
            <rFont val="Tahoma"/>
            <family val="2"/>
          </rPr>
          <t xml:space="preserve">Choose correct units of efficiency (EER, SEER).
</t>
        </r>
      </text>
    </comment>
    <comment ref="B88" authorId="0" shapeId="0">
      <text>
        <r>
          <rPr>
            <sz val="8"/>
            <color indexed="81"/>
            <rFont val="Tahoma"/>
            <family val="2"/>
          </rPr>
          <t>Enter the total capacity of the primary cooling system (e.g. enter 12 tons for twelve 1 ton ACs).</t>
        </r>
      </text>
    </comment>
    <comment ref="B91" authorId="0" shapeId="0">
      <text>
        <r>
          <rPr>
            <sz val="8"/>
            <color indexed="81"/>
            <rFont val="Tahoma"/>
            <family val="2"/>
          </rPr>
          <t xml:space="preserve">Choose correct units of efficiency (EER, SEER).
</t>
        </r>
      </text>
    </comment>
    <comment ref="B92" authorId="0" shapeId="0">
      <text>
        <r>
          <rPr>
            <sz val="8"/>
            <color indexed="81"/>
            <rFont val="Tahoma"/>
            <family val="2"/>
          </rPr>
          <t>Enter the total capacity of the primary cooling system (e.g. enter 12 tons for twelve 1 ton ACs).</t>
        </r>
      </text>
    </comment>
    <comment ref="H95" authorId="0" shapeId="0">
      <text>
        <r>
          <rPr>
            <sz val="8"/>
            <color indexed="81"/>
            <rFont val="Tahoma"/>
            <family val="2"/>
          </rPr>
          <t xml:space="preserve">Enter Manufacturer only if the equipment is installed in the buidling.
</t>
        </r>
      </text>
    </comment>
    <comment ref="I95" authorId="0" shapeId="0">
      <text>
        <r>
          <rPr>
            <sz val="8"/>
            <color indexed="81"/>
            <rFont val="Tahoma"/>
            <family val="2"/>
          </rPr>
          <t xml:space="preserve">Enter model number only if the equipment is installed in the buidling.
</t>
        </r>
      </text>
    </comment>
    <comment ref="B100" authorId="0" shapeId="0">
      <text>
        <r>
          <rPr>
            <sz val="8"/>
            <color indexed="81"/>
            <rFont val="Tahoma"/>
            <family val="2"/>
          </rPr>
          <t xml:space="preserve">Indicate any cooling system control parameters that will be needed in the Proposed design model.  (e.g., Cooling tower fan motor is equipped with VFD controlled by temperature sensor on condenser water supply pipe.)
</t>
        </r>
      </text>
    </comment>
    <comment ref="G117" authorId="0" shapeId="0">
      <text>
        <r>
          <rPr>
            <sz val="8"/>
            <color indexed="81"/>
            <rFont val="Tahoma"/>
            <family val="2"/>
          </rPr>
          <t>Enter Manufacturer only if the equipment is installed in the buidling.</t>
        </r>
      </text>
    </comment>
    <comment ref="H117" authorId="0" shapeId="0">
      <text>
        <r>
          <rPr>
            <sz val="8"/>
            <color indexed="81"/>
            <rFont val="Tahoma"/>
            <family val="2"/>
          </rPr>
          <t xml:space="preserve">Enter model number only if the equipment is installed in the buidling.
</t>
        </r>
      </text>
    </comment>
    <comment ref="B119" authorId="0" shapeId="0">
      <text>
        <r>
          <rPr>
            <sz val="8"/>
            <color indexed="81"/>
            <rFont val="Tahoma"/>
            <family val="2"/>
          </rPr>
          <t xml:space="preserve">Choose correct units of efficiency (EF or Et).
</t>
        </r>
      </text>
    </comment>
    <comment ref="B120" authorId="0" shapeId="0">
      <text>
        <r>
          <rPr>
            <sz val="8"/>
            <color indexed="81"/>
            <rFont val="Tahoma"/>
            <family val="2"/>
          </rPr>
          <t xml:space="preserve">Enter the total capacity of the DHW system (e.g. enter 90 for three 30,000 Btu/h DHW heaters).
</t>
        </r>
      </text>
    </comment>
    <comment ref="D130" authorId="0" shapeId="0">
      <text>
        <r>
          <rPr>
            <sz val="8"/>
            <color indexed="81"/>
            <rFont val="Tahoma"/>
            <family val="2"/>
          </rPr>
          <t>For shower stalls with multiple showerheads, the 2.5 GPM applies to the entire stall.</t>
        </r>
      </text>
    </comment>
    <comment ref="H136" authorId="0" shapeId="0">
      <text>
        <r>
          <rPr>
            <sz val="8"/>
            <color indexed="81"/>
            <rFont val="Tahoma"/>
            <family val="2"/>
          </rPr>
          <t xml:space="preserve">Enter Manufacturer only if the equipment is installed in the buidling.
</t>
        </r>
      </text>
    </comment>
    <comment ref="I136" authorId="0" shapeId="0">
      <text>
        <r>
          <rPr>
            <sz val="8"/>
            <color indexed="81"/>
            <rFont val="Tahoma"/>
            <family val="2"/>
          </rPr>
          <t xml:space="preserve">Enter model number only if the equipment is installed in the buidling.
</t>
        </r>
      </text>
    </comment>
    <comment ref="B137" authorId="0" shapeId="0">
      <text>
        <r>
          <rPr>
            <sz val="8"/>
            <color indexed="81"/>
            <rFont val="Tahoma"/>
            <family val="2"/>
          </rPr>
          <t xml:space="preserve">As-Built model shall reflect ventilation flowrates measured during testing.
</t>
        </r>
      </text>
    </comment>
    <comment ref="G137" authorId="0" shapeId="0">
      <text>
        <r>
          <rPr>
            <sz val="8"/>
            <color indexed="81"/>
            <rFont val="Tahoma"/>
            <family val="2"/>
          </rPr>
          <t>Enter number of rooms of this type with mechanical exhaust.</t>
        </r>
      </text>
    </comment>
    <comment ref="G138" authorId="0" shapeId="0">
      <text>
        <r>
          <rPr>
            <sz val="8"/>
            <color indexed="81"/>
            <rFont val="Tahoma"/>
            <family val="2"/>
          </rPr>
          <t>Enter number of rooms of this type with mechanical exhaust.</t>
        </r>
      </text>
    </comment>
    <comment ref="G140" authorId="0" shapeId="0">
      <text>
        <r>
          <rPr>
            <sz val="8"/>
            <color indexed="81"/>
            <rFont val="Tahoma"/>
            <family val="2"/>
          </rPr>
          <t>Enter number of roof-top exhaust fans serving apartments.</t>
        </r>
      </text>
    </comment>
    <comment ref="B145" authorId="0" shapeId="0">
      <text>
        <r>
          <rPr>
            <sz val="8"/>
            <color indexed="81"/>
            <rFont val="Tahoma"/>
            <family val="2"/>
          </rPr>
          <t xml:space="preserve">Provide total CFM of mechanical ventilation provided in corridors.
Confirm with MEP that ventilation meets the minimum requirements of local code and ASHRAE 62.1-2007.
</t>
        </r>
      </text>
    </comment>
    <comment ref="G147" authorId="0" shapeId="0">
      <text>
        <r>
          <rPr>
            <sz val="8"/>
            <color indexed="81"/>
            <rFont val="Tahoma"/>
            <family val="2"/>
          </rPr>
          <t>Enter number of roof-top exhaust fans serving non-apartment spaces.</t>
        </r>
      </text>
    </comment>
    <comment ref="B151" authorId="0" shapeId="0">
      <text>
        <r>
          <rPr>
            <sz val="8"/>
            <color indexed="81"/>
            <rFont val="Tahoma"/>
            <family val="2"/>
          </rPr>
          <t xml:space="preserve">If taking the duct-sealing credit, assume 5 CFM per floor per shaft in the Proposed, but replace with tested leakage in AS-BUILT model. 
</t>
        </r>
      </text>
    </comment>
    <comment ref="B155" authorId="0" shapeId="0">
      <text>
        <r>
          <rPr>
            <sz val="8"/>
            <color indexed="81"/>
            <rFont val="Tahoma"/>
            <family val="2"/>
          </rPr>
          <t>List affected system, if applicable.</t>
        </r>
      </text>
    </comment>
    <comment ref="B162" authorId="0" shapeId="0">
      <text>
        <r>
          <rPr>
            <sz val="8"/>
            <color indexed="81"/>
            <rFont val="Tahoma"/>
            <family val="2"/>
          </rPr>
          <t xml:space="preserve">For example, reduced fan runtime from installing CO sensors in residential-associated garages may be modeled using 8.4 hr/day fan runtime in Proposed Design, compared to 24 hr/day runtime in the Baseline Building Design.
</t>
        </r>
      </text>
    </comment>
    <comment ref="B163" authorId="0" shapeId="0">
      <text>
        <r>
          <rPr>
            <sz val="8"/>
            <color indexed="81"/>
            <rFont val="Tahoma"/>
            <family val="2"/>
          </rPr>
          <t xml:space="preserve">Demand control ventilation(DCV) is defined in ASHRAE as: "a ventilation system capability that provides for the </t>
        </r>
        <r>
          <rPr>
            <i/>
            <sz val="8"/>
            <color indexed="81"/>
            <rFont val="Tahoma"/>
            <family val="2"/>
          </rPr>
          <t>automatic</t>
        </r>
        <r>
          <rPr>
            <sz val="8"/>
            <color indexed="81"/>
            <rFont val="Tahoma"/>
            <family val="2"/>
          </rPr>
          <t xml:space="preserve"> reduction of outdoor air intake below design rates when the actual occupancy of spaces served by the system is less than design occupancy." Individual exhaust ventilation in kitchens and bathrooms with manual control or interlocked with lighting switch does not qualify as DCV measure.</t>
        </r>
      </text>
    </comment>
    <comment ref="B168" authorId="0" shapeId="0">
      <text>
        <r>
          <rPr>
            <sz val="8"/>
            <color indexed="81"/>
            <rFont val="Tahoma"/>
            <family val="2"/>
          </rPr>
          <t>If your building has any 3-phase, not integrated motors over 1 hp not covered in the heating and DHW tables above, please enter their information here.</t>
        </r>
      </text>
    </comment>
    <comment ref="B172" authorId="0" shapeId="0">
      <text>
        <r>
          <rPr>
            <sz val="8"/>
            <color indexed="81"/>
            <rFont val="Tahoma"/>
            <family val="2"/>
          </rPr>
          <t>Solar PV, Wind, and CHP should have units of kW (e.g. 50 kW).  Solar Thermal should have units of SqFt of collector area (e.g. 300 SqFt).</t>
        </r>
      </text>
    </comment>
  </commentList>
</comments>
</file>

<file path=xl/comments3.xml><?xml version="1.0" encoding="utf-8"?>
<comments xmlns="http://schemas.openxmlformats.org/spreadsheetml/2006/main">
  <authors>
    <author>Beaulieu, Shelley (CliftonPark,NY-US)</author>
  </authors>
  <commentList>
    <comment ref="AC5" authorId="0" shapeId="0">
      <text>
        <r>
          <rPr>
            <sz val="9"/>
            <color indexed="81"/>
            <rFont val="Tahoma"/>
            <family val="2"/>
          </rPr>
          <t>Passes TRC test and is a firm gas or electric measure.</t>
        </r>
      </text>
    </comment>
    <comment ref="AD5" authorId="0" shapeId="0">
      <text>
        <r>
          <rPr>
            <sz val="9"/>
            <color indexed="81"/>
            <rFont val="Tahoma"/>
            <family val="2"/>
          </rPr>
          <t xml:space="preserve">Select "No" to exclude measures from the project-level TRC test. Default is yes, if the measure is EEPS elgible.
</t>
        </r>
      </text>
    </comment>
    <comment ref="AE5" authorId="0" shapeId="0">
      <text>
        <r>
          <rPr>
            <sz val="9"/>
            <color indexed="81"/>
            <rFont val="Tahoma"/>
            <family val="2"/>
          </rPr>
          <t xml:space="preserve">This tells you what is the predominent fuel saved.
</t>
        </r>
      </text>
    </comment>
    <comment ref="AF5" authorId="0" shapeId="0">
      <text>
        <r>
          <rPr>
            <sz val="9"/>
            <color indexed="81"/>
            <rFont val="Tahoma"/>
            <family val="2"/>
          </rPr>
          <t xml:space="preserve">Automatic selection based on TRC test and columnns AC-AE. Will automatically select MR or LI based on project.
</t>
        </r>
      </text>
    </comment>
    <comment ref="AG5" authorId="0" shapeId="0">
      <text>
        <r>
          <rPr>
            <sz val="9"/>
            <color indexed="81"/>
            <rFont val="Tahoma"/>
            <family val="2"/>
          </rPr>
          <t>Manual entry by PM.  Will turn red if needed.</t>
        </r>
      </text>
    </comment>
  </commentList>
</comments>
</file>

<file path=xl/comments4.xml><?xml version="1.0" encoding="utf-8"?>
<comments xmlns="http://schemas.openxmlformats.org/spreadsheetml/2006/main">
  <authors>
    <author>Beaulieu, Shelley (CliftonPark,NY-US)</author>
    <author>Beaulieu, Shelley</author>
  </authors>
  <commentList>
    <comment ref="B18" authorId="0" shapeId="0">
      <text>
        <r>
          <rPr>
            <sz val="9"/>
            <color indexed="81"/>
            <rFont val="Tahoma"/>
            <family val="2"/>
          </rPr>
          <t>The lesser of the incentive per the incentive schedule OR the total Measure Cost of measures that pass the TRC test.</t>
        </r>
      </text>
    </comment>
    <comment ref="B19" authorId="1" shapeId="0">
      <text>
        <r>
          <rPr>
            <sz val="9"/>
            <color indexed="81"/>
            <rFont val="Tahoma"/>
            <family val="2"/>
          </rPr>
          <t xml:space="preserve">Adjust/Reduce if needed to help pass project-level TRC test (see 4c above)
</t>
        </r>
      </text>
    </comment>
    <comment ref="G39" authorId="0" shapeId="0">
      <text>
        <r>
          <rPr>
            <sz val="9"/>
            <color indexed="81"/>
            <rFont val="Tahoma"/>
            <family val="2"/>
          </rPr>
          <t>Remainder of funding, capped at measure costs.</t>
        </r>
      </text>
    </comment>
  </commentList>
</comments>
</file>

<file path=xl/comments5.xml><?xml version="1.0" encoding="utf-8"?>
<comments xmlns="http://schemas.openxmlformats.org/spreadsheetml/2006/main">
  <authors>
    <author>Shelley Beaulieu</author>
    <author>Beaulieu, Shelley</author>
    <author>gvijayakumar</author>
  </authors>
  <commentList>
    <comment ref="K3" authorId="0" shapeId="0">
      <text>
        <r>
          <rPr>
            <sz val="8"/>
            <color indexed="81"/>
            <rFont val="Tahoma"/>
            <family val="2"/>
          </rPr>
          <t>e.g. Fluorescent, Incandescent, LED</t>
        </r>
      </text>
    </comment>
    <comment ref="L3" authorId="1" shapeId="0">
      <text>
        <r>
          <rPr>
            <sz val="9"/>
            <color indexed="81"/>
            <rFont val="Tahoma"/>
            <family val="2"/>
          </rPr>
          <t>Use maximum rated wattage for the fixture if following ASHRAE explicitly. EPA allows wattage to be calculated using wattage of installed lamps and ballast, regardless of maximum rated wattage of the fixture.
Ballast power must be included</t>
        </r>
      </text>
    </comment>
    <comment ref="M3" authorId="2" shapeId="0">
      <text>
        <r>
          <rPr>
            <sz val="8"/>
            <color indexed="81"/>
            <rFont val="Tahoma"/>
            <family val="2"/>
          </rPr>
          <t>User can overwrite default lumens per watt if needed, but need to provide documentation</t>
        </r>
      </text>
    </comment>
    <comment ref="O3" authorId="1" shapeId="0">
      <text>
        <r>
          <rPr>
            <sz val="9"/>
            <color indexed="81"/>
            <rFont val="Tahoma"/>
            <family val="2"/>
          </rPr>
          <t>If the same fixture is used in apartments as common space, indicate "Common Space"</t>
        </r>
      </text>
    </comment>
    <comment ref="L4" authorId="1" shapeId="0">
      <text>
        <r>
          <rPr>
            <sz val="9"/>
            <color indexed="81"/>
            <rFont val="Tahoma"/>
            <family val="2"/>
          </rPr>
          <t>Include ballast power. See Appendix B for typical values.
Ex. 13W CFL &gt;&gt;14W</t>
        </r>
        <r>
          <rPr>
            <b/>
            <sz val="9"/>
            <color indexed="81"/>
            <rFont val="Tahoma"/>
            <family val="2"/>
          </rPr>
          <t xml:space="preserve">
</t>
        </r>
        <r>
          <rPr>
            <sz val="9"/>
            <color indexed="81"/>
            <rFont val="Tahoma"/>
            <family val="2"/>
          </rPr>
          <t xml:space="preserve">
</t>
        </r>
      </text>
    </comment>
  </commentList>
</comments>
</file>

<file path=xl/comments6.xml><?xml version="1.0" encoding="utf-8"?>
<comments xmlns="http://schemas.openxmlformats.org/spreadsheetml/2006/main">
  <authors>
    <author>gvijayakumar</author>
    <author>Maria</author>
  </authors>
  <commentList>
    <comment ref="B43" authorId="0" shapeId="0">
      <text>
        <r>
          <rPr>
            <sz val="8"/>
            <color indexed="81"/>
            <rFont val="Tahoma"/>
            <family val="2"/>
          </rPr>
          <t>If the maximum allowed CFM are exceeded, the project is penalized for over-ventilation by having lower OA CFM in the baseline</t>
        </r>
      </text>
    </comment>
    <comment ref="B52" authorId="0" shapeId="0">
      <text>
        <r>
          <rPr>
            <sz val="8"/>
            <color indexed="81"/>
            <rFont val="Tahoma"/>
            <family val="2"/>
          </rPr>
          <t>This is the CONTINUOUS rate needed to meet ASHRAE 62.2-2007. This can also be met using a timer and a larger sized fan.
Ex. 20 CFM continuous is equivalent to an 80 CFM fan that operates 15 minutes each hour.</t>
        </r>
      </text>
    </comment>
    <comment ref="B54" authorId="0" shapeId="0">
      <text>
        <r>
          <rPr>
            <sz val="8"/>
            <color indexed="81"/>
            <rFont val="Tahoma"/>
            <family val="2"/>
          </rPr>
          <t>If this is met using a timer approach, enter the equivalent continuous rate.
Ex. An 80 CFM fan that operates 15 minutes each hour should be entered as 20 CFM.
If the maximum allowed CFM are exceeded, the project is penalized for pver-ventilation unless the additional CFM was needed to meet continuous local exhaust.
Whole Unit Ventilation requirements may also be satisfied by continuous local exhaust coupled with trickle vents</t>
        </r>
      </text>
    </comment>
    <comment ref="C68" authorId="1" shapeId="0">
      <text>
        <r>
          <rPr>
            <sz val="9"/>
            <color indexed="81"/>
            <rFont val="Tahoma"/>
            <family val="2"/>
          </rPr>
          <t>Baseline intermittent exhaust fan power must be based on SG Section 3.14.3</t>
        </r>
      </text>
    </comment>
    <comment ref="C72" authorId="1" shapeId="0">
      <text>
        <r>
          <rPr>
            <sz val="9"/>
            <color indexed="81"/>
            <rFont val="Tahoma"/>
            <family val="2"/>
          </rPr>
          <t>Continuous CFM value includes 2 hr/day intermittent CFM distributed uniformly</t>
        </r>
        <r>
          <rPr>
            <b/>
            <sz val="9"/>
            <color indexed="81"/>
            <rFont val="Tahoma"/>
            <family val="2"/>
          </rPr>
          <t xml:space="preserve"> </t>
        </r>
        <r>
          <rPr>
            <sz val="9"/>
            <color indexed="81"/>
            <rFont val="Tahoma"/>
            <family val="2"/>
          </rPr>
          <t xml:space="preserve">throughout the day
</t>
        </r>
      </text>
    </comment>
    <comment ref="C74" authorId="1" shapeId="0">
      <text>
        <r>
          <rPr>
            <sz val="9"/>
            <color indexed="81"/>
            <rFont val="Tahoma"/>
            <family val="2"/>
          </rPr>
          <t xml:space="preserve">Baseline continuous exhaust fan power is included in 0.3 W/CFM fan power allowance.
</t>
        </r>
      </text>
    </comment>
  </commentList>
</comments>
</file>

<file path=xl/sharedStrings.xml><?xml version="1.0" encoding="utf-8"?>
<sst xmlns="http://schemas.openxmlformats.org/spreadsheetml/2006/main" count="19932" uniqueCount="4098">
  <si>
    <t>$/Gallon</t>
  </si>
  <si>
    <t>Fossil Fuel, Btu</t>
  </si>
  <si>
    <t>MMbtu</t>
  </si>
  <si>
    <t xml:space="preserve">Baseline 
Annual Consumption </t>
  </si>
  <si>
    <t>Proposed Design 
Annual Consumption</t>
  </si>
  <si>
    <t>Electric loads</t>
  </si>
  <si>
    <t>Ventilation fans</t>
  </si>
  <si>
    <t>Space heating</t>
  </si>
  <si>
    <t>Space cooling</t>
  </si>
  <si>
    <t>Domestic hot water</t>
  </si>
  <si>
    <t>Interior lighting</t>
  </si>
  <si>
    <t>Other (describe)</t>
  </si>
  <si>
    <t>Plug loads</t>
  </si>
  <si>
    <t>Gas loads</t>
  </si>
  <si>
    <t>Fuel oil loads</t>
  </si>
  <si>
    <t>Totals</t>
  </si>
  <si>
    <t>Oil loads</t>
  </si>
  <si>
    <t>Apartment</t>
  </si>
  <si>
    <t xml:space="preserve">Number of bedrooms </t>
  </si>
  <si>
    <t>3 - Bedroom</t>
  </si>
  <si>
    <t>4 - Bedroom</t>
  </si>
  <si>
    <t>Total Square Ft</t>
  </si>
  <si>
    <t>Conditioned?</t>
  </si>
  <si>
    <t>Heated &amp; Cooled</t>
  </si>
  <si>
    <t>Unconditioned</t>
  </si>
  <si>
    <t>Heated-Only</t>
  </si>
  <si>
    <t>Cooled-Only</t>
  </si>
  <si>
    <t>Table 5. Comparison of Inputs</t>
  </si>
  <si>
    <t>Table 6. Comparison of Estimated Consumption</t>
  </si>
  <si>
    <t>Table 7. Fuel Cost</t>
  </si>
  <si>
    <t>Table 8. Performance Rating Calculation</t>
  </si>
  <si>
    <t>Table 9. Energy Usage per Square Foot of Conditioned Area</t>
  </si>
  <si>
    <t>993</t>
  </si>
  <si>
    <t>"Richland"</t>
  </si>
  <si>
    <t>948</t>
  </si>
  <si>
    <t>"Richmond"</t>
  </si>
  <si>
    <t>230</t>
  </si>
  <si>
    <t>231</t>
  </si>
  <si>
    <t>232</t>
  </si>
  <si>
    <t>='Design Assistant'!I17</t>
  </si>
  <si>
    <t>CDD</t>
  </si>
  <si>
    <t>HDD</t>
  </si>
  <si>
    <t>"Wisconsin"</t>
  </si>
  <si>
    <t>"Eau Claire"</t>
  </si>
  <si>
    <t>MINNEAPOLIS-ST.PAUL    MN</t>
  </si>
  <si>
    <t>624</t>
  </si>
  <si>
    <t>"Effingham"</t>
  </si>
  <si>
    <t>798</t>
  </si>
  <si>
    <t>"El Paso"</t>
  </si>
  <si>
    <t>MIDLAND-ODESSA    TX</t>
  </si>
  <si>
    <t>El Paso</t>
  </si>
  <si>
    <t>TXELPASO.txt</t>
  </si>
  <si>
    <t>799</t>
  </si>
  <si>
    <t>EL PASO    TX</t>
  </si>
  <si>
    <t>279</t>
  </si>
  <si>
    <t>"Elizabeth City"</t>
  </si>
  <si>
    <t>NORFOLK    VA</t>
  </si>
  <si>
    <t>Norfolk</t>
  </si>
  <si>
    <t xml:space="preserve">VANORFOL.txt </t>
  </si>
  <si>
    <t>072</t>
  </si>
  <si>
    <t>"Elizabeth"</t>
  </si>
  <si>
    <t>NEWARK    NJ</t>
  </si>
  <si>
    <t>Newark</t>
  </si>
  <si>
    <t>NJNEWARK.txt</t>
  </si>
  <si>
    <t>427</t>
  </si>
  <si>
    <t>"Elizabethtown"</t>
  </si>
  <si>
    <t>898</t>
  </si>
  <si>
    <t>"Elko"</t>
  </si>
  <si>
    <t>Annual Maint. ($)</t>
  </si>
  <si>
    <t>File Name</t>
  </si>
  <si>
    <t>Case Description</t>
  </si>
  <si>
    <t>MBtu</t>
  </si>
  <si>
    <t>kBtu/sf/yr</t>
  </si>
  <si>
    <t>TDV-MBtu</t>
  </si>
  <si>
    <t>"Hyannis"</t>
  </si>
  <si>
    <t>834</t>
  </si>
  <si>
    <t>"Idaho Falls"</t>
  </si>
  <si>
    <t>POCATELLO    ID</t>
  </si>
  <si>
    <t>Pocatello</t>
  </si>
  <si>
    <t>IDPOCATE.txt</t>
  </si>
  <si>
    <t>673</t>
  </si>
  <si>
    <t>"Independence"</t>
  </si>
  <si>
    <t>157</t>
  </si>
  <si>
    <t>460</t>
  </si>
  <si>
    <t>"Indianapolis"</t>
  </si>
  <si>
    <t>461</t>
  </si>
  <si>
    <t>462</t>
  </si>
  <si>
    <t>903</t>
  </si>
  <si>
    <t>"Inglewood"</t>
  </si>
  <si>
    <t>LOS ANGELES AP    CA</t>
  </si>
  <si>
    <t>498</t>
  </si>
  <si>
    <t>"Iron Mountain"</t>
  </si>
  <si>
    <t>MARQUETTE    MI</t>
  </si>
  <si>
    <t>148</t>
  </si>
  <si>
    <t>"Ithaca"</t>
  </si>
  <si>
    <t>SYRACUSE    NY</t>
  </si>
  <si>
    <t>492</t>
  </si>
  <si>
    <t>"Jackson"</t>
  </si>
  <si>
    <t>390</t>
  </si>
  <si>
    <t>391</t>
  </si>
  <si>
    <t>392</t>
  </si>
  <si>
    <t>383</t>
  </si>
  <si>
    <t>830</t>
  </si>
  <si>
    <t>LANDER    WY</t>
  </si>
  <si>
    <t>320</t>
  </si>
  <si>
    <t>"Jacksonville"</t>
  </si>
  <si>
    <t>JACKSONVILLE    FL</t>
  </si>
  <si>
    <t>321</t>
  </si>
  <si>
    <t>322</t>
  </si>
  <si>
    <t>114</t>
  </si>
  <si>
    <t>"Jamaica"</t>
  </si>
  <si>
    <t>584</t>
  </si>
  <si>
    <t>"Jamestown"</t>
  </si>
  <si>
    <t>147</t>
  </si>
  <si>
    <t>355</t>
  </si>
  <si>
    <t>"Jasper"</t>
  </si>
  <si>
    <t>650</t>
  </si>
  <si>
    <t>"Jefferson_City"</t>
  </si>
  <si>
    <t>651</t>
  </si>
  <si>
    <t>073</t>
  </si>
  <si>
    <t>"Jersey_City"</t>
  </si>
  <si>
    <t>376</t>
  </si>
  <si>
    <t>"Johnson City"</t>
  </si>
  <si>
    <t>159</t>
  </si>
  <si>
    <t>"Johnstown"</t>
  </si>
  <si>
    <t>724</t>
  </si>
  <si>
    <t>"Jonesboro"</t>
  </si>
  <si>
    <t>648</t>
  </si>
  <si>
    <t>"Joplin"</t>
  </si>
  <si>
    <t>998</t>
  </si>
  <si>
    <t>"Juneau"</t>
  </si>
  <si>
    <t>JUNEAU    AK</t>
  </si>
  <si>
    <t>Juneau</t>
  </si>
  <si>
    <t>AKJUNEAU.txt</t>
  </si>
  <si>
    <t>490</t>
  </si>
  <si>
    <t>"Kalamazoo"</t>
  </si>
  <si>
    <t>491</t>
  </si>
  <si>
    <t>599</t>
  </si>
  <si>
    <t>"Kalispell"</t>
  </si>
  <si>
    <t>kWh</t>
  </si>
  <si>
    <t>kW</t>
  </si>
  <si>
    <t>$</t>
  </si>
  <si>
    <t>"Newport"</t>
  </si>
  <si>
    <t>143</t>
  </si>
  <si>
    <t>"Niagara Falls"</t>
  </si>
  <si>
    <t>687</t>
  </si>
  <si>
    <t>"Norfolk"</t>
  </si>
  <si>
    <t>"Meridian"</t>
  </si>
  <si>
    <t>330</t>
  </si>
  <si>
    <t>"Miami"</t>
  </si>
  <si>
    <t>KEY WEST    FL</t>
  </si>
  <si>
    <t>331</t>
  </si>
  <si>
    <t>332</t>
  </si>
  <si>
    <t>409</t>
  </si>
  <si>
    <t>"Middlesboro"</t>
  </si>
  <si>
    <t>797</t>
  </si>
  <si>
    <t>"Midland"</t>
  </si>
  <si>
    <t>Midland Odessa</t>
  </si>
  <si>
    <t>TXMIDLAN.txt</t>
  </si>
  <si>
    <t>593</t>
  </si>
  <si>
    <t>"Miles City"</t>
  </si>
  <si>
    <t>GLASGOW    MT</t>
  </si>
  <si>
    <t>530</t>
  </si>
  <si>
    <t>"Milwaukee"</t>
  </si>
  <si>
    <t>Milwaukee</t>
  </si>
  <si>
    <t>WIMILWAU.txt</t>
  </si>
  <si>
    <t>531</t>
  </si>
  <si>
    <t>532</t>
  </si>
  <si>
    <t>MILWAUKEE    WI</t>
  </si>
  <si>
    <t>533</t>
  </si>
  <si>
    <t>553</t>
  </si>
  <si>
    <t>"Minneapolis"</t>
  </si>
  <si>
    <t>554</t>
  </si>
  <si>
    <t>115</t>
  </si>
  <si>
    <t>"Minneola"</t>
  </si>
  <si>
    <t>587</t>
  </si>
  <si>
    <t>"Minot"</t>
  </si>
  <si>
    <t>WILLISTON    ND</t>
  </si>
  <si>
    <t>598</t>
  </si>
  <si>
    <t>"Missoula"</t>
  </si>
  <si>
    <t>573</t>
  </si>
  <si>
    <t>"Mitchell"</t>
  </si>
  <si>
    <t>365</t>
  </si>
  <si>
    <t>"Mobile"</t>
  </si>
  <si>
    <t>366</t>
  </si>
  <si>
    <t>576</t>
  </si>
  <si>
    <t>"Mobridge"</t>
  </si>
  <si>
    <t>712</t>
  </si>
  <si>
    <t>"Monroe"</t>
  </si>
  <si>
    <t>939</t>
  </si>
  <si>
    <t>"Monterey"</t>
  </si>
  <si>
    <t>SAN FRANCISCO C.O.    CA</t>
  </si>
  <si>
    <t>San Francisco</t>
  </si>
  <si>
    <t>CASANFRA.txt</t>
  </si>
  <si>
    <t>360</t>
  </si>
  <si>
    <t>"Montgomery"</t>
  </si>
  <si>
    <t>361</t>
  </si>
  <si>
    <t>Source kBtu</t>
  </si>
  <si>
    <t>Source kBtu / unit</t>
  </si>
  <si>
    <t>Source kBtu @ 168 hours</t>
  </si>
  <si>
    <t>Bldg ES Target Site EU</t>
  </si>
  <si>
    <t>Bldg ES Target Source EU</t>
  </si>
  <si>
    <t>Assumed 0.75 times residental kBtu/SF.</t>
  </si>
  <si>
    <t>COOLP</t>
  </si>
  <si>
    <t>Based on CBECS 99 averages (~200 kBtu/sqft).</t>
  </si>
  <si>
    <t>Adjustment Factor =</t>
  </si>
  <si>
    <t>NA</t>
  </si>
  <si>
    <t>HEATP</t>
  </si>
  <si>
    <t>Assume parking light operating hrs are 84</t>
  </si>
  <si>
    <t>Bldg Site Total</t>
  </si>
  <si>
    <t># of apartments</t>
  </si>
  <si>
    <t>GPM</t>
  </si>
  <si>
    <t>C0</t>
  </si>
  <si>
    <t>Lsqftreg</t>
  </si>
  <si>
    <t>C1</t>
  </si>
  <si>
    <t>LSQFTREG</t>
  </si>
  <si>
    <t>mean sqftreg=</t>
  </si>
  <si>
    <t>cddcoolp</t>
  </si>
  <si>
    <t>C2</t>
  </si>
  <si>
    <t>hddheatp</t>
  </si>
  <si>
    <t>C3</t>
  </si>
  <si>
    <t>bedrooms</t>
  </si>
  <si>
    <t>C4</t>
  </si>
  <si>
    <t>BEDROOMS</t>
  </si>
  <si>
    <t>Benchmark Score</t>
  </si>
  <si>
    <t xml:space="preserve">Adj Ln Source kBtu </t>
  </si>
  <si>
    <t>Customized Adj Ln Source kBtu</t>
  </si>
  <si>
    <t>Gamma Fitting Not Done</t>
  </si>
  <si>
    <t>E Star Design</t>
  </si>
  <si>
    <t>Your Bldg</t>
  </si>
  <si>
    <t>Delta to min E Star design</t>
  </si>
  <si>
    <t>Building Source Energy Use (kBtu/year)</t>
  </si>
  <si>
    <t>Building Source E Use Intensity  (kBtu/ft2-year)</t>
  </si>
  <si>
    <r>
      <t>kBtu/</t>
    </r>
    <r>
      <rPr>
        <sz val="11"/>
        <rFont val="Arial"/>
        <family val="2"/>
      </rPr>
      <t>year</t>
    </r>
  </si>
  <si>
    <t>actual</t>
  </si>
  <si>
    <t>climate mapped</t>
  </si>
  <si>
    <t>weather normalization mapped</t>
  </si>
  <si>
    <t>zip_code</t>
  </si>
  <si>
    <t>zip_state</t>
  </si>
  <si>
    <t>zip_city</t>
  </si>
  <si>
    <t>city state</t>
  </si>
  <si>
    <t>state</t>
  </si>
  <si>
    <t>city</t>
  </si>
  <si>
    <t>file name</t>
  </si>
  <si>
    <t>User</t>
  </si>
  <si>
    <t>574</t>
  </si>
  <si>
    <t>"South_Dakota"</t>
  </si>
  <si>
    <t>SD</t>
  </si>
  <si>
    <t>"Aberdeen"</t>
  </si>
  <si>
    <t>ABERDEEN    SD</t>
  </si>
  <si>
    <t>Fargo</t>
  </si>
  <si>
    <t>ND</t>
  </si>
  <si>
    <t>NDFARGO.txt</t>
  </si>
  <si>
    <t>795</t>
  </si>
  <si>
    <t>"Texas"</t>
  </si>
  <si>
    <t>TX</t>
  </si>
  <si>
    <t>"Abilene"</t>
  </si>
  <si>
    <t>ABILENE    TX</t>
  </si>
  <si>
    <t>Abilene</t>
  </si>
  <si>
    <t>TXABILEN.txt</t>
  </si>
  <si>
    <t>796</t>
  </si>
  <si>
    <t>036</t>
  </si>
  <si>
    <t>"New_Hampshire"</t>
  </si>
  <si>
    <t>NH</t>
  </si>
  <si>
    <t>"Acworth"</t>
  </si>
  <si>
    <t>CONCORD    NH</t>
  </si>
  <si>
    <t>Concord</t>
  </si>
  <si>
    <t>NHCONCOR.txt</t>
  </si>
  <si>
    <t>790</t>
  </si>
  <si>
    <t>"Adrian"</t>
  </si>
  <si>
    <t>AMARILLO    TX</t>
  </si>
  <si>
    <t>Amarillo</t>
  </si>
  <si>
    <t>TXAMARIL.txt</t>
  </si>
  <si>
    <t>298</t>
  </si>
  <si>
    <t>"South_Carolina"</t>
  </si>
  <si>
    <t>SC</t>
  </si>
  <si>
    <t>"Aiken"</t>
  </si>
  <si>
    <t>COLUMBIA    SC</t>
  </si>
  <si>
    <t>Columbia</t>
  </si>
  <si>
    <t>SCCOLMBA.txt</t>
  </si>
  <si>
    <t>714</t>
  </si>
  <si>
    <t>"Louisiana"</t>
  </si>
  <si>
    <t>LA</t>
  </si>
  <si>
    <t>540</t>
  </si>
  <si>
    <t>"River Falls"</t>
  </si>
  <si>
    <t>119</t>
  </si>
  <si>
    <t>"Riverhead"</t>
  </si>
  <si>
    <t>925</t>
  </si>
  <si>
    <t>"Riverside"</t>
  </si>
  <si>
    <t>825</t>
  </si>
  <si>
    <t>"Riverton"</t>
  </si>
  <si>
    <t>240</t>
  </si>
  <si>
    <t>"Roanoke"</t>
  </si>
  <si>
    <t>241</t>
  </si>
  <si>
    <t>559</t>
  </si>
  <si>
    <t>"Rochester"</t>
  </si>
  <si>
    <t>144</t>
  </si>
  <si>
    <t>145</t>
  </si>
  <si>
    <t>146</t>
  </si>
  <si>
    <t>612</t>
  </si>
  <si>
    <t>"Rock Island"</t>
  </si>
  <si>
    <t>829</t>
  </si>
  <si>
    <t>"Rock Springs"</t>
  </si>
  <si>
    <t>297</t>
  </si>
  <si>
    <t>"Rock_Hill"</t>
  </si>
  <si>
    <t>610</t>
  </si>
  <si>
    <t>"Rockford"</t>
  </si>
  <si>
    <t>611</t>
  </si>
  <si>
    <t>048</t>
  </si>
  <si>
    <t>"Rockland"</t>
  </si>
  <si>
    <t>208</t>
  </si>
  <si>
    <t>"Rockville"</t>
  </si>
  <si>
    <t>278</t>
  </si>
  <si>
    <t>"Rocky Mount"</t>
  </si>
  <si>
    <t>654</t>
  </si>
  <si>
    <t>"Rolla"</t>
  </si>
  <si>
    <t>655</t>
  </si>
  <si>
    <t>882</t>
  </si>
  <si>
    <t>"Roswell"</t>
  </si>
  <si>
    <t>ROSWELL    NM</t>
  </si>
  <si>
    <t>480</t>
  </si>
  <si>
    <t>"Royal Oak"</t>
  </si>
  <si>
    <t>728</t>
  </si>
  <si>
    <t>"Russellville"</t>
  </si>
  <si>
    <t>422</t>
  </si>
  <si>
    <t>057</t>
  </si>
  <si>
    <t>"Rutland"</t>
  </si>
  <si>
    <t>958</t>
  </si>
  <si>
    <t>"Sacramento"</t>
  </si>
  <si>
    <t>942</t>
  </si>
  <si>
    <t>"Sacramento/Placerville"</t>
  </si>
  <si>
    <t>956</t>
  </si>
  <si>
    <t>486</t>
  </si>
  <si>
    <t>"Saginaw"</t>
  </si>
  <si>
    <t>487</t>
  </si>
  <si>
    <t>633</t>
  </si>
  <si>
    <t>"Saint Charles"</t>
  </si>
  <si>
    <t>563</t>
  </si>
  <si>
    <t>"Saint Cloud"</t>
  </si>
  <si>
    <t>644</t>
  </si>
  <si>
    <t>"Saint Joseph"</t>
  </si>
  <si>
    <t>645</t>
  </si>
  <si>
    <t>630</t>
  </si>
  <si>
    <t>"Saint Louis"</t>
  </si>
  <si>
    <t>631</t>
  </si>
  <si>
    <t>632</t>
  </si>
  <si>
    <t>550</t>
  </si>
  <si>
    <t>"Saint Paul"</t>
  </si>
  <si>
    <t>551</t>
  </si>
  <si>
    <t>973</t>
  </si>
  <si>
    <t>"Salem"</t>
  </si>
  <si>
    <t>812</t>
  </si>
  <si>
    <t>"Salida"</t>
  </si>
  <si>
    <t>674</t>
  </si>
  <si>
    <t>"Salina"</t>
  </si>
  <si>
    <t>218</t>
  </si>
  <si>
    <t>"Salisbury"</t>
  </si>
  <si>
    <t>WALLOPS ISLAND    VA</t>
  </si>
  <si>
    <t>841</t>
  </si>
  <si>
    <t>"Salt Lake City"</t>
  </si>
  <si>
    <t>840</t>
  </si>
  <si>
    <t>"Salt Lake City/Heber City"</t>
  </si>
  <si>
    <t>769</t>
  </si>
  <si>
    <t>"San Angelo"</t>
  </si>
  <si>
    <t>SAN ANGELO    TX</t>
  </si>
  <si>
    <t>San Angelo</t>
  </si>
  <si>
    <t>TXSANANG.txt</t>
  </si>
  <si>
    <t>781</t>
  </si>
  <si>
    <t>"San Antonio"</t>
  </si>
  <si>
    <t>782</t>
  </si>
  <si>
    <t>923</t>
  </si>
  <si>
    <t>"San Bern./Victorville/Redlands"</t>
  </si>
  <si>
    <t>924</t>
  </si>
  <si>
    <t>"San Bernardino"</t>
  </si>
  <si>
    <t>919</t>
  </si>
  <si>
    <t>"San Diego"</t>
  </si>
  <si>
    <t>920</t>
  </si>
  <si>
    <t>921</t>
  </si>
  <si>
    <t>941</t>
  </si>
  <si>
    <t>"San Francisco"</t>
  </si>
  <si>
    <t>"Aimwell"</t>
  </si>
  <si>
    <t>SHREVEPORT    LA</t>
  </si>
  <si>
    <t>Shreveport</t>
  </si>
  <si>
    <t>LASHREVE.txt</t>
  </si>
  <si>
    <t>442</t>
  </si>
  <si>
    <t>"Ohio"</t>
  </si>
  <si>
    <t>OH</t>
  </si>
  <si>
    <t>"Akron"</t>
  </si>
  <si>
    <t>AKRON    OH</t>
  </si>
  <si>
    <t>Akron Canton</t>
  </si>
  <si>
    <t>OHAKRON.txt</t>
  </si>
  <si>
    <t>443</t>
  </si>
  <si>
    <t>811</t>
  </si>
  <si>
    <t>"Colorado"</t>
  </si>
  <si>
    <t>CO</t>
  </si>
  <si>
    <t>"Alamosa"</t>
  </si>
  <si>
    <t>ALAMOSA    CO</t>
  </si>
  <si>
    <t>Colorado Springs</t>
  </si>
  <si>
    <t>COCOSPGS.txt</t>
  </si>
  <si>
    <t>317</t>
  </si>
  <si>
    <t>"Georgia"</t>
  </si>
  <si>
    <t>GA</t>
  </si>
  <si>
    <t>"Albany"</t>
  </si>
  <si>
    <t>COLUMBUS    GA</t>
  </si>
  <si>
    <t>Columbus</t>
  </si>
  <si>
    <t>GACOLMBS.txt</t>
  </si>
  <si>
    <t>120</t>
  </si>
  <si>
    <t>"New_York"</t>
  </si>
  <si>
    <t>NY</t>
  </si>
  <si>
    <t>ALBANY    NY</t>
  </si>
  <si>
    <t>Albany</t>
  </si>
  <si>
    <t>NYALBANY.txt</t>
  </si>
  <si>
    <t>121</t>
  </si>
  <si>
    <t>122</t>
  </si>
  <si>
    <t>871</t>
  </si>
  <si>
    <t>"New_Mexico"</t>
  </si>
  <si>
    <t>NM</t>
  </si>
  <si>
    <t>"Albuquerque"</t>
  </si>
  <si>
    <t>ALBUQUERQUE    NM</t>
  </si>
  <si>
    <t>Albuquerque</t>
  </si>
  <si>
    <t>NMALBUQU.txt</t>
  </si>
  <si>
    <t>872</t>
  </si>
  <si>
    <t>713</t>
  </si>
  <si>
    <t>"Alexandria"</t>
  </si>
  <si>
    <t>223</t>
  </si>
  <si>
    <t>"Virginia"</t>
  </si>
  <si>
    <t>VA</t>
  </si>
  <si>
    <t>WASHINGTON NAT'L AP DC</t>
  </si>
  <si>
    <t>DC</t>
  </si>
  <si>
    <t>Washington</t>
  </si>
  <si>
    <t>MD</t>
  </si>
  <si>
    <t>MDWASHDC.txt</t>
  </si>
  <si>
    <t>918</t>
  </si>
  <si>
    <t>"California"</t>
  </si>
  <si>
    <t>CA</t>
  </si>
  <si>
    <t>"Alhambra"</t>
  </si>
  <si>
    <t>LOS ANGELES C.O.    CA</t>
  </si>
  <si>
    <t>Los Angeles</t>
  </si>
  <si>
    <t>CALOSANG.txt</t>
  </si>
  <si>
    <t>181</t>
  </si>
  <si>
    <t>"Pennsylvania"</t>
  </si>
  <si>
    <t>PA</t>
  </si>
  <si>
    <t>"Allentown"</t>
  </si>
  <si>
    <t>ALLENTOWN    PA</t>
  </si>
  <si>
    <t>Allentown</t>
  </si>
  <si>
    <t>PAALLENT.txt</t>
  </si>
  <si>
    <t>693</t>
  </si>
  <si>
    <t>"Nebraska"</t>
  </si>
  <si>
    <t>NE</t>
  </si>
  <si>
    <t>"Alliance"</t>
  </si>
  <si>
    <t>RAPID CITY    SD</t>
  </si>
  <si>
    <t>Rapid City</t>
  </si>
  <si>
    <t>SDRAPCTY.txt</t>
  </si>
  <si>
    <t>166</t>
  </si>
  <si>
    <t>"Altoona"</t>
  </si>
  <si>
    <t>PITTSBURGH    PA</t>
  </si>
  <si>
    <t>Pittsburgh</t>
  </si>
  <si>
    <t>PAPITTSB.txt</t>
  </si>
  <si>
    <t>791</t>
  </si>
  <si>
    <t>"Amarillo"</t>
  </si>
  <si>
    <t>928</t>
  </si>
  <si>
    <t>"Anaheim"</t>
  </si>
  <si>
    <t>LONG BEACH    CA</t>
  </si>
  <si>
    <t>995</t>
  </si>
  <si>
    <t>"Alaska"</t>
  </si>
  <si>
    <t>AK</t>
  </si>
  <si>
    <t>"Anchorage"</t>
  </si>
  <si>
    <t>ANCHORAGE    AK</t>
  </si>
  <si>
    <t>Anchorage</t>
  </si>
  <si>
    <t>AKANCHOR.txt</t>
  </si>
  <si>
    <t>996</t>
  </si>
  <si>
    <t>289</t>
  </si>
  <si>
    <t>"North_Carolina"</t>
  </si>
  <si>
    <t>NC</t>
  </si>
  <si>
    <t>"Andrews"</t>
  </si>
  <si>
    <t>KNOXVILLE    TN</t>
  </si>
  <si>
    <t>TN</t>
  </si>
  <si>
    <t>Knoxville</t>
  </si>
  <si>
    <t>TNKNOXVI.txt</t>
  </si>
  <si>
    <t>481</t>
  </si>
  <si>
    <t>"Michigan"</t>
  </si>
  <si>
    <t>MI</t>
  </si>
  <si>
    <t>"Ann Arbor"</t>
  </si>
  <si>
    <t>DETROIT    MI</t>
  </si>
  <si>
    <t>Detroit</t>
  </si>
  <si>
    <t>MIDETROI.txt</t>
  </si>
  <si>
    <t>214</t>
  </si>
  <si>
    <t>"Maryland"</t>
  </si>
  <si>
    <t>"Annapolis"</t>
  </si>
  <si>
    <t>BALTIMORE    MD</t>
  </si>
  <si>
    <t>Baltimore</t>
  </si>
  <si>
    <t>MDBALTIM.txt</t>
  </si>
  <si>
    <t>362</t>
  </si>
  <si>
    <t>"Alabama"</t>
  </si>
  <si>
    <t>AL</t>
  </si>
  <si>
    <t>"Anniston"</t>
  </si>
  <si>
    <t>BIRMINGHAM AP    AL</t>
  </si>
  <si>
    <t>Birmingham</t>
  </si>
  <si>
    <t xml:space="preserve">ALBIRMIN.txt </t>
  </si>
  <si>
    <t>734</t>
  </si>
  <si>
    <t>"Oklahoma"</t>
  </si>
  <si>
    <t>OK</t>
  </si>
  <si>
    <t>"Ardmore"</t>
  </si>
  <si>
    <t>DALLAS-FORT WORTH    TX</t>
  </si>
  <si>
    <t>Dallas Ft Worth</t>
  </si>
  <si>
    <t>TXDALLAS.txt</t>
  </si>
  <si>
    <t>222</t>
  </si>
  <si>
    <t>"Arlington"</t>
  </si>
  <si>
    <t>287</t>
  </si>
  <si>
    <t>"Asheville"</t>
  </si>
  <si>
    <t>BRISTOL-JHNSN CTY-KNGSPRT    TN</t>
  </si>
  <si>
    <t>Asheville</t>
  </si>
  <si>
    <t>NCASHEVI.txt</t>
  </si>
  <si>
    <t>288</t>
  </si>
  <si>
    <t>ASHEVILLE    NC</t>
  </si>
  <si>
    <t>411</t>
  </si>
  <si>
    <t>"Kentucky"</t>
  </si>
  <si>
    <t>KY</t>
  </si>
  <si>
    <t>"Ashland"</t>
  </si>
  <si>
    <t>Units</t>
  </si>
  <si>
    <t>Appliances</t>
  </si>
  <si>
    <t>Raleigh Durham</t>
  </si>
  <si>
    <t>NCRALEIG.txt</t>
  </si>
  <si>
    <t>620</t>
  </si>
  <si>
    <t>"East Saint Louis"</t>
  </si>
  <si>
    <t>622</t>
  </si>
  <si>
    <t>216</t>
  </si>
  <si>
    <t>"Easton"</t>
  </si>
  <si>
    <t>547</t>
  </si>
  <si>
    <t>"Erie"</t>
  </si>
  <si>
    <t>165</t>
  </si>
  <si>
    <t>974</t>
  </si>
  <si>
    <t>"Eugene"</t>
  </si>
  <si>
    <t>EUGENE    OR</t>
  </si>
  <si>
    <t>Eugene</t>
  </si>
  <si>
    <t>OREUGENE.txt</t>
  </si>
  <si>
    <t>955</t>
  </si>
  <si>
    <t>"Eureka"</t>
  </si>
  <si>
    <t>EUREKA    CA</t>
  </si>
  <si>
    <t>Medford</t>
  </si>
  <si>
    <t>ORMEDFOR.txt</t>
  </si>
  <si>
    <t>602</t>
  </si>
  <si>
    <t>"Evanston"</t>
  </si>
  <si>
    <t>476</t>
  </si>
  <si>
    <t>Electric Usage:</t>
  </si>
  <si>
    <t>Non-Coincident Peak Demand:</t>
  </si>
  <si>
    <t>Coincident Peak Demand:</t>
  </si>
  <si>
    <t>Fuel Usage:</t>
  </si>
  <si>
    <t>Source Energy:</t>
  </si>
  <si>
    <t>TDV Energy:</t>
  </si>
  <si>
    <t>Annual Utility Costs:</t>
  </si>
  <si>
    <t>SS-D</t>
  </si>
  <si>
    <t>PS-E</t>
  </si>
  <si>
    <t>BEPS</t>
  </si>
  <si>
    <t>TDV1</t>
  </si>
  <si>
    <t>ES-E</t>
  </si>
  <si>
    <t>Peak Cooling</t>
  </si>
  <si>
    <t>Ambient</t>
  </si>
  <si>
    <t>Task</t>
  </si>
  <si>
    <t>Misc</t>
  </si>
  <si>
    <t>Space</t>
  </si>
  <si>
    <t>Heat</t>
  </si>
  <si>
    <t>Ventilation</t>
  </si>
  <si>
    <t>Refrig</t>
  </si>
  <si>
    <t>Heat Pump</t>
  </si>
  <si>
    <t>Domestic</t>
  </si>
  <si>
    <t>Exterior</t>
  </si>
  <si>
    <t>Bldg</t>
  </si>
  <si>
    <t>Run</t>
  </si>
  <si>
    <t>Internal</t>
  </si>
  <si>
    <t>Case</t>
  </si>
  <si>
    <t>Short</t>
  </si>
  <si>
    <t>Carry</t>
  </si>
  <si>
    <t>Incremental</t>
  </si>
  <si>
    <t>Coil Load</t>
  </si>
  <si>
    <t>Lights</t>
  </si>
  <si>
    <t>Equip</t>
  </si>
  <si>
    <t>Heating</t>
  </si>
  <si>
    <t>Reject</t>
  </si>
  <si>
    <t>&amp; Aux</t>
  </si>
  <si>
    <t>Fans</t>
  </si>
  <si>
    <t>WVELKINS.txt</t>
  </si>
  <si>
    <t>264</t>
  </si>
  <si>
    <t>994</t>
  </si>
  <si>
    <t>"Washington"</t>
  </si>
  <si>
    <t>"Clarkston"</t>
  </si>
  <si>
    <t>PENDLETON    OR</t>
  </si>
  <si>
    <t>346</t>
  </si>
  <si>
    <t>"Clearwater"</t>
  </si>
  <si>
    <t>440</t>
  </si>
  <si>
    <t>"Cleveland"</t>
  </si>
  <si>
    <t>CLEVELAND    OH</t>
  </si>
  <si>
    <t>Cleveland</t>
  </si>
  <si>
    <t>OHCLEVEL.txt</t>
  </si>
  <si>
    <t>441</t>
  </si>
  <si>
    <t>736</t>
  </si>
  <si>
    <t>"Clinton"</t>
  </si>
  <si>
    <t>OKLAHOMA CITY    OK</t>
  </si>
  <si>
    <t>"Palo Alto"</t>
  </si>
  <si>
    <t>324</t>
  </si>
  <si>
    <t>"Panama City"</t>
  </si>
  <si>
    <t>APALACHICOLA    FL</t>
  </si>
  <si>
    <t>Tallahassee</t>
  </si>
  <si>
    <t>FLTALLAH.txt</t>
  </si>
  <si>
    <t>261</t>
  </si>
  <si>
    <t>"Parkersburg"</t>
  </si>
  <si>
    <t>910</t>
  </si>
  <si>
    <t>"Pasadena"</t>
  </si>
  <si>
    <t>911</t>
  </si>
  <si>
    <t>074</t>
  </si>
  <si>
    <t>"Paterson"</t>
  </si>
  <si>
    <t>075</t>
  </si>
  <si>
    <t>978</t>
  </si>
  <si>
    <t>"Pendleton"</t>
  </si>
  <si>
    <t>TNNASHVI.txt</t>
  </si>
  <si>
    <t>318</t>
  </si>
  <si>
    <t>"Columbus"</t>
  </si>
  <si>
    <t>MACON    GA</t>
  </si>
  <si>
    <t>319</t>
  </si>
  <si>
    <t>472</t>
  </si>
  <si>
    <t>397</t>
  </si>
  <si>
    <t>"Mississippi"</t>
  </si>
  <si>
    <t>686</t>
  </si>
  <si>
    <t>GRAND ISLAND    NE</t>
  </si>
  <si>
    <t>Lincoln</t>
  </si>
  <si>
    <t>NELINCOL.txt</t>
  </si>
  <si>
    <t>430</t>
  </si>
  <si>
    <t>431</t>
  </si>
  <si>
    <t>432</t>
  </si>
  <si>
    <t>945</t>
  </si>
  <si>
    <t>"Concord"</t>
  </si>
  <si>
    <t>SACRAMENTO    CA</t>
  </si>
  <si>
    <t>Sacramento</t>
  </si>
  <si>
    <t>CASACRAM.txt</t>
  </si>
  <si>
    <t>033</t>
  </si>
  <si>
    <t>669</t>
  </si>
  <si>
    <t>"Concordia"</t>
  </si>
  <si>
    <t>CONCORDIA    KS</t>
  </si>
  <si>
    <t>Topeka</t>
  </si>
  <si>
    <t>KSTOPEKA.txt</t>
  </si>
  <si>
    <t>WORCESTER    MA</t>
  </si>
  <si>
    <t>Boston</t>
  </si>
  <si>
    <t>MABOSTON.txt</t>
  </si>
  <si>
    <t>021</t>
  </si>
  <si>
    <t>BOSTON    MA</t>
  </si>
  <si>
    <t>022</t>
  </si>
  <si>
    <t>803</t>
  </si>
  <si>
    <t>"Boulder"</t>
  </si>
  <si>
    <t>DENVER    CO</t>
  </si>
  <si>
    <t>Denver</t>
  </si>
  <si>
    <t>CODENVER.txt</t>
  </si>
  <si>
    <t>421</t>
  </si>
  <si>
    <t>"Bowling Green"</t>
  </si>
  <si>
    <t>LOUISVILLE    KY</t>
  </si>
  <si>
    <t>Louisville</t>
  </si>
  <si>
    <t>KYLOUISV.txt</t>
  </si>
  <si>
    <t>434</t>
  </si>
  <si>
    <t>TOLEDO    OH</t>
  </si>
  <si>
    <t>Toledo</t>
  </si>
  <si>
    <t>OHTOLEDO.txt</t>
  </si>
  <si>
    <t>342</t>
  </si>
  <si>
    <t>"Florida"</t>
  </si>
  <si>
    <t>FL</t>
  </si>
  <si>
    <t>"Bradenton"</t>
  </si>
  <si>
    <t>TAMPA    FL</t>
  </si>
  <si>
    <t>Tampa St. Petersburg</t>
  </si>
  <si>
    <t>FLTAMPA.txt</t>
  </si>
  <si>
    <t>167</t>
  </si>
  <si>
    <t>"Bradford"</t>
  </si>
  <si>
    <t>ERIE    PA</t>
  </si>
  <si>
    <t>Erie</t>
  </si>
  <si>
    <t>PAERIE.txt</t>
  </si>
  <si>
    <t>564</t>
  </si>
  <si>
    <t>"Brainerd"</t>
  </si>
  <si>
    <t>SAINT CLOUD    MN</t>
  </si>
  <si>
    <t>Minneapolis St. Paul</t>
  </si>
  <si>
    <t>MNMINPLS.txt</t>
  </si>
  <si>
    <t>053</t>
  </si>
  <si>
    <t>"Brattleboro"</t>
  </si>
  <si>
    <t>066</t>
  </si>
  <si>
    <t>"Connecticut"</t>
  </si>
  <si>
    <t>CT</t>
  </si>
  <si>
    <t>"Bridgeport"</t>
  </si>
  <si>
    <t>BRIDGEPORT    CT</t>
  </si>
  <si>
    <t>Bridgeport</t>
  </si>
  <si>
    <t>CTBRIDGE.txt</t>
  </si>
  <si>
    <t>242</t>
  </si>
  <si>
    <t>"Bristol"</t>
  </si>
  <si>
    <t>023</t>
  </si>
  <si>
    <t>Oklahoma City</t>
  </si>
  <si>
    <t>OKOKLCTY.txt</t>
  </si>
  <si>
    <t>881</t>
  </si>
  <si>
    <t>"Clovis"</t>
  </si>
  <si>
    <t>CLAYTON    NM</t>
  </si>
  <si>
    <t>838</t>
  </si>
  <si>
    <t>"Coeur D'Alene"</t>
  </si>
  <si>
    <t>Display</t>
  </si>
  <si>
    <t>Supplement</t>
  </si>
  <si>
    <t>Hot Water</t>
  </si>
  <si>
    <t>Usage</t>
  </si>
  <si>
    <t>EUI</t>
  </si>
  <si>
    <t xml:space="preserve"> </t>
  </si>
  <si>
    <t>"Whittier"</t>
  </si>
  <si>
    <t>763</t>
  </si>
  <si>
    <t>"Wichita Falls"</t>
  </si>
  <si>
    <t>670</t>
  </si>
  <si>
    <t>"Wichita"</t>
  </si>
  <si>
    <t>671</t>
  </si>
  <si>
    <t>672</t>
  </si>
  <si>
    <t>186</t>
  </si>
  <si>
    <t>"Wilkes-Barre"</t>
  </si>
  <si>
    <t>187</t>
  </si>
  <si>
    <t>177</t>
  </si>
  <si>
    <t>"Williamsport"</t>
  </si>
  <si>
    <t>062</t>
  </si>
  <si>
    <t>"Willimantic"</t>
  </si>
  <si>
    <t>588</t>
  </si>
  <si>
    <t>"Williston"</t>
  </si>
  <si>
    <t>562</t>
  </si>
  <si>
    <t>"Willmar"</t>
  </si>
  <si>
    <t>HURON    SD</t>
  </si>
  <si>
    <t>197</t>
  </si>
  <si>
    <t>"Wilmington"</t>
  </si>
  <si>
    <t>198</t>
  </si>
  <si>
    <t>284</t>
  </si>
  <si>
    <t>226</t>
  </si>
  <si>
    <t>"Winchester"</t>
  </si>
  <si>
    <t>561</t>
  </si>
  <si>
    <t>"Windom"</t>
  </si>
  <si>
    <t>865</t>
  </si>
  <si>
    <t>"Window Rock"</t>
  </si>
  <si>
    <t>270</t>
  </si>
  <si>
    <t>"Winston-Salem"</t>
  </si>
  <si>
    <t>271</t>
  </si>
  <si>
    <t>018</t>
  </si>
  <si>
    <t>"Woburn"</t>
  </si>
  <si>
    <t>592</t>
  </si>
  <si>
    <t>"Wolf Point"</t>
  </si>
  <si>
    <t>738</t>
  </si>
  <si>
    <t>"Woodward"</t>
  </si>
  <si>
    <t>014</t>
  </si>
  <si>
    <t>"Worcester"</t>
  </si>
  <si>
    <t>015</t>
  </si>
  <si>
    <t>016</t>
  </si>
  <si>
    <t>Hartford-Springfield</t>
  </si>
  <si>
    <t>CTHARTFO.txt</t>
  </si>
  <si>
    <t>061</t>
  </si>
  <si>
    <t>HARTFORD    CT</t>
  </si>
  <si>
    <t>689</t>
  </si>
  <si>
    <t>"Hastings"</t>
  </si>
  <si>
    <t>394</t>
  </si>
  <si>
    <t>"Hattiesburg"</t>
  </si>
  <si>
    <t>MOBILE    AL</t>
  </si>
  <si>
    <t>Mobile</t>
  </si>
  <si>
    <t>ALMOBILE.txt</t>
  </si>
  <si>
    <t>595</t>
  </si>
  <si>
    <t>"Havre"</t>
  </si>
  <si>
    <t>676</t>
  </si>
  <si>
    <t>"Hays"</t>
  </si>
  <si>
    <t>417</t>
  </si>
  <si>
    <t>"Hazard"</t>
  </si>
  <si>
    <t>418</t>
  </si>
  <si>
    <t>182</t>
  </si>
  <si>
    <t>"Hazleton"</t>
  </si>
  <si>
    <t>AVOCA    PA</t>
  </si>
  <si>
    <t>596</t>
  </si>
  <si>
    <t>"Helena"</t>
  </si>
  <si>
    <t>HELENA    MT</t>
  </si>
  <si>
    <t>424</t>
  </si>
  <si>
    <t>"Henderson"</t>
  </si>
  <si>
    <t>286</t>
  </si>
  <si>
    <t>"Hickory"</t>
  </si>
  <si>
    <t>117</t>
  </si>
  <si>
    <t>"Hicksville"</t>
  </si>
  <si>
    <t>118</t>
  </si>
  <si>
    <t>967</t>
  </si>
  <si>
    <t>"Hawaii"</t>
  </si>
  <si>
    <t>HI</t>
  </si>
  <si>
    <t>"Honolulu"</t>
  </si>
  <si>
    <t>HILO    HI</t>
  </si>
  <si>
    <t>Honolulu</t>
  </si>
  <si>
    <t>HIHONOLU.txt</t>
  </si>
  <si>
    <t>968</t>
  </si>
  <si>
    <t>HONOLULU    HI</t>
  </si>
  <si>
    <t>970</t>
  </si>
  <si>
    <t>"Hood River"</t>
  </si>
  <si>
    <t>SALEM    OR</t>
  </si>
  <si>
    <t>Salem</t>
  </si>
  <si>
    <t>ORSALEM.txt</t>
  </si>
  <si>
    <t>718</t>
  </si>
  <si>
    <t>"Hope"</t>
  </si>
  <si>
    <t>719</t>
  </si>
  <si>
    <t>"Hot Springs"</t>
  </si>
  <si>
    <t>499</t>
  </si>
  <si>
    <t>"Houghton"</t>
  </si>
  <si>
    <t>HOUGHTON LAKE    MI</t>
  </si>
  <si>
    <t>Sault Ste Marie</t>
  </si>
  <si>
    <t>MISTEMAR.txt</t>
  </si>
  <si>
    <t>770</t>
  </si>
  <si>
    <t>"Houston"</t>
  </si>
  <si>
    <t>771</t>
  </si>
  <si>
    <t>772</t>
  </si>
  <si>
    <t>774</t>
  </si>
  <si>
    <t>255</t>
  </si>
  <si>
    <t>"Huntington"</t>
  </si>
  <si>
    <t>257</t>
  </si>
  <si>
    <t>357</t>
  </si>
  <si>
    <t>"Huntsville"</t>
  </si>
  <si>
    <t>358</t>
  </si>
  <si>
    <t>675</t>
  </si>
  <si>
    <t>"Hutchinson"</t>
  </si>
  <si>
    <t>026</t>
  </si>
  <si>
    <t>Baseline Design</t>
  </si>
  <si>
    <t>952</t>
  </si>
  <si>
    <t>"Stockton"</t>
  </si>
  <si>
    <t>STOCKTON    CA</t>
  </si>
  <si>
    <t>183</t>
  </si>
  <si>
    <t>"Stroudsburg"</t>
  </si>
  <si>
    <t>439</t>
  </si>
  <si>
    <t>"Stuebenville"</t>
  </si>
  <si>
    <t>109</t>
  </si>
  <si>
    <t>"Suffern"</t>
  </si>
  <si>
    <t>079</t>
  </si>
  <si>
    <t>"Summit"</t>
  </si>
  <si>
    <t>178</t>
  </si>
  <si>
    <t>"Sunbury"</t>
  </si>
  <si>
    <t>961</t>
  </si>
  <si>
    <t>"Susanville"</t>
  </si>
  <si>
    <t>WINNEMUCCA    NV</t>
  </si>
  <si>
    <t>304</t>
  </si>
  <si>
    <t>"Swainsboro"</t>
  </si>
  <si>
    <t>130</t>
  </si>
  <si>
    <t>"Syracuse"</t>
  </si>
  <si>
    <t>131</t>
  </si>
  <si>
    <t>132</t>
  </si>
  <si>
    <t>983</t>
  </si>
  <si>
    <t>"Tacoma"</t>
  </si>
  <si>
    <t>SEATTLE SEA-TAC AP    WA</t>
  </si>
  <si>
    <t>984</t>
  </si>
  <si>
    <t>323</t>
  </si>
  <si>
    <t>"Tallahassee"</t>
  </si>
  <si>
    <t>TALLAHASSEE    FL</t>
  </si>
  <si>
    <t>335</t>
  </si>
  <si>
    <t>"Tampa"</t>
  </si>
  <si>
    <t>336</t>
  </si>
  <si>
    <t>246</t>
  </si>
  <si>
    <t>"Tazewell"</t>
  </si>
  <si>
    <t>765</t>
  </si>
  <si>
    <t>"Temple"</t>
  </si>
  <si>
    <t>478</t>
  </si>
  <si>
    <t>"Terre Haute"</t>
  </si>
  <si>
    <t>755</t>
  </si>
  <si>
    <t>"Texarkana"</t>
  </si>
  <si>
    <t>703</t>
  </si>
  <si>
    <t>"Thibodaux"</t>
  </si>
  <si>
    <t>567</t>
  </si>
  <si>
    <t>"Thief River Falls"</t>
  </si>
  <si>
    <t>327</t>
  </si>
  <si>
    <t>"Titusville"</t>
  </si>
  <si>
    <t>436</t>
  </si>
  <si>
    <t>"Toledo"</t>
  </si>
  <si>
    <t>890</t>
  </si>
  <si>
    <t>"Tonopah"</t>
  </si>
  <si>
    <t>664</t>
  </si>
  <si>
    <t>"Topeka"</t>
  </si>
  <si>
    <t>665</t>
  </si>
  <si>
    <t>666</t>
  </si>
  <si>
    <t>905</t>
  </si>
  <si>
    <t>"Torrance"</t>
  </si>
  <si>
    <t>496</t>
  </si>
  <si>
    <t>Showerheads</t>
  </si>
  <si>
    <t>Bathroom Faucets</t>
  </si>
  <si>
    <t>Kitchen Faucets</t>
  </si>
  <si>
    <t>Baseline Fixtures, per EPAct 1992</t>
  </si>
  <si>
    <t>Fixture</t>
  </si>
  <si>
    <t>Flow Rate</t>
  </si>
  <si>
    <t>Baseline Toilets (GPF)</t>
  </si>
  <si>
    <t>Baseline Urinals (GPF)</t>
  </si>
  <si>
    <t>Baseline Showerheads (GPM)</t>
  </si>
  <si>
    <t>Baseline Bathroom Faucets (GPM)</t>
  </si>
  <si>
    <t>Baseline Kitchen Faucets (GPM)</t>
  </si>
  <si>
    <t>Fixture Use</t>
  </si>
  <si>
    <t>Fixture Type</t>
  </si>
  <si>
    <t>Duration (sec)</t>
  </si>
  <si>
    <t>Uses/Day/Occupant</t>
  </si>
  <si>
    <t>-</t>
  </si>
  <si>
    <t>SqFt</t>
  </si>
  <si>
    <t>W</t>
  </si>
  <si>
    <t>Basic Project Information</t>
  </si>
  <si>
    <t>Residential</t>
  </si>
  <si>
    <t>KALISPELL    MT</t>
  </si>
  <si>
    <t>609</t>
  </si>
  <si>
    <t>"Kankakee"</t>
  </si>
  <si>
    <t>PEORIA    IL</t>
  </si>
  <si>
    <t>660</t>
  </si>
  <si>
    <t>"Kansas City"</t>
  </si>
  <si>
    <t>TOPEKA    KS</t>
  </si>
  <si>
    <t>661</t>
  </si>
  <si>
    <t>640</t>
  </si>
  <si>
    <t>641</t>
  </si>
  <si>
    <t>034</t>
  </si>
  <si>
    <t>"Keene"</t>
  </si>
  <si>
    <t>831</t>
  </si>
  <si>
    <t>"Kemmerer"</t>
  </si>
  <si>
    <t>999</t>
  </si>
  <si>
    <t>"Ketchikan"</t>
  </si>
  <si>
    <t>KING SALMON    AK</t>
  </si>
  <si>
    <t>267</t>
  </si>
  <si>
    <t>"Keyser"</t>
  </si>
  <si>
    <t>864</t>
  </si>
  <si>
    <t>"Kingman"</t>
  </si>
  <si>
    <t>LAS VEGAS    NV</t>
  </si>
  <si>
    <t>Las Vegas</t>
  </si>
  <si>
    <t>NVLASVEG.txt</t>
  </si>
  <si>
    <t>124</t>
  </si>
  <si>
    <t>"Kingston"</t>
  </si>
  <si>
    <t>285</t>
  </si>
  <si>
    <t>"Kinston"</t>
  </si>
  <si>
    <t>635</t>
  </si>
  <si>
    <t>"Kirksville"</t>
  </si>
  <si>
    <t>162</t>
  </si>
  <si>
    <t>"Kittanning"</t>
  </si>
  <si>
    <t>039</t>
  </si>
  <si>
    <t>"Kittery"</t>
  </si>
  <si>
    <t>976</t>
  </si>
  <si>
    <t>"Klamath Falls"</t>
  </si>
  <si>
    <t>MEDFORD    OR</t>
  </si>
  <si>
    <t>377</t>
  </si>
  <si>
    <t>"Knoxville"</t>
  </si>
  <si>
    <t>378</t>
  </si>
  <si>
    <t>379</t>
  </si>
  <si>
    <t>469</t>
  </si>
  <si>
    <t>"Kokomo"</t>
  </si>
  <si>
    <t>546</t>
  </si>
  <si>
    <t>"La Crosse"</t>
  </si>
  <si>
    <t>MADISON    WI</t>
  </si>
  <si>
    <t>Madison</t>
  </si>
  <si>
    <t>WIMADISO.txt</t>
  </si>
  <si>
    <t>613</t>
  </si>
  <si>
    <t>"La Salle"</t>
  </si>
  <si>
    <t>479</t>
  </si>
  <si>
    <t>"Lafayette"</t>
  </si>
  <si>
    <t>705</t>
  </si>
  <si>
    <t>706</t>
  </si>
  <si>
    <t>"Lake Charles"</t>
  </si>
  <si>
    <t>LAKE CHARLES    LA</t>
  </si>
  <si>
    <t>Lake Charles</t>
  </si>
  <si>
    <t>LALAKECH.txt</t>
  </si>
  <si>
    <t>338</t>
  </si>
  <si>
    <t>"Lakeland"</t>
  </si>
  <si>
    <t>087</t>
  </si>
  <si>
    <t>"Lakewood"</t>
  </si>
  <si>
    <t>935</t>
  </si>
  <si>
    <t>"Lancaster"</t>
  </si>
  <si>
    <t>BISHOP    CA</t>
  </si>
  <si>
    <t>175</t>
  </si>
  <si>
    <t>176</t>
  </si>
  <si>
    <t>488</t>
  </si>
  <si>
    <t>"Lansing"</t>
  </si>
  <si>
    <t>Lansing</t>
  </si>
  <si>
    <t>MILANSIN.txt</t>
  </si>
  <si>
    <t>489</t>
  </si>
  <si>
    <t>780</t>
  </si>
  <si>
    <t>"Laredo/Pearsall"</t>
  </si>
  <si>
    <t>VICTORIA    TX</t>
  </si>
  <si>
    <t>San Antonio</t>
  </si>
  <si>
    <t>TXSANANT.txt</t>
  </si>
  <si>
    <t>880</t>
  </si>
  <si>
    <t>"Las Cruces"</t>
  </si>
  <si>
    <t>877</t>
  </si>
  <si>
    <t>"Las Vegas"</t>
  </si>
  <si>
    <t>Storage, active</t>
  </si>
  <si>
    <t>Storage, inactive</t>
  </si>
  <si>
    <t>Lobby</t>
  </si>
  <si>
    <t>Corridor/Transition</t>
  </si>
  <si>
    <t>Stairs - Active</t>
  </si>
  <si>
    <t>Restroom</t>
  </si>
  <si>
    <t>Electrical/Mechanical</t>
  </si>
  <si>
    <t>Workshop</t>
  </si>
  <si>
    <t>Parking garage</t>
  </si>
  <si>
    <t>Baseline</t>
  </si>
  <si>
    <t>Proposed</t>
  </si>
  <si>
    <t>951</t>
  </si>
  <si>
    <t>"San Jose"</t>
  </si>
  <si>
    <t>009</t>
  </si>
  <si>
    <t>"Puerto_Rico"</t>
  </si>
  <si>
    <t>PR</t>
  </si>
  <si>
    <t>"San Juan"</t>
  </si>
  <si>
    <t>SAN JUAN    PR</t>
  </si>
  <si>
    <t>San Juan Puerto Rico</t>
  </si>
  <si>
    <t>XXSANJUA.txt</t>
  </si>
  <si>
    <t>934</t>
  </si>
  <si>
    <t>"San Luis Obispo"</t>
  </si>
  <si>
    <t>SANTA MARIA    CA</t>
  </si>
  <si>
    <t>944</t>
  </si>
  <si>
    <t>"San Mateo"</t>
  </si>
  <si>
    <t>907</t>
  </si>
  <si>
    <t>"San Pedro"</t>
  </si>
  <si>
    <t>949</t>
  </si>
  <si>
    <t>"San Rafael"</t>
  </si>
  <si>
    <t>926</t>
  </si>
  <si>
    <t>"Santa Ana"</t>
  </si>
  <si>
    <t>927</t>
  </si>
  <si>
    <t>931</t>
  </si>
  <si>
    <t>"Santa Barbara"</t>
  </si>
  <si>
    <t>SANTA BARBARA    CA</t>
  </si>
  <si>
    <t>875</t>
  </si>
  <si>
    <t>"Santa Fe"</t>
  </si>
  <si>
    <t>Santa Fe</t>
  </si>
  <si>
    <t>NMSANTAF.txt</t>
  </si>
  <si>
    <t>904</t>
  </si>
  <si>
    <t>"Santa Monica"</t>
  </si>
  <si>
    <t>954</t>
  </si>
  <si>
    <t>"Santa Rosa"</t>
  </si>
  <si>
    <t>313</t>
  </si>
  <si>
    <t>"Savannah"</t>
  </si>
  <si>
    <t>314</t>
  </si>
  <si>
    <t>123</t>
  </si>
  <si>
    <t>"Schenectady"</t>
  </si>
  <si>
    <t>184</t>
  </si>
  <si>
    <t>"Scranton"</t>
  </si>
  <si>
    <t>185</t>
  </si>
  <si>
    <t>980</t>
  </si>
  <si>
    <t>Instructions:</t>
  </si>
  <si>
    <t>Open Parms.csv file that corresponds to baseline and proposed eQuest models.</t>
  </si>
  <si>
    <t>ELKO    NV</t>
  </si>
  <si>
    <t>219</t>
  </si>
  <si>
    <t>"Elkton"</t>
  </si>
  <si>
    <t>WILMINGTON    DE</t>
  </si>
  <si>
    <t>Wilmington</t>
  </si>
  <si>
    <t>DEWILMIN.txt</t>
  </si>
  <si>
    <t>046</t>
  </si>
  <si>
    <t>"Ellsworth"</t>
  </si>
  <si>
    <t>149</t>
  </si>
  <si>
    <t>"Elmira"</t>
  </si>
  <si>
    <t>Syracuse</t>
  </si>
  <si>
    <t>NYSYRACU.txt</t>
  </si>
  <si>
    <t>893</t>
  </si>
  <si>
    <t>"Ely"</t>
  </si>
  <si>
    <t>ELY    NV</t>
  </si>
  <si>
    <t>668</t>
  </si>
  <si>
    <t>"Emporia"</t>
  </si>
  <si>
    <t>WICHITA    KS</t>
  </si>
  <si>
    <t>737</t>
  </si>
  <si>
    <t>"Enid"</t>
  </si>
  <si>
    <t>164</t>
  </si>
  <si>
    <t>Fuel</t>
  </si>
  <si>
    <t>Type</t>
  </si>
  <si>
    <t>Loads</t>
  </si>
  <si>
    <t>#s</t>
  </si>
  <si>
    <t>Name</t>
  </si>
  <si>
    <t>Fwd</t>
  </si>
  <si>
    <t>First Cost ($)</t>
  </si>
  <si>
    <t>Average of 4 exposures (needed in Simulation Summary)</t>
  </si>
  <si>
    <t>Parking Garage</t>
  </si>
  <si>
    <t>Mean LnEUSo =</t>
  </si>
  <si>
    <r>
      <t>kBtu/</t>
    </r>
    <r>
      <rPr>
        <sz val="10"/>
        <rFont val="Arial"/>
        <family val="2"/>
      </rPr>
      <t>yr</t>
    </r>
  </si>
  <si>
    <t>Bdrms</t>
  </si>
  <si>
    <t>CDDCOOLP</t>
  </si>
  <si>
    <t>Resid ES Target Source EU</t>
  </si>
  <si>
    <t>/Unit</t>
  </si>
  <si>
    <t>HDDHEATP</t>
  </si>
  <si>
    <t>Bedrooms/unit</t>
  </si>
  <si>
    <t>Actual Score</t>
  </si>
  <si>
    <t>Predicted LnEUSo =</t>
  </si>
  <si>
    <t>Secondary Space</t>
  </si>
  <si>
    <t>SF</t>
  </si>
  <si>
    <t>Wkly Hrs</t>
  </si>
  <si>
    <t>SF Un- heat- ed</t>
  </si>
  <si>
    <t>127</t>
  </si>
  <si>
    <t>"Monticello"</t>
  </si>
  <si>
    <t>056</t>
  </si>
  <si>
    <t>"Montpelier"</t>
  </si>
  <si>
    <t>814</t>
  </si>
  <si>
    <t>"Montrose"</t>
  </si>
  <si>
    <t>188</t>
  </si>
  <si>
    <t>265</t>
  </si>
  <si>
    <t>"Morgantown"</t>
  </si>
  <si>
    <t>473</t>
  </si>
  <si>
    <t>"Muncie"</t>
  </si>
  <si>
    <t>494</t>
  </si>
  <si>
    <t>"Muskegon"</t>
  </si>
  <si>
    <t>744</t>
  </si>
  <si>
    <t>"Muskogee"</t>
  </si>
  <si>
    <t>435</t>
  </si>
  <si>
    <t>"Napoleon"</t>
  </si>
  <si>
    <t>370</t>
  </si>
  <si>
    <t>"Nashville"</t>
  </si>
  <si>
    <t>371</t>
  </si>
  <si>
    <t>372</t>
  </si>
  <si>
    <t>471</t>
  </si>
  <si>
    <t>"New Albany"</t>
  </si>
  <si>
    <t>027</t>
  </si>
  <si>
    <t>"New Bedford"</t>
  </si>
  <si>
    <t>088</t>
  </si>
  <si>
    <t>"New Brunswick"</t>
  </si>
  <si>
    <t>089</t>
  </si>
  <si>
    <t>161</t>
  </si>
  <si>
    <t>"New Castle"</t>
  </si>
  <si>
    <t>064</t>
  </si>
  <si>
    <t>"New Haven"</t>
  </si>
  <si>
    <t>065</t>
  </si>
  <si>
    <t>063</t>
  </si>
  <si>
    <t>"New London"</t>
  </si>
  <si>
    <t>700</t>
  </si>
  <si>
    <t>"New Orleans"</t>
  </si>
  <si>
    <t>701</t>
  </si>
  <si>
    <t>108</t>
  </si>
  <si>
    <t>"New Rochelle"</t>
  </si>
  <si>
    <t>100</t>
  </si>
  <si>
    <t>"New York"</t>
  </si>
  <si>
    <t>NEW YORK C.PARK    NY</t>
  </si>
  <si>
    <t>101</t>
  </si>
  <si>
    <t>102</t>
  </si>
  <si>
    <t>070</t>
  </si>
  <si>
    <t>"Newark"</t>
  </si>
  <si>
    <t>071</t>
  </si>
  <si>
    <t>410</t>
  </si>
  <si>
    <t>EER</t>
  </si>
  <si>
    <t>396</t>
  </si>
  <si>
    <t>"McComb"</t>
  </si>
  <si>
    <t>690</t>
  </si>
  <si>
    <t>"McCook"</t>
  </si>
  <si>
    <t>975</t>
  </si>
  <si>
    <t>"Medford"</t>
  </si>
  <si>
    <t>329</t>
  </si>
  <si>
    <t>"Melbourne"</t>
  </si>
  <si>
    <t>VERO BEACH    FL</t>
  </si>
  <si>
    <t>Orlando</t>
  </si>
  <si>
    <t>FLORLAND.txt</t>
  </si>
  <si>
    <t>380</t>
  </si>
  <si>
    <t>"Memphis"</t>
  </si>
  <si>
    <t>MEMPHIS    TN</t>
  </si>
  <si>
    <t>Memphis</t>
  </si>
  <si>
    <t>GUAM    PC</t>
  </si>
  <si>
    <t>PC</t>
  </si>
  <si>
    <t>560</t>
  </si>
  <si>
    <t>"Mankato"</t>
  </si>
  <si>
    <t>ROCHESTER    MN</t>
  </si>
  <si>
    <t>448</t>
  </si>
  <si>
    <t>"Mansfield"</t>
  </si>
  <si>
    <t>MANSFIELD    OH</t>
  </si>
  <si>
    <t>449</t>
  </si>
  <si>
    <t>433</t>
  </si>
  <si>
    <t>"Marion"</t>
  </si>
  <si>
    <t>254</t>
  </si>
  <si>
    <t>"Martinsburg"</t>
  </si>
  <si>
    <t>959</t>
  </si>
  <si>
    <t>"Marysville"</t>
  </si>
  <si>
    <t>504</t>
  </si>
  <si>
    <t>"Mason City"</t>
  </si>
  <si>
    <t>382</t>
  </si>
  <si>
    <t>"Mc_Kenzie"</t>
  </si>
  <si>
    <t>745</t>
  </si>
  <si>
    <t>"McAlester"</t>
  </si>
  <si>
    <t>Building Area Summary (conditioned spaces only)</t>
  </si>
  <si>
    <t>NORFOLK    NE</t>
  </si>
  <si>
    <t>233</t>
  </si>
  <si>
    <t>234</t>
  </si>
  <si>
    <t>235</t>
  </si>
  <si>
    <t>236</t>
  </si>
  <si>
    <t>600</t>
  </si>
  <si>
    <t>"North Chicago Sub."</t>
  </si>
  <si>
    <t>ROCKFORD    IL</t>
  </si>
  <si>
    <t>Rockford</t>
  </si>
  <si>
    <t>ILROCKFO.txt</t>
  </si>
  <si>
    <t>601</t>
  </si>
  <si>
    <t>916</t>
  </si>
  <si>
    <t>"North Hollywood"</t>
  </si>
  <si>
    <t>691</t>
  </si>
  <si>
    <t>"North_Platte"</t>
  </si>
  <si>
    <t>NORTH PLATTE    NE</t>
  </si>
  <si>
    <t>North Platte</t>
  </si>
  <si>
    <t>NENPLATT.txt</t>
  </si>
  <si>
    <t>220</t>
  </si>
  <si>
    <t>"Northern VA"</t>
  </si>
  <si>
    <t>221</t>
  </si>
  <si>
    <t>603</t>
  </si>
  <si>
    <t>"Oak Park"</t>
  </si>
  <si>
    <t>946</t>
  </si>
  <si>
    <t>"Oakland"</t>
  </si>
  <si>
    <t>344</t>
  </si>
  <si>
    <t>"Ocala"</t>
  </si>
  <si>
    <t>DAYTONA BEACH    FL</t>
  </si>
  <si>
    <t>Daytona Beach</t>
  </si>
  <si>
    <t>FLDAYTNA.txt</t>
  </si>
  <si>
    <t>844</t>
  </si>
  <si>
    <t>"Utah"</t>
  </si>
  <si>
    <t>UT</t>
  </si>
  <si>
    <t>"Ogden"</t>
  </si>
  <si>
    <t>SALT LAKE CITY    UT</t>
  </si>
  <si>
    <t>Salt Lake City</t>
  </si>
  <si>
    <t>UTSALTLK.txt</t>
  </si>
  <si>
    <t>843</t>
  </si>
  <si>
    <t>SF Not Cool -ed</t>
  </si>
  <si>
    <t>W/sf</t>
  </si>
  <si>
    <t>Office</t>
  </si>
  <si>
    <t>Toilets</t>
  </si>
  <si>
    <t>Urinals</t>
  </si>
  <si>
    <t>TNMEMPHI.txt</t>
  </si>
  <si>
    <t>381</t>
  </si>
  <si>
    <t>953</t>
  </si>
  <si>
    <t>"Merced"</t>
  </si>
  <si>
    <t>393</t>
  </si>
  <si>
    <t>Area, SqFt</t>
  </si>
  <si>
    <t>Notes</t>
  </si>
  <si>
    <t xml:space="preserve">Residential </t>
  </si>
  <si>
    <t>605</t>
  </si>
  <si>
    <t>082</t>
  </si>
  <si>
    <t>"South Jersey"</t>
  </si>
  <si>
    <t>083</t>
  </si>
  <si>
    <t>845</t>
  </si>
  <si>
    <t>"Southeast Utah/Green River"</t>
  </si>
  <si>
    <t>193</t>
  </si>
  <si>
    <t>"Southeastern"</t>
  </si>
  <si>
    <t>194</t>
  </si>
  <si>
    <t>847</t>
  </si>
  <si>
    <t>"Southwest Utah/Cedar City"</t>
  </si>
  <si>
    <t>MILFORD    UT</t>
  </si>
  <si>
    <t>293</t>
  </si>
  <si>
    <t>"Spartanburg"</t>
  </si>
  <si>
    <t>513</t>
  </si>
  <si>
    <t>"Spencer"</t>
  </si>
  <si>
    <t>990</t>
  </si>
  <si>
    <t>"Spokane"</t>
  </si>
  <si>
    <t>991</t>
  </si>
  <si>
    <t>992</t>
  </si>
  <si>
    <t>548</t>
  </si>
  <si>
    <t>"Spooner"</t>
  </si>
  <si>
    <t>625</t>
  </si>
  <si>
    <t>"Springfield"</t>
  </si>
  <si>
    <t>626</t>
  </si>
  <si>
    <t>627</t>
  </si>
  <si>
    <t>010</t>
  </si>
  <si>
    <t>011</t>
  </si>
  <si>
    <t>656</t>
  </si>
  <si>
    <t>657</t>
  </si>
  <si>
    <t>658</t>
  </si>
  <si>
    <t>455</t>
  </si>
  <si>
    <t>058</t>
  </si>
  <si>
    <t>"St. Johnsbury"</t>
  </si>
  <si>
    <t>337</t>
  </si>
  <si>
    <t>"St. Petersburg"</t>
  </si>
  <si>
    <t>068</t>
  </si>
  <si>
    <t>"Stamford"</t>
  </si>
  <si>
    <t>069</t>
  </si>
  <si>
    <t>168</t>
  </si>
  <si>
    <t>"State College"</t>
  </si>
  <si>
    <t>103</t>
  </si>
  <si>
    <t>"Staten Island"</t>
  </si>
  <si>
    <t>244</t>
  </si>
  <si>
    <t>"Staunton"</t>
  </si>
  <si>
    <t>764</t>
  </si>
  <si>
    <t>"Stephenville"</t>
  </si>
  <si>
    <t>Pumps</t>
  </si>
  <si>
    <t>Total</t>
  </si>
  <si>
    <t>Studio</t>
  </si>
  <si>
    <t>1 - Bedroom</t>
  </si>
  <si>
    <t>2 - Bedroom</t>
  </si>
  <si>
    <t>Building Area</t>
  </si>
  <si>
    <t>Conference/meeting/multipurpose</t>
  </si>
  <si>
    <t>Garage</t>
  </si>
  <si>
    <t>Other</t>
  </si>
  <si>
    <t>Natural Gas</t>
  </si>
  <si>
    <t>If oil is used rather than natural gas, modifications to table are needed.</t>
  </si>
  <si>
    <t>Include combined floor area of corridors, recreation areas, lobbies, elevator shafts, etc.</t>
  </si>
  <si>
    <t>"Seattle"</t>
  </si>
  <si>
    <t>SEATTLE C.O.    WA</t>
  </si>
  <si>
    <t>981</t>
  </si>
  <si>
    <t>653</t>
  </si>
  <si>
    <t>"Sedalia"</t>
  </si>
  <si>
    <t>367</t>
  </si>
  <si>
    <t>"Selma"</t>
  </si>
  <si>
    <t>748</t>
  </si>
  <si>
    <t>"Shawnee"</t>
  </si>
  <si>
    <t>662</t>
  </si>
  <si>
    <t>"Shawnee/Mission"</t>
  </si>
  <si>
    <t>512</t>
  </si>
  <si>
    <t>"Sheldon"</t>
  </si>
  <si>
    <t>SIOUX FALLS    SD</t>
  </si>
  <si>
    <t>Sioux Falls</t>
  </si>
  <si>
    <t>SDSIOFAL.txt</t>
  </si>
  <si>
    <t>516</t>
  </si>
  <si>
    <t>"Shenandoah"</t>
  </si>
  <si>
    <t>828</t>
  </si>
  <si>
    <t>"Sheridan"</t>
  </si>
  <si>
    <t>859</t>
  </si>
  <si>
    <t>NYNEWYOR.txt</t>
  </si>
  <si>
    <t>112</t>
  </si>
  <si>
    <t>"Brooklyn"</t>
  </si>
  <si>
    <t>785</t>
  </si>
  <si>
    <t>"Brownsville"</t>
  </si>
  <si>
    <t>BROWNSVILLE    TX</t>
  </si>
  <si>
    <t>Brownsville</t>
  </si>
  <si>
    <t>TXBROWNS.txt</t>
  </si>
  <si>
    <t>768</t>
  </si>
  <si>
    <t>"Brownwood"</t>
  </si>
  <si>
    <t>778</t>
  </si>
  <si>
    <t>"Bryan"</t>
  </si>
  <si>
    <t>853</t>
  </si>
  <si>
    <t>"Arizona"</t>
  </si>
  <si>
    <t>AZ</t>
  </si>
  <si>
    <t>"Buckeye/Yuma"</t>
  </si>
  <si>
    <t>YUMA    AZ</t>
  </si>
  <si>
    <t>Yuma</t>
  </si>
  <si>
    <t>AZYUMA.txt</t>
  </si>
  <si>
    <t>262</t>
  </si>
  <si>
    <t>"Buckhannon"</t>
  </si>
  <si>
    <t>CHARLESTON    WV</t>
  </si>
  <si>
    <t>140</t>
  </si>
  <si>
    <t>"Buffalo"</t>
  </si>
  <si>
    <t>141</t>
  </si>
  <si>
    <t>ROCHESTER    NY</t>
  </si>
  <si>
    <t>Rochester</t>
  </si>
  <si>
    <t>NYROCHES.txt</t>
  </si>
  <si>
    <t>142</t>
  </si>
  <si>
    <t>BUFFALO    NY</t>
  </si>
  <si>
    <t>Buffalo</t>
  </si>
  <si>
    <t>NTBUFFAL.txt</t>
  </si>
  <si>
    <t>915</t>
  </si>
  <si>
    <t>"Burbank"</t>
  </si>
  <si>
    <t>526</t>
  </si>
  <si>
    <t>"Iowa"</t>
  </si>
  <si>
    <t>IA</t>
  </si>
  <si>
    <t>"Burlington"</t>
  </si>
  <si>
    <t>MOLINE    IL</t>
  </si>
  <si>
    <t>Des Moines</t>
  </si>
  <si>
    <t>IADESMOI.txt</t>
  </si>
  <si>
    <t>054</t>
  </si>
  <si>
    <t>BURLINGTON    VT</t>
  </si>
  <si>
    <t>Burlington</t>
  </si>
  <si>
    <t>VTBURLIN.txt</t>
  </si>
  <si>
    <t>369</t>
  </si>
  <si>
    <t>"Butler"</t>
  </si>
  <si>
    <t>MERIDIAN    MS</t>
  </si>
  <si>
    <t>MS</t>
  </si>
  <si>
    <t>Jackson</t>
  </si>
  <si>
    <t>MSJACKSO.txt</t>
  </si>
  <si>
    <t>160</t>
  </si>
  <si>
    <t>YOUNGSTOWN    OH</t>
  </si>
  <si>
    <t>Youngstown</t>
  </si>
  <si>
    <t>OHYOUNGS.txt</t>
  </si>
  <si>
    <t>597</t>
  </si>
  <si>
    <t>"Butte"</t>
  </si>
  <si>
    <t>MISSOULA    MT</t>
  </si>
  <si>
    <t>Helena</t>
  </si>
  <si>
    <t>MTHELENA.txt</t>
  </si>
  <si>
    <t>025</t>
  </si>
  <si>
    <t>"Buzzards Bay"</t>
  </si>
  <si>
    <t>717</t>
  </si>
  <si>
    <t>"Camden"</t>
  </si>
  <si>
    <t>LITTLE ROCK    AR</t>
  </si>
  <si>
    <t>081</t>
  </si>
  <si>
    <t>PHILADELPHIA    PA</t>
  </si>
  <si>
    <t>Philadelphia</t>
  </si>
  <si>
    <t>PAPHILAD.txt</t>
  </si>
  <si>
    <t>413</t>
  </si>
  <si>
    <t>"Campton"</t>
  </si>
  <si>
    <t>JACKSON    KY</t>
  </si>
  <si>
    <t>414</t>
  </si>
  <si>
    <t>059</t>
  </si>
  <si>
    <t>"Canaan"</t>
  </si>
  <si>
    <t>446</t>
  </si>
  <si>
    <t>"Canton"</t>
  </si>
  <si>
    <t>447</t>
  </si>
  <si>
    <t>637</t>
  </si>
  <si>
    <t>"Missouri"</t>
  </si>
  <si>
    <t>MO</t>
  </si>
  <si>
    <t>"Cape Girardeau"</t>
  </si>
  <si>
    <t>ST. LOUIS    MO</t>
  </si>
  <si>
    <t>St Louis</t>
  </si>
  <si>
    <t>MOSTLOUI.txt</t>
  </si>
  <si>
    <t>629</t>
  </si>
  <si>
    <t>"Carbondale"</t>
  </si>
  <si>
    <t>EVANSVILLE    IN</t>
  </si>
  <si>
    <t>Evansville</t>
  </si>
  <si>
    <t>INEVANSV.txt</t>
  </si>
  <si>
    <t>047</t>
  </si>
  <si>
    <t>"Caribou"</t>
  </si>
  <si>
    <t>CARIBOU    ME</t>
  </si>
  <si>
    <t>Caribou</t>
  </si>
  <si>
    <t>MECARIBO.txt</t>
  </si>
  <si>
    <t>883</t>
  </si>
  <si>
    <t>"Carrizozo"</t>
  </si>
  <si>
    <t>514</t>
  </si>
  <si>
    <t>"Carroll"</t>
  </si>
  <si>
    <t>SIOUX CITY    IA</t>
  </si>
  <si>
    <t>Sioux City</t>
  </si>
  <si>
    <t>IASIOCTY.txt</t>
  </si>
  <si>
    <t>897</t>
  </si>
  <si>
    <t>"Nevada"</t>
  </si>
  <si>
    <t>NV</t>
  </si>
  <si>
    <t>"Carson City"</t>
  </si>
  <si>
    <t>RENO    NV</t>
  </si>
  <si>
    <t>Reno</t>
  </si>
  <si>
    <t>NVRENO.txt</t>
  </si>
  <si>
    <t>852</t>
  </si>
  <si>
    <t>"Casa Grande"</t>
  </si>
  <si>
    <t>TUCSON    AZ</t>
  </si>
  <si>
    <t>Tucson</t>
  </si>
  <si>
    <t>AZTUCSON.txt</t>
  </si>
  <si>
    <t>826</t>
  </si>
  <si>
    <t>"Wyoming"</t>
  </si>
  <si>
    <t>WY</t>
  </si>
  <si>
    <t>"Casper"</t>
  </si>
  <si>
    <t>SHERIDAN    WY</t>
  </si>
  <si>
    <t>Casper</t>
  </si>
  <si>
    <t>947</t>
  </si>
  <si>
    <t>"Berkeley"</t>
  </si>
  <si>
    <t>SAN FRANCISCO AP    CA</t>
  </si>
  <si>
    <t>San Jose</t>
  </si>
  <si>
    <t>CASANJOS.txt</t>
  </si>
  <si>
    <t>870</t>
  </si>
  <si>
    <t>"Bernalillo"</t>
  </si>
  <si>
    <t>590</t>
  </si>
  <si>
    <t>"Montana"</t>
  </si>
  <si>
    <t>MT</t>
  </si>
  <si>
    <t>"Billings"</t>
  </si>
  <si>
    <t>BILLINGS    MT</t>
  </si>
  <si>
    <t>Billings</t>
  </si>
  <si>
    <t>MTBILLIN.txt</t>
  </si>
  <si>
    <t>591</t>
  </si>
  <si>
    <t>137</t>
  </si>
  <si>
    <t>"Binghamton"</t>
  </si>
  <si>
    <t>138</t>
  </si>
  <si>
    <t>139</t>
  </si>
  <si>
    <t>BINGHAMTON    NY</t>
  </si>
  <si>
    <t>Wilkes-Barre</t>
  </si>
  <si>
    <t>PAWILKES.txt</t>
  </si>
  <si>
    <t>350</t>
  </si>
  <si>
    <t>"Birmingham"</t>
  </si>
  <si>
    <t>351</t>
  </si>
  <si>
    <t>352</t>
  </si>
  <si>
    <t>585</t>
  </si>
  <si>
    <t>"North_Dakota"</t>
  </si>
  <si>
    <t>"Bismarck"</t>
  </si>
  <si>
    <t>"Ogden/Logan"</t>
  </si>
  <si>
    <t>163</t>
  </si>
  <si>
    <t>"Oil City"</t>
  </si>
  <si>
    <t>730</t>
  </si>
  <si>
    <t>"Oklahoma City"</t>
  </si>
  <si>
    <t>731</t>
  </si>
  <si>
    <t>985</t>
  </si>
  <si>
    <t>"Olympia"</t>
  </si>
  <si>
    <t>OLYMPIA    WA</t>
  </si>
  <si>
    <t>680</t>
  </si>
  <si>
    <t>"Omaha"</t>
  </si>
  <si>
    <t>OMAHA EPPLEY AP    NE</t>
  </si>
  <si>
    <t>681</t>
  </si>
  <si>
    <t>979</t>
  </si>
  <si>
    <t>"Ontario"</t>
  </si>
  <si>
    <t>368</t>
  </si>
  <si>
    <t>"Opelika"</t>
  </si>
  <si>
    <t>328</t>
  </si>
  <si>
    <t>"Orlando"</t>
  </si>
  <si>
    <t>ORLANDO    FL</t>
  </si>
  <si>
    <t>347</t>
  </si>
  <si>
    <t>549</t>
  </si>
  <si>
    <t>"Oshkosh"</t>
  </si>
  <si>
    <t>525</t>
  </si>
  <si>
    <t>"Ottumwa"</t>
  </si>
  <si>
    <t>423</t>
  </si>
  <si>
    <t>"Owensboro"</t>
  </si>
  <si>
    <t>386</t>
  </si>
  <si>
    <t>"Oxford"</t>
  </si>
  <si>
    <t>420</t>
  </si>
  <si>
    <t>"Paducah"</t>
  </si>
  <si>
    <t xml:space="preserve">PADUCAH   KY </t>
  </si>
  <si>
    <t>Paducah</t>
  </si>
  <si>
    <t>Include total floor area of all residential units in building</t>
  </si>
  <si>
    <t>Common Area</t>
  </si>
  <si>
    <t>Commercial Area</t>
  </si>
  <si>
    <t>Total Conditioned</t>
  </si>
  <si>
    <t>Fuel Cost</t>
  </si>
  <si>
    <t>Electricity</t>
  </si>
  <si>
    <t>$/kWh</t>
  </si>
  <si>
    <t>$/Therm</t>
  </si>
  <si>
    <t>Oil</t>
  </si>
  <si>
    <t>Performance Rating Calculation</t>
  </si>
  <si>
    <t>BTU Savings, %</t>
  </si>
  <si>
    <t>$ Savings, %</t>
  </si>
  <si>
    <t>Electricity, Btu</t>
  </si>
  <si>
    <t>Yes</t>
  </si>
  <si>
    <t>No</t>
  </si>
  <si>
    <t>Cost, $</t>
  </si>
  <si>
    <t>Annual Heating</t>
  </si>
  <si>
    <t xml:space="preserve">Annual Cooling </t>
  </si>
  <si>
    <t>Annual Lighting</t>
  </si>
  <si>
    <t>Annual Hot Water</t>
  </si>
  <si>
    <t>Annual Appliance</t>
  </si>
  <si>
    <t>Annual Other</t>
  </si>
  <si>
    <t>SPOKANE    WA</t>
  </si>
  <si>
    <t>Spokane</t>
  </si>
  <si>
    <t>WASPOKAN.txt</t>
  </si>
  <si>
    <t>677</t>
  </si>
  <si>
    <t>"Kansas"</t>
  </si>
  <si>
    <t>KS</t>
  </si>
  <si>
    <t>"Colby"</t>
  </si>
  <si>
    <t>GOODLAND    KS</t>
  </si>
  <si>
    <t>Goodland</t>
  </si>
  <si>
    <t>KSGOODLA.txt</t>
  </si>
  <si>
    <t>808</t>
  </si>
  <si>
    <t>"Colorado Springs"</t>
  </si>
  <si>
    <t>COLORADO SPRINGS    CO</t>
  </si>
  <si>
    <t>809</t>
  </si>
  <si>
    <t>652</t>
  </si>
  <si>
    <t>"Columbia"</t>
  </si>
  <si>
    <t>COLUMBIA    MO</t>
  </si>
  <si>
    <t>290</t>
  </si>
  <si>
    <t>291</t>
  </si>
  <si>
    <t>292</t>
  </si>
  <si>
    <t>384</t>
  </si>
  <si>
    <t>NASHVILLE    TN</t>
  </si>
  <si>
    <t>Nashville</t>
  </si>
  <si>
    <t>LEXINGTON    KY</t>
  </si>
  <si>
    <t>Lexington</t>
  </si>
  <si>
    <t>KYLEXING.txt</t>
  </si>
  <si>
    <t>412</t>
  </si>
  <si>
    <t>HUNTINGTON    WV</t>
  </si>
  <si>
    <t>WV</t>
  </si>
  <si>
    <t>Charleston</t>
  </si>
  <si>
    <t>WVCHARLE.txt</t>
  </si>
  <si>
    <t>306</t>
  </si>
  <si>
    <t>"Athens"</t>
  </si>
  <si>
    <t>ATHENS    GA</t>
  </si>
  <si>
    <t>Atlanta</t>
  </si>
  <si>
    <t>GAATLANT.txt</t>
  </si>
  <si>
    <t>457</t>
  </si>
  <si>
    <t>COLUMBUS    OH</t>
  </si>
  <si>
    <t>OHCOLMBS.txt</t>
  </si>
  <si>
    <t>300</t>
  </si>
  <si>
    <t>"Atlanta"</t>
  </si>
  <si>
    <t>ATLANTA    GA</t>
  </si>
  <si>
    <t>301</t>
  </si>
  <si>
    <t>302</t>
  </si>
  <si>
    <t>303</t>
  </si>
  <si>
    <t>084</t>
  </si>
  <si>
    <t>"New_Jersey"</t>
  </si>
  <si>
    <t>NJ</t>
  </si>
  <si>
    <t>"Atlantic City"</t>
  </si>
  <si>
    <t>ATLANTIC CITY AP    NJ</t>
  </si>
  <si>
    <t>Atlantic City</t>
  </si>
  <si>
    <t>NJATLCTY.txt</t>
  </si>
  <si>
    <t>042</t>
  </si>
  <si>
    <t>"Maine"</t>
  </si>
  <si>
    <t>ME</t>
  </si>
  <si>
    <t>"Auburn"</t>
  </si>
  <si>
    <t>PORTLAND    ME</t>
  </si>
  <si>
    <t>Portland</t>
  </si>
  <si>
    <t>MEPORTLA.txt</t>
  </si>
  <si>
    <t>308</t>
  </si>
  <si>
    <t>"Augusta"</t>
  </si>
  <si>
    <t>309</t>
  </si>
  <si>
    <t>AUGUSTA    GA</t>
  </si>
  <si>
    <t>043</t>
  </si>
  <si>
    <t>786</t>
  </si>
  <si>
    <t>"Austin"</t>
  </si>
  <si>
    <t>SAN ANTONIO    TX</t>
  </si>
  <si>
    <t>Austin</t>
  </si>
  <si>
    <t>TXAUSTIN.txt</t>
  </si>
  <si>
    <t>787</t>
  </si>
  <si>
    <t>AUSTIN    TX</t>
  </si>
  <si>
    <t>933</t>
  </si>
  <si>
    <t>"Bakersfield"</t>
  </si>
  <si>
    <t>BAKERSFIELD    CA</t>
  </si>
  <si>
    <t>Fresno</t>
  </si>
  <si>
    <t>CAFRESNO.txt</t>
  </si>
  <si>
    <t>932</t>
  </si>
  <si>
    <t>"Bakersfield/Visalia"</t>
  </si>
  <si>
    <t>FRESNO    CA</t>
  </si>
  <si>
    <t>210</t>
  </si>
  <si>
    <t>"Baltimore"</t>
  </si>
  <si>
    <t>211</t>
  </si>
  <si>
    <t>212</t>
  </si>
  <si>
    <t>213</t>
  </si>
  <si>
    <t>044</t>
  </si>
  <si>
    <t>"Bangor"</t>
  </si>
  <si>
    <t>725</t>
  </si>
  <si>
    <t>"Arkansas"</t>
  </si>
  <si>
    <t>AR</t>
  </si>
  <si>
    <t>"Batesville"</t>
  </si>
  <si>
    <t>NORTH LITTLE ROCK    AR</t>
  </si>
  <si>
    <t>Little Rock</t>
  </si>
  <si>
    <t>ARLIROCK.txt</t>
  </si>
  <si>
    <t>045</t>
  </si>
  <si>
    <t>"Bath"</t>
  </si>
  <si>
    <t>707</t>
  </si>
  <si>
    <t>"Baton Rouge"</t>
  </si>
  <si>
    <t>BATON ROUGE    LA</t>
  </si>
  <si>
    <t>Baton Rouge</t>
  </si>
  <si>
    <t>LABATONR.txt</t>
  </si>
  <si>
    <t>708</t>
  </si>
  <si>
    <t>408</t>
  </si>
  <si>
    <t>"Baxter"</t>
  </si>
  <si>
    <t>299</t>
  </si>
  <si>
    <t>"Beaufort"</t>
  </si>
  <si>
    <t>SAVANNAH    GA</t>
  </si>
  <si>
    <t>Savannah</t>
  </si>
  <si>
    <t>GASAVANN.txt</t>
  </si>
  <si>
    <t>776</t>
  </si>
  <si>
    <t>"Beaumont"</t>
  </si>
  <si>
    <t>PORT ARTHUR    TX</t>
  </si>
  <si>
    <t>Houston</t>
  </si>
  <si>
    <t>TXHOUSTO.txt</t>
  </si>
  <si>
    <t>777</t>
  </si>
  <si>
    <t>258</t>
  </si>
  <si>
    <t>"West_Virginia"</t>
  </si>
  <si>
    <t>"Beckley"</t>
  </si>
  <si>
    <t>BECKLEY    WV</t>
  </si>
  <si>
    <t>259</t>
  </si>
  <si>
    <t>051</t>
  </si>
  <si>
    <t>"Vermont"</t>
  </si>
  <si>
    <t>VT</t>
  </si>
  <si>
    <t>"Bellows Falls"</t>
  </si>
  <si>
    <t>566</t>
  </si>
  <si>
    <t>"Minnesota"</t>
  </si>
  <si>
    <t>MN</t>
  </si>
  <si>
    <t>"Bemidji"</t>
  </si>
  <si>
    <t>INTERNATIONAL FALLS    MN</t>
  </si>
  <si>
    <t>Duluth</t>
  </si>
  <si>
    <t>MNDULUTH.txt</t>
  </si>
  <si>
    <t>977</t>
  </si>
  <si>
    <t>"Oregon"</t>
  </si>
  <si>
    <t>OR</t>
  </si>
  <si>
    <t>"Bend"</t>
  </si>
  <si>
    <t>BURNS    OR</t>
  </si>
  <si>
    <t>Yakima</t>
  </si>
  <si>
    <t>WA</t>
  </si>
  <si>
    <t>WAYAKIMA.txt</t>
  </si>
  <si>
    <t>052</t>
  </si>
  <si>
    <t>"Bennington"</t>
  </si>
  <si>
    <t>604</t>
  </si>
  <si>
    <t>BISMARCK    ND</t>
  </si>
  <si>
    <t>Bismarck</t>
  </si>
  <si>
    <t>NDBISMAR.txt</t>
  </si>
  <si>
    <t>617</t>
  </si>
  <si>
    <t>"Illinois"</t>
  </si>
  <si>
    <t>IL</t>
  </si>
  <si>
    <t>"Bloomington"</t>
  </si>
  <si>
    <t>SPRINGFIELD    IL</t>
  </si>
  <si>
    <t>Springfield</t>
  </si>
  <si>
    <t>773</t>
  </si>
  <si>
    <t>"Conroe"</t>
  </si>
  <si>
    <t>HOUSTON    TX</t>
  </si>
  <si>
    <t>385</t>
  </si>
  <si>
    <t>"Cookeville"</t>
  </si>
  <si>
    <t>407</t>
  </si>
  <si>
    <t>"Corbin"</t>
  </si>
  <si>
    <t>783</t>
  </si>
  <si>
    <t>"Corpus Christi"</t>
  </si>
  <si>
    <t>CORPUS CHRISTI    TX</t>
  </si>
  <si>
    <t>Corpus Christi</t>
  </si>
  <si>
    <t>TXCORPUS.txt</t>
  </si>
  <si>
    <t>784</t>
  </si>
  <si>
    <t>515</t>
  </si>
  <si>
    <t>"Council Bluffs"</t>
  </si>
  <si>
    <t>OMAHA (NORTH)    NE</t>
  </si>
  <si>
    <t>Omaha</t>
  </si>
  <si>
    <t>NEOMAHA.txt</t>
  </si>
  <si>
    <t>917</t>
  </si>
  <si>
    <t>"Covina"</t>
  </si>
  <si>
    <t>508</t>
  </si>
  <si>
    <t>"Creston"</t>
  </si>
  <si>
    <t>227</t>
  </si>
  <si>
    <t>"Culpeper"</t>
  </si>
  <si>
    <t>WASHINGTON DULLES AP DC</t>
  </si>
  <si>
    <t>215</t>
  </si>
  <si>
    <t>"Cumberland"</t>
  </si>
  <si>
    <t>750</t>
  </si>
  <si>
    <t>"Dallas"</t>
  </si>
  <si>
    <t>751</t>
  </si>
  <si>
    <t>752</t>
  </si>
  <si>
    <t>753</t>
  </si>
  <si>
    <t>307</t>
  </si>
  <si>
    <t>"Dalton"</t>
  </si>
  <si>
    <t>527</t>
  </si>
  <si>
    <t>"Davenport"</t>
  </si>
  <si>
    <t>528</t>
  </si>
  <si>
    <t>453</t>
  </si>
  <si>
    <t>"Dayton"</t>
  </si>
  <si>
    <t>Dayton</t>
  </si>
  <si>
    <t>OHDAYTON.txt</t>
  </si>
  <si>
    <t>454</t>
  </si>
  <si>
    <t>DAYTON    OH</t>
  </si>
  <si>
    <t>356</t>
  </si>
  <si>
    <t>"Decatur/Florence"</t>
  </si>
  <si>
    <t>Huntsville</t>
  </si>
  <si>
    <t>ALHUNTSV.txt</t>
  </si>
  <si>
    <t>521</t>
  </si>
  <si>
    <t>"Decorah"</t>
  </si>
  <si>
    <t>LA CROSSE    WI</t>
  </si>
  <si>
    <t>WI</t>
  </si>
  <si>
    <t>762</t>
  </si>
  <si>
    <t>"Denton"</t>
  </si>
  <si>
    <t>800</t>
  </si>
  <si>
    <t>"Denver"</t>
  </si>
  <si>
    <t>801</t>
  </si>
  <si>
    <t>802</t>
  </si>
  <si>
    <t>500</t>
  </si>
  <si>
    <t>"Des Moines"</t>
  </si>
  <si>
    <t>501</t>
  </si>
  <si>
    <t>502</t>
  </si>
  <si>
    <t>503</t>
  </si>
  <si>
    <t>565</t>
  </si>
  <si>
    <t>"Detroit Lakes"</t>
  </si>
  <si>
    <t>FARGO    ND</t>
  </si>
  <si>
    <t>482</t>
  </si>
  <si>
    <t>"Detroit"</t>
  </si>
  <si>
    <t>483</t>
  </si>
  <si>
    <t>583</t>
  </si>
  <si>
    <t>"Devils Lake"</t>
  </si>
  <si>
    <t>586</t>
  </si>
  <si>
    <t>"Dickinson"</t>
  </si>
  <si>
    <t>678</t>
  </si>
  <si>
    <t>"Dodge City"</t>
  </si>
  <si>
    <t>DODGE CITY    KS</t>
  </si>
  <si>
    <t>Wichita</t>
  </si>
  <si>
    <t>KSWICHIT.txt</t>
  </si>
  <si>
    <t>363</t>
  </si>
  <si>
    <t>"Dothan"</t>
  </si>
  <si>
    <t>MONTGOMERY    AL</t>
  </si>
  <si>
    <t>Montgomery</t>
  </si>
  <si>
    <t xml:space="preserve">ALMONTGO.txt </t>
  </si>
  <si>
    <t>199</t>
  </si>
  <si>
    <t>"Delaware"</t>
  </si>
  <si>
    <t>DE</t>
  </si>
  <si>
    <t>"Dover"</t>
  </si>
  <si>
    <t>078</t>
  </si>
  <si>
    <t>189</t>
  </si>
  <si>
    <t>"Doylestown"</t>
  </si>
  <si>
    <t>158</t>
  </si>
  <si>
    <t>"Du Bois"</t>
  </si>
  <si>
    <t>WILLIAMSPORT    PA</t>
  </si>
  <si>
    <t>520</t>
  </si>
  <si>
    <t>"Dubuque"</t>
  </si>
  <si>
    <t>DUBUQUE    IA</t>
  </si>
  <si>
    <t>556</t>
  </si>
  <si>
    <t>"Duluth"</t>
  </si>
  <si>
    <t>DULUTH    MN</t>
  </si>
  <si>
    <t>557</t>
  </si>
  <si>
    <t>558</t>
  </si>
  <si>
    <t>813</t>
  </si>
  <si>
    <t>"Durango"</t>
  </si>
  <si>
    <t>GRAND JUNCTION    CO</t>
  </si>
  <si>
    <t>Grand Junction</t>
  </si>
  <si>
    <t>COGRNDJU.txt</t>
  </si>
  <si>
    <t>747</t>
  </si>
  <si>
    <t>"Durant"</t>
  </si>
  <si>
    <t>"Traverse City"</t>
  </si>
  <si>
    <t>ALPENA    MI</t>
  </si>
  <si>
    <t>085</t>
  </si>
  <si>
    <t>"Trenton"</t>
  </si>
  <si>
    <t>086</t>
  </si>
  <si>
    <t>879</t>
  </si>
  <si>
    <t>"Truth or Conseq."</t>
  </si>
  <si>
    <t>857</t>
  </si>
  <si>
    <t>"Tucson"</t>
  </si>
  <si>
    <t>884</t>
  </si>
  <si>
    <t>"Tucumcari"</t>
  </si>
  <si>
    <t>740</t>
  </si>
  <si>
    <t>"Tulsa"</t>
  </si>
  <si>
    <t>741</t>
  </si>
  <si>
    <t>388</t>
  </si>
  <si>
    <t>"Tupelo"</t>
  </si>
  <si>
    <t>TUPELO    MS</t>
  </si>
  <si>
    <t>354</t>
  </si>
  <si>
    <t>"Tuscaloosa"</t>
  </si>
  <si>
    <t>833</t>
  </si>
  <si>
    <t>"Twin Falls"</t>
  </si>
  <si>
    <t>757</t>
  </si>
  <si>
    <t>"Tyler"</t>
  </si>
  <si>
    <t>154</t>
  </si>
  <si>
    <t>"Uniontown"</t>
  </si>
  <si>
    <t>133</t>
  </si>
  <si>
    <t>"Utica"</t>
  </si>
  <si>
    <t>134</t>
  </si>
  <si>
    <t>135</t>
  </si>
  <si>
    <t>788</t>
  </si>
  <si>
    <t>"Uvalde"</t>
  </si>
  <si>
    <t>DEL RIO    TX</t>
  </si>
  <si>
    <t>316</t>
  </si>
  <si>
    <t>"Valdosta"</t>
  </si>
  <si>
    <t>692</t>
  </si>
  <si>
    <t>"Valentine"</t>
  </si>
  <si>
    <t>VALENTINE    NE</t>
  </si>
  <si>
    <t>913</t>
  </si>
  <si>
    <t>"Van Nuys"</t>
  </si>
  <si>
    <t>914</t>
  </si>
  <si>
    <t>986</t>
  </si>
  <si>
    <t>"Vancouver"</t>
  </si>
  <si>
    <t>930</t>
  </si>
  <si>
    <t>"Ventura/Oxnard"</t>
  </si>
  <si>
    <t>779</t>
  </si>
  <si>
    <t>"Victoria"</t>
  </si>
  <si>
    <t>743</t>
  </si>
  <si>
    <t>"Vinita"</t>
  </si>
  <si>
    <t>766</t>
  </si>
  <si>
    <t>"Waco"</t>
  </si>
  <si>
    <t>767</t>
  </si>
  <si>
    <t>206</t>
  </si>
  <si>
    <t>"Waldorf"</t>
  </si>
  <si>
    <t>200</t>
  </si>
  <si>
    <t>"DC"</t>
  </si>
  <si>
    <t>201</t>
  </si>
  <si>
    <t>202</t>
  </si>
  <si>
    <t>203</t>
  </si>
  <si>
    <t>204</t>
  </si>
  <si>
    <t>205</t>
  </si>
  <si>
    <t>475</t>
  </si>
  <si>
    <t>153</t>
  </si>
  <si>
    <t>067</t>
  </si>
  <si>
    <t>"Waterbury"</t>
  </si>
  <si>
    <t>506</t>
  </si>
  <si>
    <t>"Waterloo"</t>
  </si>
  <si>
    <t>507</t>
  </si>
  <si>
    <t>136</t>
  </si>
  <si>
    <t>"Watertown"</t>
  </si>
  <si>
    <t>572</t>
  </si>
  <si>
    <t>049</t>
  </si>
  <si>
    <t>"Waterville"</t>
  </si>
  <si>
    <t>544</t>
  </si>
  <si>
    <t>"Wausau"</t>
  </si>
  <si>
    <t>315</t>
  </si>
  <si>
    <t>"Waycross"</t>
  </si>
  <si>
    <t>248</t>
  </si>
  <si>
    <t>"Welch"</t>
  </si>
  <si>
    <t>169</t>
  </si>
  <si>
    <t>"Wellsboro"</t>
  </si>
  <si>
    <t>988</t>
  </si>
  <si>
    <t>"Wenatchee"</t>
  </si>
  <si>
    <t>YAKIMA    WA</t>
  </si>
  <si>
    <t>723</t>
  </si>
  <si>
    <t>"West Memphis"</t>
  </si>
  <si>
    <t>334</t>
  </si>
  <si>
    <t>"West Palm Beach"</t>
  </si>
  <si>
    <t>WEST PALM BEACH    FL</t>
  </si>
  <si>
    <t>West Palm Beach</t>
  </si>
  <si>
    <t>FLWPALMB.txt</t>
  </si>
  <si>
    <t>105</t>
  </si>
  <si>
    <t>"Westchester"</t>
  </si>
  <si>
    <t>822</t>
  </si>
  <si>
    <t>"Wheatland"</t>
  </si>
  <si>
    <t>SCOTTSBLUFF    NE</t>
  </si>
  <si>
    <t>260</t>
  </si>
  <si>
    <t>"Wheeling"</t>
  </si>
  <si>
    <t>106</t>
  </si>
  <si>
    <t>"White Plains"</t>
  </si>
  <si>
    <t>050</t>
  </si>
  <si>
    <t>"White River Junction"</t>
  </si>
  <si>
    <t>906</t>
  </si>
  <si>
    <t>824</t>
  </si>
  <si>
    <t>"Worland"</t>
  </si>
  <si>
    <t>989</t>
  </si>
  <si>
    <t>"Yakima"</t>
  </si>
  <si>
    <t>821</t>
  </si>
  <si>
    <t>"Yellowstone Nat Pk"</t>
  </si>
  <si>
    <t>107</t>
  </si>
  <si>
    <t>"Yonkers"</t>
  </si>
  <si>
    <t>173</t>
  </si>
  <si>
    <t>"York"</t>
  </si>
  <si>
    <t>174</t>
  </si>
  <si>
    <t>444</t>
  </si>
  <si>
    <t>"Youngstown"</t>
  </si>
  <si>
    <t>445</t>
  </si>
  <si>
    <t>437</t>
  </si>
  <si>
    <t>"Zanesville"</t>
  </si>
  <si>
    <t>438</t>
  </si>
  <si>
    <t>901 Unique Zip Codes</t>
  </si>
  <si>
    <t>242 Unique Climates</t>
  </si>
  <si>
    <t>159 IWIN - NCDC Sites</t>
  </si>
  <si>
    <t>Elec. Units</t>
  </si>
  <si>
    <t>Gas Units</t>
  </si>
  <si>
    <t>Oil Units</t>
  </si>
  <si>
    <t>Steam Units</t>
  </si>
  <si>
    <t>Chilled Water Units</t>
  </si>
  <si>
    <t>Cooking</t>
  </si>
  <si>
    <t>Cooling</t>
  </si>
  <si>
    <t>Months in Use</t>
  </si>
  <si>
    <t>Source</t>
  </si>
  <si>
    <t>Site</t>
  </si>
  <si>
    <t>Value</t>
  </si>
  <si>
    <t>Therms</t>
  </si>
  <si>
    <t>Gal</t>
  </si>
  <si>
    <t>MLbs</t>
  </si>
  <si>
    <t>Ton-Hrs</t>
  </si>
  <si>
    <t>kBTU</t>
  </si>
  <si>
    <t>Old Below Ground EUI =</t>
  </si>
  <si>
    <t>kBtu/ft2-yr</t>
  </si>
  <si>
    <t>New Below Ground EUI =</t>
  </si>
  <si>
    <t>%Source</t>
  </si>
  <si>
    <t>%Site</t>
  </si>
  <si>
    <t>User Data:</t>
  </si>
  <si>
    <t>Electric</t>
  </si>
  <si>
    <t>Multi-Family Residential Building</t>
  </si>
  <si>
    <t>Design Assistant Worksheet</t>
  </si>
  <si>
    <t>Unit</t>
  </si>
  <si>
    <t>Building</t>
  </si>
  <si>
    <t>Expected Results</t>
  </si>
  <si>
    <t>Side Calculations</t>
  </si>
  <si>
    <t>Residential SQFT</t>
  </si>
  <si>
    <t>Resid ES Target Site EU</t>
  </si>
  <si>
    <t>TDV-kBtu/sf/yr</t>
  </si>
  <si>
    <t>116</t>
  </si>
  <si>
    <t>"Far Rockaway"</t>
  </si>
  <si>
    <t>ISLIP    NY</t>
  </si>
  <si>
    <t>580</t>
  </si>
  <si>
    <t>"Fargo"</t>
  </si>
  <si>
    <t>581</t>
  </si>
  <si>
    <t>874</t>
  </si>
  <si>
    <t>"Farmington"</t>
  </si>
  <si>
    <t>239</t>
  </si>
  <si>
    <t>"Farmville"</t>
  </si>
  <si>
    <t>727</t>
  </si>
  <si>
    <t>"Fayetteville"</t>
  </si>
  <si>
    <t>SPRINGFIELD    MO</t>
  </si>
  <si>
    <t>MOSPRING.txt</t>
  </si>
  <si>
    <t>283</t>
  </si>
  <si>
    <t>860</t>
  </si>
  <si>
    <t>"Flagstaff"</t>
  </si>
  <si>
    <t>FLAGSTAFF    AZ</t>
  </si>
  <si>
    <t>Flagstaff</t>
  </si>
  <si>
    <t>AZFLAGST.txt</t>
  </si>
  <si>
    <t>636</t>
  </si>
  <si>
    <t>"Flat River"</t>
  </si>
  <si>
    <t>484</t>
  </si>
  <si>
    <t>"Flint"</t>
  </si>
  <si>
    <t>LANSING    MI</t>
  </si>
  <si>
    <t>Flint</t>
  </si>
  <si>
    <t>MIFLINT.txt</t>
  </si>
  <si>
    <t>485</t>
  </si>
  <si>
    <t>FLINT    MI</t>
  </si>
  <si>
    <t>295</t>
  </si>
  <si>
    <t>"Florence"</t>
  </si>
  <si>
    <t>WILMINGTON    NC</t>
  </si>
  <si>
    <t>113</t>
  </si>
  <si>
    <t>"Flushing"</t>
  </si>
  <si>
    <t>NEW YORK (JFK AP)    NY</t>
  </si>
  <si>
    <t>505</t>
  </si>
  <si>
    <t>"Fort Dodge"</t>
  </si>
  <si>
    <t>333</t>
  </si>
  <si>
    <t>"Fort Lauderdale"</t>
  </si>
  <si>
    <t>MIAMI    FL</t>
  </si>
  <si>
    <t>Miami Beach</t>
  </si>
  <si>
    <t>FLMIAMIB.txt</t>
  </si>
  <si>
    <t>807</t>
  </si>
  <si>
    <t>"Fort Morgan"</t>
  </si>
  <si>
    <t>339</t>
  </si>
  <si>
    <t>"Fort Myers"</t>
  </si>
  <si>
    <t>FORT MYERS    FL</t>
  </si>
  <si>
    <t>349</t>
  </si>
  <si>
    <t>"Fort Pierce"</t>
  </si>
  <si>
    <t>667</t>
  </si>
  <si>
    <t>"Fort Scott"</t>
  </si>
  <si>
    <t>729</t>
  </si>
  <si>
    <t>"Fort Smith"</t>
  </si>
  <si>
    <t>FORT SMITH    AR</t>
  </si>
  <si>
    <t>Fort Smith</t>
  </si>
  <si>
    <t>ARFTSMIT.txt</t>
  </si>
  <si>
    <t>467</t>
  </si>
  <si>
    <t>"Fort Wayne"</t>
  </si>
  <si>
    <t>SOUTH BEND    IN</t>
  </si>
  <si>
    <t>Fort Wayne</t>
  </si>
  <si>
    <t>INFTWAYN.txt</t>
  </si>
  <si>
    <t>468</t>
  </si>
  <si>
    <t>FORT WAYNE    IN</t>
  </si>
  <si>
    <t>760</t>
  </si>
  <si>
    <t>"Fort Worth"</t>
  </si>
  <si>
    <t>761</t>
  </si>
  <si>
    <t>017</t>
  </si>
  <si>
    <t>"Framingham"</t>
  </si>
  <si>
    <t>406</t>
  </si>
  <si>
    <t>"Frankfort"</t>
  </si>
  <si>
    <t>217</t>
  </si>
  <si>
    <t>"Frederick"</t>
  </si>
  <si>
    <t>224</t>
  </si>
  <si>
    <t>"Fredericksburg"</t>
  </si>
  <si>
    <t>225</t>
  </si>
  <si>
    <t>936</t>
  </si>
  <si>
    <t>"Fresno"</t>
  </si>
  <si>
    <t>937</t>
  </si>
  <si>
    <t>359</t>
  </si>
  <si>
    <t>"Gadsden"</t>
  </si>
  <si>
    <t>326</t>
  </si>
  <si>
    <t>"Gainesville"</t>
  </si>
  <si>
    <t>GAINESVILLE    FL</t>
  </si>
  <si>
    <t>Jacksonville</t>
  </si>
  <si>
    <t>FLJACKSV.txt</t>
  </si>
  <si>
    <t>305</t>
  </si>
  <si>
    <t>614</t>
  </si>
  <si>
    <t>"Galesburg"</t>
  </si>
  <si>
    <t>Peoria</t>
  </si>
  <si>
    <t>ILPEORIA.txt</t>
  </si>
  <si>
    <t>873</t>
  </si>
  <si>
    <t>"Gallup"</t>
  </si>
  <si>
    <t>775</t>
  </si>
  <si>
    <t>"Galveston"</t>
  </si>
  <si>
    <t>GALVESTON    TX</t>
  </si>
  <si>
    <t>463</t>
  </si>
  <si>
    <t>"Gary"</t>
  </si>
  <si>
    <t>South Bend</t>
  </si>
  <si>
    <t>INSOBEND.txt</t>
  </si>
  <si>
    <t>464</t>
  </si>
  <si>
    <t>266</t>
  </si>
  <si>
    <t>"Gassaway"</t>
  </si>
  <si>
    <t>789</t>
  </si>
  <si>
    <t>"Giddings"</t>
  </si>
  <si>
    <t>827</t>
  </si>
  <si>
    <t>"Gillette"</t>
  </si>
  <si>
    <t>CASPER    WY</t>
  </si>
  <si>
    <t>950</t>
  </si>
  <si>
    <t>"Gilroy"</t>
  </si>
  <si>
    <t>912</t>
  </si>
  <si>
    <t>"Glendale"</t>
  </si>
  <si>
    <t>128</t>
  </si>
  <si>
    <t>"Glens Falls"</t>
  </si>
  <si>
    <t>816</t>
  </si>
  <si>
    <t>"Glenwood Springs"</t>
  </si>
  <si>
    <t>855</t>
  </si>
  <si>
    <t>"Globe"</t>
  </si>
  <si>
    <t>804</t>
  </si>
  <si>
    <t>"Golden/Dillon"</t>
  </si>
  <si>
    <t>582</t>
  </si>
  <si>
    <t>"Grand Forks"</t>
  </si>
  <si>
    <t>688</t>
  </si>
  <si>
    <t>"Grand Island"</t>
  </si>
  <si>
    <t>815</t>
  </si>
  <si>
    <t>"Grand Junction"</t>
  </si>
  <si>
    <t>493</t>
  </si>
  <si>
    <t>"Grand Rapids"</t>
  </si>
  <si>
    <t>MUSKEGON    MI</t>
  </si>
  <si>
    <t>Grand Rapids</t>
  </si>
  <si>
    <t>MIGRNDRA.txt</t>
  </si>
  <si>
    <t>495</t>
  </si>
  <si>
    <t>GRAND RAPIDS    MI</t>
  </si>
  <si>
    <t>594</t>
  </si>
  <si>
    <t>"Great Falls"</t>
  </si>
  <si>
    <t>GREAT FALLS    MT</t>
  </si>
  <si>
    <t>Great Falls</t>
  </si>
  <si>
    <t>MTGRFALL.txt</t>
  </si>
  <si>
    <t>110</t>
  </si>
  <si>
    <t>"Great Neck"</t>
  </si>
  <si>
    <t>806</t>
  </si>
  <si>
    <t>"Greeley"</t>
  </si>
  <si>
    <t>541</t>
  </si>
  <si>
    <t>"Green Bay"</t>
  </si>
  <si>
    <t>GREEN BAY    WI</t>
  </si>
  <si>
    <t>Green Bay</t>
  </si>
  <si>
    <t>WIGREBAY.txt</t>
  </si>
  <si>
    <t>542</t>
  </si>
  <si>
    <t>543</t>
  </si>
  <si>
    <t>013</t>
  </si>
  <si>
    <t>"Greenfield"</t>
  </si>
  <si>
    <t>272</t>
  </si>
  <si>
    <t>"Greensboro"</t>
  </si>
  <si>
    <t>GREENSBORO-WNSTN-SALM-HGHPT NC</t>
  </si>
  <si>
    <t>Greensboro</t>
  </si>
  <si>
    <t>NCGRNSBO.txt</t>
  </si>
  <si>
    <t>273</t>
  </si>
  <si>
    <t>274</t>
  </si>
  <si>
    <t>156</t>
  </si>
  <si>
    <t>"Greensburg"</t>
  </si>
  <si>
    <t>387</t>
  </si>
  <si>
    <t>"Greenville"</t>
  </si>
  <si>
    <t>JACKSON    MS</t>
  </si>
  <si>
    <t>296</t>
  </si>
  <si>
    <t>754</t>
  </si>
  <si>
    <t>389</t>
  </si>
  <si>
    <t>"Grenada"</t>
  </si>
  <si>
    <t>Tupelo</t>
  </si>
  <si>
    <t>MSTUPELO.txt</t>
  </si>
  <si>
    <t>395</t>
  </si>
  <si>
    <t>"Gulfport"</t>
  </si>
  <si>
    <t>NEW ORLEANS    LA</t>
  </si>
  <si>
    <t>New Orleans</t>
  </si>
  <si>
    <t>LANEWORL.txt</t>
  </si>
  <si>
    <t>739</t>
  </si>
  <si>
    <t>"Guymon"</t>
  </si>
  <si>
    <t>076</t>
  </si>
  <si>
    <t>"Hackensack"</t>
  </si>
  <si>
    <t>704</t>
  </si>
  <si>
    <t>"Hammond"</t>
  </si>
  <si>
    <t>634</t>
  </si>
  <si>
    <t>"Hannibal"</t>
  </si>
  <si>
    <t>170</t>
  </si>
  <si>
    <t>"Harrisburg"</t>
  </si>
  <si>
    <t>171</t>
  </si>
  <si>
    <t>726</t>
  </si>
  <si>
    <t>Energy Usage per Square Foot of Conditioned Area</t>
  </si>
  <si>
    <t>Btu/SqFt</t>
  </si>
  <si>
    <t>PUEBLO    CO</t>
  </si>
  <si>
    <t>Pueblo</t>
  </si>
  <si>
    <t>COPUEBLO.txt</t>
  </si>
  <si>
    <t>891</t>
  </si>
  <si>
    <t>207</t>
  </si>
  <si>
    <t>"Laurel"</t>
  </si>
  <si>
    <t>470</t>
  </si>
  <si>
    <t>"Lawrenceburg"</t>
  </si>
  <si>
    <t>735</t>
  </si>
  <si>
    <t>"Lawton"</t>
  </si>
  <si>
    <t>WICHITA FALLS    TX</t>
  </si>
  <si>
    <t>Wichita Falls</t>
  </si>
  <si>
    <t>TXWICHFA.txt</t>
  </si>
  <si>
    <t>180</t>
  </si>
  <si>
    <t>"Lehigh_Valley"</t>
  </si>
  <si>
    <t>249</t>
  </si>
  <si>
    <t>"Lewisburg"</t>
  </si>
  <si>
    <t>835</t>
  </si>
  <si>
    <t>"Lewiston"</t>
  </si>
  <si>
    <t>LEWISTON    ID</t>
  </si>
  <si>
    <t>403</t>
  </si>
  <si>
    <t>"Lexington"</t>
  </si>
  <si>
    <t>404</t>
  </si>
  <si>
    <t>405</t>
  </si>
  <si>
    <t>679</t>
  </si>
  <si>
    <t>"Liberal"</t>
  </si>
  <si>
    <t>458</t>
  </si>
  <si>
    <t>"Lima"</t>
  </si>
  <si>
    <t>683</t>
  </si>
  <si>
    <t>"Lincoln"</t>
  </si>
  <si>
    <t>LINCOLN    NE</t>
  </si>
  <si>
    <t>684</t>
  </si>
  <si>
    <t>685</t>
  </si>
  <si>
    <t>720</t>
  </si>
  <si>
    <t>"Little Rock"</t>
  </si>
  <si>
    <t>721</t>
  </si>
  <si>
    <t>722</t>
  </si>
  <si>
    <t>035</t>
  </si>
  <si>
    <t>"Littleton"</t>
  </si>
  <si>
    <t>256</t>
  </si>
  <si>
    <t>"Logan"</t>
  </si>
  <si>
    <t>908</t>
  </si>
  <si>
    <t>"Long Beach"</t>
  </si>
  <si>
    <t>805</t>
  </si>
  <si>
    <t>"Longmont"</t>
  </si>
  <si>
    <t>756</t>
  </si>
  <si>
    <t>"Longview"</t>
  </si>
  <si>
    <t>900</t>
  </si>
  <si>
    <t>"Los Angeles"</t>
  </si>
  <si>
    <t>901</t>
  </si>
  <si>
    <t>902</t>
  </si>
  <si>
    <t>400</t>
  </si>
  <si>
    <t>"Louisville"</t>
  </si>
  <si>
    <t>401</t>
  </si>
  <si>
    <t>402</t>
  </si>
  <si>
    <t>793</t>
  </si>
  <si>
    <t>"Lubbock"</t>
  </si>
  <si>
    <t>794</t>
  </si>
  <si>
    <t>759</t>
  </si>
  <si>
    <t>"Lufkin"</t>
  </si>
  <si>
    <t>WACO    TX</t>
  </si>
  <si>
    <t>Waco</t>
  </si>
  <si>
    <t>TXWACO.txt</t>
  </si>
  <si>
    <t>245</t>
  </si>
  <si>
    <t>"Lynchburg"</t>
  </si>
  <si>
    <t>LYNCHBURG    VA</t>
  </si>
  <si>
    <t>019</t>
  </si>
  <si>
    <t>"Lynn"</t>
  </si>
  <si>
    <t>497</t>
  </si>
  <si>
    <t>"Mackinaw City"</t>
  </si>
  <si>
    <t>SAULT STE. MARIE    MI</t>
  </si>
  <si>
    <t>310</t>
  </si>
  <si>
    <t>"Macon"</t>
  </si>
  <si>
    <t>Macon</t>
  </si>
  <si>
    <t>GAMACON.txt</t>
  </si>
  <si>
    <t>311</t>
  </si>
  <si>
    <t>312</t>
  </si>
  <si>
    <t>535</t>
  </si>
  <si>
    <t>"Madison"</t>
  </si>
  <si>
    <t>536</t>
  </si>
  <si>
    <t>537</t>
  </si>
  <si>
    <t>030</t>
  </si>
  <si>
    <t>"Manchester"</t>
  </si>
  <si>
    <t>031</t>
  </si>
  <si>
    <t>"Guam"</t>
  </si>
  <si>
    <t>GU</t>
  </si>
  <si>
    <t>"Mangilao"</t>
  </si>
  <si>
    <t>"Harrison"</t>
  </si>
  <si>
    <t>228</t>
  </si>
  <si>
    <t>"Harrisonburg"</t>
  </si>
  <si>
    <t>647</t>
  </si>
  <si>
    <t>"Harrisonville"</t>
  </si>
  <si>
    <t>060</t>
  </si>
  <si>
    <t>"Hartford"</t>
  </si>
  <si>
    <t>Under Ground Garage</t>
  </si>
  <si>
    <t>Above Ground Garage</t>
  </si>
  <si>
    <t>Parking Lot</t>
  </si>
  <si>
    <t>Gas</t>
  </si>
  <si>
    <t>Steam</t>
  </si>
  <si>
    <t>Chilled Water</t>
  </si>
  <si>
    <t>Energy</t>
  </si>
  <si>
    <t>Average</t>
  </si>
  <si>
    <t>kBtu</t>
  </si>
  <si>
    <t>Source Total</t>
  </si>
  <si>
    <t>Site EUI</t>
  </si>
  <si>
    <t>Bldg Source Total minus Commercial, Garage, Parking Lot</t>
  </si>
  <si>
    <t>Bldg Source Total</t>
  </si>
  <si>
    <t>Residential &amp; common</t>
  </si>
  <si>
    <t>Source EUI</t>
  </si>
  <si>
    <t>Resid Site EU (50) =</t>
  </si>
  <si>
    <t>Commercial, Garage, and Parking</t>
  </si>
  <si>
    <t>Adj Source EUI</t>
  </si>
  <si>
    <t>Resid Source EU (50) =</t>
  </si>
  <si>
    <t>Ln Resid So kBtu</t>
  </si>
  <si>
    <t>Building Site EU (50) =</t>
  </si>
  <si>
    <t xml:space="preserve">Per CBECS 1999, average energy use for commercial space </t>
  </si>
  <si>
    <t>Building Source EU (50) =</t>
  </si>
  <si>
    <t>is about 200 source kBtu/sqft (office - 213, store - 182)</t>
  </si>
  <si>
    <t>Model:</t>
  </si>
  <si>
    <t>Thus, calc commercial space EU above by sqft x 200.</t>
  </si>
  <si>
    <t>Ln Source Total = C0 + C1*LN (sqftreg) + C2*CDDcoolp + C3*hddheatp + C4*Bedrooms/unit</t>
  </si>
  <si>
    <t>Assume common space EU is 75% of residential.</t>
  </si>
  <si>
    <t>Parameter Estimates</t>
  </si>
  <si>
    <t xml:space="preserve">(Reference:  Answers to Ques. 10 in 10/6/2004 email response </t>
  </si>
  <si>
    <t>Parameter</t>
  </si>
  <si>
    <t>Variable</t>
  </si>
  <si>
    <t>Mean</t>
  </si>
  <si>
    <t>Minimum</t>
  </si>
  <si>
    <t>Maximum</t>
  </si>
  <si>
    <t>to Stephanie Jones at CEE)</t>
  </si>
  <si>
    <t>DF</t>
  </si>
  <si>
    <t>Estimate</t>
  </si>
  <si>
    <t>LNSRCEUI</t>
  </si>
  <si>
    <t>N=217</t>
  </si>
  <si>
    <t>Intercept</t>
  </si>
  <si>
    <t>Exit Signs</t>
  </si>
  <si>
    <t>"Show Low"</t>
  </si>
  <si>
    <t>710</t>
  </si>
  <si>
    <t>"Shreveport"</t>
  </si>
  <si>
    <t>711</t>
  </si>
  <si>
    <t>856</t>
  </si>
  <si>
    <t>"Sierra Vista/Nogales"</t>
  </si>
  <si>
    <t>638</t>
  </si>
  <si>
    <t>"Sikeston"</t>
  </si>
  <si>
    <t>209</t>
  </si>
  <si>
    <t>"Silver Spring"</t>
  </si>
  <si>
    <t>510</t>
  </si>
  <si>
    <t>"Sioux City"</t>
  </si>
  <si>
    <t>511</t>
  </si>
  <si>
    <t>570</t>
  </si>
  <si>
    <t>"Sioux Falls"</t>
  </si>
  <si>
    <t>571</t>
  </si>
  <si>
    <t>940</t>
  </si>
  <si>
    <t>"So. San Francisco"</t>
  </si>
  <si>
    <t>878</t>
  </si>
  <si>
    <t>"Socorro"</t>
  </si>
  <si>
    <t>425</t>
  </si>
  <si>
    <t>"Somerset"</t>
  </si>
  <si>
    <t>426</t>
  </si>
  <si>
    <t>155</t>
  </si>
  <si>
    <t>465</t>
  </si>
  <si>
    <t>"South Bend"</t>
  </si>
  <si>
    <t>466</t>
  </si>
  <si>
    <t>Fill in cells highlighted with this color.</t>
  </si>
  <si>
    <t>CFM</t>
  </si>
  <si>
    <t>"South Chicago Sub."</t>
  </si>
  <si>
    <t>Space Type</t>
  </si>
  <si>
    <t>Type of Garage</t>
  </si>
  <si>
    <t>"Brockton"</t>
  </si>
  <si>
    <t>PROVIDENCE    RI</t>
  </si>
  <si>
    <t>RI</t>
  </si>
  <si>
    <t>Rhode Island</t>
  </si>
  <si>
    <t>RIPROVID.txt</t>
  </si>
  <si>
    <t>024</t>
  </si>
  <si>
    <t>104</t>
  </si>
  <si>
    <t>"Bronx"</t>
  </si>
  <si>
    <t>NEW YORK (LAGUARDIA AP)    NY</t>
  </si>
  <si>
    <t>New York City</t>
  </si>
  <si>
    <t>ILSPRING.txt</t>
  </si>
  <si>
    <t>474</t>
  </si>
  <si>
    <t>"Indiana"</t>
  </si>
  <si>
    <t>IN</t>
  </si>
  <si>
    <t>INDIANAPOLIS    IN</t>
  </si>
  <si>
    <t>Indianapolis</t>
  </si>
  <si>
    <t>ININDIAN.txt</t>
  </si>
  <si>
    <t>247</t>
  </si>
  <si>
    <t>"Bluefield"</t>
  </si>
  <si>
    <t>ROANOKE    VA</t>
  </si>
  <si>
    <t>Roanoke</t>
  </si>
  <si>
    <t>VAROANOK.txt</t>
  </si>
  <si>
    <t>836</t>
  </si>
  <si>
    <t>"Idaho"</t>
  </si>
  <si>
    <t>ID</t>
  </si>
  <si>
    <t>"Boise"</t>
  </si>
  <si>
    <t>BOISE    ID</t>
  </si>
  <si>
    <t>Boise</t>
  </si>
  <si>
    <t>IDBOISE.txt</t>
  </si>
  <si>
    <t>837</t>
  </si>
  <si>
    <t>020</t>
  </si>
  <si>
    <t>"Massachusetts"</t>
  </si>
  <si>
    <t>MA</t>
  </si>
  <si>
    <t>"Boston"</t>
  </si>
  <si>
    <t>KYPADUCA.txt</t>
  </si>
  <si>
    <t>758</t>
  </si>
  <si>
    <t>"Palestine"</t>
  </si>
  <si>
    <t>922</t>
  </si>
  <si>
    <t>"Palm Springs"</t>
  </si>
  <si>
    <t>SAN DIEGO    CA</t>
  </si>
  <si>
    <t>San Diego</t>
  </si>
  <si>
    <t>CASANDIE.txt</t>
  </si>
  <si>
    <t>943</t>
  </si>
  <si>
    <t>Proposed Design</t>
  </si>
  <si>
    <t>277</t>
  </si>
  <si>
    <t>"Durham"</t>
  </si>
  <si>
    <t>RALEIGH    NC</t>
  </si>
  <si>
    <t xml:space="preserve">WYCASPER.txt </t>
  </si>
  <si>
    <t>522</t>
  </si>
  <si>
    <t>"Cedar Rapids"</t>
  </si>
  <si>
    <t>DES MOINES    IA</t>
  </si>
  <si>
    <t>523</t>
  </si>
  <si>
    <t>524</t>
  </si>
  <si>
    <t>WATERLOO    IA</t>
  </si>
  <si>
    <t>628</t>
  </si>
  <si>
    <t>"Centralia"</t>
  </si>
  <si>
    <t>172</t>
  </si>
  <si>
    <t>"Chambersburg"</t>
  </si>
  <si>
    <t>HARRISBURG    PA</t>
  </si>
  <si>
    <t>Harrisburg</t>
  </si>
  <si>
    <t xml:space="preserve">PAHARRIS.txt </t>
  </si>
  <si>
    <t>618</t>
  </si>
  <si>
    <t>"Champaign/Urbana"</t>
  </si>
  <si>
    <t>619</t>
  </si>
  <si>
    <t>294</t>
  </si>
  <si>
    <t>"Charleston"</t>
  </si>
  <si>
    <t>CHARLESTON AP    SC</t>
  </si>
  <si>
    <t>SCCHARLE.txt</t>
  </si>
  <si>
    <t>250</t>
  </si>
  <si>
    <t>251</t>
  </si>
  <si>
    <t>252</t>
  </si>
  <si>
    <t>253</t>
  </si>
  <si>
    <t>280</t>
  </si>
  <si>
    <t>"Charlotte"</t>
  </si>
  <si>
    <t>GREENVILLE-SPARTANBURG AP    SC</t>
  </si>
  <si>
    <t>Charlotte</t>
  </si>
  <si>
    <t>NCCHARLO.txt</t>
  </si>
  <si>
    <t>281</t>
  </si>
  <si>
    <t>282</t>
  </si>
  <si>
    <t>CHARLOTTE   NC</t>
  </si>
  <si>
    <t>229</t>
  </si>
  <si>
    <t>"Charlottesville"</t>
  </si>
  <si>
    <t>RICHMOND    VA</t>
  </si>
  <si>
    <t>Richmond</t>
  </si>
  <si>
    <t>VARICHMO.txt</t>
  </si>
  <si>
    <t>373</t>
  </si>
  <si>
    <t>"Tennessee"</t>
  </si>
  <si>
    <t>"Chattanooga"</t>
  </si>
  <si>
    <t>HUNTSVILLE    AL</t>
  </si>
  <si>
    <t>Chattanooga</t>
  </si>
  <si>
    <t>TNCHATTA.txt</t>
  </si>
  <si>
    <t>374</t>
  </si>
  <si>
    <t>CHATTANOOGA    TN</t>
  </si>
  <si>
    <t>080</t>
  </si>
  <si>
    <t>"Cherry Hill"</t>
  </si>
  <si>
    <t>820</t>
  </si>
  <si>
    <t>"Cheyenne"</t>
  </si>
  <si>
    <t>CHEYENNE    WY</t>
  </si>
  <si>
    <t>Cheyenne</t>
  </si>
  <si>
    <t>WYCHEYEN.txt</t>
  </si>
  <si>
    <t>606</t>
  </si>
  <si>
    <t>"Chicago"</t>
  </si>
  <si>
    <t>CHICAGO    IL</t>
  </si>
  <si>
    <t>Chicago</t>
  </si>
  <si>
    <t>ILCHICAG.txt</t>
  </si>
  <si>
    <t>607</t>
  </si>
  <si>
    <t>792</t>
  </si>
  <si>
    <t>"Childress"</t>
  </si>
  <si>
    <t>LUBBOCK    TX</t>
  </si>
  <si>
    <t>Lubbock</t>
  </si>
  <si>
    <t>TXLUBBOC.txt</t>
  </si>
  <si>
    <t>646</t>
  </si>
  <si>
    <t>"Chillicothe"</t>
  </si>
  <si>
    <t>KANSAS CITY    MO</t>
  </si>
  <si>
    <t>Kansas City</t>
  </si>
  <si>
    <t>MOKANCTY.txt</t>
  </si>
  <si>
    <t>456</t>
  </si>
  <si>
    <t>GREATER CINCINNATI AP KY</t>
  </si>
  <si>
    <t>Cincinnati</t>
  </si>
  <si>
    <t>OHCINCIN.txt</t>
  </si>
  <si>
    <t>450</t>
  </si>
  <si>
    <t>"Cincinnati"</t>
  </si>
  <si>
    <t>451</t>
  </si>
  <si>
    <t>452</t>
  </si>
  <si>
    <t>037</t>
  </si>
  <si>
    <t>"Claremont"</t>
  </si>
  <si>
    <t>263</t>
  </si>
  <si>
    <t>"Clarksburg"</t>
  </si>
  <si>
    <t>ELKINS    WV</t>
  </si>
  <si>
    <t>Elkins</t>
  </si>
  <si>
    <t>"Evansville"</t>
  </si>
  <si>
    <t>477</t>
  </si>
  <si>
    <t>982</t>
  </si>
  <si>
    <t>"Everett"</t>
  </si>
  <si>
    <t>QUILLAYUTE    WA</t>
  </si>
  <si>
    <t>Seattle</t>
  </si>
  <si>
    <t>WASEATTL.txt</t>
  </si>
  <si>
    <t>364</t>
  </si>
  <si>
    <t>"Evergreen"</t>
  </si>
  <si>
    <t>997</t>
  </si>
  <si>
    <t>"Fairbanks"</t>
  </si>
  <si>
    <t>FAIRBANKS    AK</t>
  </si>
  <si>
    <t>Fairbanks</t>
  </si>
  <si>
    <t xml:space="preserve">AKFAIRBA.txt </t>
  </si>
  <si>
    <t>325</t>
  </si>
  <si>
    <t>"Pensacola"</t>
  </si>
  <si>
    <t>PENSACOLA    FL</t>
  </si>
  <si>
    <t>615</t>
  </si>
  <si>
    <t>"Peoria"</t>
  </si>
  <si>
    <t>616</t>
  </si>
  <si>
    <t>238</t>
  </si>
  <si>
    <t>"Petersburg"</t>
  </si>
  <si>
    <t>268</t>
  </si>
  <si>
    <t>190</t>
  </si>
  <si>
    <t>"Philadelphia"</t>
  </si>
  <si>
    <t>191</t>
  </si>
  <si>
    <t>850</t>
  </si>
  <si>
    <t>"Phoenix"</t>
  </si>
  <si>
    <t>PHOENIX    AZ</t>
  </si>
  <si>
    <t>Phoenix</t>
  </si>
  <si>
    <t>AZPHOENI.txt</t>
  </si>
  <si>
    <t>851</t>
  </si>
  <si>
    <t>575</t>
  </si>
  <si>
    <t>"Pierre"</t>
  </si>
  <si>
    <t>415</t>
  </si>
  <si>
    <t>"Pikeville"</t>
  </si>
  <si>
    <t>416</t>
  </si>
  <si>
    <t>716</t>
  </si>
  <si>
    <t>"Pine Bluff"</t>
  </si>
  <si>
    <t>150</t>
  </si>
  <si>
    <t>"Pittsburgh"</t>
  </si>
  <si>
    <t>151</t>
  </si>
  <si>
    <t>152</t>
  </si>
  <si>
    <t>012</t>
  </si>
  <si>
    <t>"Pittsfield"</t>
  </si>
  <si>
    <t>032</t>
  </si>
  <si>
    <t>538</t>
  </si>
  <si>
    <t>"Platteville"</t>
  </si>
  <si>
    <t>129</t>
  </si>
  <si>
    <t>"Plattsburgh"</t>
  </si>
  <si>
    <t>832</t>
  </si>
  <si>
    <t>"Pocatello"</t>
  </si>
  <si>
    <t>957</t>
  </si>
  <si>
    <t>"Pollock Pines"</t>
  </si>
  <si>
    <t>746</t>
  </si>
  <si>
    <t>"Ponca City"</t>
  </si>
  <si>
    <t>TULSA    OK</t>
  </si>
  <si>
    <t>Tulsa</t>
  </si>
  <si>
    <t>OKTULSA.txt</t>
  </si>
  <si>
    <t>639</t>
  </si>
  <si>
    <t>"Poplar Bluff"</t>
  </si>
  <si>
    <t>539</t>
  </si>
  <si>
    <t>"Portage"</t>
  </si>
  <si>
    <t>040</t>
  </si>
  <si>
    <t>"Portland"</t>
  </si>
  <si>
    <t>041</t>
  </si>
  <si>
    <t>971</t>
  </si>
  <si>
    <t>PORTLAND    OR</t>
  </si>
  <si>
    <t>ORPORTLA.txt</t>
  </si>
  <si>
    <t>972</t>
  </si>
  <si>
    <t>038</t>
  </si>
  <si>
    <t>"Portsmouth"</t>
  </si>
  <si>
    <t>237</t>
  </si>
  <si>
    <t>749</t>
  </si>
  <si>
    <t>"Poteau"</t>
  </si>
  <si>
    <t>179</t>
  </si>
  <si>
    <t>"Pottsville"</t>
  </si>
  <si>
    <t>125</t>
  </si>
  <si>
    <t>"Poughkeepsie"</t>
  </si>
  <si>
    <t>126</t>
  </si>
  <si>
    <t>863</t>
  </si>
  <si>
    <t>"Prescott"</t>
  </si>
  <si>
    <t>028</t>
  </si>
  <si>
    <t>"Rhode_Island"</t>
  </si>
  <si>
    <t>"Providence"</t>
  </si>
  <si>
    <t>029</t>
  </si>
  <si>
    <t>846</t>
  </si>
  <si>
    <t>"Provo"</t>
  </si>
  <si>
    <t>810</t>
  </si>
  <si>
    <t>"Pueblo"</t>
  </si>
  <si>
    <t>243</t>
  </si>
  <si>
    <t>"Pulaski"</t>
  </si>
  <si>
    <t>111</t>
  </si>
  <si>
    <t>"Queens"</t>
  </si>
  <si>
    <t>623</t>
  </si>
  <si>
    <t>"Quincy"</t>
  </si>
  <si>
    <t>534</t>
  </si>
  <si>
    <t>"Racine"</t>
  </si>
  <si>
    <t>275</t>
  </si>
  <si>
    <t>"Raleigh"</t>
  </si>
  <si>
    <t>276</t>
  </si>
  <si>
    <t>577</t>
  </si>
  <si>
    <t>"Rapid City"</t>
  </si>
  <si>
    <t>823</t>
  </si>
  <si>
    <t>"Rawlins"</t>
  </si>
  <si>
    <t>195</t>
  </si>
  <si>
    <t>"Reading"</t>
  </si>
  <si>
    <t>196</t>
  </si>
  <si>
    <t>077</t>
  </si>
  <si>
    <t>"Red Bank"</t>
  </si>
  <si>
    <t>960</t>
  </si>
  <si>
    <t>"Redding"</t>
  </si>
  <si>
    <t>REDDING    CA</t>
  </si>
  <si>
    <t>894</t>
  </si>
  <si>
    <t>"Reno"</t>
  </si>
  <si>
    <t>895</t>
  </si>
  <si>
    <t>896</t>
  </si>
  <si>
    <t>545</t>
  </si>
  <si>
    <t>"Rhinelander"</t>
  </si>
  <si>
    <t>Discount Rate:</t>
  </si>
  <si>
    <t>Baseline Components</t>
  </si>
  <si>
    <t>Proposed Components</t>
  </si>
  <si>
    <t>Incremental Metrics</t>
  </si>
  <si>
    <t>Lifecycle Savings</t>
  </si>
  <si>
    <t>Weighted Lifetime</t>
  </si>
  <si>
    <t>Description</t>
  </si>
  <si>
    <t>Lifetime</t>
  </si>
  <si>
    <t>Energy Savings</t>
  </si>
  <si>
    <t>Payback</t>
  </si>
  <si>
    <t>Energy Reduction Measures and Incremental Hard Costs</t>
  </si>
  <si>
    <t>Table 1. General Project Information</t>
  </si>
  <si>
    <t>Current Project Status:</t>
  </si>
  <si>
    <t>Builder / Developer:</t>
  </si>
  <si>
    <t>Name of contact:</t>
  </si>
  <si>
    <t>Project Name:</t>
  </si>
  <si>
    <t>Phone:</t>
  </si>
  <si>
    <t>Project Address:</t>
  </si>
  <si>
    <t>E-mail:</t>
  </si>
  <si>
    <t>Table 2. Modeling Information</t>
  </si>
  <si>
    <t>Company:</t>
  </si>
  <si>
    <t>Baseline:</t>
  </si>
  <si>
    <t>Table 3. Building Information</t>
  </si>
  <si>
    <t># of stories</t>
  </si>
  <si>
    <t>Space heating fuel:</t>
  </si>
  <si>
    <t>Common space</t>
  </si>
  <si>
    <t>DHW fuel:</t>
  </si>
  <si>
    <t>Commercial</t>
  </si>
  <si>
    <t>Heating system:</t>
  </si>
  <si>
    <t>Cooling system:</t>
  </si>
  <si>
    <t>Ventilation system:</t>
  </si>
  <si>
    <t>Heated &amp; cooled</t>
  </si>
  <si>
    <t>Heated-only</t>
  </si>
  <si>
    <t>Cooled-only</t>
  </si>
  <si>
    <t>Apartment type</t>
  </si>
  <si>
    <t>1-BR</t>
  </si>
  <si>
    <t>2-BR</t>
  </si>
  <si>
    <t>3-BR</t>
  </si>
  <si>
    <t>4-BR</t>
  </si>
  <si>
    <t>Model Input Parameter</t>
  </si>
  <si>
    <t>Example Unit</t>
  </si>
  <si>
    <t>Baseline Design
(provide description and specification)</t>
  </si>
  <si>
    <t>Proposed Final Design
(provide description and specification)</t>
  </si>
  <si>
    <t>Building envelope</t>
  </si>
  <si>
    <t>Windows</t>
  </si>
  <si>
    <t>U-factor</t>
  </si>
  <si>
    <t>SHGC</t>
  </si>
  <si>
    <t>Shading devices</t>
  </si>
  <si>
    <t>Lighting &amp; appliances</t>
  </si>
  <si>
    <t>In-unit lighting power density</t>
  </si>
  <si>
    <t>Exterior lighting</t>
  </si>
  <si>
    <t>Lighting controls</t>
  </si>
  <si>
    <t>Refrigerator</t>
  </si>
  <si>
    <t>Energy Star?</t>
  </si>
  <si>
    <t>Dishwasher</t>
  </si>
  <si>
    <t>Primary HVAC system type</t>
  </si>
  <si>
    <t>SEER / EER</t>
  </si>
  <si>
    <t>Fan supply power</t>
  </si>
  <si>
    <t>Domestic Hot Water System</t>
  </si>
  <si>
    <t>Solar DHW system</t>
  </si>
  <si>
    <t>% of load</t>
  </si>
  <si>
    <t>Renewable Electric Generation System</t>
  </si>
  <si>
    <t>Type of system</t>
  </si>
  <si>
    <t>Rated capacity</t>
  </si>
  <si>
    <t>End Use</t>
  </si>
  <si>
    <t>Fuel Oil</t>
  </si>
  <si>
    <t>Non-Residential Associated Spaces</t>
  </si>
  <si>
    <t>First fill in the Basic Info worksheet and copy results into Result Summary eQuest worksheet.</t>
  </si>
  <si>
    <t>Baseline and Proposed design fuel usage is copied from the corresponding rows in Result Summary eQuest worksheet.</t>
  </si>
  <si>
    <t>Cost</t>
  </si>
  <si>
    <t>Difference</t>
  </si>
  <si>
    <t>DHW system:</t>
  </si>
  <si>
    <t>average monthly electricity costs per apartment</t>
  </si>
  <si>
    <t>average monthly gas costs per apartment</t>
  </si>
  <si>
    <t>Parametric Run</t>
  </si>
  <si>
    <t>Site BTU Savings, %</t>
  </si>
  <si>
    <t>5 W/face</t>
  </si>
  <si>
    <t>None Installed</t>
  </si>
  <si>
    <t>HSPF</t>
  </si>
  <si>
    <t>SEER</t>
  </si>
  <si>
    <t>Equipment efficiency</t>
  </si>
  <si>
    <t>COP</t>
  </si>
  <si>
    <t>% AFUE</t>
  </si>
  <si>
    <t>% Et</t>
  </si>
  <si>
    <t>Ceiling (90-500 CFM)</t>
  </si>
  <si>
    <r>
      <t>Disclaimer:  Values represented herein are approximations and are not intended to represent official E</t>
    </r>
    <r>
      <rPr>
        <b/>
        <sz val="8"/>
        <rFont val="Arial"/>
        <family val="2"/>
      </rPr>
      <t>NERGY</t>
    </r>
    <r>
      <rPr>
        <b/>
        <sz val="10"/>
        <rFont val="Arial"/>
        <family val="2"/>
      </rPr>
      <t xml:space="preserve"> S</t>
    </r>
    <r>
      <rPr>
        <b/>
        <sz val="8"/>
        <rFont val="Arial"/>
        <family val="2"/>
      </rPr>
      <t>TAR</t>
    </r>
    <r>
      <rPr>
        <b/>
        <sz val="10"/>
        <rFont val="Arial"/>
        <family val="2"/>
      </rPr>
      <t xml:space="preserve"> values.</t>
    </r>
  </si>
  <si>
    <r>
      <t xml:space="preserve">E-Mail:  </t>
    </r>
    <r>
      <rPr>
        <sz val="10"/>
        <color indexed="62"/>
        <rFont val="Arial"/>
        <family val="2"/>
      </rPr>
      <t>energystar.buildings@epa.gov</t>
    </r>
  </si>
  <si>
    <t>www.epa.gov/buildings/label</t>
  </si>
  <si>
    <t>Web Site:</t>
  </si>
  <si>
    <t>Total Annual Energy Cost ($/year)</t>
  </si>
  <si>
    <t>Energy Cost Intensity ($/ft2-year)</t>
  </si>
  <si>
    <t>Site Energy Use Intensity (kBtu/ft2-year)</t>
  </si>
  <si>
    <r>
      <t>Building Site Energy Use (kBtu/</t>
    </r>
    <r>
      <rPr>
        <sz val="10"/>
        <color indexed="62"/>
        <rFont val="Arial"/>
        <family val="2"/>
      </rPr>
      <t>year)</t>
    </r>
  </si>
  <si>
    <t>Score</t>
  </si>
  <si>
    <t>Delta to Minimum Energy Star Design</t>
  </si>
  <si>
    <t>Your Building</t>
  </si>
  <si>
    <r>
      <t>E</t>
    </r>
    <r>
      <rPr>
        <sz val="8"/>
        <color indexed="62"/>
        <rFont val="Arial"/>
        <family val="2"/>
      </rPr>
      <t>NERGY</t>
    </r>
    <r>
      <rPr>
        <sz val="10"/>
        <color indexed="62"/>
        <rFont val="Arial"/>
        <family val="2"/>
      </rPr>
      <t xml:space="preserve"> S</t>
    </r>
    <r>
      <rPr>
        <sz val="8"/>
        <color indexed="62"/>
        <rFont val="Arial"/>
        <family val="2"/>
      </rPr>
      <t>TAR</t>
    </r>
    <r>
      <rPr>
        <sz val="10"/>
        <color indexed="62"/>
        <rFont val="Arial"/>
        <family val="2"/>
      </rPr>
      <t xml:space="preserve"> Design</t>
    </r>
  </si>
  <si>
    <t>Results</t>
  </si>
  <si>
    <t>**Optional**</t>
  </si>
  <si>
    <t>Cost ($)</t>
  </si>
  <si>
    <t>(Required)</t>
  </si>
  <si>
    <t>$/SF</t>
  </si>
  <si>
    <t>$8/MMBtu</t>
  </si>
  <si>
    <t>$0.08/kWh</t>
  </si>
  <si>
    <t>Select Units:</t>
  </si>
  <si>
    <t>cost in</t>
  </si>
  <si>
    <t>in</t>
  </si>
  <si>
    <t>at</t>
  </si>
  <si>
    <t>Estimated Annual Consumption</t>
  </si>
  <si>
    <t>(estimates assume common &amp; commercial use same as residential)</t>
  </si>
  <si>
    <t xml:space="preserve"> - Excludes garage and parking lot areas</t>
  </si>
  <si>
    <t>Building Total</t>
  </si>
  <si>
    <t>(# units x unit NG kBtu)</t>
  </si>
  <si>
    <t>Bldg NG kBtu</t>
  </si>
  <si>
    <t xml:space="preserve"> - Optional (minimal impact to score)</t>
  </si>
  <si>
    <t>(# units x unit kWh)</t>
  </si>
  <si>
    <t>Bldg kWh</t>
  </si>
  <si>
    <t>Unit NG kBtu</t>
  </si>
  <si>
    <t xml:space="preserve"> - Optional (limited impact to score)</t>
  </si>
  <si>
    <t>Unit kWh:</t>
  </si>
  <si>
    <t xml:space="preserve"> - Optional (potential large impact to score)</t>
  </si>
  <si>
    <t>Commercial Space</t>
  </si>
  <si>
    <t># Units:</t>
  </si>
  <si>
    <t>Common Space</t>
  </si>
  <si>
    <t>Resid SF:</t>
  </si>
  <si>
    <t>Unit SF:</t>
  </si>
  <si>
    <t>Watertown, NY</t>
  </si>
  <si>
    <t>Location:</t>
  </si>
  <si>
    <t>Total Number of Bedrooms in Building</t>
  </si>
  <si>
    <t>Number of Units in Building</t>
  </si>
  <si>
    <t>Air Conditioned Floor Area (ft2)</t>
  </si>
  <si>
    <t>Heated Floor Area (ft2)</t>
  </si>
  <si>
    <t>Floor Area (ft2)</t>
  </si>
  <si>
    <t>DOEID #:</t>
  </si>
  <si>
    <t>Mapping Location:</t>
  </si>
  <si>
    <t>TEST BUILDING:</t>
  </si>
  <si>
    <t>5-digit Zip Code:</t>
  </si>
  <si>
    <t>Building Name</t>
  </si>
  <si>
    <t>PROTOTYPE</t>
  </si>
  <si>
    <t>Building Description</t>
  </si>
  <si>
    <t>Multi-Family Building Design Assistant</t>
  </si>
  <si>
    <t>Designed for ENERGY STAR</t>
  </si>
  <si>
    <t>Please Select</t>
  </si>
  <si>
    <t>Condition</t>
  </si>
  <si>
    <t>YN</t>
  </si>
  <si>
    <t>N/A</t>
  </si>
  <si>
    <t>Project Name</t>
  </si>
  <si>
    <t>Project Name (caps)</t>
  </si>
  <si>
    <t>Building Address (1)</t>
  </si>
  <si>
    <t>Building Address (2)</t>
  </si>
  <si>
    <t>Developer Firm Name</t>
  </si>
  <si>
    <t>Developer Phone</t>
  </si>
  <si>
    <t>Milestone</t>
  </si>
  <si>
    <t>As-Built</t>
  </si>
  <si>
    <t>Rev</t>
  </si>
  <si>
    <t>GHSF</t>
  </si>
  <si>
    <t>Total Project Square Footage</t>
  </si>
  <si>
    <t>Total Project GHSF</t>
  </si>
  <si>
    <t>Revision</t>
  </si>
  <si>
    <t>Standard Used</t>
  </si>
  <si>
    <t>Standard</t>
  </si>
  <si>
    <t>Please select</t>
  </si>
  <si>
    <t>RESNET HERS Technical Guidelines Standard</t>
  </si>
  <si>
    <t>ASHRAE 90.1-2004 &amp; Simulation Guidelines V4.0</t>
  </si>
  <si>
    <t>Software</t>
  </si>
  <si>
    <t>Simulation Program &amp; Version #:</t>
  </si>
  <si>
    <t>Only use 'Unconditioned' for spaces that have no active heating or cooling AND are not indirectly conditioned by adjacent conditioned spaces.</t>
  </si>
  <si>
    <t>Partner Firm Contact</t>
  </si>
  <si>
    <t xml:space="preserve">Partner Firm </t>
  </si>
  <si>
    <t>Partner Phone Number</t>
  </si>
  <si>
    <t>Lead Modeler:</t>
  </si>
  <si>
    <t>Partner Email</t>
  </si>
  <si>
    <t>Company Name</t>
  </si>
  <si>
    <t>Contact Name</t>
  </si>
  <si>
    <t>Email</t>
  </si>
  <si>
    <t>Address</t>
  </si>
  <si>
    <t>Building Type</t>
  </si>
  <si>
    <t>Income</t>
  </si>
  <si>
    <t>Market Rate</t>
  </si>
  <si>
    <t>Affordable</t>
  </si>
  <si>
    <t>New Construction</t>
  </si>
  <si>
    <t>Gut-rehab</t>
  </si>
  <si>
    <t>Construction</t>
  </si>
  <si>
    <t>Housing Income Classification</t>
  </si>
  <si>
    <t>Housing Income Type</t>
  </si>
  <si>
    <t>Fuel Type</t>
  </si>
  <si>
    <t>Construction Type</t>
  </si>
  <si>
    <t>DHW Method</t>
  </si>
  <si>
    <t>Apartment Method</t>
  </si>
  <si>
    <t>Occupancy Method</t>
  </si>
  <si>
    <t>Electricity Cost</t>
  </si>
  <si>
    <t>Electricity Cost per kWh</t>
  </si>
  <si>
    <t>Fuel Cost per therm</t>
  </si>
  <si>
    <t>Baseline Simulation</t>
  </si>
  <si>
    <t>Percent Difference</t>
  </si>
  <si>
    <t>Electricity Consumption (kWh/yr)</t>
  </si>
  <si>
    <t>Fuel Consumption (MMBtu/yr)</t>
  </si>
  <si>
    <t>Total Energy Consumption (MMBtu/yr)</t>
  </si>
  <si>
    <t>Projected Annual Cost Savings ($)</t>
  </si>
  <si>
    <t>Projected Annual Cost Savings (%)</t>
  </si>
  <si>
    <t>Minimum Performance Target (%)</t>
  </si>
  <si>
    <t>Project Exceeds Performance Target By</t>
  </si>
  <si>
    <t>Baseline Design RECS Score</t>
  </si>
  <si>
    <t>Total Projected Incremental Costs</t>
  </si>
  <si>
    <t>Simple Payback Period (SPP in years)</t>
  </si>
  <si>
    <t>Savings-to-Investment Ratio (SIR)</t>
  </si>
  <si>
    <t>Weighted Average Lifetime</t>
  </si>
  <si>
    <t xml:space="preserve">Cost </t>
  </si>
  <si>
    <t>Cost Source</t>
  </si>
  <si>
    <t>Measure Category</t>
  </si>
  <si>
    <t>Measure</t>
  </si>
  <si>
    <t>Quantity</t>
  </si>
  <si>
    <t>cubic feet</t>
  </si>
  <si>
    <t>degrees</t>
  </si>
  <si>
    <t>each</t>
  </si>
  <si>
    <t>gallons</t>
  </si>
  <si>
    <t>linear feet</t>
  </si>
  <si>
    <t>square feet</t>
  </si>
  <si>
    <t>tons</t>
  </si>
  <si>
    <t>kBtu/hr</t>
  </si>
  <si>
    <t>TOTAL INCREMENTAL COSTS:</t>
  </si>
  <si>
    <t>TOTAL COST:</t>
  </si>
  <si>
    <t>Partner Fees - Modeling</t>
  </si>
  <si>
    <t>Partner Fees - Inspection &amp;Verification</t>
  </si>
  <si>
    <t>PARTNER FEES - MODELING:</t>
  </si>
  <si>
    <t>PARTNER FEES - INSPECTION &amp; VERIFICATION:</t>
  </si>
  <si>
    <t>Project</t>
  </si>
  <si>
    <t>Savings</t>
  </si>
  <si>
    <t>Lifecycle</t>
  </si>
  <si>
    <t>PROJECT SUMMARY</t>
  </si>
  <si>
    <t>Weighted</t>
  </si>
  <si>
    <t xml:space="preserve">Average </t>
  </si>
  <si>
    <t>NYSERDA Incentives</t>
  </si>
  <si>
    <t>Building Component</t>
  </si>
  <si>
    <t>Manufacturer</t>
  </si>
  <si>
    <t>Model No.</t>
  </si>
  <si>
    <t>Above Grade Wall Construction</t>
  </si>
  <si>
    <t>Above Grade Wall U-value</t>
  </si>
  <si>
    <t>Below Grade Wall Construction</t>
  </si>
  <si>
    <t>Window to Gross Wall Ratio</t>
  </si>
  <si>
    <t>Fenestration Framing</t>
  </si>
  <si>
    <t>Fenestration Glazing</t>
  </si>
  <si>
    <t>Fenestration Assembly U-factor</t>
  </si>
  <si>
    <t>Fenestration Assembly SHGC</t>
  </si>
  <si>
    <t>Shading Devices</t>
  </si>
  <si>
    <t>Exterior Lighting Power (kW)</t>
  </si>
  <si>
    <t>Lighting Controls (Spaces)</t>
  </si>
  <si>
    <t>DHW System Type</t>
  </si>
  <si>
    <t>DHW Storage Tank Size (gal)</t>
  </si>
  <si>
    <t>Heating Pump Capacity Control</t>
  </si>
  <si>
    <t>Heating Pump Size (HP)</t>
  </si>
  <si>
    <t>Heating System Supply Water Temp.</t>
  </si>
  <si>
    <t>Heating System Return Water Temp.</t>
  </si>
  <si>
    <t>DHW Storage Tank Insulation R-value</t>
  </si>
  <si>
    <t>End use</t>
  </si>
  <si>
    <t>Baseline Electricity (kWh/yr)</t>
  </si>
  <si>
    <t>Baseline Fuel (MMBtu/yr)</t>
  </si>
  <si>
    <t>Percent Improvement</t>
  </si>
  <si>
    <t xml:space="preserve">Space Heating </t>
  </si>
  <si>
    <t>Space Cooling</t>
  </si>
  <si>
    <t>Heat rejection</t>
  </si>
  <si>
    <t>Fans - interior</t>
  </si>
  <si>
    <t>Service water heating</t>
  </si>
  <si>
    <t>Refrigerator (kWh/yr)</t>
  </si>
  <si>
    <t>Dishwasher (kWh/yr)</t>
  </si>
  <si>
    <t>Clothes Washer (kWh/yr)</t>
  </si>
  <si>
    <t>Elevator (kWh/yr)</t>
  </si>
  <si>
    <t>Door Description</t>
  </si>
  <si>
    <t>Door U-value</t>
  </si>
  <si>
    <t>Appliances and Process Loads</t>
  </si>
  <si>
    <t>Fan Control</t>
  </si>
  <si>
    <t>Envelope Components</t>
  </si>
  <si>
    <t>Lighting Components</t>
  </si>
  <si>
    <t>Climate Zone</t>
  </si>
  <si>
    <t>Ext. wall construction (above grade)</t>
  </si>
  <si>
    <t>Roof Construction</t>
  </si>
  <si>
    <t>Roof U-value</t>
  </si>
  <si>
    <t>Ext. wall construction (below grade)</t>
  </si>
  <si>
    <t>Floor construction</t>
  </si>
  <si>
    <t>None</t>
  </si>
  <si>
    <t>Doors</t>
  </si>
  <si>
    <t>Renewable System Type</t>
  </si>
  <si>
    <t>Project Address</t>
  </si>
  <si>
    <t>Simulation Program &amp; Version #</t>
  </si>
  <si>
    <t>Space Heating Fuel Type</t>
  </si>
  <si>
    <t>DHW Fuel Type</t>
  </si>
  <si>
    <t>Phone</t>
  </si>
  <si>
    <t>Construction Milestone</t>
  </si>
  <si>
    <t>Planned Date</t>
  </si>
  <si>
    <t>Actual Date</t>
  </si>
  <si>
    <t>Schematic Design Completion date</t>
  </si>
  <si>
    <t>Design Development Completion Date</t>
  </si>
  <si>
    <t>Construction Documents Completion Date</t>
  </si>
  <si>
    <t>Project Bid Date</t>
  </si>
  <si>
    <t>Construction Complete Date</t>
  </si>
  <si>
    <t>Lighting</t>
  </si>
  <si>
    <t>Energy Star</t>
  </si>
  <si>
    <t>Non-Energy Star</t>
  </si>
  <si>
    <t>Not Applicable</t>
  </si>
  <si>
    <t>Primary Heating System Type</t>
  </si>
  <si>
    <t>Secondary Heating System Type</t>
  </si>
  <si>
    <t>Tertiary Heating System Type</t>
  </si>
  <si>
    <t>One-Speed</t>
  </si>
  <si>
    <t>Two-Speed</t>
  </si>
  <si>
    <t>Variable Speed</t>
  </si>
  <si>
    <t>Cycle</t>
  </si>
  <si>
    <t>Pump Type</t>
  </si>
  <si>
    <t>Heating Pump Motor Class</t>
  </si>
  <si>
    <t>Pump Class</t>
  </si>
  <si>
    <t>High Efficiency</t>
  </si>
  <si>
    <t>Premium</t>
  </si>
  <si>
    <t>Heating Pump Efficacy</t>
  </si>
  <si>
    <t>Inlet</t>
  </si>
  <si>
    <t>Discharge</t>
  </si>
  <si>
    <t>Cycling</t>
  </si>
  <si>
    <t>Two Speed</t>
  </si>
  <si>
    <t>Constant Volume</t>
  </si>
  <si>
    <t>Primary System Cooling efficiency</t>
  </si>
  <si>
    <t>Primary System Heating efficiency</t>
  </si>
  <si>
    <t>Heating Control</t>
  </si>
  <si>
    <t>Fixed</t>
  </si>
  <si>
    <t>OA Reset</t>
  </si>
  <si>
    <t>Scheduled</t>
  </si>
  <si>
    <t>Load Reset</t>
  </si>
  <si>
    <t>HW Loop Setpoint Control</t>
  </si>
  <si>
    <t>Primary Heating System Capacity (kBtu)</t>
  </si>
  <si>
    <t>Seconday Heating System Capacity (kBtu)</t>
  </si>
  <si>
    <t>Tertiary Heating System Capacity (kBtu)</t>
  </si>
  <si>
    <t>Primary Cooling System Capacity (tons)</t>
  </si>
  <si>
    <t>Primary Cooling System Type</t>
  </si>
  <si>
    <t>Secondary Cooling System Type</t>
  </si>
  <si>
    <t>Secondary Cooling System Capacity (tons)</t>
  </si>
  <si>
    <t>Heating Components</t>
  </si>
  <si>
    <t>Cooling Components</t>
  </si>
  <si>
    <t>DHW Components</t>
  </si>
  <si>
    <t>As per Minimum Performance Standards, garages shall not be heated for comfort or to prevent pipes from freezing.</t>
  </si>
  <si>
    <t>Slab-Below-Grade Construction</t>
  </si>
  <si>
    <t>Slab-below grade construction</t>
  </si>
  <si>
    <t>Ventilation Components</t>
  </si>
  <si>
    <t xml:space="preserve">Renewable System Size </t>
  </si>
  <si>
    <t>Spaces Served?</t>
  </si>
  <si>
    <t>&lt;Other Appliance&gt; (kWh/yr)</t>
  </si>
  <si>
    <t>Milestone (CAPS)</t>
  </si>
  <si>
    <t>Report Date</t>
  </si>
  <si>
    <t># of stories above grade</t>
  </si>
  <si>
    <t># of stories below grade</t>
  </si>
  <si>
    <t>Stories above grade</t>
  </si>
  <si>
    <t>Stories below grade</t>
  </si>
  <si>
    <t>Number of Occupants</t>
  </si>
  <si>
    <t># of building occupants</t>
  </si>
  <si>
    <t>Non-residential space</t>
  </si>
  <si>
    <t>natural gas</t>
  </si>
  <si>
    <t>oil</t>
  </si>
  <si>
    <t>propane</t>
  </si>
  <si>
    <t>steam</t>
  </si>
  <si>
    <t>electric</t>
  </si>
  <si>
    <t>Partner Firm - Underline</t>
  </si>
  <si>
    <t>Report Date - underline</t>
  </si>
  <si>
    <t>Project Name - underline</t>
  </si>
  <si>
    <t>Total Square Footage</t>
  </si>
  <si>
    <t>Developer Contact Name</t>
  </si>
  <si>
    <t>Developer Email</t>
  </si>
  <si>
    <t>Fan</t>
  </si>
  <si>
    <t>Unheated Square Footage</t>
  </si>
  <si>
    <t xml:space="preserve">The following worksheets detail the information regarding the recommended scope of work and document the achievement of the 15% Performance Target. Some cells are protected to prevent accidental over-writing of formulas. </t>
  </si>
  <si>
    <t>Basic Info</t>
  </si>
  <si>
    <t>Reporting Summary</t>
  </si>
  <si>
    <t>Results from eQuest</t>
  </si>
  <si>
    <t>Simulation Summary</t>
  </si>
  <si>
    <t>ASHRAE 90.1-2007</t>
  </si>
  <si>
    <t>Wood Frame</t>
  </si>
  <si>
    <t>SpaceType</t>
  </si>
  <si>
    <t>LightingSpaceType</t>
  </si>
  <si>
    <t>Footcandles</t>
  </si>
  <si>
    <t>YesNo</t>
  </si>
  <si>
    <t>Heating MMBtu</t>
  </si>
  <si>
    <t>Cooling kWh</t>
  </si>
  <si>
    <t>Non- CoolingkWh</t>
  </si>
  <si>
    <t>Non-Heating MMBtu</t>
  </si>
  <si>
    <t>1000 Btu/hr</t>
  </si>
  <si>
    <t>HVAC - Boiler</t>
  </si>
  <si>
    <t>HVAC - Duct Sealing</t>
  </si>
  <si>
    <t>HVAC - Furnace</t>
  </si>
  <si>
    <t>HVAC - HRV</t>
  </si>
  <si>
    <t>HVAC - Split System AC/HP</t>
  </si>
  <si>
    <t>HVAC - Water Source AC/HP</t>
  </si>
  <si>
    <t>Upstate (non-cooling)</t>
  </si>
  <si>
    <t>Upstate (cooling)</t>
  </si>
  <si>
    <t>Downstate (non-cooling)</t>
  </si>
  <si>
    <t>Downstate (cooling)</t>
  </si>
  <si>
    <t>Present Value Factor Calculations</t>
  </si>
  <si>
    <t>Discount rate:</t>
  </si>
  <si>
    <t>Avoided Cost Forecast</t>
  </si>
  <si>
    <t>Year</t>
  </si>
  <si>
    <t>Residual Oil</t>
  </si>
  <si>
    <t>Co2 Adder per KWh</t>
  </si>
  <si>
    <t>Co2 Adder per MMBtu Nat Gas</t>
  </si>
  <si>
    <t>Co2 Adder per MMBtu Oil (place holder values)</t>
  </si>
  <si>
    <t>Avoided Cost Present Value Forecast</t>
  </si>
  <si>
    <t>Co2 Adder per kWh ($2008)</t>
  </si>
  <si>
    <t>Co2 Adder per MMBtu</t>
  </si>
  <si>
    <t xml:space="preserve">Co2 Adder per MMBtu Oil </t>
  </si>
  <si>
    <t>Electric Utility</t>
  </si>
  <si>
    <t>CENTRAL HUDSON</t>
  </si>
  <si>
    <t>Avoided energy per kWh with line loss</t>
  </si>
  <si>
    <t>Avoided Capacity per KW with reserve margin, line loss and avoided distribution</t>
  </si>
  <si>
    <t>Avoided gas $/MMBtu (Heating)</t>
  </si>
  <si>
    <t>Natural gas $ per MMBtu (Hot Water)</t>
  </si>
  <si>
    <t>Con Ed</t>
  </si>
  <si>
    <t>O &amp; R</t>
  </si>
  <si>
    <t>CON ED</t>
  </si>
  <si>
    <t>RG &amp; E</t>
  </si>
  <si>
    <t>NYSEG</t>
  </si>
  <si>
    <t>Utility</t>
  </si>
  <si>
    <t>Central Hudson</t>
  </si>
  <si>
    <t>UtilityLookup</t>
  </si>
  <si>
    <t>Avoided energy per kWh with line loss (PV)</t>
  </si>
  <si>
    <t>Avoided Capacity per KW with reserve margin, line loss and avoided distribution (PV)</t>
  </si>
  <si>
    <t>Avoided gas $/MMBtu (Heating) (PV)</t>
  </si>
  <si>
    <t>Natural gas $ per MMBtu (Hot Water) (PV)</t>
  </si>
  <si>
    <t>Residual Oil (PV)</t>
  </si>
  <si>
    <t>gas - firm</t>
  </si>
  <si>
    <t>gas - non firm</t>
  </si>
  <si>
    <t>Measure Lifetime</t>
  </si>
  <si>
    <t>Include in Project-Level TRC?</t>
  </si>
  <si>
    <t>PV for Project Level TRC</t>
  </si>
  <si>
    <t>Measure Cost for Project Level TRC</t>
  </si>
  <si>
    <t>PV of Cooling kWh Savings</t>
  </si>
  <si>
    <t>PV of Non-Cooling kWh Savings</t>
  </si>
  <si>
    <t>PV of kW Savings</t>
  </si>
  <si>
    <t>PV of Heating MMBtu Savings</t>
  </si>
  <si>
    <t>PV of Hot Water MMBtu Savings</t>
  </si>
  <si>
    <t>PV of Water Savings</t>
  </si>
  <si>
    <t>PV of O&amp;M Savings</t>
  </si>
  <si>
    <t>PV of Electric CO2</t>
  </si>
  <si>
    <t>PV of Gas CO2</t>
  </si>
  <si>
    <t>TRC B/C Ratio</t>
  </si>
  <si>
    <t>EEPS-Gas</t>
  </si>
  <si>
    <t>EEPS-Electric</t>
  </si>
  <si>
    <t>RGGI</t>
  </si>
  <si>
    <t>OHGAH</t>
  </si>
  <si>
    <t>Funding</t>
  </si>
  <si>
    <t>KEDLI</t>
  </si>
  <si>
    <t>GasUtility</t>
  </si>
  <si>
    <t>Gas Utility</t>
  </si>
  <si>
    <t>Contact Information</t>
  </si>
  <si>
    <t>Project City and State</t>
  </si>
  <si>
    <t>Project Zip Code</t>
  </si>
  <si>
    <t>Energy Reduction Plan Tables</t>
  </si>
  <si>
    <t>Instructions</t>
  </si>
  <si>
    <t>Use the same order as the parametric runs copied in the "Results from eQUEST" worksheet.</t>
  </si>
  <si>
    <t>Instructions:  Detailed instruction below table.</t>
  </si>
  <si>
    <t>TRC</t>
  </si>
  <si>
    <t>SIR</t>
  </si>
  <si>
    <t>Costs
$</t>
  </si>
  <si>
    <t>Cost Savings
$</t>
  </si>
  <si>
    <t>Payback
years</t>
  </si>
  <si>
    <t>Totals:</t>
  </si>
  <si>
    <t>Demand Savings kW</t>
  </si>
  <si>
    <t>Water Savings 1000 gal</t>
  </si>
  <si>
    <t>O&amp;M Savings 
$</t>
  </si>
  <si>
    <t>Lifetime
years</t>
  </si>
  <si>
    <r>
      <t xml:space="preserve">3. </t>
    </r>
    <r>
      <rPr>
        <b/>
        <sz val="9"/>
        <rFont val="Calibri"/>
        <family val="2"/>
        <scheme val="minor"/>
      </rPr>
      <t xml:space="preserve">Cost </t>
    </r>
    <r>
      <rPr>
        <sz val="9"/>
        <rFont val="Calibri"/>
        <family val="2"/>
        <scheme val="minor"/>
      </rPr>
      <t>- Provide the  cost of the measure, following the Estimated Incremental Cost Guidelines, for both Baseline Component (column E) and Proposed Component (column H).</t>
    </r>
  </si>
  <si>
    <r>
      <t xml:space="preserve">4. </t>
    </r>
    <r>
      <rPr>
        <b/>
        <sz val="9"/>
        <rFont val="Calibri"/>
        <family val="2"/>
        <scheme val="minor"/>
      </rPr>
      <t>Cost Source</t>
    </r>
    <r>
      <rPr>
        <sz val="9"/>
        <rFont val="Calibri"/>
        <family val="2"/>
        <scheme val="minor"/>
      </rPr>
      <t xml:space="preserve"> - Provide the cost source of the measure, following the Estimated Incremental Cost Guidelines, for both Baseline Component (column F) and Proposed Component (column I).</t>
    </r>
  </si>
  <si>
    <t>Envelope - Exterior Doors</t>
  </si>
  <si>
    <t>Envelope - BGW Insulation</t>
  </si>
  <si>
    <t>Envelope - AGW Insulation</t>
  </si>
  <si>
    <t>Envelope - Roof Insulation</t>
  </si>
  <si>
    <t>Envelope - Slab Insulation</t>
  </si>
  <si>
    <t>Lighting - In-unit Fixtures</t>
  </si>
  <si>
    <t>Other - Elevators</t>
  </si>
  <si>
    <t>Other - Exhaust fan demand control</t>
  </si>
  <si>
    <t>Other - Motors</t>
  </si>
  <si>
    <t>Other - Ventilation Fans</t>
  </si>
  <si>
    <t>Appliances - Dishwashers</t>
  </si>
  <si>
    <t>Appliances - Refrigerator</t>
  </si>
  <si>
    <t>Appliances - Clothes washers</t>
  </si>
  <si>
    <t>HVAC - Window AC</t>
  </si>
  <si>
    <t>HVAC - Chiller</t>
  </si>
  <si>
    <t>Lighting - Common Timers/Sensors</t>
  </si>
  <si>
    <t>DHW - Condensing boiler</t>
  </si>
  <si>
    <t>DHW - Indirect</t>
  </si>
  <si>
    <t>DHW - Direct</t>
  </si>
  <si>
    <t>DHW - Low-flow Devices</t>
  </si>
  <si>
    <t>Other - Var. Speed Drive</t>
  </si>
  <si>
    <t>Model Inputs Summary</t>
  </si>
  <si>
    <r>
      <t xml:space="preserve">Partner Fees - </t>
    </r>
    <r>
      <rPr>
        <sz val="9"/>
        <color rgb="FFFF0000"/>
        <rFont val="Calibri"/>
        <family val="2"/>
        <scheme val="minor"/>
      </rPr>
      <t xml:space="preserve">&lt;Other&gt; </t>
    </r>
  </si>
  <si>
    <r>
      <t>W/ft</t>
    </r>
    <r>
      <rPr>
        <vertAlign val="superscript"/>
        <sz val="9"/>
        <rFont val="Calibri"/>
        <family val="2"/>
        <scheme val="minor"/>
      </rPr>
      <t>2</t>
    </r>
  </si>
  <si>
    <r>
      <t>Total bldg ft</t>
    </r>
    <r>
      <rPr>
        <vertAlign val="superscript"/>
        <sz val="9"/>
        <rFont val="Calibri"/>
        <family val="2"/>
        <scheme val="minor"/>
      </rPr>
      <t>2</t>
    </r>
    <r>
      <rPr>
        <sz val="9"/>
        <rFont val="Calibri"/>
        <family val="2"/>
        <scheme val="minor"/>
      </rPr>
      <t>:</t>
    </r>
  </si>
  <si>
    <r>
      <t>Average ft</t>
    </r>
    <r>
      <rPr>
        <vertAlign val="superscript"/>
        <sz val="9"/>
        <rFont val="Calibri"/>
        <family val="2"/>
        <scheme val="minor"/>
      </rPr>
      <t>2</t>
    </r>
  </si>
  <si>
    <r>
      <t xml:space="preserve">Performance rating is shown in </t>
    </r>
    <r>
      <rPr>
        <b/>
        <sz val="9"/>
        <color indexed="10"/>
        <rFont val="Calibri"/>
        <family val="2"/>
        <scheme val="minor"/>
      </rPr>
      <t>Red Font</t>
    </r>
  </si>
  <si>
    <r>
      <t xml:space="preserve">Include combined floor area of </t>
    </r>
    <r>
      <rPr>
        <b/>
        <sz val="9"/>
        <color indexed="12"/>
        <rFont val="Calibri"/>
        <family val="2"/>
        <scheme val="minor"/>
      </rPr>
      <t>residential-associated</t>
    </r>
    <r>
      <rPr>
        <sz val="9"/>
        <rFont val="Calibri"/>
        <family val="2"/>
        <scheme val="minor"/>
      </rPr>
      <t xml:space="preserve"> office, retail, food sales, etc.</t>
    </r>
  </si>
  <si>
    <r>
      <t xml:space="preserve">Include floor area of </t>
    </r>
    <r>
      <rPr>
        <b/>
        <sz val="9"/>
        <color indexed="12"/>
        <rFont val="Calibri"/>
        <family val="2"/>
        <scheme val="minor"/>
      </rPr>
      <t>residential-associated</t>
    </r>
    <r>
      <rPr>
        <sz val="9"/>
        <rFont val="Calibri"/>
        <family val="2"/>
        <scheme val="minor"/>
      </rPr>
      <t xml:space="preserve"> enclosed/underground garages [ventilated] </t>
    </r>
  </si>
  <si>
    <t>TOTAL GHSF</t>
  </si>
  <si>
    <t>In blue cells only, enter the basic information about the building.</t>
  </si>
  <si>
    <t>Model Inputs</t>
  </si>
  <si>
    <t>In blue cells only, enter information about how the baseline and proposed buildings were modeled.  Follow the formatting guidelines presented as comments (red corners) where available.</t>
  </si>
  <si>
    <t>For eQuest users only, this worksheet is based upon the Parms.csv file that is generated upon simulation of your building. If those results are pasted into this worksheet, according to the directions, a significant amount of this workbook will autofill.</t>
  </si>
  <si>
    <t>Results from eQUEST Parms.csv file</t>
  </si>
  <si>
    <t>Annual Maint.($)</t>
  </si>
  <si>
    <t>of Run</t>
  </si>
  <si>
    <t>Date &amp; Time</t>
  </si>
  <si>
    <t>TOTAL</t>
  </si>
  <si>
    <t>Step 1:</t>
  </si>
  <si>
    <t>Step 2:</t>
  </si>
  <si>
    <t>Step 3:</t>
  </si>
  <si>
    <t>Project Energy Savings and Financial Summary per Building</t>
  </si>
  <si>
    <t>Total Annual Energy Cost (All Fuels)</t>
  </si>
  <si>
    <t>Energy Use by End Use</t>
  </si>
  <si>
    <t>Number of Units</t>
  </si>
  <si>
    <t>Average Baseline</t>
  </si>
  <si>
    <t>Step 4:</t>
  </si>
  <si>
    <t>Baseline Design (copy runs corresponding to four exposures from &lt;project name&gt;-Parms.csv to row 14-17 below).  If not rotated, copy into row 14 only.</t>
  </si>
  <si>
    <t>Proposed Design (copy run that corresponds to proposed design from &lt;project name&gt;-Parms.csv to row 21 below) - this should represent your building with ALL measures included.</t>
  </si>
  <si>
    <t>NOTE:</t>
  </si>
  <si>
    <t>**If building uses more than one fossil fuel or uses oil instead of gas for heating, adjustments to the performance rating calculation in the Reporting Summary are needed.</t>
  </si>
  <si>
    <t>*To account for calculations done outside of eQuest, you can add rows after your last eQUEST parametric row with appropriate savings.</t>
  </si>
  <si>
    <t>Energy Savings By Measure (copy runs that correspond to EACH parametric run from &lt;project name&gt;-Parms.csv to rows below; do not include BASELINE run). These are used to calculate savings in Detailed Measures worksheet.</t>
  </si>
  <si>
    <t>Hours Outside Throttling Range:</t>
  </si>
  <si>
    <t>SS-E</t>
  </si>
  <si>
    <t>Zone Outsd</t>
  </si>
  <si>
    <t>Plant Ld</t>
  </si>
  <si>
    <t>Hours</t>
  </si>
  <si>
    <t>Cool Loads</t>
  </si>
  <si>
    <t>Heat Loads</t>
  </si>
  <si>
    <t>Thrtlng Rng</t>
  </si>
  <si>
    <t>Not Met</t>
  </si>
  <si>
    <t>Fans On</t>
  </si>
  <si>
    <t>% hrs</t>
  </si>
  <si>
    <t># hrs</t>
  </si>
  <si>
    <t>Envelope - Windows</t>
  </si>
  <si>
    <t>Estimated Construction Completion Date (mo/yr):</t>
  </si>
  <si>
    <t>HVAC System</t>
  </si>
  <si>
    <t>Other exterior</t>
  </si>
  <si>
    <t>Window SHGC</t>
  </si>
  <si>
    <t>Window type and U-factor</t>
  </si>
  <si>
    <t>Project Level TRC</t>
  </si>
  <si>
    <t>Proposed Method of Compliance 
(by PM/client)</t>
  </si>
  <si>
    <t>Values Used in Energy Model  
(Modeling Submittal Notes)</t>
  </si>
  <si>
    <t>APPLIANCES</t>
  </si>
  <si>
    <t>Clothes Washer</t>
  </si>
  <si>
    <t>Stove</t>
  </si>
  <si>
    <t>Dryer</t>
  </si>
  <si>
    <t>DOMESTIC HOT WATER</t>
  </si>
  <si>
    <t>Domestic Hot Water-Type &amp; Efficiency</t>
  </si>
  <si>
    <t>Domestic Hot Water - Storage Insulation</t>
  </si>
  <si>
    <t>Domestic Hot Water - Low Flow Fixtures</t>
  </si>
  <si>
    <t xml:space="preserve">ENVELOPE </t>
  </si>
  <si>
    <t>The envelope measures listed below must comply with ASHRAE Standard 90.1-2007 Section 5.4 in addition to the listed requirements.</t>
  </si>
  <si>
    <t>Below Grade Wall Insulation</t>
  </si>
  <si>
    <t>Above Grade Wall Insulation</t>
  </si>
  <si>
    <t>Floor Perimeter/Plank Edge Insulation</t>
  </si>
  <si>
    <t>Roof Insulation</t>
  </si>
  <si>
    <t>Floor Insulation Above Unconditioned Space</t>
  </si>
  <si>
    <t>Below Grade Slab Floor Insulation</t>
  </si>
  <si>
    <t>Uninsulated</t>
  </si>
  <si>
    <t>Exterior Doors</t>
  </si>
  <si>
    <t>HEATING &amp; COOLING</t>
  </si>
  <si>
    <t>The Heating and Cooling measures listed below must comply with ASHRAE Standard 90.1-2007 Section 6.4 in addition to the listed requirements below.</t>
  </si>
  <si>
    <t>Space Heating - Type &amp; Efficiency</t>
  </si>
  <si>
    <t>Heating Terminal Units - Electric or Freeze Protection</t>
  </si>
  <si>
    <t>Space Heating Distribution -Fan Power</t>
  </si>
  <si>
    <t>Space Heating - Sizing</t>
  </si>
  <si>
    <t>Space Heating - Design Temperatures</t>
  </si>
  <si>
    <t>Space Heating - Controls</t>
  </si>
  <si>
    <t>Thermostat Setting</t>
  </si>
  <si>
    <t>Space Cooling - Type and Efficiency</t>
  </si>
  <si>
    <t>Gas Heat: PTAC, 9.305 EER, 0.0003 kW/CFM
Electric Heat: PTHP, 9.105 EER, 0.0003 kW/CFM</t>
  </si>
  <si>
    <t>Space Cooling - Sizing</t>
  </si>
  <si>
    <t>Space Cooling - Controls</t>
  </si>
  <si>
    <t xml:space="preserve">LIGHTING </t>
  </si>
  <si>
    <t>Lighting Controls</t>
  </si>
  <si>
    <t>Exterior Lights</t>
  </si>
  <si>
    <t>Garage Lighting</t>
  </si>
  <si>
    <t>In-Unit Lighting</t>
  </si>
  <si>
    <t>MOTORS (3-PHASE , &gt; 1 HP)</t>
  </si>
  <si>
    <t>Heating Circulating Pumps</t>
  </si>
  <si>
    <t>DHW Circulating Pumps</t>
  </si>
  <si>
    <t>Use system parameters (head, efficiency) or Ppump=BHP*746/Pump Motor Efficiency to model pump power. Use ASHRAE Table 10.8 to determine Motor Efficiency</t>
  </si>
  <si>
    <t>VENTILATION</t>
  </si>
  <si>
    <t>Ventilation: Thermal
Corridors</t>
  </si>
  <si>
    <t>Same as Proposed or As-Built, but not to exceed ASHRAE 62.1-2007 rates by more than 50%</t>
  </si>
  <si>
    <t>Ventilation: Thermal
(Heat Recovery)</t>
  </si>
  <si>
    <t>Ventilation: Thermal
(Duct Sealing)</t>
  </si>
  <si>
    <t>Add 10 CFM per floor per shaft to Exhaust CFM to represent ventilation duct leakage</t>
  </si>
  <si>
    <t>Ventilation: Electric
(Apartments)</t>
  </si>
  <si>
    <t>Ventilation: Electric
(Non-Apartment)</t>
  </si>
  <si>
    <t>Ventilation: Demand  Control</t>
  </si>
  <si>
    <t>Ventilation: Thermal &amp; Electric
(Garage Exhaust fan)</t>
  </si>
  <si>
    <t>MISC.</t>
  </si>
  <si>
    <t>Renewables</t>
  </si>
  <si>
    <t>Lighting Power Density</t>
  </si>
  <si>
    <t>Location</t>
  </si>
  <si>
    <t>Summary</t>
  </si>
  <si>
    <t>NatGrid</t>
  </si>
  <si>
    <t xml:space="preserve">Additional Heating Systems Note:  If there are more than 3 heating systems, copy and paste the table above and paste it below the Renewable Energy system table.  For each additional heating system, there should be an additional set of three rows (Type, Efficiency, Capacity).  The words "Primary," "Secondary," etc. should be removed from the heating system type row. </t>
  </si>
  <si>
    <t>Miscellaneous Plug Load (W/SF)</t>
  </si>
  <si>
    <t>Apartment LPD (W/SF)</t>
  </si>
  <si>
    <t>Dishwasher (gal/yr)</t>
  </si>
  <si>
    <t>Clothes Washer (gal/yr)</t>
  </si>
  <si>
    <t>ASHRAE 90.1-2007 Appx G Baseline</t>
  </si>
  <si>
    <t>See Simultation Guidelines
Section 3.10</t>
  </si>
  <si>
    <t>See Simultation Guidelines
Section 3.11</t>
  </si>
  <si>
    <t>See ASHRAE Table G3.1, Section 12</t>
  </si>
  <si>
    <t>Quantity of Systems</t>
  </si>
  <si>
    <t>Showerheads (gpm)</t>
  </si>
  <si>
    <t>Kitchen Faucets (gpm)</t>
  </si>
  <si>
    <t>Lavatory Faucets (gpm)</t>
  </si>
  <si>
    <t>Toilets (gpf)</t>
  </si>
  <si>
    <t>Same type as Proposed, unless combined heating/DHW system.</t>
  </si>
  <si>
    <t>Unfired Storage tank: R-12.5</t>
  </si>
  <si>
    <t>Same as Proposed.</t>
  </si>
  <si>
    <t>2.5 gpm</t>
  </si>
  <si>
    <t>1.6 gpf</t>
  </si>
  <si>
    <t>See Simulation Guidelines
Section 3.9.2</t>
  </si>
  <si>
    <t>DHW System Capacity (kBtu/h)</t>
  </si>
  <si>
    <t>Baseline Design (residential)</t>
  </si>
  <si>
    <t>Baseline Design (non-residential)</t>
  </si>
  <si>
    <t>Below Grade Wall C-value</t>
  </si>
  <si>
    <t>Slab-Below Grade C-value</t>
  </si>
  <si>
    <t>Floor Perimeter/Plank Edge Construction</t>
  </si>
  <si>
    <t>Floor Perimeter/Plank Edge U-value</t>
  </si>
  <si>
    <t>Floor above Unconditioned Space Construction</t>
  </si>
  <si>
    <t>Floor above Unconditioned Space U-value</t>
  </si>
  <si>
    <t>If &lt; 40%, the Baseline is the same as the Proposed;
If &gt; 40%, the Baseline = 40%</t>
  </si>
  <si>
    <t>No shading devices</t>
  </si>
  <si>
    <t>0.7 W/SF</t>
  </si>
  <si>
    <t>Per ASHRAE 90.1-2007 Table 9.4.5</t>
  </si>
  <si>
    <t>Measure #</t>
  </si>
  <si>
    <t>Fed Min Std Refrigerator</t>
  </si>
  <si>
    <t>Fed Min Std Dishwasher</t>
  </si>
  <si>
    <t>Fed Min Std Clothes Washer</t>
  </si>
  <si>
    <t>ASHRAE 90.1-2007 Appx G/Sim Guidelines Baseline</t>
  </si>
  <si>
    <t>Per ASHRAE</t>
  </si>
  <si>
    <r>
      <rPr>
        <u/>
        <sz val="9"/>
        <color rgb="FFFF0000"/>
        <rFont val="Calibri"/>
        <family val="2"/>
        <scheme val="minor"/>
      </rPr>
      <t>For gut rehabs</t>
    </r>
    <r>
      <rPr>
        <sz val="9"/>
        <color rgb="FFFF0000"/>
        <rFont val="Calibri"/>
        <family val="2"/>
        <scheme val="minor"/>
      </rPr>
      <t>, do not follow Appx G Baseline listed for envelope components.  Instead use existing conditions.  Also, include description for baseline components, instead of "Per ASHRAE".  However, follow ASHRAE Baseline for all other building components.</t>
    </r>
  </si>
  <si>
    <t>Exit Signs (kW)</t>
  </si>
  <si>
    <t>Garage Lighting (W/SF)</t>
  </si>
  <si>
    <t>0.2 W/SF</t>
  </si>
  <si>
    <t>Common Area LPD  (W/SF)</t>
  </si>
  <si>
    <t>Common Area Lighting</t>
  </si>
  <si>
    <t>5W/face, 24 hr/day</t>
  </si>
  <si>
    <t>Slab-on-Grade Construction (Unheated)</t>
  </si>
  <si>
    <t>Slab-on Grade F-value (Unheated)</t>
  </si>
  <si>
    <t>Slab-on-Grade Construction (Embedded Heat)</t>
  </si>
  <si>
    <t>Slab-on Grade F-value (Embedded Heat)</t>
  </si>
  <si>
    <t>Slab-on-Grade Insulation (Unheated)</t>
  </si>
  <si>
    <t>Slab-on-Grade Insulation (Embedded Heat)</t>
  </si>
  <si>
    <t>Heating Pump?</t>
  </si>
  <si>
    <t>19 W/GPM</t>
  </si>
  <si>
    <t>Simulation Guidelines
Section 3.15</t>
  </si>
  <si>
    <r>
      <t xml:space="preserve">180 </t>
    </r>
    <r>
      <rPr>
        <sz val="9"/>
        <rFont val="Calibri"/>
        <family val="2"/>
      </rPr>
      <t>°</t>
    </r>
    <r>
      <rPr>
        <sz val="9"/>
        <rFont val="Calibri"/>
        <family val="2"/>
        <scheme val="minor"/>
      </rPr>
      <t>F</t>
    </r>
  </si>
  <si>
    <t>130 °F</t>
  </si>
  <si>
    <t>DHW Circulating Pump?</t>
  </si>
  <si>
    <t>DHW Pump Motor Class</t>
  </si>
  <si>
    <t>DHW Pump Capacity Control</t>
  </si>
  <si>
    <t>DHW Pump Size (HP)</t>
  </si>
  <si>
    <t>Quantity of DHW Pumps</t>
  </si>
  <si>
    <t>Lead Energy Modeler</t>
  </si>
  <si>
    <t>Lavatory Faucets</t>
  </si>
  <si>
    <t>Other, if applicable</t>
  </si>
  <si>
    <t>DHW System Efficiency (Et)</t>
  </si>
  <si>
    <t>Type?</t>
  </si>
  <si>
    <t>See ASHRAE Table 7.8</t>
  </si>
  <si>
    <t>DHW Pump Motor Efficiency</t>
  </si>
  <si>
    <t>Hot Water Demand (gpm)</t>
  </si>
  <si>
    <t>Primary Cooling System Efficiency (SEER)</t>
  </si>
  <si>
    <t>See ASHRAE Table G3.1.1A and G3.1.1B</t>
  </si>
  <si>
    <r>
      <t xml:space="preserve">Gas: 1 or 2 80% efficient Natural Gas Boilers,
Electric: PTHP, 2.81 COP, electric resistance back-up at &lt;40 </t>
    </r>
    <r>
      <rPr>
        <sz val="9"/>
        <rFont val="Calibri"/>
        <family val="2"/>
      </rPr>
      <t>°</t>
    </r>
    <r>
      <rPr>
        <sz val="9"/>
        <rFont val="Calibri"/>
        <family val="2"/>
        <scheme val="minor"/>
      </rPr>
      <t>F</t>
    </r>
  </si>
  <si>
    <t>NA, unless there is &gt;20,000 SF of contiguous non-residential space</t>
  </si>
  <si>
    <t>Tertiary Heating System Efficiency (Et)</t>
  </si>
  <si>
    <t>Primary Heating System Quantity</t>
  </si>
  <si>
    <t xml:space="preserve">Model 1 boiler for buildings less than 15,000 SF, 2 boilers for buildings over 15,000 SF. </t>
  </si>
  <si>
    <t>Secondary Heating System Quantity</t>
  </si>
  <si>
    <t>Tertiary Heating System Quantity</t>
  </si>
  <si>
    <t>Electric Resistance Heating?</t>
  </si>
  <si>
    <t>72 °F</t>
  </si>
  <si>
    <t>70 °F</t>
  </si>
  <si>
    <t>Heating/Cooling Controls</t>
  </si>
  <si>
    <t>80 °F</t>
  </si>
  <si>
    <t>78 °F</t>
  </si>
  <si>
    <t>Primary Cooling System Quantity</t>
  </si>
  <si>
    <t>Secondary Cooling System Quantity</t>
  </si>
  <si>
    <t>Enter baseline capacity as calculated by energy modeling software calculations, plus 15% oversized. Per Appendix G, Section G3.1.2.2, unmet load hours shall not exceed 300 hours.</t>
  </si>
  <si>
    <t>Cooling Controls</t>
  </si>
  <si>
    <t>HW Loop Setpoint Control Temp.</t>
  </si>
  <si>
    <t>180°F at 20°F and below, 
150°F at 50°F and above</t>
  </si>
  <si>
    <t>Cooling Fan Control</t>
  </si>
  <si>
    <t>Cooling Fan kW/CFM</t>
  </si>
  <si>
    <t>Heating Fan Control</t>
  </si>
  <si>
    <t>Heating Fan kW/CFM</t>
  </si>
  <si>
    <t>Space Heating - Type &amp; Efficiency (Primary)</t>
  </si>
  <si>
    <t>Space Heating - Type &amp; Efficiency (Secondary)</t>
  </si>
  <si>
    <t>Space Heating - Type &amp; Efficiency (Tertiary)</t>
  </si>
  <si>
    <t>Space Cooling - Type and Efficiency (Primary)</t>
  </si>
  <si>
    <t>Space Cooling - Type and Efficiency (Secondary)</t>
  </si>
  <si>
    <t>Other motor (1)</t>
  </si>
  <si>
    <t>Other motor (2)</t>
  </si>
  <si>
    <t>Other motor (3)</t>
  </si>
  <si>
    <t>Apartment Kitchen Exhaust (CFM/kitchen)</t>
  </si>
  <si>
    <t>Apartment Bathroom Exhaust (CFM/bath)</t>
  </si>
  <si>
    <t>Total Corridor Supply Ventilation (CFM)</t>
  </si>
  <si>
    <t>None, unless required by ASHRAE 6.4.3.9.</t>
  </si>
  <si>
    <t>See Simulation Guidelines
Section 3.12</t>
  </si>
  <si>
    <t>See Simulation Guidelines
Section 3.14</t>
  </si>
  <si>
    <t>None, unless required by ASHRAE G3.1.2.10</t>
  </si>
  <si>
    <t>Same as Proposed or As-Built</t>
  </si>
  <si>
    <t>Use Pfan=BHP*746/Fan Motor Efficiency to determine ventilation fan power. Use ASHRAE Table 10.8 to determine Fan Motor Efficiency</t>
  </si>
  <si>
    <t>See ASHRAE Table 10.8 to determine Fan Motor Efficiency</t>
  </si>
  <si>
    <t>Apartment - Roof-top fans (CFM)</t>
  </si>
  <si>
    <t>Apartment - In-unit fans (CFM/W)</t>
  </si>
  <si>
    <t>Apartment - Roof-top fans (hp)</t>
  </si>
  <si>
    <t>Apartment - Roof-top fans efficiency (%)</t>
  </si>
  <si>
    <t>Apartment - Roof-top fans Total Power (kW)</t>
  </si>
  <si>
    <t>Garage Exhaust Fan (hp)</t>
  </si>
  <si>
    <t>Garage Exhaust Fan (efficiency)</t>
  </si>
  <si>
    <t>Garage Exhaust Fan - Demand Control</t>
  </si>
  <si>
    <t>Garage Exhaust Fan -Demand Control (hr/day)</t>
  </si>
  <si>
    <t>Garage Exhaust Fan (CFM)</t>
  </si>
  <si>
    <t>Heat/Energy Recovery Effectiveness (%)</t>
  </si>
  <si>
    <t>Duct Sealing</t>
  </si>
  <si>
    <t>Duct Sealing - Total CFM</t>
  </si>
  <si>
    <t>Heat/Energy Recovery</t>
  </si>
  <si>
    <t>Other Demand Control</t>
  </si>
  <si>
    <t>Other Demand Control (hr/day)</t>
  </si>
  <si>
    <t>Other Demand Control Fan Power (kW)</t>
  </si>
  <si>
    <t>Motors</t>
  </si>
  <si>
    <t>Elevator</t>
  </si>
  <si>
    <t>Space Heating Distribution - Fan Control</t>
  </si>
  <si>
    <t>Space Cooling Distribution - Fan Control</t>
  </si>
  <si>
    <t>Ventilation: Thermal (Non-apt, Non-corridor spaces)</t>
  </si>
  <si>
    <t>Ventilation: Thermal
(Apartments)</t>
  </si>
  <si>
    <t>Garage Exhaust Fan Power (kW)</t>
  </si>
  <si>
    <t>1 per thermal zone</t>
  </si>
  <si>
    <t>Lighting - LED Exit Signs</t>
  </si>
  <si>
    <t>Lighting - Common Fixtures</t>
  </si>
  <si>
    <t>Project Located in NYC?</t>
  </si>
  <si>
    <t>NYC</t>
  </si>
  <si>
    <t>Note that throughout these worksheets, common information from cells are linked and should automatically update.  Only cells shaded in blue need to be entered manually. Entering values into white cells will override pre-determined formulas.  However, depending on the project, there may be reason to write over the pre-determined formulas.</t>
  </si>
  <si>
    <r>
      <rPr>
        <b/>
        <sz val="9"/>
        <rFont val="Calibri"/>
        <family val="2"/>
        <scheme val="minor"/>
      </rPr>
      <t>Notes:</t>
    </r>
    <r>
      <rPr>
        <sz val="9"/>
        <rFont val="Calibri"/>
        <family val="2"/>
        <scheme val="minor"/>
      </rPr>
      <t xml:space="preserve">  Read the notes, which are indicated by red corners, where appropriate to assist in properly completing this tab.</t>
    </r>
  </si>
  <si>
    <r>
      <rPr>
        <b/>
        <sz val="9"/>
        <rFont val="Calibri"/>
        <family val="2"/>
        <scheme val="minor"/>
      </rPr>
      <t>Measure #:</t>
    </r>
    <r>
      <rPr>
        <sz val="9"/>
        <rFont val="Calibri"/>
        <family val="2"/>
        <scheme val="minor"/>
      </rPr>
      <t xml:space="preserve">  To auto-generate the measure descriptions in the Detailed Measures tab, number the appropriate rows in this column such that it matches the ID number (column A) on the Detailed Measures tab.</t>
    </r>
  </si>
  <si>
    <r>
      <rPr>
        <b/>
        <sz val="9"/>
        <rFont val="Calibri"/>
        <family val="2"/>
        <scheme val="minor"/>
      </rPr>
      <t>Baseline Design:</t>
    </r>
    <r>
      <rPr>
        <sz val="9"/>
        <rFont val="Calibri"/>
        <family val="2"/>
        <scheme val="minor"/>
      </rPr>
      <t xml:space="preserve">  In the blue cells, enter the baseline information used in the model.  If this project has a different baseline than listed in a white cell, you may overwrite that cell.</t>
    </r>
  </si>
  <si>
    <r>
      <rPr>
        <b/>
        <sz val="9"/>
        <rFont val="Calibri"/>
        <family val="2"/>
        <scheme val="minor"/>
      </rPr>
      <t>Proposed Design/As-Built:</t>
    </r>
    <r>
      <rPr>
        <sz val="9"/>
        <rFont val="Calibri"/>
        <family val="2"/>
        <scheme val="minor"/>
      </rPr>
      <t xml:space="preserve">  In the blue cells, enter the proposed design/as-built information used in the model and/or that matches the proposed/as-built building.</t>
    </r>
  </si>
  <si>
    <t>In blue cells only, enter general information about the project.  If the Basic Info and Model Inputs tabs are completed first, the majority of this tab will autofill.</t>
  </si>
  <si>
    <t>This worksheet should be a summary of all Energy Reduction Measures, their savings and their costs.  It is used to determine the cost effectiveness for each recommended measure and for the project as a whole.  If the Results from eQUEST and Model Inputs tabs are completed first, much of this tab will autofill.</t>
  </si>
  <si>
    <t>Project using modeling software other than eQUEST will need to manually enter information in many white cells that would otherwise calculated based on inputs from the Results from eQUEST tab.</t>
  </si>
  <si>
    <t>If "Cost Savings" is negative, delete that row as that indicates a energy penalty and therefore should not beincluded in this list of energy saving measures.</t>
  </si>
  <si>
    <t>Notes:</t>
  </si>
  <si>
    <r>
      <t xml:space="preserve">2. </t>
    </r>
    <r>
      <rPr>
        <b/>
        <sz val="9"/>
        <rFont val="Calibri"/>
        <family val="2"/>
        <scheme val="minor"/>
      </rPr>
      <t>Description</t>
    </r>
    <r>
      <rPr>
        <sz val="9"/>
        <rFont val="Calibri"/>
        <family val="2"/>
        <scheme val="minor"/>
      </rPr>
      <t xml:space="preserve"> - Provide a brief non-generic description of the measure for both Baseline Component (column D) and Proposed Component (column G).  If you complete the Model Inputs tab correctly, this will autofill.</t>
    </r>
  </si>
  <si>
    <r>
      <t xml:space="preserve">5. </t>
    </r>
    <r>
      <rPr>
        <b/>
        <sz val="9"/>
        <rFont val="Calibri"/>
        <family val="2"/>
        <scheme val="minor"/>
      </rPr>
      <t xml:space="preserve">Non-Electric Heating Fuel Source </t>
    </r>
    <r>
      <rPr>
        <sz val="9"/>
        <rFont val="Calibri"/>
        <family val="2"/>
        <scheme val="minor"/>
      </rPr>
      <t>- Select the primary fuel affected by the measure. If electricity is primary fuel, choose "N/A".</t>
    </r>
  </si>
  <si>
    <r>
      <t xml:space="preserve">6. </t>
    </r>
    <r>
      <rPr>
        <b/>
        <sz val="9"/>
        <rFont val="Calibri"/>
        <family val="2"/>
        <scheme val="minor"/>
      </rPr>
      <t xml:space="preserve">Quantity </t>
    </r>
    <r>
      <rPr>
        <sz val="9"/>
        <rFont val="Calibri"/>
        <family val="2"/>
        <scheme val="minor"/>
      </rPr>
      <t>- Provide a quantity for the proposed measure corresponding to the units automatically generated based on your measure selection.  If "Other" measure, enter appropriate units.</t>
    </r>
  </si>
  <si>
    <r>
      <t xml:space="preserve">7. </t>
    </r>
    <r>
      <rPr>
        <b/>
        <sz val="9"/>
        <rFont val="Calibri"/>
        <family val="2"/>
        <scheme val="minor"/>
      </rPr>
      <t xml:space="preserve">Demand Savings </t>
    </r>
    <r>
      <rPr>
        <sz val="9"/>
        <rFont val="Calibri"/>
        <family val="2"/>
        <scheme val="minor"/>
      </rPr>
      <t>- Enter calculated demand savings only if cell is highlighted blue.</t>
    </r>
  </si>
  <si>
    <r>
      <t xml:space="preserve">8. </t>
    </r>
    <r>
      <rPr>
        <b/>
        <sz val="9"/>
        <rFont val="Calibri"/>
        <family val="2"/>
        <scheme val="minor"/>
      </rPr>
      <t xml:space="preserve">Annual Water/Sewer and O&amp;M Savings </t>
    </r>
    <r>
      <rPr>
        <sz val="9"/>
        <rFont val="Calibri"/>
        <family val="2"/>
        <scheme val="minor"/>
      </rPr>
      <t>- Enter as appropriate</t>
    </r>
  </si>
  <si>
    <r>
      <t xml:space="preserve">9. </t>
    </r>
    <r>
      <rPr>
        <b/>
        <sz val="9"/>
        <rFont val="Calibri"/>
        <family val="2"/>
        <scheme val="minor"/>
      </rPr>
      <t>Column AU</t>
    </r>
    <r>
      <rPr>
        <sz val="9"/>
        <rFont val="Calibri"/>
        <family val="2"/>
        <scheme val="minor"/>
      </rPr>
      <t xml:space="preserve"> - Enter descriptive measure title in this column.  You can then autogenerate some of this information in the linked Site Inspection Request Forms.</t>
    </r>
  </si>
  <si>
    <r>
      <t xml:space="preserve">10. </t>
    </r>
    <r>
      <rPr>
        <b/>
        <sz val="9"/>
        <rFont val="Calibri"/>
        <family val="2"/>
        <scheme val="minor"/>
      </rPr>
      <t>Hide Rows</t>
    </r>
    <r>
      <rPr>
        <sz val="9"/>
        <rFont val="Calibri"/>
        <family val="2"/>
        <scheme val="minor"/>
      </rPr>
      <t xml:space="preserve"> - Hide empty rows.</t>
    </r>
  </si>
  <si>
    <r>
      <t xml:space="preserve">1. </t>
    </r>
    <r>
      <rPr>
        <b/>
        <sz val="9"/>
        <rFont val="Calibri"/>
        <family val="2"/>
        <scheme val="minor"/>
      </rPr>
      <t xml:space="preserve">Measure Classification </t>
    </r>
    <r>
      <rPr>
        <sz val="9"/>
        <rFont val="Calibri"/>
        <family val="2"/>
        <scheme val="minor"/>
      </rPr>
      <t xml:space="preserve"> - Select the appropriate measure from the drop down menu provided.  Make sure the measure corresponds to the Parametric Run that has been autofilled.</t>
    </r>
  </si>
  <si>
    <t>Clothes Dryer - Electric use (kWh/yr)</t>
  </si>
  <si>
    <t>Clothes Dryer - Gas use, if applicable (therm/yr)</t>
  </si>
  <si>
    <t xml:space="preserve">             If this tab is filled out correctly, it will autofill significant portions of the Reporting Summary, Detailed Measures and T&amp;V Worksheets.</t>
  </si>
  <si>
    <t xml:space="preserve">             If the building component does not exist in the building, enter "N/A" in the baseline and proposed/as-built columns.</t>
  </si>
  <si>
    <t>Secondary Heating System Efficiency (Et)</t>
  </si>
  <si>
    <t>F-factor</t>
  </si>
  <si>
    <t>%</t>
  </si>
  <si>
    <t>C-factor</t>
  </si>
  <si>
    <t>Slab-on-grade construction (unheated)</t>
  </si>
  <si>
    <t>Slab-on-grade construction (embedded heat)</t>
  </si>
  <si>
    <t>kW/CFM</t>
  </si>
  <si>
    <t>Detailed Measures</t>
  </si>
  <si>
    <t>Same as Proposed of As-Built</t>
  </si>
  <si>
    <t>Apartment - Fresh Air Supply Type</t>
  </si>
  <si>
    <t>Ventilation: Supply to Apartments (Fresh Air)</t>
  </si>
  <si>
    <t>Space Cooling Distribution - Fan Power</t>
  </si>
  <si>
    <t>Enter value from ASHRAE Table 5.5-4 through 5.5-6 for Residential or Nonresidential Steel-Framed walls</t>
  </si>
  <si>
    <t>Enter value from ASHRAE Table 5.5-4 through 5.5-6 for Residential or Nonresidential Mass walls</t>
  </si>
  <si>
    <t>Enter value from ASHRAE Table 5.5-4 through 5.5-6 for Residential or Nonresidential Below-Grade walls</t>
  </si>
  <si>
    <t>Enter value from ASHRAE Table 5.5-4 through 5.5-6 for Residential or Nonresidential Steel-joist floors</t>
  </si>
  <si>
    <t>Enter value from ASHRAE Table 5.5-4 through 5.5-6 for Residential or Nonresidential Slab-on-Grade floors, Unheated</t>
  </si>
  <si>
    <t>Enter value from ASHRAE Table 5.5-4 through 5.5-6 for Residential or Nonresidential Slab-on-Grade floors, Embedded heated</t>
  </si>
  <si>
    <t>Enter value from ASHRAE Table 5.5-4 through 5.5-6 for Residential or Nonresidential Insulation Entirely above Deck</t>
  </si>
  <si>
    <t>Enter value from ASHRAE Table 5.5-4 through 5.5-6 for Vertical Glazing and Proposed frame material</t>
  </si>
  <si>
    <t>Enter value from ASHRAE Table 5.5-4 through 5.5-6 for Opaque Doors</t>
  </si>
  <si>
    <t xml:space="preserve">Enter baseline capacity as calculated by energy modeling software calculations, plus 25% oversized. Per Appendix G, Section G3.1.2.2, unmet load hours shall not exceed 300 hours, and the proposed design shall not exceed the baseline design by more than 50 unmet load hours </t>
  </si>
  <si>
    <t>16 hr</t>
  </si>
  <si>
    <t>18 hr</t>
  </si>
  <si>
    <t>Heating Setpoint - during occupied hours</t>
  </si>
  <si>
    <t>Cooling Setpoint - during occupied hours</t>
  </si>
  <si>
    <t>Cooling Setpoint - during unoccupied hours</t>
  </si>
  <si>
    <t>Heating Setpoint - during unoccupied hours</t>
  </si>
  <si>
    <t>Cooling Setpoint - occupied hours/day</t>
  </si>
  <si>
    <t>Heating Setpoint - occupied hours/day</t>
  </si>
  <si>
    <t>Please Select Type of Stove</t>
  </si>
  <si>
    <t>SBC - NC</t>
  </si>
  <si>
    <t>Owner</t>
  </si>
  <si>
    <t>Total MMBtu Savings</t>
  </si>
  <si>
    <t>National Grid</t>
  </si>
  <si>
    <t>Primary Heating System Efficiency (AFUE)</t>
  </si>
  <si>
    <t>Total Electric MMBtu Savings</t>
  </si>
  <si>
    <t>Total Fuel MMBtu Savings</t>
  </si>
  <si>
    <t>You must fill in the conditioned column.</t>
  </si>
  <si>
    <t>You must fill in the mechanical ventilation column.</t>
  </si>
  <si>
    <t>Other equipment/plug loads</t>
  </si>
  <si>
    <t>Baseline Energy (MMBtu)</t>
  </si>
  <si>
    <t>Predominent Energy Source</t>
  </si>
  <si>
    <t>Designs</t>
  </si>
  <si>
    <t>Wall (above and below grade wall construction and U-value)</t>
  </si>
  <si>
    <t>Windows (window-to-wall-ratio,frame material, U-Value and SHGC)</t>
  </si>
  <si>
    <t>Floor (U-Value and construction for exposed floor and slabs)</t>
  </si>
  <si>
    <t>Roof (U-Value and construction)</t>
  </si>
  <si>
    <t>Exterior Lighting</t>
  </si>
  <si>
    <t>Misc. Plug Loads</t>
  </si>
  <si>
    <t>Renewable Systems</t>
  </si>
  <si>
    <t>Heating/Cooling system type and efficiency (include all heating systems)</t>
  </si>
  <si>
    <t>Mechanical Ventilation (include exhaust/supply CFM and system description)</t>
  </si>
  <si>
    <t>Fan and Pump descriptino</t>
  </si>
  <si>
    <t>Domestic Water Heating (include system type, efficiency, and hot water demand)</t>
  </si>
  <si>
    <t>Corridor LPD (W/SF)</t>
  </si>
  <si>
    <t>0.5 W/SF</t>
  </si>
  <si>
    <t>ASHRAE 90.1 Table 9.6.1 Baseline LPD's
Lobby: 1.3 W/SF
Stairs: 0.6 W/SF
Storage, Active: 0.8 W/SF
Storage, Inactive: 0.3 W/SF
Restroom: 0.9 W/SF
Office: 1.1 W/SF
Multipurpose: 1.3 W/SF
Elec/Mech: 1.5 W/SF</t>
  </si>
  <si>
    <t>Corridor lighting power density</t>
  </si>
  <si>
    <r>
      <t>CFM/ft</t>
    </r>
    <r>
      <rPr>
        <vertAlign val="superscript"/>
        <sz val="9"/>
        <rFont val="Arial"/>
        <family val="2"/>
      </rPr>
      <t>2</t>
    </r>
  </si>
  <si>
    <t>Corridor Outdoor Air Supply</t>
  </si>
  <si>
    <t>ENERGY STAR?</t>
  </si>
  <si>
    <t>2.5 @ 80 psi</t>
  </si>
  <si>
    <t>Climate Zone:</t>
  </si>
  <si>
    <r>
      <t>Conditioned ft</t>
    </r>
    <r>
      <rPr>
        <vertAlign val="superscript"/>
        <sz val="9"/>
        <rFont val="Calibri"/>
        <family val="2"/>
        <scheme val="minor"/>
      </rPr>
      <t>2</t>
    </r>
    <r>
      <rPr>
        <sz val="9"/>
        <rFont val="Calibri"/>
        <family val="2"/>
        <scheme val="minor"/>
      </rPr>
      <t>:</t>
    </r>
  </si>
  <si>
    <t>Window/wall area ratio</t>
  </si>
  <si>
    <t>% Savings 
toward target</t>
  </si>
  <si>
    <t>% Savings 
by End-Use</t>
  </si>
  <si>
    <t>Pumps and Aux</t>
  </si>
  <si>
    <t>DHW system</t>
  </si>
  <si>
    <t>Heating system</t>
  </si>
  <si>
    <t>Cooling system</t>
  </si>
  <si>
    <t>Ventilation system</t>
  </si>
  <si>
    <t>Weather File Location (City, ST):</t>
  </si>
  <si>
    <t>Builder/Developer</t>
  </si>
  <si>
    <t>Total without Renewable</t>
  </si>
  <si>
    <t>Annual Renewable</t>
  </si>
  <si>
    <t>Total with Renewable</t>
  </si>
  <si>
    <t>Heating Circulating Pumps - Control</t>
  </si>
  <si>
    <t>Simulation Guidelines Appendix</t>
  </si>
  <si>
    <t>Note that throughout these worksheets, common information from cells are linked and should automatically update.  Only cells shaded in blue need to be entered manually. Entering values into white or orange cells will override pre-determined formulas.</t>
  </si>
  <si>
    <t>Windows eQuest</t>
  </si>
  <si>
    <t>For eQuest users only, this calculates the Shading Coefficient for entry into eQuest and modifies the NFRC U-factor to exclude the air-film.</t>
  </si>
  <si>
    <t>DHW Demand</t>
  </si>
  <si>
    <t>Enter in occupancy usage characteristic (low/medium/high) and information about the appliances that consume water in the building. You must enter data in the Basic Info and Water Savings tab, prior to this tab.</t>
  </si>
  <si>
    <t>Enter data in blue cells. Values are calculated in W/SF or kWh/yr for entry into software.</t>
  </si>
  <si>
    <t>Lighting Schedule</t>
  </si>
  <si>
    <t>Developed for eQuest users, but can be used with other software to translate total operating hours/day into an hourly schedule that meets the requirements from the Simulation Guidelines.</t>
  </si>
  <si>
    <t>Interior Lighting</t>
  </si>
  <si>
    <t xml:space="preserve">Using floor plans, a lighting schedule, and lighting cut sheets, fill in the details of this worksheet. This will sum the square footages by ASHRAE space type for reporting purposes on the Basic Info tab, and calculate the lighting power density to be modeled per room. It also provides the maximum wattage allowed by ASHRAE 90.1 for that room, which can be more useful to the design team than the lighting power density. To help project compliance with program Prerequisites, zones are highlighted in red that exceed ASHRAE LPD’s by more than 20%, which reduce the energy savings of the building, as well as zones that have insufficient illumination. </t>
  </si>
  <si>
    <t>Enter details in blue cells only on exterior areas to be illuminated. The total wattage will be provided for input into the simulation software.</t>
  </si>
  <si>
    <t>Infiltration&amp;Ventilation</t>
  </si>
  <si>
    <t>EIR for PTAC or PTHP</t>
  </si>
  <si>
    <t>Although developed initially for eQuest users, the approach can be used for other simulation software if the energy efficiency of these systems are entered in terms of EIR, rather than EER.</t>
  </si>
  <si>
    <t>Water Savings</t>
  </si>
  <si>
    <t>By entering data in blue cells only, this worksheet will calculate the water savings in gallons based on the proposed flow rates entered. This information does not affect the Performance Rating but can be used when calculating SIR to justify measures that reduce consumption of water.</t>
  </si>
  <si>
    <t>This sheet is needed for the Appliances and DHW Demand tabs.</t>
  </si>
  <si>
    <t>eQUEST Calculator - Windows</t>
  </si>
  <si>
    <t xml:space="preserve">Instructions: </t>
  </si>
  <si>
    <t xml:space="preserve">Using ASHRAE 90.1-2007 Table 5.5, enter values for your Climate Zone (reference below). </t>
  </si>
  <si>
    <t>Enter actual NFRC values in the Proposed column.</t>
  </si>
  <si>
    <t>Use calculated values as inputs into eQuest Glass Type Properties - Basic Specifications screen.</t>
  </si>
  <si>
    <t>Non-Residential</t>
  </si>
  <si>
    <t>NFRC SHGC</t>
  </si>
  <si>
    <t>NFRC U-value</t>
  </si>
  <si>
    <t>eQuest SC</t>
  </si>
  <si>
    <t>eQuest Glass Conductance</t>
  </si>
  <si>
    <t>ASHRAE 90.1-2007 Table 5.5 (FOR YOUR REFERENCE)</t>
  </si>
  <si>
    <t>Residential (In-unit)</t>
  </si>
  <si>
    <t>Climate Zone 4</t>
  </si>
  <si>
    <t>Climate Zone 5</t>
  </si>
  <si>
    <t>Climate Zone 6</t>
  </si>
  <si>
    <t>U-value</t>
  </si>
  <si>
    <t>Nonmetal Framing (all)</t>
  </si>
  <si>
    <t>Metal Framing (storefront)</t>
  </si>
  <si>
    <t>Metal Framing (entrance door)</t>
  </si>
  <si>
    <t>Metal Framing (all other)</t>
  </si>
  <si>
    <t>Nonresidential (Common Areas)</t>
  </si>
  <si>
    <t>eQUEST Calculator - Appliances</t>
  </si>
  <si>
    <t>Data to be entered in eQuest as Equipment or Internal Energy Sources.</t>
  </si>
  <si>
    <t>Equipment # (optional)</t>
  </si>
  <si>
    <t>Sensible</t>
  </si>
  <si>
    <t>Latent</t>
  </si>
  <si>
    <t>Schedule</t>
  </si>
  <si>
    <t>Refrigerator, kWh/yr-unit</t>
  </si>
  <si>
    <t>Heat Ratio</t>
  </si>
  <si>
    <t>In-Unit</t>
  </si>
  <si>
    <t>Refrigerator, kWh/yr-blg</t>
  </si>
  <si>
    <t>Common</t>
  </si>
  <si>
    <t>Refrigerator, W/SqFt</t>
  </si>
  <si>
    <t>Apt Equipment [#]</t>
  </si>
  <si>
    <t>T24 DAY EQP WD</t>
  </si>
  <si>
    <t>1 Stove</t>
  </si>
  <si>
    <t>Electric Stove, kWh/yr-unit</t>
  </si>
  <si>
    <t>Stove Type</t>
  </si>
  <si>
    <t>Electric Stove, kWh/yr-blg</t>
  </si>
  <si>
    <t>Stove, W/SqFt</t>
  </si>
  <si>
    <t>Dishwasher, kWh/yr-unit</t>
  </si>
  <si>
    <t># of dishwashers</t>
  </si>
  <si>
    <t>Dishwasher, kWh/yr-bldg</t>
  </si>
  <si>
    <t>Dishwasher, W/SqFt</t>
  </si>
  <si>
    <t>In-Unit Clothes Washer, kWh/yr</t>
  </si>
  <si>
    <t>In-Unit Clothes Washer, kWh/yr-bldg</t>
  </si>
  <si>
    <t>In-Unit Washer, W/SqFt</t>
  </si>
  <si>
    <t># of washers</t>
  </si>
  <si>
    <t>In-Unit Dryer, kWh/yr-bldg</t>
  </si>
  <si>
    <t>Average # bedrooms in living units</t>
  </si>
  <si>
    <t>1 Dryer</t>
  </si>
  <si>
    <t>In-Unit Dryer, W/SqFt</t>
  </si>
  <si>
    <t># of dryers</t>
  </si>
  <si>
    <t>In-Unit Dryer, BTU/h (per dryer)</t>
  </si>
  <si>
    <t>DRYER</t>
  </si>
  <si>
    <t>Common Washer, kWh/yr-machine</t>
  </si>
  <si>
    <t>sum of area of all apartments with in-unit laundry (default = total apartment sqft)</t>
  </si>
  <si>
    <t>Common Washer, kWh/yr-bldg</t>
  </si>
  <si>
    <t>sum of area of all common laundry rooms</t>
  </si>
  <si>
    <t>Common Washer, W/SqFt</t>
  </si>
  <si>
    <t>T24 EQP WD</t>
  </si>
  <si>
    <t>Common Dryer, kWh/yr-bldg</t>
  </si>
  <si>
    <t>Common Dryer, W/SqFt</t>
  </si>
  <si>
    <t>Common Dryer, BTU/h (per dryer)</t>
  </si>
  <si>
    <t>Number of Stories</t>
  </si>
  <si>
    <t>In-unit, misc. kWh/yr-SqFt (SG 3-13)</t>
  </si>
  <si>
    <t>Area of Elevator</t>
  </si>
  <si>
    <t xml:space="preserve">In-unit misc W/SqFt </t>
  </si>
  <si>
    <t>Apt Equipment 1</t>
  </si>
  <si>
    <t>Baseline Elevator Type</t>
  </si>
  <si>
    <t>Corridor, restrooms &amp; Stairs W/SqFt</t>
  </si>
  <si>
    <t>Corr &amp; Stairs Equipment 1</t>
  </si>
  <si>
    <t>Proposed Elevator Type</t>
  </si>
  <si>
    <t>Elevator W/SqFt</t>
  </si>
  <si>
    <t>Elevator Equipment 1</t>
  </si>
  <si>
    <t>Baseline kWh/yr for elevator</t>
  </si>
  <si>
    <t>Office W/SqFt</t>
  </si>
  <si>
    <t>Office Equipment 1</t>
  </si>
  <si>
    <t>Proposed kWh/yr (same as Baseline if not requesting performance credit)</t>
  </si>
  <si>
    <t>Other Public and Common Area W/SqFt</t>
  </si>
  <si>
    <t>Common Area Equipment 1</t>
  </si>
  <si>
    <t>Hour</t>
  </si>
  <si>
    <t>Common area plug load schedule
(Same as T24 EQP WD)</t>
  </si>
  <si>
    <t>Apartment Plug load schedule (Same as T24 DAY EQP WD)</t>
  </si>
  <si>
    <t>eQUEST Calculator - Lighting</t>
  </si>
  <si>
    <t>Use this worksheet to generate schedules for lighting inputs.</t>
  </si>
  <si>
    <t>Do not edit cells highlighted in this color. These calculated values are for editing or creating schedules.</t>
  </si>
  <si>
    <t>Elevator lighting should only be assigned to ONE elevator zone.</t>
  </si>
  <si>
    <t>Exit Signs can be added as Lighting #2 (kW) in the appropriate zones.</t>
  </si>
  <si>
    <t>Credit for occupancy sensors can be applied to corridors and stairs by reducing proposed W/SF by 25% and 35% respectively.</t>
  </si>
  <si>
    <t>Daily operating hours</t>
  </si>
  <si>
    <t>hr/day</t>
  </si>
  <si>
    <t>Apartments</t>
  </si>
  <si>
    <t>Garage, Corridors, Lobbies &amp; Stairs</t>
  </si>
  <si>
    <t xml:space="preserve">Exterior Lighting </t>
  </si>
  <si>
    <t>APT LTG WD</t>
  </si>
  <si>
    <t>Adjusted Fraction</t>
  </si>
  <si>
    <t>Hr</t>
  </si>
  <si>
    <t>Fraction</t>
  </si>
  <si>
    <t>Apartment Adjustment</t>
  </si>
  <si>
    <t>eQUEST Calculator - Interior Lighting</t>
  </si>
  <si>
    <t>Fixture Code</t>
  </si>
  <si>
    <t>Watts/Fixture</t>
  </si>
  <si>
    <t>Manufacturer/Model*</t>
  </si>
  <si>
    <t>General Location</t>
  </si>
  <si>
    <t>ENERGY STAR? (Y/N)</t>
  </si>
  <si>
    <t>MUST BE ALPHABETICAL</t>
  </si>
  <si>
    <t>A</t>
  </si>
  <si>
    <t>B</t>
  </si>
  <si>
    <t>C</t>
  </si>
  <si>
    <t>D</t>
  </si>
  <si>
    <t>E</t>
  </si>
  <si>
    <t>F</t>
  </si>
  <si>
    <t>G</t>
  </si>
  <si>
    <t>8. If you need more rows for your building, add them at the bottom by copying rows above (or filling down).</t>
  </si>
  <si>
    <t>H</t>
  </si>
  <si>
    <t>9. When finished, be sure to delete any "#N/A" from blank rows.</t>
  </si>
  <si>
    <t>I</t>
  </si>
  <si>
    <t>J</t>
  </si>
  <si>
    <t>K</t>
  </si>
  <si>
    <t>L</t>
  </si>
  <si>
    <t>M</t>
  </si>
  <si>
    <t>N</t>
  </si>
  <si>
    <t>O</t>
  </si>
  <si>
    <t>P</t>
  </si>
  <si>
    <t>Q</t>
  </si>
  <si>
    <t>R</t>
  </si>
  <si>
    <t>S</t>
  </si>
  <si>
    <t>T</t>
  </si>
  <si>
    <t>U</t>
  </si>
  <si>
    <t>V</t>
  </si>
  <si>
    <t>Square Footage</t>
  </si>
  <si>
    <t>Room Name</t>
  </si>
  <si>
    <t>ASHRAE Space Type</t>
  </si>
  <si>
    <t>Installed quantity</t>
  </si>
  <si>
    <t>Fixture Code (A,B,C etc)</t>
  </si>
  <si>
    <t>Fixture Installed Wattage</t>
  </si>
  <si>
    <t>Floor Multiplier</t>
  </si>
  <si>
    <t>Total Installed Wattage</t>
  </si>
  <si>
    <t>PROPOSED W/SF</t>
  </si>
  <si>
    <t>BASELINE W/SF</t>
  </si>
  <si>
    <t>BASELINE WATTS</t>
  </si>
  <si>
    <t>CALCULATED FOOTCANDLES</t>
  </si>
  <si>
    <t>IESNA FOOTCANDLES</t>
  </si>
  <si>
    <t>eQUEST Calculator - Exterior Lighting</t>
  </si>
  <si>
    <t xml:space="preserve">Enter data in the cells highlighted with this color. </t>
  </si>
  <si>
    <t xml:space="preserve">Use values from the cells highlighted in this color in the energy simulations. </t>
  </si>
  <si>
    <t>For proposed design simulation enter exterior lighting specified on drawings.</t>
  </si>
  <si>
    <t>Exterior Lighting Allowances (Per Table 9.4.5 of ASHRAE 90.1)</t>
  </si>
  <si>
    <t>Area Type</t>
  </si>
  <si>
    <t xml:space="preserve">Lighting Power Density </t>
  </si>
  <si>
    <t>Area</t>
  </si>
  <si>
    <t>Baseline Lighting Allowance</t>
  </si>
  <si>
    <t>Proposed Lighting</t>
  </si>
  <si>
    <t>Proposed Fixture Description</t>
  </si>
  <si>
    <t>W/SqFt</t>
  </si>
  <si>
    <t>Uncovered parking lots and drives</t>
  </si>
  <si>
    <t>Walkways 10ft wide or greater</t>
  </si>
  <si>
    <t>Exterior stairways</t>
  </si>
  <si>
    <t>Canopies and overhangs</t>
  </si>
  <si>
    <t>Building Facades  (1)</t>
  </si>
  <si>
    <t xml:space="preserve">Lighting Power Density, </t>
  </si>
  <si>
    <t>Linear feet</t>
  </si>
  <si>
    <t>W/linear foot</t>
  </si>
  <si>
    <t>Ft</t>
  </si>
  <si>
    <t>Walkways less than 10 ft wide</t>
  </si>
  <si>
    <t>Main building entrance (2)</t>
  </si>
  <si>
    <t xml:space="preserve">Other exterior doors (2) </t>
  </si>
  <si>
    <t>Building Facades  (3)</t>
  </si>
  <si>
    <t>Total Exterior Building Allowance to be entered in Energy Models (4)</t>
  </si>
  <si>
    <t>Tradable</t>
  </si>
  <si>
    <t>Watts</t>
  </si>
  <si>
    <t>Non-Tradable</t>
  </si>
  <si>
    <t xml:space="preserve">(1) Enter area of all illuminated walls or surfaces in the Area column </t>
  </si>
  <si>
    <t>(2) Enter total linear foot of door width for main entrance doors</t>
  </si>
  <si>
    <t>(3) Enter total linear foot of all illuminated wall or surface length</t>
  </si>
  <si>
    <t>(4) Total values include additional 5% allowance per Section 9.4.5</t>
  </si>
  <si>
    <t>eQUEST Calculator - DHW Demand</t>
  </si>
  <si>
    <t>Low</t>
  </si>
  <si>
    <t>Fill in all blue cells</t>
  </si>
  <si>
    <t>Medium</t>
  </si>
  <si>
    <t>High</t>
  </si>
  <si>
    <t>Occupancy</t>
  </si>
  <si>
    <t>Low/medium/high usage (see Simulation Guidelines, 3.9.2)</t>
  </si>
  <si>
    <t>Hot Water Usage</t>
  </si>
  <si>
    <t>gallons per person per day</t>
  </si>
  <si>
    <t>Proposed Showerhead</t>
  </si>
  <si>
    <t>Proposed Kitchen Faucet</t>
  </si>
  <si>
    <t>Total Gal/day (occupant only)</t>
  </si>
  <si>
    <t>Proposed Bath Faucet</t>
  </si>
  <si>
    <r>
      <t>Total Gal/day</t>
    </r>
    <r>
      <rPr>
        <sz val="9"/>
        <color indexed="10"/>
        <rFont val="Calibri"/>
        <family val="2"/>
        <scheme val="minor"/>
      </rPr>
      <t xml:space="preserve"> (w/both DW &amp; CW)</t>
    </r>
  </si>
  <si>
    <t>Baseline DW</t>
  </si>
  <si>
    <t xml:space="preserve">GAL/YR PER APT   = </t>
  </si>
  <si>
    <t>gallons/day-apt (1 dishwasher)</t>
  </si>
  <si>
    <t>GPM w/ schedule shown below</t>
  </si>
  <si>
    <t>Proposed DW</t>
  </si>
  <si>
    <t>Baseline CW</t>
  </si>
  <si>
    <t>hot water gallons/yr  =</t>
  </si>
  <si>
    <t>Total hot water gallons/day (all clothes washers)</t>
  </si>
  <si>
    <t>Proposed CW</t>
  </si>
  <si>
    <t>Schedule used in eQUEST model</t>
  </si>
  <si>
    <t>DOE APT DHW</t>
  </si>
  <si>
    <t>Dishwashers</t>
  </si>
  <si>
    <t>Y</t>
  </si>
  <si>
    <t>Do apartments have dishwashers?  (Y/N)</t>
  </si>
  <si>
    <t>Are they Energy Star rated? (Y/N)</t>
  </si>
  <si>
    <t>Low-flow faucets</t>
  </si>
  <si>
    <t># of bedrooms</t>
  </si>
  <si>
    <t># kitchen faucets</t>
  </si>
  <si>
    <t># kitchens</t>
  </si>
  <si>
    <t># lav faucets</t>
  </si>
  <si>
    <t># lavatories (that require exhaust)</t>
  </si>
  <si>
    <t>Clothes Washers</t>
  </si>
  <si>
    <t># of clothes washers</t>
  </si>
  <si>
    <t>Are the clothes washers Energy Star rated? (Y/N/NA)</t>
  </si>
  <si>
    <t>washer and dryer</t>
  </si>
  <si>
    <t>DHW System</t>
  </si>
  <si>
    <t>DHW Storage Volume (gallons)</t>
  </si>
  <si>
    <t>DHW Storage Tank radius (ft)</t>
  </si>
  <si>
    <t>R-value</t>
  </si>
  <si>
    <t>Surface Area</t>
  </si>
  <si>
    <t>UA for eQuest</t>
  </si>
  <si>
    <t>Proposed Efficiency, %</t>
  </si>
  <si>
    <t>Proposed HIR/EIR for eQuest</t>
  </si>
  <si>
    <t>Baseline HIR/EIR for eQuest (for in-unit storage water heaters)</t>
  </si>
  <si>
    <t>eQUEST Calculator - In-Unit Lighting</t>
  </si>
  <si>
    <t>Rooms with more than one fixture type should be entered using multiple rows; square footage should be distributed between entries.</t>
  </si>
  <si>
    <t>Likewise, for some rooms, the areas for which lighting is specified may be LESS than the total area of the room. If the specified fixtures are intended to light only a portion of the room, enter the square feet of the lighted area only, per your own estimation, but not to exceed 3 square feet per Watt. (Ex. A 13 Watt wall sconce in a bedroom can light at most 39 square feet and should not be modeled as lighting the entire space.)</t>
  </si>
  <si>
    <t xml:space="preserve">Enter data in the cells highlighted in this color. </t>
  </si>
  <si>
    <t>Do not edit cells highlighted in this color.</t>
  </si>
  <si>
    <t>Do not edit cells highlighted in this color. These calculated values are to be entered into software as W/SF for Apartment zones.</t>
  </si>
  <si>
    <t>In-Unit Lighting Table</t>
  </si>
  <si>
    <t>Room Area, SqFt</t>
  </si>
  <si>
    <t>Fixture Code (from Interior Lighting tab)</t>
  </si>
  <si>
    <t>Fixture Wattage</t>
  </si>
  <si>
    <t>Number of such rooms in the building</t>
  </si>
  <si>
    <t>Total Area, SqFt</t>
  </si>
  <si>
    <t>Total Installed Wattage, W</t>
  </si>
  <si>
    <t>Illumination (footcandles or
lumens/SqFt)</t>
  </si>
  <si>
    <t>Total in-unit area with specified lighting, SqFt</t>
  </si>
  <si>
    <t>Total specified lighting, W</t>
  </si>
  <si>
    <t>Specified lighting power density, W/SqFt</t>
  </si>
  <si>
    <t>Proposed lighting power density, W/SqFt</t>
  </si>
  <si>
    <t>Baseline lighting power density, W/SqFt</t>
  </si>
  <si>
    <t>Room Types</t>
  </si>
  <si>
    <t>Bathroom</t>
  </si>
  <si>
    <t>Bedroom</t>
  </si>
  <si>
    <t>Closet</t>
  </si>
  <si>
    <t>Dining Room</t>
  </si>
  <si>
    <t>Family Room</t>
  </si>
  <si>
    <t>Hall</t>
  </si>
  <si>
    <t>Kitchen</t>
  </si>
  <si>
    <t>Living Room</t>
  </si>
  <si>
    <t>Utility Room</t>
  </si>
  <si>
    <t>eQUEST Calculator - Infiltration &amp; Ventilation</t>
  </si>
  <si>
    <t>Data to be entered into simulation software.</t>
  </si>
  <si>
    <t>Laundry Room</t>
  </si>
  <si>
    <t>Local Exhaust (62.2-2007)</t>
  </si>
  <si>
    <t>MINIMUM CONTINUOUS BASELINE EXHAUST VENTILATION:</t>
  </si>
  <si>
    <t>MINIMUM INTERMITTENT BASELINE EXHAUST VENTILATION:</t>
  </si>
  <si>
    <t>Kitchen Area:</t>
  </si>
  <si>
    <t>Kitchen Ceiling height:</t>
  </si>
  <si>
    <t>Continuous CFM equivalent to 5ACH (62.2-2007):</t>
  </si>
  <si>
    <t>Baseline CFM:</t>
  </si>
  <si>
    <t>Proposed CFM:</t>
  </si>
  <si>
    <t>Intermittent or Continuous?</t>
  </si>
  <si>
    <t>Whole Unit Ventilation Rate (62.2-2007)</t>
  </si>
  <si>
    <t>Studios</t>
  </si>
  <si>
    <t>1BR</t>
  </si>
  <si>
    <t>2BR</t>
  </si>
  <si>
    <t>3BR</t>
  </si>
  <si>
    <t>4BR</t>
  </si>
  <si>
    <t>Average Area (SqFt):</t>
  </si>
  <si>
    <t>Minimum CFM required:</t>
  </si>
  <si>
    <t>eQUEST Calculator - EIR for PTAC and PTHP</t>
  </si>
  <si>
    <t>For gas heated buildings using System 1 - PTAC, use the top chart to calculate cooling-EIR</t>
  </si>
  <si>
    <t>For electric heated buildings using System 2 - PTHP, use the bottom chart to calculate cooling-EIR</t>
  </si>
  <si>
    <t>Baseline PTAC fan energy should be simulated as 0.3 W/CFM</t>
  </si>
  <si>
    <t>Data to be entered in simulation software.</t>
  </si>
  <si>
    <t>Data to be entered in this spreadsheet and in simulation software.</t>
  </si>
  <si>
    <t>Common Space Systems</t>
  </si>
  <si>
    <t>Apartment Systems</t>
  </si>
  <si>
    <t>Common Space System1</t>
  </si>
  <si>
    <t>Common Space System2</t>
  </si>
  <si>
    <t>Common Space System3</t>
  </si>
  <si>
    <t>Common Space System4</t>
  </si>
  <si>
    <t>Common Space System5</t>
  </si>
  <si>
    <t>Common Space System6</t>
  </si>
  <si>
    <t>System Type</t>
  </si>
  <si>
    <t>PTAC</t>
  </si>
  <si>
    <t>Net Cooling Capacity (ARI Cond), Btu/Hr</t>
  </si>
  <si>
    <t>Fan BHP, actual</t>
  </si>
  <si>
    <t>Fan Motor Efficiency, actual</t>
  </si>
  <si>
    <t>CFM, actual</t>
  </si>
  <si>
    <t>Fan kW/CFM</t>
  </si>
  <si>
    <t>EIR or 1/COP</t>
  </si>
  <si>
    <t>PTHP</t>
  </si>
  <si>
    <t>EIR or 1/COP (Cooling)</t>
  </si>
  <si>
    <t>Net Heating Capacity, Btu/Hr</t>
  </si>
  <si>
    <t>COP (HEATING)</t>
  </si>
  <si>
    <t>EIR or 1/COP (HEATING)</t>
  </si>
  <si>
    <t>Water Savings Calculator</t>
  </si>
  <si>
    <t>First, fill in DHW Demand tab.</t>
  </si>
  <si>
    <t>In the "Baseline Fixture" table, enter an estimated number of uses/day for urinals in the appropriate space.  Enter "0" if there are no urinals in building.</t>
  </si>
  <si>
    <t>The baseline usage values will generate automatically.</t>
  </si>
  <si>
    <t>When on-site collected graywater or rainwater is used for sewage conveyance, the total estimated annual graywater quantity may be subtracted from the total annual design case water usage. Estimated graywater quantity may not be greater than the total usage of fixtures that utilize it. For example, if graywater will be used only in flush toilets, the estimated graywater quantity cannot be greater than the total annual water used by the toilets.  Estimate graywater usage for each fixture type and enter the value in the appropriate cell.</t>
  </si>
  <si>
    <t xml:space="preserve">The remaining values will generate automatically.  Water usage savings and cost savings may be reported as indicated in the Water Savings section of the Simulation Guidelines. </t>
  </si>
  <si>
    <t>Average Price per Gallon of Water</t>
  </si>
  <si>
    <t>No. of Occupants</t>
  </si>
  <si>
    <t>Dishwasher Savings (Gal/yr)</t>
  </si>
  <si>
    <t>Clothes Washers Savings (Gal/yr)</t>
  </si>
  <si>
    <t>Baseline Fixture</t>
  </si>
  <si>
    <t>Baseline Flow Rates (GPF/GPM)</t>
  </si>
  <si>
    <t>Baseline Usage (Gallons/year)</t>
  </si>
  <si>
    <t>Proposed Fixture</t>
  </si>
  <si>
    <t>Proposed Fixture Flow Rate (GPM/GPF)</t>
  </si>
  <si>
    <t>Graywater Usage (Gallons/year)</t>
  </si>
  <si>
    <t>Proposed Usage (Gallons/year)</t>
  </si>
  <si>
    <t>Savings by Fixture Type</t>
  </si>
  <si>
    <t>Water Usage Savings (Gallons/year)</t>
  </si>
  <si>
    <t>Cost Savings ($/year)</t>
  </si>
  <si>
    <t>First, fill out Basic Info and DHW tabs.</t>
  </si>
  <si>
    <t>First fill in the Basic Info and Water Savings tabs.</t>
  </si>
  <si>
    <t>The following worksheets assist in calculating inputs to eQUEST and similar simulation tools.</t>
  </si>
  <si>
    <t>Enter details and counts of installed lighting fixtures in apartments only. Square footage not illuminated by these fixtures will have a default lighting power density of 0.7 W/Sf assigned to both baseline and proposed. Installed fixtures in rooms where supplemental light will be provided by the occupant or through switched outlets, shall not be modeled as providing illumination for the entire room. Overall lighting power density is calculated on this worksheet for input into software.</t>
  </si>
  <si>
    <r>
      <t xml:space="preserve">Include all in-unit hard-wired lighting in this table. Rated wattage must include ballast (follow 90.1 User's manual or Appendix B of </t>
    </r>
    <r>
      <rPr>
        <i/>
        <sz val="9"/>
        <rFont val="Calibri"/>
        <family val="2"/>
        <scheme val="minor"/>
      </rPr>
      <t>Performance Path Requirements</t>
    </r>
    <r>
      <rPr>
        <sz val="9"/>
        <rFont val="Calibri"/>
        <family val="2"/>
        <scheme val="minor"/>
      </rPr>
      <t>).</t>
    </r>
  </si>
  <si>
    <t>Only the rooms for which there are specified hard-wired lighting fixtures should be entered in this table. Therefore, the total square feet that you list in this table might be smaller than the total square feet of the apartments. If there are multiple fixtures per room, distribute area accordingly.</t>
  </si>
  <si>
    <t>DHW Circulating Pumps - Control</t>
  </si>
  <si>
    <t>Total Project Occupiable Space</t>
  </si>
  <si>
    <t>See Simulation Guidelines
Section 3.6</t>
  </si>
  <si>
    <t>Tertiary Cooling System Type</t>
  </si>
  <si>
    <t>Tertiary Cooling System Quantity</t>
  </si>
  <si>
    <t>Tertiary Cooling System Capacity (tons)</t>
  </si>
  <si>
    <t>Space Cooling - Type and Efficiency (Tertiary)</t>
  </si>
  <si>
    <t xml:space="preserve">Additional Cooling Systems Note:  If there are more than 3 cooling systems, copy and paste the table above and paste it below the Renewable Energy system table.  For each additional cooling system,. there should be an additional set of three rows (Type, Efficiency, Capacity).  The words "Primary," "Secondary," etc. should be removed from the cooling system type row. </t>
  </si>
  <si>
    <t>If you need more rows, insert below this row &gt;&gt;&gt;</t>
  </si>
  <si>
    <t>Automatic Lighting Controls?</t>
  </si>
  <si>
    <t>PROPOSED W/SF with Sensors</t>
  </si>
  <si>
    <t xml:space="preserve">     For Prescriptive Path projects using this tool, the TOTAL proposed wattage cannot exceed ASHRAE 90.1-2010 allowances at all.</t>
  </si>
  <si>
    <t>11. Zones can exceed LPDs by more than 20%, but the TOTAL proposed wattage cannot exceed the TOTAL wattage in the baseline by more than 20%.</t>
  </si>
  <si>
    <t>Unlit Chases/Shafts</t>
  </si>
  <si>
    <t>Lounge/Recreation</t>
  </si>
  <si>
    <t>Exercise Area</t>
  </si>
  <si>
    <t>Select calculation method:</t>
  </si>
  <si>
    <t>Space-By-Space (90.1-2007)</t>
  </si>
  <si>
    <t>Building Area (90.1-2007)</t>
  </si>
  <si>
    <t>Space-By-Space (90.1-2010)</t>
  </si>
  <si>
    <t>Building Area (90.1-2010)</t>
  </si>
  <si>
    <t>LightCalcMethod</t>
  </si>
  <si>
    <t>LPD2007SS</t>
  </si>
  <si>
    <t>LPD2010SS</t>
  </si>
  <si>
    <t>LPD2007WB</t>
  </si>
  <si>
    <t>LPD2010WB</t>
  </si>
  <si>
    <t>Inline or Range Hood</t>
  </si>
  <si>
    <t>Rooftop/Other</t>
  </si>
  <si>
    <t>FanRate</t>
  </si>
  <si>
    <t>Ceiling ( 10-80 CFM)</t>
  </si>
  <si>
    <t>Annual Fans</t>
  </si>
  <si>
    <t>Annual Pumps</t>
  </si>
  <si>
    <t>Heating fuel</t>
  </si>
  <si>
    <t xml:space="preserve">GPM Low Flow Fixtures </t>
  </si>
  <si>
    <t>GPM for CW</t>
  </si>
  <si>
    <t>GPM for DW</t>
  </si>
  <si>
    <t>REDUCTIONS</t>
  </si>
  <si>
    <t>MMBtu/hr</t>
  </si>
  <si>
    <t>3. Data to be entered into eQuest.</t>
  </si>
  <si>
    <t>n/a</t>
  </si>
  <si>
    <t>For proposed indirect DHW systems, refer to the Indirect DHW calculations box for further instructions.</t>
  </si>
  <si>
    <t>For all other proposed DHW systems, enter data from orange cells into eQuest.</t>
  </si>
  <si>
    <t>Process load for low-flow fixture parametric run</t>
  </si>
  <si>
    <t>Process load for indirect DHW parametric run</t>
  </si>
  <si>
    <t>GPM for Low Flow Fixtures parametric run</t>
  </si>
  <si>
    <t>1. Complete steps listed above.</t>
  </si>
  <si>
    <t>2. These calculations are only valid if modeled in the following order: the appliance parametric runs must be modeled first, then the indirect DHW parametric run, and then finally the low-flow fixture parametric run.</t>
  </si>
  <si>
    <t>Indirect DHW Calculations</t>
  </si>
  <si>
    <t>HVAC - Fan/air handlers</t>
  </si>
  <si>
    <t>Envelope - Floor Insulation</t>
  </si>
  <si>
    <t>HVAC - Distribution System</t>
  </si>
  <si>
    <t>HVAC - Controls</t>
  </si>
  <si>
    <t>Lighting - Exterior Fixtures</t>
  </si>
  <si>
    <t>Other - EC Motors</t>
  </si>
  <si>
    <t>HVAC - VRF (cooling only)</t>
  </si>
  <si>
    <t>HVAC - VRF (heating and cooling)</t>
  </si>
  <si>
    <t>HVAC - VRF (heating only)</t>
  </si>
  <si>
    <t>Other - Exhaust fans (ENERGY STAR)</t>
  </si>
  <si>
    <t>In eQuest, exterior lighting should be entered in the "Utility &amp; Economics" section, under Electric Meter as a Direct Exterior Load, with Exterior Usage enduse and a 12 hr/day schedule.</t>
  </si>
  <si>
    <t>EEPS Eligible?</t>
  </si>
  <si>
    <t>Majority Fuel Savings</t>
  </si>
  <si>
    <t>EEPS Funding Source</t>
  </si>
  <si>
    <t>Non-EEPS Funding Source</t>
  </si>
  <si>
    <t>Project Funding Overview</t>
  </si>
  <si>
    <t>Step 1: Determine funding eligibility</t>
  </si>
  <si>
    <t>EEPS Funding Cap</t>
  </si>
  <si>
    <t>Assigned EEPS Incentives</t>
  </si>
  <si>
    <t>Non-EEPS Incentives</t>
  </si>
  <si>
    <t>Incentive 1</t>
  </si>
  <si>
    <t>Incentive 2</t>
  </si>
  <si>
    <t>Incentive 3</t>
  </si>
  <si>
    <t>Total Incentive</t>
  </si>
  <si>
    <t>Published Incentive Schedule</t>
  </si>
  <si>
    <t>Project-Level TRC</t>
  </si>
  <si>
    <t>Eligible Funding</t>
  </si>
  <si>
    <t>Step 2: Determine Funding Splits</t>
  </si>
  <si>
    <t>1. Review table below to determine the best way to split EEPS funding between gas and electric.</t>
  </si>
  <si>
    <t>EEPS Funding Sources</t>
  </si>
  <si>
    <t>MPPMREINC</t>
  </si>
  <si>
    <t>MPPLIEINC</t>
  </si>
  <si>
    <t>MPPMRGINC</t>
  </si>
  <si>
    <t>MPPLIGINC</t>
  </si>
  <si>
    <t>Sum of Measure</t>
  </si>
  <si>
    <t>Sum of</t>
  </si>
  <si>
    <t>Measure Cost</t>
  </si>
  <si>
    <t>Funding split by</t>
  </si>
  <si>
    <t>Funding Split by</t>
  </si>
  <si>
    <t>Measure Savings</t>
  </si>
  <si>
    <t>Split chosen:</t>
  </si>
  <si>
    <t>&lt;Select one&gt;</t>
  </si>
  <si>
    <t>Measure cost</t>
  </si>
  <si>
    <t>Measure savings</t>
  </si>
  <si>
    <t>Split type</t>
  </si>
  <si>
    <t>Non-EEPS Funding Sources</t>
  </si>
  <si>
    <t>RGGIMPP</t>
  </si>
  <si>
    <t>RGGIMPPLI</t>
  </si>
  <si>
    <t>GAH</t>
  </si>
  <si>
    <t>Owner - Gas</t>
  </si>
  <si>
    <t>Owner - Electric</t>
  </si>
  <si>
    <t>Incentives</t>
  </si>
  <si>
    <t>Savings (MMBtu)</t>
  </si>
  <si>
    <t>Total Incentive per schedule</t>
  </si>
  <si>
    <t>Step 3: Comparison to Program Goals</t>
  </si>
  <si>
    <t>1. Compare incentives per MWH and MMBtu, based on incentive selections above.</t>
  </si>
  <si>
    <t>Program $ Per MWh</t>
  </si>
  <si>
    <t>Program $ per MMBtu</t>
  </si>
  <si>
    <t>Goal</t>
  </si>
  <si>
    <t>Percent of Total Measure</t>
  </si>
  <si>
    <t>Used for Calculations Above</t>
  </si>
  <si>
    <t>PV of Benefits for Project TRC</t>
  </si>
  <si>
    <t>PV of Costs for Project TRC</t>
  </si>
  <si>
    <t>Program Savings Goals</t>
  </si>
  <si>
    <t>MR Elec</t>
  </si>
  <si>
    <t>LI Elec</t>
  </si>
  <si>
    <t>MR Gas</t>
  </si>
  <si>
    <t>LI Gas</t>
  </si>
  <si>
    <t>per MWh</t>
  </si>
  <si>
    <t>per MMBtu</t>
  </si>
  <si>
    <t>EEPS Funding</t>
  </si>
  <si>
    <t>Project Savings</t>
  </si>
  <si>
    <t>PV of Benefits</t>
  </si>
  <si>
    <t>Project name</t>
  </si>
  <si>
    <t>Revised Total Project Incentives</t>
  </si>
  <si>
    <t>Funding Sources</t>
  </si>
  <si>
    <t>Total Cost of Eligible Measures</t>
  </si>
  <si>
    <t>Gas/ Fuel Incentive Cap</t>
  </si>
  <si>
    <t>Electric Incentive Cap</t>
  </si>
  <si>
    <t>GJGNY</t>
  </si>
  <si>
    <t>Gas%</t>
  </si>
  <si>
    <t>Electric %</t>
  </si>
  <si>
    <t>Payment #1</t>
  </si>
  <si>
    <t>Payment #2</t>
  </si>
  <si>
    <t>Payment #4</t>
  </si>
  <si>
    <t>Payment #3</t>
  </si>
  <si>
    <t>Total Payment Amount</t>
  </si>
  <si>
    <t>Gas/ Fuel</t>
  </si>
  <si>
    <t>Split based on Cost</t>
  </si>
  <si>
    <t>Split based on Savings</t>
  </si>
  <si>
    <t>Total Incentives from Table above</t>
  </si>
  <si>
    <t>Total Incentives from Calculator Above</t>
  </si>
  <si>
    <t>Cost of Scope of Work</t>
  </si>
  <si>
    <t>Do Partner Fees need to be added?</t>
  </si>
  <si>
    <t>Revised Assigned EEPS incentives</t>
  </si>
  <si>
    <t>Additional amount needed to hit 50% cap</t>
  </si>
  <si>
    <t>Partner Fees added</t>
  </si>
  <si>
    <t>Owner - Other</t>
  </si>
  <si>
    <t>1. Assign funding sources in column AG of Detailed Measures tab for measures not eligible for EEPS funding.</t>
  </si>
  <si>
    <t>2. Compare incentives by funding source calculated in Funding Amount Change Request calculator to incentive caps based on total cost of eligible measures (rows 82-84)</t>
  </si>
  <si>
    <t>Revised % Work covered by incentive</t>
  </si>
  <si>
    <t>% Work covered by incentive</t>
  </si>
  <si>
    <t>Assign Partner Fees added to:</t>
  </si>
  <si>
    <t>Gas/Fuel Partner Fee Amount</t>
  </si>
  <si>
    <t>Electric Partner Fee Amount</t>
  </si>
  <si>
    <t>3. Copy and paste the green cells into the Funding Amount Change Request form.  Also, remember to indicate the split type, as chosen above in Step 2.</t>
  </si>
  <si>
    <t>Version 6, 50+ units</t>
  </si>
  <si>
    <t>Version 6, 5-49 Units</t>
  </si>
  <si>
    <t>Partner Notes - Use this section to include any notes about the information entered above.</t>
  </si>
  <si>
    <t xml:space="preserve">Revision Notes - Provide a narrative describing any additional changes made to the energy models between this and the last revision not addressed by the responses to the review comments. </t>
  </si>
  <si>
    <t>Auto-sized based on 20 °F ΔT</t>
  </si>
  <si>
    <t>Space 2007</t>
  </si>
  <si>
    <t>Space 2010</t>
  </si>
  <si>
    <t>Building 2007</t>
  </si>
  <si>
    <t>Building 2010</t>
  </si>
  <si>
    <t>Base Min FC</t>
  </si>
  <si>
    <t>RCR</t>
  </si>
  <si>
    <t xml:space="preserve">Light Source &amp; Distribution </t>
  </si>
  <si>
    <t>CU at RCR=A</t>
  </si>
  <si>
    <t>CU at RCR=B</t>
  </si>
  <si>
    <t>CU at RCR=C</t>
  </si>
  <si>
    <t>LLF</t>
  </si>
  <si>
    <t>LE</t>
  </si>
  <si>
    <t>IESNA fixture code</t>
  </si>
  <si>
    <t>Community or Computer Room</t>
  </si>
  <si>
    <t>CF: Downlight Open</t>
  </si>
  <si>
    <t>CF: Indirect Pendant</t>
  </si>
  <si>
    <t>CF: Indirect Wall Sconce</t>
  </si>
  <si>
    <t>FL: Direct/Indirect-Non-VDT</t>
  </si>
  <si>
    <t>FL: Fluorescent Industrial</t>
  </si>
  <si>
    <t>FL: Linear Direct lensed</t>
  </si>
  <si>
    <t>FL: Linear Indirect w/louver</t>
  </si>
  <si>
    <t>FL: Linear Wall Cove</t>
  </si>
  <si>
    <t>534-2</t>
  </si>
  <si>
    <t>FL: Linear WW Open 1 wall</t>
  </si>
  <si>
    <t>537-1</t>
  </si>
  <si>
    <t>FL: Linear WW open - 2 walls</t>
  </si>
  <si>
    <t>537-2</t>
  </si>
  <si>
    <t>FL:Task</t>
  </si>
  <si>
    <t>INC: Indirect Pendant</t>
  </si>
  <si>
    <t>LED:</t>
  </si>
  <si>
    <t>MH: Indirect Pendant</t>
  </si>
  <si>
    <t>MH: Low Bay Lensed</t>
  </si>
  <si>
    <t>559-1</t>
  </si>
  <si>
    <t>PAR: Downlight open - flood</t>
  </si>
  <si>
    <t>Apt Qty</t>
  </si>
  <si>
    <t>RCR 
A=1, B=4, C=7</t>
  </si>
  <si>
    <t xml:space="preserve">TEFavg Calculated (IESNA) </t>
  </si>
  <si>
    <t>1. Fill in cells highlighted with this color, including the Watts/fixture and Light Source in Column K&amp;L.</t>
  </si>
  <si>
    <t>2. When available, provide manufacturer, model, location, and whether ENERGY STAR qualified.</t>
  </si>
  <si>
    <t>3. List NON-APARTMENT rooms in the building that have specified lighting by FLOOR. For typical floors, indicate the floor multiplier in Column J.</t>
  </si>
  <si>
    <t>4. List square footages for all NON-APARTMENT spaces in Column B (do not assign square footages to rows for Exit Signs).</t>
  </si>
  <si>
    <t>5. Indicate how many fixtures of each type are in each room in Column F.</t>
  </si>
  <si>
    <t>6. Use drop down menu to indicate the ASHRAE space type for calculating baseline LPD's.</t>
  </si>
  <si>
    <t>7. Rooms with more than one fixture type should be entered using multiple rows; square footage should be distributed between entries.</t>
  </si>
  <si>
    <t xml:space="preserve">10.Red cells indicate ZONES where proposed lighting exceed ASHRAE LPD by more than 20%. </t>
  </si>
  <si>
    <t xml:space="preserve">If Proposed façade lighting is less than Baseline allowance, model baseline the same as proposed. </t>
  </si>
  <si>
    <t>TEF</t>
  </si>
  <si>
    <t>Room Lighting Power Density, W/SF</t>
  </si>
  <si>
    <t>Cells highlighted in yellow indicate spaces where estimated lumen output of fixture does not provide minimum illumination (10 lumens/SqFt) per IESNA.</t>
  </si>
  <si>
    <t>PSI</t>
  </si>
  <si>
    <t>In the "Proposed Fixture" table, enter the flow rate and corresponding pressure (PSI) for each proposed fixture type.</t>
  </si>
  <si>
    <t>Showerhead gpm</t>
  </si>
  <si>
    <r>
      <t>Faucet gpm</t>
    </r>
    <r>
      <rPr>
        <sz val="9"/>
        <color indexed="10"/>
        <rFont val="Calibri"/>
        <family val="2"/>
        <scheme val="minor"/>
      </rPr>
      <t xml:space="preserve"> (weighted AVG)</t>
    </r>
  </si>
  <si>
    <t>HW gallons/day/occupant</t>
  </si>
  <si>
    <t>Apartment balcony lighting should be evaluated as Tradable Surfaces "Other Doors", and modeled using the 2.34 hr/day schedule. In eQUEST, assign to "Exterior" end use.</t>
  </si>
  <si>
    <t>Apartment Balcony Doors (2)</t>
  </si>
  <si>
    <t>Project County</t>
  </si>
  <si>
    <t>Project Zip Code:</t>
  </si>
  <si>
    <t>Project City, State, County:</t>
  </si>
  <si>
    <t xml:space="preserve">Added two ASHRAE space types (Lounge/Recreation and Exercise Area). </t>
  </si>
  <si>
    <t xml:space="preserve">Deleted the “Mechanically Ventilated?” column for each space type.  </t>
  </si>
  <si>
    <t>Removed “Non-Residential Spaces” from “Total Project Square Footage”.</t>
  </si>
  <si>
    <t>Added "Revision Notes" section to the bottom of the sheet.  This section is to be used with every revision, including As-Built Rev0, to help the reviewers understand what changes have occured in the model (and/or design) since the last review.</t>
  </si>
  <si>
    <t xml:space="preserve">Comment added that appears only if common area lighting exceed prerequisite (20% over ASHRAE).  </t>
  </si>
  <si>
    <t>Separated out the Annual Other end use to Annual Fans and Annual Pumps.</t>
  </si>
  <si>
    <t>Comment added that GPM flowrates entered must be the GPM rated at 80 psi.</t>
  </si>
  <si>
    <t xml:space="preserve">Updated to allow Prescriptive Path users to compare to 90.1-2010. </t>
  </si>
  <si>
    <t>Added to note in lumen/fixture column that screw-in LEDs should use 70 lumen/Watt.</t>
  </si>
  <si>
    <t xml:space="preserve">Provided functionality to reduce W/sf for spaces if using automatic controls. </t>
  </si>
  <si>
    <t xml:space="preserve">Note provided to caution users to only insert rows at the end of tables. </t>
  </si>
  <si>
    <t xml:space="preserve">Food prep and family dining areas removed from ASHRAE space type drop-down. If these areas exist in common spaces, use "Multipurpose". </t>
  </si>
  <si>
    <t>Drop-down added to indicate Space-by-Space or Building Area method for both 2007 and 2010.</t>
  </si>
  <si>
    <t xml:space="preserve">Changed the “24/7?” column to “Notes”, as any fixture type may be used in both 24/7 and non-24/7 spaces.  </t>
  </si>
  <si>
    <t>Added note in instructions section clarifying requirement that total proposed wattage cannot exceed the total baseline wattage by more than 20%, as well as the similar comment for Prescriptive projects.</t>
  </si>
  <si>
    <t xml:space="preserve">Range hood included as an option in the drop-down menu for Exhaust Fan type; Rooftop expanded to include "other".  </t>
  </si>
  <si>
    <t>Updated exhaust fan calculations so that they are functional now.</t>
  </si>
  <si>
    <t>EIR for PTAC and PTHP</t>
  </si>
  <si>
    <t>Added Efficiency Conversion Calculator (SEER to EER; HSPF to COP)</t>
  </si>
  <si>
    <t>General Updates</t>
  </si>
  <si>
    <t>Infiltration/Ventilation</t>
  </si>
  <si>
    <t xml:space="preserve">Added ASHRAE 90.1-2010 Zones 2-3 into the table. Added warning for proposed building façade lighting exceeding baseline. Added Base site allowance dropdown to add into tradable or non-tradable equations. </t>
  </si>
  <si>
    <t>Revised instruction #4 &amp; #6 to assign exterior lighting to the "exterior" end-use category. Separated apartment balcony lighting to facilitate reporting.</t>
  </si>
  <si>
    <t>Added two ASHRAE space types (Lounge/Recreation and Exercise Area)</t>
  </si>
  <si>
    <t>Added ASHRAE space types.</t>
  </si>
  <si>
    <t xml:space="preserve">Updated footcandle calculations to be based on light source &amp; distribution. Incorporated room type into this equation.   </t>
  </si>
  <si>
    <t>Updated foot candle warning.</t>
  </si>
  <si>
    <t>Added instructional comment to remind users to add ballast power to "Watts/Fixture" entry in schedule</t>
  </si>
  <si>
    <t>In-unit lighting</t>
  </si>
  <si>
    <t xml:space="preserve">Added lookup for illumination. It is based on the Interior Lighting worksheet. </t>
  </si>
  <si>
    <t>Modified error check to check for appropriate calculations of lit area and to calculate average footcandles and room-by-room lighting power densities.</t>
  </si>
  <si>
    <t xml:space="preserve">Incorporated Low/Medium/High Usage into the proposed and baseline water usage. Incorporated PSI for fixture types in baseline and proposed fixtures. </t>
  </si>
  <si>
    <t xml:space="preserve">Incorporated PSI into avg faucet gpm. Based baseline &amp; proposed avg faucet gpm and showerhead gpm on PSI for fixture types.  </t>
  </si>
  <si>
    <t>Added "County" to Table 1 to facilitate confirmation of Climate Zone.</t>
  </si>
  <si>
    <t>ENERGY STAR Multifamily High Rise
Reporting Summary, Version 1.4</t>
  </si>
  <si>
    <t>Gross Floor Area (Select "Multifamily Housing" as Primary Function)</t>
  </si>
  <si>
    <t>Number of Stories (1-4 "Low-rise": 5-9 "Mid-rise": 10+ "High-rise")</t>
  </si>
  <si>
    <t>Number of Laundry Hookups in All Units</t>
  </si>
  <si>
    <t>Number of Laundry Hookups in Common Area (s)</t>
  </si>
  <si>
    <t>Number of Residential Living Units (must exceed 20 per "property")</t>
  </si>
  <si>
    <t>Estimated Total Annual Energy Use, kWh (thousand Watt-hours)</t>
  </si>
  <si>
    <t>Estimated Total Annual Energy Use, MBtu (million Btu)</t>
  </si>
  <si>
    <t>&lt;Please use this space to describe features/systems of the building as needed&gt;</t>
  </si>
  <si>
    <t>Common space lighting power density</t>
  </si>
  <si>
    <t>Exterior lighting power (Total)</t>
  </si>
  <si>
    <t>Exterior lighting power (Apt Balconies)</t>
  </si>
  <si>
    <t>Apartment Whole-House Ventilation System</t>
  </si>
  <si>
    <t>Type, CFM &amp; Watt</t>
  </si>
  <si>
    <t>Apartment Bathroom Local Exhaust Ventilation</t>
  </si>
  <si>
    <t>Intermittent/cont</t>
  </si>
  <si>
    <t>Apartment Kitchen Local Exhaust Ventilation</t>
  </si>
  <si>
    <t>Weighted Average of installed footcandles must exceed 10</t>
  </si>
  <si>
    <t>Added "Project county"</t>
  </si>
  <si>
    <t>Automated the heating fuel column.</t>
  </si>
  <si>
    <t>Model Input</t>
  </si>
  <si>
    <t>Included in 0.003 W/CFM baseline allowance</t>
  </si>
  <si>
    <t>Corridor - Supply Fans (kW)</t>
  </si>
  <si>
    <t>From ASHRAE 90.1 Appx G 3.1.2.10: no additional allowance for ventilation fans</t>
  </si>
  <si>
    <t>Other Ventilation Fans (CFM)</t>
  </si>
  <si>
    <t>Other Ventilation Fans (hp)</t>
  </si>
  <si>
    <t>Other Ventilation Fans (efficiency)</t>
  </si>
  <si>
    <t>Other Ventilation Fans Power (kW)</t>
  </si>
  <si>
    <t>Included in W/CFM baseline allowance per ASHRAE 90.1 Appx G3.1.2.10</t>
  </si>
  <si>
    <t>Included in W/CFM baseline allowance per ASHRAE 90.1 Appx G3.1.2.11</t>
  </si>
  <si>
    <t>Included in W/CFM baseline allowance per ASHRAE 90.1 Appx G3.1.2.12</t>
  </si>
  <si>
    <t>If Demand Control (DCV) in the Proposed Design, then baseline CFM must be the lesser of the 1.5 CFM/SF or the actual specified flow rate; otherwise same as Proposed or As-Built (SG 3.14.5, Mechanical Code of NYS Section 404)</t>
  </si>
  <si>
    <t>Proposed or As-Built HP multiplied by the ratio of (Baseline Exhaust CFM)/(Proposed Exhaust CFM)</t>
  </si>
  <si>
    <t>Table 4. ENERGY STAR Portfolio Manager Input</t>
  </si>
  <si>
    <t>Updated Table 4 to get inputs necessary for Portfolio Manager.</t>
  </si>
  <si>
    <t>Major overhaul of this tab that cannot be adequately captured by narrative.  Check it out.</t>
  </si>
  <si>
    <t>Efficiency Conversion Calculator</t>
  </si>
  <si>
    <t>SEER to EER</t>
  </si>
  <si>
    <t>HSPF to COP at AHRI condition</t>
  </si>
  <si>
    <t>All Single Package Equipment</t>
  </si>
  <si>
    <t>Split Systems &lt; 65,000 BTUH</t>
  </si>
  <si>
    <t>All other Split Systems</t>
  </si>
  <si>
    <t>Added "General Notes" section to the bottom of most tabs.  These notes fields are intended to allow the Partners to make comments in addition to what it easily input into the templated tables.  Adding notes are NOT mandatory, but instead should only be used when the Partners feel it is needed.</t>
  </si>
  <si>
    <t>Release Date 11/2014</t>
  </si>
  <si>
    <t>Outdoor Airflow (CFM)</t>
  </si>
  <si>
    <t>Supply Airflow (CFM)</t>
  </si>
  <si>
    <t xml:space="preserve">Although developed initially for eQuest users, the approach can be used for other simulation software if needed. </t>
  </si>
  <si>
    <t>Supply and exhaust ventilation CFM and fan power must be modeled explicitly and cannot be combined with infiltration</t>
  </si>
  <si>
    <t>Red cells flag incorrect or missing inputs or design parameters</t>
  </si>
  <si>
    <t>Aspect Ratio from DOE benchmark midrise apartment model</t>
  </si>
  <si>
    <t>Typical building width, FT</t>
  </si>
  <si>
    <t>Estimated ceiling height, FT</t>
  </si>
  <si>
    <t>Total conditioned floor area, SF</t>
  </si>
  <si>
    <t xml:space="preserve">Gross Exterior Wall Area, SF </t>
  </si>
  <si>
    <t>Roof Area over conditioned space, SF</t>
  </si>
  <si>
    <t>Volume, CuF</t>
  </si>
  <si>
    <t>Proposed / As-built</t>
  </si>
  <si>
    <t>Cs</t>
  </si>
  <si>
    <t>kg/m3</t>
  </si>
  <si>
    <t>Uh</t>
  </si>
  <si>
    <t>m/s</t>
  </si>
  <si>
    <t>n</t>
  </si>
  <si>
    <t>alfa bldg</t>
  </si>
  <si>
    <t>Infiltration Input Type</t>
  </si>
  <si>
    <t>I design</t>
  </si>
  <si>
    <t>CFM/SF envelope area</t>
  </si>
  <si>
    <t>Kitchen each</t>
  </si>
  <si>
    <t>Bathroom each</t>
  </si>
  <si>
    <t>MAX ALLOWED TOTAL</t>
  </si>
  <si>
    <t>MAXIMUM CONTINUOUS BASELINE EXHAUST VENTILATION CFM:</t>
  </si>
  <si>
    <t>MAXIMUM INTERMITTENT BASELINE EXHAUST VENTILATION CFM:</t>
  </si>
  <si>
    <t>Kitchen ea</t>
  </si>
  <si>
    <t>Bathroom ea</t>
  </si>
  <si>
    <t>MIN ALLOWED TOTAL</t>
  </si>
  <si>
    <t>Fan Type</t>
  </si>
  <si>
    <t>Proposed CFM each:</t>
  </si>
  <si>
    <t>Baseline CFM each:</t>
  </si>
  <si>
    <t>MAXIMUM ALLOWED CFM TOTAL</t>
  </si>
  <si>
    <t>MINIMUM ALLOWED CFM TOTAL</t>
  </si>
  <si>
    <t>PROPOSED CFM TOTAL</t>
  </si>
  <si>
    <t>Trickle Vents?</t>
  </si>
  <si>
    <t>Total Baseline CFM</t>
  </si>
  <si>
    <t>Total Proposed CFM</t>
  </si>
  <si>
    <t>Corridors</t>
  </si>
  <si>
    <t>Infiltration CFM/SF envelope area @ 50 pa</t>
  </si>
  <si>
    <t>Continuous Exhaust Ventilation, CFM</t>
  </si>
  <si>
    <t>Continuous Ventilation Duct Leakage (Baseline add 10 CFM/floor per shaft)</t>
  </si>
  <si>
    <t>Continuous Exhaust Fan Power, kW (total for all fans serving the space type); Note 1</t>
  </si>
  <si>
    <t>Calculated</t>
  </si>
  <si>
    <t>Intermittent Exhaust Ventilation, CFM</t>
  </si>
  <si>
    <t>Intermittent Exhaust Fan Power, kW (total for all fans serving the space type); Note 1</t>
  </si>
  <si>
    <t>Outdoor Air (OA) CFM</t>
  </si>
  <si>
    <t xml:space="preserve">Infiltration ACH </t>
  </si>
  <si>
    <t>same in the baseline and proposed</t>
  </si>
  <si>
    <t xml:space="preserve">Infiltration Schedule </t>
  </si>
  <si>
    <t>Set all hourly fractions to 0.5</t>
  </si>
  <si>
    <t>Continuous Exhaust  CFM (Note 2)</t>
  </si>
  <si>
    <t>Continuous Exhaust Schedule (Note 3)</t>
  </si>
  <si>
    <t>Set all hourly fractions to 1</t>
  </si>
  <si>
    <t>Continuous Exhaust Fan Power, kW (Note 3)</t>
  </si>
  <si>
    <t>Intermittent Exhaust Fan Power, KW (Note 4)</t>
  </si>
  <si>
    <t>Intermittent Exhaust Schedule (Note 4)</t>
  </si>
  <si>
    <t>Outdoor Air CFM (Note 5)</t>
  </si>
  <si>
    <t>Calculate Fan kW for the proposed design as BHP*0.746 / Motor Efficiency. If BHP is unknown, which may be the case for small packaged systems, it may be estimated as 85% of rated fan motor HP.</t>
  </si>
  <si>
    <t>Set Infiltration Method to "Air Change" in eQUEST</t>
  </si>
  <si>
    <t xml:space="preserve">Enter exhaust on Air-Side HVAC Zone Parameters window, Outdoor Air tab, Exhaust Air group of inputs. </t>
  </si>
  <si>
    <t>-Assign flow CFM as appropriate to each thermal zone</t>
  </si>
  <si>
    <t>-Set kW per Flow based on the table above</t>
  </si>
  <si>
    <t>- Set Control to Constant Volume</t>
  </si>
  <si>
    <t>- Set Source to Infiltration</t>
  </si>
  <si>
    <t>- Set Flow Sched as noted in the table above</t>
  </si>
  <si>
    <t>- Use Parametric Runs to modify Exhaust kW/CFM in the proposed design; Exhaust Flow CFM may also need to be modified if project has over-ventilation penalty</t>
  </si>
  <si>
    <t>Intermittent Exhaust fan power must be entered as direct load on the meter.</t>
  </si>
  <si>
    <t>Enter OA CFM on Air-Side HVAC Zone Parameters window, Outdoor Air tab, Outodoor Air group of inputs. This input always applies to corridors, and may apply to apartments if make-up air is supplied mechanically and not via trickle vents.</t>
  </si>
  <si>
    <t>Updated ventilation section to correspond with updated Simulation Guidelines.</t>
  </si>
  <si>
    <t>Version 6.1 November 2014</t>
  </si>
  <si>
    <t>Version 6.1 Updates</t>
  </si>
  <si>
    <t>Same as Proposed or As-Built, but not to exceed 30 CFM/bathroom (continuous) or 75 CFM/bathroom (intermittent - 2hr/day)</t>
  </si>
  <si>
    <t>Same as Proposed or As-Built, but not to exceed  7.5 ACH/kitchen (continuous) or 150 CFM/kitchen (intermittent - 2hr/day)</t>
  </si>
  <si>
    <t>Corrected maximum bathroom and kitchen intermittent exhaust rates (CFM) in baseline description.  (Should be 50% above ASHRAE 62.2.)</t>
  </si>
  <si>
    <t>Automated the plug load value in Table 6.</t>
  </si>
  <si>
    <t>End Use contribution to performance rating (pts)</t>
  </si>
  <si>
    <t>End use contribution to cost savings (%)</t>
  </si>
  <si>
    <t>Added calculation determining the contribution of each end use to overall savings (% and points).</t>
  </si>
  <si>
    <t>2. Select split type to be used for Project Funding (cell H30).</t>
  </si>
  <si>
    <t>Step 4: Determine Partner Fees Allocation</t>
  </si>
  <si>
    <t>Step 5: Complete Funding Amount Change Request</t>
  </si>
  <si>
    <t>1. Ensure split type is chosen above in cell H30.</t>
  </si>
  <si>
    <t>1. If you added Partner fees to eligible funding above (cell C24), complete Partner Fee assignment below.  If no Partner fees were added, move to Step 5.</t>
  </si>
  <si>
    <t xml:space="preserve">          a. Select how to fund added Partner fees by choosing the best option in cell C66.</t>
  </si>
  <si>
    <t xml:space="preserve">          b.  The values assigned to each funding source are listed in cells C68 and C69, based on the split chosen in C66.</t>
  </si>
  <si>
    <t>Secondary Cooling System Efficiency (EER)</t>
  </si>
  <si>
    <t>Tertiary Cooling System Efficiency (EER)</t>
  </si>
  <si>
    <t>AFUE / HSPF, etc.</t>
  </si>
  <si>
    <t>EF / Et</t>
  </si>
  <si>
    <t>*REMEMBER: Please enter all apartment lighting in the "In-unit Lighting" tab, not here.</t>
  </si>
  <si>
    <t>Default Lumen/Watt</t>
  </si>
  <si>
    <t>*Enter manufacturer/model only once fixtures are specified.</t>
  </si>
  <si>
    <t>Split</t>
  </si>
  <si>
    <t>Project $ per MWh</t>
  </si>
  <si>
    <t>Project $ per MMBtu</t>
  </si>
  <si>
    <t>2. Determine if project needs Partner Fees added to get the eligible incentives to at least 50% of the project's cost (capped at published incentive schedule amount).</t>
  </si>
  <si>
    <t xml:space="preserve">          2a. If eligible incentives are 50% or more of the total cost of the project, then no changes need to be made (see cell C22).</t>
  </si>
  <si>
    <t xml:space="preserve">          2b.  If eligible incentives are less than 50% of total cost of the project, then add Partner Fees using cell C24. C23 calculates the the amount needed to hit the 50% target or the
               incentive cap, whichever is lower.</t>
  </si>
  <si>
    <t>3. Review project-level TRC ratio in cell E18.</t>
  </si>
  <si>
    <t>4. If I passes, move to Step 2.  If not, look for options to get project to pass.</t>
  </si>
  <si>
    <t xml:space="preserve">          4a. Reduce Partner Fees added, if they were added below.</t>
  </si>
  <si>
    <t xml:space="preserve">          4b. Remove measures with low TRC ratios (close to 1.0) from the project-level analysis by selecting "No" in column AD of Detailed Measures tab.</t>
  </si>
  <si>
    <t xml:space="preserve">          4c. Reduce the dollar amount of EEPS incentives in cell C19 below.</t>
  </si>
  <si>
    <t>Total kW Demand Savings</t>
  </si>
  <si>
    <t>MPP Program Version</t>
  </si>
  <si>
    <t>V6.1</t>
  </si>
  <si>
    <t>Added "MPP Program Version" to assign correct incentives based on which phase of Version 6 the project is subject to.</t>
  </si>
  <si>
    <t>V6.2</t>
  </si>
  <si>
    <t>V6.3</t>
  </si>
  <si>
    <t>Corrections made to cell references in Infiltration &amp; Ventilation tab to reference the correct cells in the DHW Demand tab. Corrections made on the Appliance tab so the elevator calculation matches the table in the Simulation Guidelines (page 26.)</t>
  </si>
  <si>
    <t>Version 6 November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</si>
</sst>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63">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
    <numFmt numFmtId="167" formatCode="#,##0.0"/>
    <numFmt numFmtId="168" formatCode="0.000"/>
    <numFmt numFmtId="169" formatCode="0.0000"/>
    <numFmt numFmtId="170" formatCode="0.00000000"/>
    <numFmt numFmtId="171" formatCode="0.00000"/>
    <numFmt numFmtId="172" formatCode="0.0000000"/>
    <numFmt numFmtId="173" formatCode="0.000000"/>
    <numFmt numFmtId="174" formatCode="&quot;$&quot;#,##0"/>
    <numFmt numFmtId="175" formatCode="_(* #,##0_);_(* \(#,##0\);_(* &quot;-&quot;??_);_(@_)"/>
    <numFmt numFmtId="176" formatCode="_(* #,##0.000_);_(* \(#,##0.000\);_(* &quot;-&quot;??_);_(@_)"/>
    <numFmt numFmtId="177" formatCode="&quot;$&quot;#,##0.0000_);[Red]\(&quot;$&quot;#,##0.0000\)"/>
    <numFmt numFmtId="178" formatCode="[&lt;1]0%;0"/>
    <numFmt numFmtId="179" formatCode="0.0000%"/>
    <numFmt numFmtId="180" formatCode="0.000%"/>
    <numFmt numFmtId="181" formatCode="&quot;$&quot;#,##0.00_);[Red]\(&quot;$&quot;#,##0.00\);&quot;&quot;"/>
    <numFmt numFmtId="182" formatCode="#,##0_);[Red]\(#,##0\);&quot;&quot;"/>
    <numFmt numFmtId="183" formatCode="00000"/>
    <numFmt numFmtId="184" formatCode="&quot;$&quot;#,##0.000_);[Red]\(&quot;$&quot;#,##0.000\)"/>
    <numFmt numFmtId="185" formatCode="###\ &quot;kWh/yr&quot;"/>
    <numFmt numFmtId="186" formatCode="###\ &quot;therm/yr&quot;"/>
    <numFmt numFmtId="187" formatCode="##0.0\ &quot;W/SF&quot;"/>
    <numFmt numFmtId="188" formatCode="###\ &quot;gal/yr&quot;"/>
    <numFmt numFmtId="189" formatCode="\R\-##.0"/>
    <numFmt numFmtId="190" formatCode="#,##0\ &quot;gal&quot;"/>
    <numFmt numFmtId="191" formatCode="#,##0\ &quot;kBtu&quot;"/>
    <numFmt numFmtId="192" formatCode="&quot;U-&quot;0.##0"/>
    <numFmt numFmtId="193" formatCode="&quot;C-&quot;0.##0"/>
    <numFmt numFmtId="194" formatCode="&quot;F-&quot;0.##0"/>
    <numFmt numFmtId="195" formatCode="&quot;SHGC-&quot;0.#0"/>
    <numFmt numFmtId="196" formatCode="###.0\ &quot;W/GPM&quot;"/>
    <numFmt numFmtId="197" formatCode="###\ \°\F"/>
    <numFmt numFmtId="198" formatCode="##%\ &quot;Et&quot;"/>
    <numFmt numFmtId="199" formatCode="0.0\ &quot;gpm&quot;"/>
    <numFmt numFmtId="200" formatCode="0.0\ &quot;gpf&quot;"/>
    <numFmt numFmtId="201" formatCode="#,##0.0\ &quot;hp&quot;"/>
    <numFmt numFmtId="202" formatCode="###\ &quot;kBtu&quot;"/>
    <numFmt numFmtId="203" formatCode="0.###0\ &quot;kW/CFM&quot;"/>
    <numFmt numFmtId="204" formatCode="#,###\ &quot;tons&quot;"/>
    <numFmt numFmtId="205" formatCode="0.0\ &quot;CFM/W&quot;"/>
    <numFmt numFmtId="206" formatCode="#,##0.0\ &quot;hr/day&quot;"/>
    <numFmt numFmtId="207" formatCode="###.0\ &quot;kW&quot;"/>
    <numFmt numFmtId="208" formatCode="##\ &quot;CFM&quot;"/>
    <numFmt numFmtId="209" formatCode="0.0\ &quot;hp&quot;"/>
    <numFmt numFmtId="210" formatCode="0.#0\ &quot;hp&quot;"/>
    <numFmt numFmtId="211" formatCode="##0.00\ &quot;kW&quot;"/>
    <numFmt numFmtId="212" formatCode="#,##0.0000"/>
    <numFmt numFmtId="213" formatCode="##0.0\ &quot;kW&quot;"/>
    <numFmt numFmtId="214" formatCode="_(* #,##0.0_);_(* \(#,##0.0\);_(* &quot;-&quot;??_);_(@_)"/>
    <numFmt numFmtId="215" formatCode="_(* #,##0.00000_);_(* \(#,##0.00000\);_(* &quot;-&quot;??_);_(@_)"/>
    <numFmt numFmtId="216" formatCode="_(* #,##0.0000_);_(* \(#,##0.0000\);_(* &quot;-&quot;??_);_(@_)"/>
    <numFmt numFmtId="217" formatCode="&quot;$&quot;#,##0.00000_);\(&quot;$&quot;#,##0.00000\)"/>
    <numFmt numFmtId="218" formatCode="#\ &quot;SEER&quot;"/>
    <numFmt numFmtId="219" formatCode="##0.#\ &quot;kW&quot;"/>
    <numFmt numFmtId="220" formatCode="_(&quot;$&quot;* #,##0_);_(&quot;$&quot;* \(#,##0\);_(&quot;$&quot;* &quot;-&quot;??_);_(@_)"/>
    <numFmt numFmtId="221" formatCode="_(&quot;$&quot;* #,##0.0_);_(&quot;$&quot;* \(#,##0.0\);_(&quot;$&quot;* &quot;-&quot;?_);_(@_)"/>
  </numFmts>
  <fonts count="13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sz val="12"/>
      <name val="Times New Roman"/>
      <family val="1"/>
    </font>
    <font>
      <b/>
      <sz val="12"/>
      <name val="Times New Roman"/>
      <family val="1"/>
    </font>
    <font>
      <sz val="10"/>
      <name val="Arial"/>
      <family val="2"/>
    </font>
    <font>
      <sz val="8"/>
      <name val="Arial"/>
      <family val="2"/>
    </font>
    <font>
      <sz val="10"/>
      <color indexed="10"/>
      <name val="Arial"/>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2"/>
      <name val="Arial"/>
      <family val="2"/>
    </font>
    <font>
      <sz val="8"/>
      <name val="Arial"/>
      <family val="2"/>
    </font>
    <font>
      <b/>
      <sz val="14"/>
      <name val="Arial"/>
      <family val="2"/>
    </font>
    <font>
      <b/>
      <sz val="10"/>
      <name val="Arial"/>
      <family val="2"/>
    </font>
    <font>
      <b/>
      <sz val="12"/>
      <name val="Arial"/>
      <family val="2"/>
    </font>
    <font>
      <sz val="10"/>
      <name val="MS Sans Serif"/>
      <family val="2"/>
    </font>
    <font>
      <sz val="9"/>
      <name val="Geneva"/>
    </font>
    <font>
      <sz val="14"/>
      <name val="Arial"/>
      <family val="2"/>
    </font>
    <font>
      <sz val="10"/>
      <color indexed="22"/>
      <name val="Arial"/>
      <family val="2"/>
    </font>
    <font>
      <b/>
      <sz val="10"/>
      <color indexed="62"/>
      <name val="Arial"/>
      <family val="2"/>
    </font>
    <font>
      <sz val="11"/>
      <name val="Arial"/>
      <family val="2"/>
    </font>
    <font>
      <sz val="9"/>
      <name val="Arial"/>
      <family val="2"/>
    </font>
    <font>
      <sz val="8"/>
      <color indexed="32"/>
      <name val="Arial"/>
      <family val="2"/>
    </font>
    <font>
      <sz val="8"/>
      <color indexed="62"/>
      <name val="Arial"/>
      <family val="2"/>
    </font>
    <font>
      <b/>
      <sz val="11"/>
      <name val="Arial"/>
      <family val="2"/>
    </font>
    <font>
      <b/>
      <sz val="12"/>
      <name val="Geneva"/>
    </font>
    <font>
      <b/>
      <sz val="16"/>
      <name val="Geneva"/>
    </font>
    <font>
      <b/>
      <sz val="11"/>
      <name val="Geneva"/>
    </font>
    <font>
      <sz val="11"/>
      <color indexed="8"/>
      <name val="Calibri"/>
      <family val="2"/>
    </font>
    <font>
      <b/>
      <sz val="11"/>
      <color indexed="8"/>
      <name val="Calibri"/>
      <family val="2"/>
    </font>
    <font>
      <b/>
      <u/>
      <sz val="11"/>
      <color indexed="8"/>
      <name val="Calibri"/>
      <family val="2"/>
    </font>
    <font>
      <sz val="8"/>
      <color indexed="81"/>
      <name val="Tahoma"/>
      <family val="2"/>
    </font>
    <font>
      <b/>
      <sz val="8"/>
      <name val="Arial"/>
      <family val="2"/>
    </font>
    <font>
      <u/>
      <sz val="10"/>
      <color indexed="18"/>
      <name val="Arial"/>
      <family val="2"/>
    </font>
    <font>
      <sz val="20"/>
      <color indexed="62"/>
      <name val="Arial"/>
      <family val="2"/>
    </font>
    <font>
      <vertAlign val="superscript"/>
      <sz val="20"/>
      <color indexed="62"/>
      <name val="Arial"/>
      <family val="2"/>
    </font>
    <font>
      <sz val="12"/>
      <color indexed="62"/>
      <name val="Arial"/>
      <family val="2"/>
    </font>
    <font>
      <vertAlign val="superscript"/>
      <sz val="12"/>
      <color indexed="62"/>
      <name val="Arial"/>
      <family val="2"/>
    </font>
    <font>
      <b/>
      <sz val="12"/>
      <color indexed="62"/>
      <name val="Arial"/>
      <family val="2"/>
    </font>
    <font>
      <vertAlign val="superscript"/>
      <sz val="10"/>
      <color indexed="62"/>
      <name val="Arial"/>
      <family val="2"/>
    </font>
    <font>
      <i/>
      <sz val="10"/>
      <color indexed="62"/>
      <name val="Arial"/>
      <family val="2"/>
    </font>
    <font>
      <u/>
      <sz val="10"/>
      <color indexed="12"/>
      <name val="Arial"/>
      <family val="2"/>
    </font>
    <font>
      <b/>
      <i/>
      <sz val="10"/>
      <color indexed="10"/>
      <name val="Arial"/>
      <family val="2"/>
    </font>
    <font>
      <u/>
      <sz val="10"/>
      <color indexed="62"/>
      <name val="Arial"/>
      <family val="2"/>
    </font>
    <font>
      <sz val="14"/>
      <color indexed="10"/>
      <name val="Arial"/>
      <family val="2"/>
    </font>
    <font>
      <sz val="14"/>
      <color indexed="62"/>
      <name val="Arial"/>
      <family val="2"/>
    </font>
    <font>
      <b/>
      <sz val="14"/>
      <color indexed="62"/>
      <name val="Arial"/>
      <family val="2"/>
    </font>
    <font>
      <sz val="8"/>
      <color indexed="55"/>
      <name val="Arial"/>
      <family val="2"/>
    </font>
    <font>
      <sz val="10"/>
      <color indexed="8"/>
      <name val="Times New Roman"/>
      <family val="1"/>
    </font>
    <font>
      <b/>
      <sz val="10"/>
      <color indexed="8"/>
      <name val="Times New Roman"/>
      <family val="1"/>
    </font>
    <font>
      <u/>
      <sz val="12"/>
      <name val="Times New Roman"/>
      <family val="1"/>
    </font>
    <font>
      <b/>
      <u/>
      <sz val="12"/>
      <name val="Times New Roman"/>
      <family val="1"/>
    </font>
    <font>
      <sz val="10"/>
      <color indexed="17"/>
      <name val="Arial"/>
      <family val="2"/>
    </font>
    <font>
      <sz val="9"/>
      <name val="Calibri"/>
      <family val="2"/>
      <scheme val="minor"/>
    </font>
    <font>
      <b/>
      <sz val="14"/>
      <name val="Calibri"/>
      <family val="2"/>
      <scheme val="minor"/>
    </font>
    <font>
      <b/>
      <sz val="9"/>
      <name val="Calibri"/>
      <family val="2"/>
      <scheme val="minor"/>
    </font>
    <font>
      <b/>
      <sz val="11"/>
      <name val="Calibri"/>
      <family val="2"/>
      <scheme val="minor"/>
    </font>
    <font>
      <sz val="9"/>
      <color indexed="12"/>
      <name val="Geneva"/>
    </font>
    <font>
      <b/>
      <sz val="9"/>
      <color indexed="12"/>
      <name val="Geneva"/>
    </font>
    <font>
      <u/>
      <sz val="11"/>
      <color theme="10"/>
      <name val="Calibri"/>
      <family val="2"/>
    </font>
    <font>
      <sz val="9"/>
      <color indexed="10"/>
      <name val="Geneva"/>
    </font>
    <font>
      <sz val="10"/>
      <name val="Geneva"/>
    </font>
    <font>
      <b/>
      <sz val="12"/>
      <color theme="0" tint="-4.9989318521683403E-2"/>
      <name val="Calibri"/>
      <family val="2"/>
      <scheme val="minor"/>
    </font>
    <font>
      <sz val="10"/>
      <color theme="0"/>
      <name val="Arial"/>
      <family val="2"/>
    </font>
    <font>
      <sz val="9"/>
      <color theme="2"/>
      <name val="Calibri"/>
      <family val="2"/>
      <scheme val="minor"/>
    </font>
    <font>
      <b/>
      <sz val="9"/>
      <color theme="0"/>
      <name val="Calibri"/>
      <family val="2"/>
      <scheme val="minor"/>
    </font>
    <font>
      <i/>
      <sz val="9"/>
      <name val="Calibri"/>
      <family val="2"/>
      <scheme val="minor"/>
    </font>
    <font>
      <sz val="9"/>
      <color theme="1"/>
      <name val="Calibri"/>
      <family val="2"/>
      <scheme val="minor"/>
    </font>
    <font>
      <sz val="9"/>
      <color indexed="8"/>
      <name val="Calibri"/>
      <family val="2"/>
      <scheme val="minor"/>
    </font>
    <font>
      <b/>
      <sz val="9"/>
      <color indexed="8"/>
      <name val="Calibri"/>
      <family val="2"/>
      <scheme val="minor"/>
    </font>
    <font>
      <b/>
      <sz val="14"/>
      <color indexed="8"/>
      <name val="Calibri"/>
      <family val="2"/>
      <scheme val="minor"/>
    </font>
    <font>
      <b/>
      <sz val="9"/>
      <color rgb="FFFF0000"/>
      <name val="Calibri"/>
      <family val="2"/>
      <scheme val="minor"/>
    </font>
    <font>
      <sz val="9"/>
      <color rgb="FFFF0000"/>
      <name val="Calibri"/>
      <family val="2"/>
      <scheme val="minor"/>
    </font>
    <font>
      <b/>
      <sz val="9"/>
      <color indexed="10"/>
      <name val="Calibri"/>
      <family val="2"/>
      <scheme val="minor"/>
    </font>
    <font>
      <sz val="9"/>
      <color indexed="10"/>
      <name val="Calibri"/>
      <family val="2"/>
      <scheme val="minor"/>
    </font>
    <font>
      <b/>
      <u/>
      <sz val="9"/>
      <name val="Calibri"/>
      <family val="2"/>
      <scheme val="minor"/>
    </font>
    <font>
      <b/>
      <i/>
      <sz val="9"/>
      <name val="Calibri"/>
      <family val="2"/>
      <scheme val="minor"/>
    </font>
    <font>
      <u/>
      <sz val="9"/>
      <color indexed="12"/>
      <name val="Calibri"/>
      <family val="2"/>
      <scheme val="minor"/>
    </font>
    <font>
      <vertAlign val="superscript"/>
      <sz val="9"/>
      <name val="Calibri"/>
      <family val="2"/>
      <scheme val="minor"/>
    </font>
    <font>
      <b/>
      <sz val="9"/>
      <color indexed="9"/>
      <name val="Calibri"/>
      <family val="2"/>
      <scheme val="minor"/>
    </font>
    <font>
      <i/>
      <u/>
      <sz val="9"/>
      <name val="Calibri"/>
      <family val="2"/>
      <scheme val="minor"/>
    </font>
    <font>
      <b/>
      <sz val="9"/>
      <color indexed="12"/>
      <name val="Calibri"/>
      <family val="2"/>
      <scheme val="minor"/>
    </font>
    <font>
      <sz val="9"/>
      <color theme="0" tint="-0.34998626667073579"/>
      <name val="Calibri"/>
      <family val="2"/>
      <scheme val="minor"/>
    </font>
    <font>
      <b/>
      <sz val="9"/>
      <color theme="0" tint="-0.34998626667073579"/>
      <name val="Calibri"/>
      <family val="2"/>
      <scheme val="minor"/>
    </font>
    <font>
      <u/>
      <sz val="9"/>
      <name val="Calibri"/>
      <family val="2"/>
      <scheme val="minor"/>
    </font>
    <font>
      <u/>
      <sz val="11"/>
      <color indexed="12"/>
      <name val="Calibri"/>
      <family val="2"/>
    </font>
    <font>
      <sz val="12"/>
      <color indexed="81"/>
      <name val="Tahoma"/>
      <family val="2"/>
    </font>
    <font>
      <sz val="9"/>
      <color indexed="60"/>
      <name val="Calibri"/>
      <family val="2"/>
      <scheme val="minor"/>
    </font>
    <font>
      <u/>
      <sz val="9"/>
      <color rgb="FFFF0000"/>
      <name val="Calibri"/>
      <family val="2"/>
      <scheme val="minor"/>
    </font>
    <font>
      <sz val="9"/>
      <name val="Calibri"/>
      <family val="2"/>
    </font>
    <font>
      <sz val="9"/>
      <color indexed="81"/>
      <name val="Calibri"/>
      <family val="2"/>
      <scheme val="minor"/>
    </font>
    <font>
      <i/>
      <sz val="8"/>
      <color indexed="81"/>
      <name val="Tahoma"/>
      <family val="2"/>
    </font>
    <font>
      <b/>
      <sz val="10"/>
      <name val="Calibri"/>
      <family val="2"/>
      <scheme val="minor"/>
    </font>
    <font>
      <sz val="10"/>
      <name val="Calibri"/>
      <family val="2"/>
      <scheme val="minor"/>
    </font>
    <font>
      <sz val="10"/>
      <name val="Arial"/>
      <family val="2"/>
    </font>
    <font>
      <vertAlign val="superscript"/>
      <sz val="9"/>
      <name val="Arial"/>
      <family val="2"/>
    </font>
    <font>
      <sz val="10"/>
      <color rgb="FFFF0000"/>
      <name val="Arial"/>
      <family val="2"/>
    </font>
    <font>
      <sz val="9"/>
      <color theme="0"/>
      <name val="Calibri"/>
      <family val="2"/>
      <scheme val="minor"/>
    </font>
    <font>
      <b/>
      <i/>
      <u/>
      <sz val="9"/>
      <name val="Calibri"/>
      <family val="2"/>
      <scheme val="minor"/>
    </font>
    <font>
      <sz val="10"/>
      <color indexed="8"/>
      <name val="Calibri"/>
      <family val="2"/>
      <scheme val="minor"/>
    </font>
    <font>
      <sz val="11"/>
      <color indexed="8"/>
      <name val="Calibri"/>
      <family val="2"/>
      <scheme val="minor"/>
    </font>
    <font>
      <sz val="9"/>
      <color indexed="81"/>
      <name val="Tahoma"/>
      <family val="2"/>
    </font>
    <font>
      <sz val="11"/>
      <color theme="0"/>
      <name val="Calibri"/>
      <family val="2"/>
      <scheme val="minor"/>
    </font>
    <font>
      <b/>
      <i/>
      <u/>
      <sz val="9"/>
      <color rgb="FFFF0000"/>
      <name val="Calibri"/>
      <family val="2"/>
      <scheme val="minor"/>
    </font>
    <font>
      <b/>
      <sz val="9"/>
      <color theme="0" tint="-0.499984740745262"/>
      <name val="Calibri"/>
      <family val="2"/>
      <scheme val="minor"/>
    </font>
    <font>
      <sz val="9"/>
      <color theme="0" tint="-0.499984740745262"/>
      <name val="Calibri"/>
      <family val="2"/>
      <scheme val="minor"/>
    </font>
    <font>
      <sz val="9"/>
      <color theme="5" tint="-0.499984740745262"/>
      <name val="Calibri"/>
      <family val="2"/>
      <scheme val="minor"/>
    </font>
    <font>
      <b/>
      <sz val="9"/>
      <color theme="5" tint="-0.499984740745262"/>
      <name val="Calibri"/>
      <family val="2"/>
      <scheme val="minor"/>
    </font>
    <font>
      <b/>
      <sz val="9"/>
      <color indexed="81"/>
      <name val="Tahoma"/>
      <family val="2"/>
    </font>
    <font>
      <b/>
      <sz val="10"/>
      <color indexed="10"/>
      <name val="Arial"/>
      <family val="2"/>
    </font>
    <font>
      <i/>
      <sz val="10"/>
      <name val="Arial"/>
      <family val="2"/>
    </font>
    <font>
      <i/>
      <sz val="11"/>
      <name val="Arial"/>
      <family val="2"/>
    </font>
    <font>
      <sz val="9"/>
      <color theme="0" tint="-0.249977111117893"/>
      <name val="Calibri"/>
      <family val="2"/>
      <scheme val="minor"/>
    </font>
    <font>
      <b/>
      <sz val="9"/>
      <color theme="0" tint="-0.249977111117893"/>
      <name val="Calibri"/>
      <family val="2"/>
      <scheme val="minor"/>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7"/>
        <bgColor indexed="64"/>
      </patternFill>
    </fill>
    <fill>
      <patternFill patternType="solid">
        <fgColor indexed="43"/>
        <bgColor indexed="64"/>
      </patternFill>
    </fill>
    <fill>
      <patternFill patternType="solid">
        <fgColor indexed="55"/>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darkDown">
        <bgColor indexed="22"/>
      </patternFill>
    </fill>
    <fill>
      <patternFill patternType="solid">
        <fgColor theme="0" tint="-0.14999847407452621"/>
        <bgColor indexed="64"/>
      </patternFill>
    </fill>
    <fill>
      <patternFill patternType="solid">
        <fgColor indexed="22"/>
        <bgColor indexed="0"/>
      </patternFill>
    </fill>
    <fill>
      <patternFill patternType="solid">
        <fgColor theme="0"/>
        <bgColor indexed="64"/>
      </patternFill>
    </fill>
    <fill>
      <patternFill patternType="solid">
        <fgColor indexed="27"/>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indexed="13"/>
        <bgColor indexed="64"/>
      </patternFill>
    </fill>
    <fill>
      <patternFill patternType="solid">
        <fgColor theme="3" tint="0.39997558519241921"/>
        <bgColor indexed="64"/>
      </patternFill>
    </fill>
    <fill>
      <patternFill patternType="solid">
        <fgColor theme="8"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tint="-0.34998626667073579"/>
        <bgColor indexed="64"/>
      </patternFill>
    </fill>
    <fill>
      <patternFill patternType="solid">
        <fgColor theme="5" tint="0.59999389629810485"/>
        <bgColor indexed="64"/>
      </patternFill>
    </fill>
    <fill>
      <patternFill patternType="lightDown">
        <fgColor theme="0"/>
        <bgColor theme="0" tint="-0.24994659260841701"/>
      </patternFill>
    </fill>
    <fill>
      <patternFill patternType="darkDown">
        <fgColor theme="0"/>
        <bgColor theme="0" tint="-0.24994659260841701"/>
      </patternFill>
    </fill>
    <fill>
      <patternFill patternType="solid">
        <fgColor theme="0"/>
        <bgColor theme="0"/>
      </patternFill>
    </fill>
    <fill>
      <patternFill patternType="solid">
        <fgColor theme="8" tint="0.79995117038483843"/>
        <bgColor theme="0"/>
      </patternFill>
    </fill>
    <fill>
      <patternFill patternType="darkDown">
        <fgColor theme="0"/>
        <bgColor theme="0" tint="-0.34998626667073579"/>
      </patternFill>
    </fill>
    <fill>
      <patternFill patternType="solid">
        <fgColor indexed="48"/>
        <bgColor indexed="64"/>
      </patternFill>
    </fill>
    <fill>
      <patternFill patternType="solid">
        <fgColor theme="9" tint="0.59999389629810485"/>
        <bgColor indexed="64"/>
      </patternFill>
    </fill>
    <fill>
      <patternFill patternType="solid">
        <fgColor theme="0" tint="-0.24994659260841701"/>
        <bgColor indexed="64"/>
      </patternFill>
    </fill>
    <fill>
      <patternFill patternType="solid">
        <fgColor indexed="10"/>
        <bgColor indexed="64"/>
      </patternFill>
    </fill>
    <fill>
      <patternFill patternType="solid">
        <fgColor rgb="FFFF0000"/>
        <bgColor indexed="64"/>
      </patternFill>
    </fill>
    <fill>
      <patternFill patternType="darkVertical">
        <fgColor rgb="FFFFCC99"/>
        <bgColor theme="8" tint="0.79992065187536243"/>
      </patternFill>
    </fill>
    <fill>
      <patternFill patternType="darkVertical">
        <fgColor rgb="FFFFCC99"/>
        <bgColor theme="8" tint="0.79985961485641044"/>
      </patternFill>
    </fill>
    <fill>
      <patternFill patternType="solid">
        <fgColor theme="5" tint="0.39997558519241921"/>
        <bgColor indexed="64"/>
      </patternFill>
    </fill>
    <fill>
      <patternFill patternType="solid">
        <fgColor theme="4"/>
      </patternFill>
    </fill>
    <fill>
      <patternFill patternType="solid">
        <fgColor theme="6" tint="0.39997558519241921"/>
        <bgColor indexed="64"/>
      </patternFill>
    </fill>
    <fill>
      <patternFill patternType="solid">
        <fgColor theme="0" tint="-0.24994659260841701"/>
        <bgColor theme="0" tint="-0.24994659260841701"/>
      </patternFill>
    </fill>
  </fills>
  <borders count="2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23"/>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23"/>
      </left>
      <right/>
      <top/>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style="thin">
        <color indexed="8"/>
      </left>
      <right style="thin">
        <color indexed="8"/>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medium">
        <color indexed="64"/>
      </right>
      <top style="thin">
        <color indexed="64"/>
      </top>
      <bottom style="thin">
        <color indexed="64"/>
      </bottom>
      <diagonal/>
    </border>
    <border>
      <left/>
      <right style="thin">
        <color indexed="8"/>
      </right>
      <top/>
      <bottom style="thin">
        <color indexed="8"/>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thin">
        <color indexed="64"/>
      </top>
      <bottom/>
      <diagonal/>
    </border>
    <border>
      <left style="medium">
        <color indexed="64"/>
      </left>
      <right/>
      <top style="medium">
        <color indexed="64"/>
      </top>
      <bottom style="thin">
        <color indexed="64"/>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style="double">
        <color indexed="9"/>
      </right>
      <top/>
      <bottom/>
      <diagonal/>
    </border>
    <border>
      <left/>
      <right style="medium">
        <color indexed="23"/>
      </right>
      <top/>
      <bottom style="medium">
        <color indexed="23"/>
      </bottom>
      <diagonal/>
    </border>
    <border>
      <left/>
      <right/>
      <top/>
      <bottom style="medium">
        <color indexed="23"/>
      </bottom>
      <diagonal/>
    </border>
    <border>
      <left style="medium">
        <color indexed="23"/>
      </left>
      <right/>
      <top/>
      <bottom style="medium">
        <color indexed="23"/>
      </bottom>
      <diagonal/>
    </border>
    <border>
      <left/>
      <right/>
      <top style="thin">
        <color indexed="22"/>
      </top>
      <bottom style="thin">
        <color indexed="22"/>
      </bottom>
      <diagonal/>
    </border>
    <border>
      <left/>
      <right style="medium">
        <color indexed="23"/>
      </right>
      <top style="medium">
        <color indexed="23"/>
      </top>
      <bottom/>
      <diagonal/>
    </border>
    <border>
      <left/>
      <right/>
      <top style="medium">
        <color indexed="23"/>
      </top>
      <bottom/>
      <diagonal/>
    </border>
    <border>
      <left style="medium">
        <color indexed="23"/>
      </left>
      <right/>
      <top style="medium">
        <color indexed="23"/>
      </top>
      <bottom/>
      <diagonal/>
    </border>
    <border>
      <left style="double">
        <color indexed="22"/>
      </left>
      <right style="thin">
        <color indexed="22"/>
      </right>
      <top style="thin">
        <color indexed="22"/>
      </top>
      <bottom style="thin">
        <color indexed="22"/>
      </bottom>
      <diagonal/>
    </border>
    <border>
      <left style="double">
        <color indexed="22"/>
      </left>
      <right style="double">
        <color indexed="22"/>
      </right>
      <top style="thin">
        <color indexed="22"/>
      </top>
      <bottom style="thin">
        <color indexed="22"/>
      </bottom>
      <diagonal/>
    </border>
    <border>
      <left style="thin">
        <color indexed="22"/>
      </left>
      <right style="double">
        <color indexed="22"/>
      </right>
      <top style="thin">
        <color indexed="22"/>
      </top>
      <bottom style="thin">
        <color indexed="22"/>
      </bottom>
      <diagonal/>
    </border>
    <border>
      <left style="thin">
        <color indexed="22"/>
      </left>
      <right style="thin">
        <color indexed="22"/>
      </right>
      <top style="thin">
        <color indexed="22"/>
      </top>
      <bottom style="thick">
        <color indexed="22"/>
      </bottom>
      <diagonal/>
    </border>
    <border>
      <left style="thin">
        <color indexed="22"/>
      </left>
      <right style="thin">
        <color indexed="22"/>
      </right>
      <top style="thin">
        <color indexed="22"/>
      </top>
      <bottom/>
      <diagonal/>
    </border>
    <border>
      <left style="medium">
        <color indexed="23"/>
      </left>
      <right style="medium">
        <color indexed="23"/>
      </right>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medium">
        <color indexed="64"/>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bottom/>
      <diagonal/>
    </border>
    <border>
      <left style="thin">
        <color indexed="22"/>
      </left>
      <right/>
      <top/>
      <bottom style="thin">
        <color indexed="22"/>
      </bottom>
      <diagonal/>
    </border>
    <border>
      <left style="thin">
        <color indexed="22"/>
      </left>
      <right/>
      <top/>
      <bottom/>
      <diagonal/>
    </border>
    <border>
      <left style="thin">
        <color indexed="64"/>
      </left>
      <right/>
      <top/>
      <bottom style="hair">
        <color indexed="64"/>
      </bottom>
      <diagonal/>
    </border>
    <border>
      <left/>
      <right/>
      <top style="thin">
        <color indexed="23"/>
      </top>
      <bottom style="thin">
        <color indexed="12"/>
      </bottom>
      <diagonal/>
    </border>
    <border>
      <left/>
      <right/>
      <top style="thin">
        <color indexed="21"/>
      </top>
      <bottom/>
      <diagonal/>
    </border>
    <border>
      <left style="hair">
        <color indexed="64"/>
      </left>
      <right/>
      <top/>
      <bottom style="hair">
        <color indexed="64"/>
      </bottom>
      <diagonal/>
    </border>
    <border>
      <left/>
      <right style="thin">
        <color indexed="8"/>
      </right>
      <top style="medium">
        <color indexed="64"/>
      </top>
      <bottom style="thin">
        <color indexed="64"/>
      </bottom>
      <diagonal/>
    </border>
    <border>
      <left/>
      <right style="thin">
        <color indexed="8"/>
      </right>
      <top style="medium">
        <color indexed="64"/>
      </top>
      <bottom/>
      <diagonal/>
    </border>
    <border>
      <left/>
      <right style="thin">
        <color indexed="8"/>
      </right>
      <top/>
      <bottom style="medium">
        <color indexed="64"/>
      </bottom>
      <diagonal/>
    </border>
    <border>
      <left style="thin">
        <color indexed="8"/>
      </left>
      <right style="thin">
        <color indexed="64"/>
      </right>
      <top/>
      <bottom style="medium">
        <color indexed="64"/>
      </bottom>
      <diagonal/>
    </border>
    <border>
      <left style="dashDotDot">
        <color indexed="64"/>
      </left>
      <right style="dashDotDot">
        <color indexed="64"/>
      </right>
      <top style="dashDotDot">
        <color indexed="64"/>
      </top>
      <bottom style="dashDotDot">
        <color indexed="64"/>
      </bottom>
      <diagonal/>
    </border>
    <border>
      <left style="dashDotDot">
        <color indexed="64"/>
      </left>
      <right style="dashDotDot">
        <color indexed="64"/>
      </right>
      <top style="dashDotDot">
        <color indexed="64"/>
      </top>
      <bottom/>
      <diagonal/>
    </border>
    <border>
      <left style="dashDotDot">
        <color indexed="64"/>
      </left>
      <right style="dashDotDot">
        <color indexed="64"/>
      </right>
      <top/>
      <bottom style="dashDotDot">
        <color indexed="64"/>
      </bottom>
      <diagonal/>
    </border>
    <border>
      <left style="dashDotDot">
        <color indexed="64"/>
      </left>
      <right/>
      <top style="dashDotDot">
        <color indexed="64"/>
      </top>
      <bottom/>
      <diagonal/>
    </border>
    <border>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indexed="8"/>
      </top>
      <bottom/>
      <diagonal/>
    </border>
    <border>
      <left/>
      <right/>
      <top style="thin">
        <color indexed="8"/>
      </top>
      <bottom/>
      <diagonal/>
    </border>
    <border>
      <left/>
      <right style="thin">
        <color auto="1"/>
      </right>
      <top style="thin">
        <color indexed="8"/>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indexed="8"/>
      </right>
      <top style="thin">
        <color indexed="8"/>
      </top>
      <bottom style="thin">
        <color indexed="8"/>
      </bottom>
      <diagonal/>
    </border>
    <border>
      <left/>
      <right style="thin">
        <color indexed="8"/>
      </right>
      <top style="thin">
        <color auto="1"/>
      </top>
      <bottom/>
      <diagonal/>
    </border>
    <border>
      <left style="thin">
        <color auto="1"/>
      </left>
      <right style="thin">
        <color auto="1"/>
      </right>
      <top/>
      <bottom style="thin">
        <color auto="1"/>
      </bottom>
      <diagonal/>
    </border>
    <border>
      <left style="dashDot">
        <color auto="1"/>
      </left>
      <right style="dashDot">
        <color auto="1"/>
      </right>
      <top style="dashDot">
        <color auto="1"/>
      </top>
      <bottom style="dashDot">
        <color auto="1"/>
      </bottom>
      <diagonal/>
    </border>
    <border>
      <left/>
      <right style="dashDot">
        <color auto="1"/>
      </right>
      <top style="dashDot">
        <color auto="1"/>
      </top>
      <bottom style="dashDot">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23"/>
      </top>
      <bottom style="thin">
        <color indexed="12"/>
      </bottom>
      <diagonal/>
    </border>
    <border>
      <left/>
      <right/>
      <top style="thin">
        <color indexed="21"/>
      </top>
      <bottom/>
      <diagonal/>
    </border>
    <border>
      <left style="medium">
        <color indexed="64"/>
      </left>
      <right style="thin">
        <color indexed="64"/>
      </right>
      <top style="thin">
        <color indexed="64"/>
      </top>
      <bottom/>
      <diagonal/>
    </border>
    <border>
      <left style="thin">
        <color auto="1"/>
      </left>
      <right style="medium">
        <color indexed="64"/>
      </right>
      <top/>
      <bottom/>
      <diagonal/>
    </border>
    <border>
      <left style="medium">
        <color indexed="64"/>
      </left>
      <right style="thin">
        <color indexed="64"/>
      </right>
      <top style="thin">
        <color indexed="64"/>
      </top>
      <bottom/>
      <diagonal/>
    </border>
    <border>
      <left/>
      <right style="medium">
        <color indexed="64"/>
      </right>
      <top style="thin">
        <color auto="1"/>
      </top>
      <bottom/>
      <diagonal/>
    </border>
    <border>
      <left/>
      <right style="medium">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style="medium">
        <color indexed="64"/>
      </bottom>
      <diagonal/>
    </border>
    <border>
      <left/>
      <right style="thin">
        <color auto="1"/>
      </right>
      <top style="medium">
        <color indexed="64"/>
      </top>
      <bottom style="thin">
        <color auto="1"/>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medium">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diagonal/>
    </border>
    <border>
      <left/>
      <right style="medium">
        <color theme="0" tint="-0.24994659260841701"/>
      </right>
      <top/>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auto="1"/>
      </top>
      <bottom style="medium">
        <color theme="0" tint="-0.24994659260841701"/>
      </bottom>
      <diagonal/>
    </border>
    <border>
      <left/>
      <right/>
      <top style="medium">
        <color auto="1"/>
      </top>
      <bottom style="medium">
        <color theme="0" tint="-0.24994659260841701"/>
      </bottom>
      <diagonal/>
    </border>
    <border>
      <left/>
      <right style="medium">
        <color theme="0" tint="-0.24994659260841701"/>
      </right>
      <top style="medium">
        <color auto="1"/>
      </top>
      <bottom style="medium">
        <color theme="0" tint="-0.24994659260841701"/>
      </bottom>
      <diagonal/>
    </border>
  </borders>
  <cellStyleXfs count="7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6" fillId="0" borderId="0" applyFont="0" applyFill="0" applyBorder="0" applyAlignment="0" applyProtection="0"/>
    <xf numFmtId="43" fontId="13"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3" fillId="0" borderId="0"/>
    <xf numFmtId="0" fontId="10" fillId="0" borderId="0"/>
    <xf numFmtId="0" fontId="36" fillId="0" borderId="0"/>
    <xf numFmtId="0" fontId="6" fillId="0" borderId="0"/>
    <xf numFmtId="0" fontId="49" fillId="0" borderId="0"/>
    <xf numFmtId="0" fontId="49" fillId="0" borderId="0"/>
    <xf numFmtId="0" fontId="37" fillId="0" borderId="0"/>
    <xf numFmtId="0" fontId="13" fillId="23" borderId="7" applyNumberFormat="0" applyFont="0" applyAlignment="0" applyProtection="0"/>
    <xf numFmtId="0" fontId="28" fillId="20" borderId="8" applyNumberFormat="0" applyAlignment="0" applyProtection="0"/>
    <xf numFmtId="9" fontId="6" fillId="0" borderId="0" applyFont="0" applyFill="0" applyBorder="0" applyAlignment="0" applyProtection="0"/>
    <xf numFmtId="9" fontId="13"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24" fillId="0" borderId="0" applyNumberFormat="0" applyFill="0" applyBorder="0" applyAlignment="0" applyProtection="0"/>
    <xf numFmtId="0" fontId="62" fillId="0" borderId="0" applyNumberFormat="0" applyFill="0" applyBorder="0" applyAlignment="0" applyProtection="0">
      <alignment vertical="top"/>
      <protection locked="0"/>
    </xf>
    <xf numFmtId="0" fontId="10" fillId="0" borderId="0"/>
    <xf numFmtId="0" fontId="14" fillId="0" borderId="0"/>
    <xf numFmtId="43" fontId="10" fillId="0" borderId="0" applyFont="0" applyFill="0" applyBorder="0" applyAlignment="0" applyProtection="0"/>
    <xf numFmtId="0" fontId="10" fillId="0" borderId="0"/>
    <xf numFmtId="0" fontId="5" fillId="0" borderId="0"/>
    <xf numFmtId="0" fontId="10" fillId="23" borderId="7" applyNumberFormat="0" applyFont="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10" fillId="0" borderId="0"/>
    <xf numFmtId="0" fontId="5" fillId="0" borderId="0"/>
    <xf numFmtId="0" fontId="10" fillId="0" borderId="0"/>
    <xf numFmtId="0" fontId="5" fillId="0" borderId="0"/>
    <xf numFmtId="0" fontId="10" fillId="23" borderId="7" applyNumberFormat="0" applyFont="0" applyAlignment="0" applyProtection="0"/>
    <xf numFmtId="9" fontId="10" fillId="0" borderId="0" applyFont="0" applyFill="0" applyBorder="0" applyAlignment="0" applyProtection="0"/>
    <xf numFmtId="0" fontId="10" fillId="0" borderId="0"/>
    <xf numFmtId="0" fontId="5" fillId="0" borderId="0"/>
    <xf numFmtId="43" fontId="10" fillId="0" borderId="0" applyFont="0" applyFill="0" applyBorder="0" applyAlignment="0" applyProtection="0"/>
    <xf numFmtId="0" fontId="10" fillId="23" borderId="7" applyNumberFormat="0" applyFont="0" applyAlignment="0" applyProtection="0"/>
    <xf numFmtId="0" fontId="10" fillId="0" borderId="0"/>
    <xf numFmtId="9" fontId="10" fillId="0" borderId="0" applyFont="0" applyFill="0" applyBorder="0" applyAlignment="0" applyProtection="0"/>
    <xf numFmtId="0" fontId="10" fillId="23" borderId="7" applyNumberFormat="0" applyFont="0" applyAlignment="0" applyProtection="0"/>
    <xf numFmtId="9" fontId="10" fillId="0" borderId="0" applyFont="0" applyFill="0" applyBorder="0" applyAlignment="0" applyProtection="0"/>
    <xf numFmtId="0" fontId="10" fillId="0" borderId="0"/>
    <xf numFmtId="0" fontId="5" fillId="0" borderId="0"/>
    <xf numFmtId="0" fontId="10" fillId="23" borderId="7" applyNumberFormat="0" applyFont="0" applyAlignment="0" applyProtection="0"/>
    <xf numFmtId="9" fontId="10" fillId="0" borderId="0" applyFont="0" applyFill="0" applyBorder="0" applyAlignment="0" applyProtection="0"/>
    <xf numFmtId="43" fontId="10" fillId="0" borderId="0" applyFont="0" applyFill="0" applyBorder="0" applyAlignment="0" applyProtection="0"/>
    <xf numFmtId="0" fontId="10" fillId="0" borderId="0"/>
    <xf numFmtId="0" fontId="5" fillId="0" borderId="0"/>
    <xf numFmtId="0" fontId="10" fillId="23" borderId="7" applyNumberFormat="0" applyFont="0" applyAlignment="0" applyProtection="0"/>
    <xf numFmtId="9"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5" fillId="0" borderId="0"/>
    <xf numFmtId="0" fontId="10" fillId="23" borderId="7" applyNumberFormat="0" applyFont="0" applyAlignment="0" applyProtection="0"/>
    <xf numFmtId="9" fontId="10" fillId="0" borderId="0" applyFont="0" applyFill="0" applyBorder="0" applyAlignment="0" applyProtection="0"/>
    <xf numFmtId="0" fontId="4" fillId="0" borderId="0"/>
    <xf numFmtId="0" fontId="14" fillId="8"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0" fontId="14" fillId="8" borderId="0" applyNumberFormat="0" applyBorder="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14" fillId="11" borderId="0" applyNumberFormat="0" applyBorder="0" applyAlignment="0" applyProtection="0"/>
    <xf numFmtId="43" fontId="6" fillId="0" borderId="0" applyFont="0" applyFill="0" applyBorder="0" applyAlignment="0" applyProtection="0"/>
    <xf numFmtId="0" fontId="14" fillId="8" borderId="0" applyNumberFormat="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14" fillId="5" borderId="0" applyNumberFormat="0" applyBorder="0" applyAlignment="0" applyProtection="0"/>
    <xf numFmtId="0" fontId="14" fillId="10" borderId="0" applyNumberFormat="0" applyBorder="0" applyAlignment="0" applyProtection="0"/>
    <xf numFmtId="0" fontId="14" fillId="9" borderId="0" applyNumberFormat="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14" fillId="7" borderId="0" applyNumberFormat="0" applyBorder="0" applyAlignment="0" applyProtection="0"/>
    <xf numFmtId="0" fontId="14" fillId="6"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6" fillId="23" borderId="7" applyNumberFormat="0" applyFont="0" applyAlignment="0" applyProtection="0"/>
    <xf numFmtId="0" fontId="28" fillId="20" borderId="8" applyNumberFormat="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6" fillId="0" borderId="0" applyFont="0" applyFill="0" applyBorder="0" applyAlignment="0" applyProtection="0"/>
    <xf numFmtId="0" fontId="19" fillId="0" borderId="0" applyNumberFormat="0" applyFill="0" applyBorder="0" applyAlignment="0" applyProtection="0"/>
    <xf numFmtId="0" fontId="73" fillId="4"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6" fillId="0" borderId="0"/>
    <xf numFmtId="0" fontId="6" fillId="23" borderId="7" applyNumberFormat="0" applyFont="0" applyAlignment="0" applyProtection="0"/>
    <xf numFmtId="0" fontId="28" fillId="20" borderId="8" applyNumberFormat="0" applyAlignment="0" applyProtection="0"/>
    <xf numFmtId="9" fontId="6" fillId="0" borderId="0" applyFon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12" fillId="0" borderId="0" applyNumberFormat="0" applyFill="0" applyBorder="0" applyAlignment="0" applyProtection="0"/>
    <xf numFmtId="0" fontId="4" fillId="0" borderId="0"/>
    <xf numFmtId="10" fontId="37" fillId="0" borderId="118" applyFont="0" applyFill="0" applyBorder="0" applyAlignment="0" applyProtection="0">
      <alignment horizontal="right"/>
    </xf>
    <xf numFmtId="3" fontId="78" fillId="0" borderId="0" applyNumberFormat="0" applyFill="0" applyBorder="0" applyAlignment="0" applyProtection="0"/>
    <xf numFmtId="3" fontId="79" fillId="0" borderId="0" applyNumberFormat="0" applyFill="0" applyBorder="0" applyAlignment="0" applyProtection="0"/>
    <xf numFmtId="168" fontId="37" fillId="0" borderId="119" applyNumberFormat="0" applyFont="0" applyFill="0" applyAlignment="0">
      <protection locked="0"/>
    </xf>
    <xf numFmtId="43" fontId="10" fillId="0" borderId="0" applyFont="0" applyFill="0" applyBorder="0" applyAlignment="0" applyProtection="0"/>
    <xf numFmtId="43" fontId="49"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81" fontId="10" fillId="0" borderId="0" applyFont="0" applyBorder="0" applyAlignment="0">
      <alignment horizontal="center"/>
    </xf>
    <xf numFmtId="181" fontId="10" fillId="0" borderId="0" applyFont="0" applyBorder="0" applyAlignment="0">
      <alignment horizontal="center"/>
    </xf>
    <xf numFmtId="0" fontId="80" fillId="0" borderId="0" applyNumberFormat="0" applyFill="0" applyBorder="0" applyAlignment="0" applyProtection="0">
      <alignment vertical="top"/>
      <protection locked="0"/>
    </xf>
    <xf numFmtId="4" fontId="78" fillId="36" borderId="120" applyNumberFormat="0" applyFont="0" applyBorder="0" applyAlignment="0" applyProtection="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182" fontId="10" fillId="0" borderId="55" applyFont="0" applyFill="0" applyBorder="0" applyAlignment="0" applyProtection="0">
      <alignment horizontal="center"/>
    </xf>
    <xf numFmtId="182" fontId="10" fillId="0" borderId="55" applyFont="0" applyFill="0" applyBorder="0" applyAlignment="0" applyProtection="0">
      <alignment horizontal="center"/>
    </xf>
    <xf numFmtId="3" fontId="37" fillId="39" borderId="120" applyNumberFormat="0" applyFont="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9" fillId="0" borderId="0" applyFont="0" applyFill="0" applyBorder="0" applyAlignment="0" applyProtection="0"/>
    <xf numFmtId="10" fontId="37" fillId="28" borderId="0" applyNumberFormat="0" applyFont="0" applyBorder="0" applyAlignment="0" applyProtection="0"/>
    <xf numFmtId="3" fontId="81" fillId="0" borderId="121" applyNumberFormat="0" applyFill="0" applyBorder="0" applyAlignment="0" applyProtection="0">
      <protection locked="0"/>
    </xf>
    <xf numFmtId="166" fontId="78" fillId="0" borderId="122" applyNumberFormat="0" applyFont="0" applyFill="0" applyAlignment="0" applyProtection="0"/>
    <xf numFmtId="3" fontId="37" fillId="0" borderId="123" applyNumberFormat="0" applyFont="0" applyFill="0" applyAlignment="0" applyProtection="0">
      <alignment horizontal="right"/>
    </xf>
    <xf numFmtId="0" fontId="82" fillId="0" borderId="124" applyNumberFormat="0" applyFont="0" applyFill="0" applyAlignment="0">
      <protection locked="0"/>
    </xf>
    <xf numFmtId="0" fontId="62"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49" fillId="0" borderId="0"/>
    <xf numFmtId="0" fontId="3" fillId="0" borderId="0"/>
    <xf numFmtId="44" fontId="6" fillId="0" borderId="0" applyFont="0" applyFill="0" applyBorder="0" applyAlignment="0" applyProtection="0"/>
    <xf numFmtId="44" fontId="115"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81" fontId="6" fillId="0" borderId="0" applyFont="0" applyBorder="0" applyAlignment="0">
      <alignment horizontal="center"/>
    </xf>
    <xf numFmtId="181" fontId="6" fillId="0" borderId="0" applyFont="0" applyBorder="0" applyAlignment="0">
      <alignment horizontal="center"/>
    </xf>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6"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3" borderId="169" applyNumberFormat="0" applyFont="0" applyAlignment="0" applyProtection="0"/>
    <xf numFmtId="0" fontId="6" fillId="23" borderId="169" applyNumberFormat="0" applyFont="0" applyAlignment="0" applyProtection="0"/>
    <xf numFmtId="0" fontId="6" fillId="23" borderId="169" applyNumberFormat="0" applyFont="0" applyAlignment="0" applyProtection="0"/>
    <xf numFmtId="0" fontId="6" fillId="23" borderId="169" applyNumberFormat="0" applyFont="0" applyAlignment="0" applyProtection="0"/>
    <xf numFmtId="0" fontId="6" fillId="23" borderId="169" applyNumberFormat="0" applyFont="0" applyAlignment="0" applyProtection="0"/>
    <xf numFmtId="0" fontId="6" fillId="23" borderId="169" applyNumberFormat="0" applyFont="0" applyAlignment="0" applyProtection="0"/>
    <xf numFmtId="0" fontId="6" fillId="23" borderId="169" applyNumberFormat="0" applyFont="0" applyAlignment="0" applyProtection="0"/>
    <xf numFmtId="182" fontId="6" fillId="0" borderId="146" applyFont="0" applyFill="0" applyBorder="0" applyAlignment="0" applyProtection="0">
      <alignment horizontal="center"/>
    </xf>
    <xf numFmtId="182" fontId="6" fillId="0" borderId="146" applyFont="0" applyFill="0" applyBorder="0" applyAlignment="0" applyProtection="0">
      <alignment horizontal="center"/>
    </xf>
    <xf numFmtId="182" fontId="6" fillId="0" borderId="146" applyFont="0" applyFill="0" applyBorder="0" applyAlignment="0" applyProtection="0">
      <alignment horizontal="center"/>
    </xf>
    <xf numFmtId="182" fontId="6" fillId="0" borderId="146" applyFont="0" applyFill="0" applyBorder="0" applyAlignment="0" applyProtection="0">
      <alignment horizontal="center"/>
    </xf>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78" fillId="0" borderId="170" applyNumberFormat="0" applyFont="0" applyFill="0" applyAlignment="0" applyProtection="0"/>
    <xf numFmtId="3" fontId="37" fillId="0" borderId="171" applyNumberFormat="0" applyFont="0" applyFill="0" applyAlignment="0" applyProtection="0">
      <alignment horizontal="right"/>
    </xf>
    <xf numFmtId="0" fontId="1" fillId="0" borderId="0"/>
    <xf numFmtId="44" fontId="1" fillId="0" borderId="0" applyFont="0" applyFill="0" applyBorder="0" applyAlignment="0" applyProtection="0"/>
    <xf numFmtId="9" fontId="1" fillId="0" borderId="0" applyFont="0" applyFill="0" applyBorder="0" applyAlignment="0" applyProtection="0"/>
    <xf numFmtId="0" fontId="123" fillId="60" borderId="0" applyNumberFormat="0" applyBorder="0" applyAlignment="0" applyProtection="0"/>
    <xf numFmtId="0" fontId="17" fillId="20" borderId="190" applyNumberFormat="0" applyAlignment="0" applyProtection="0"/>
    <xf numFmtId="0" fontId="25" fillId="7" borderId="190" applyNumberFormat="0" applyAlignment="0" applyProtection="0"/>
    <xf numFmtId="0" fontId="6" fillId="0" borderId="0"/>
    <xf numFmtId="0" fontId="28" fillId="20" borderId="191" applyNumberFormat="0" applyAlignment="0" applyProtection="0"/>
    <xf numFmtId="0" fontId="30" fillId="0" borderId="192" applyNumberFormat="0" applyFill="0" applyAlignment="0" applyProtection="0"/>
  </cellStyleXfs>
  <cellXfs count="2334">
    <xf numFmtId="0" fontId="0" fillId="0" borderId="0" xfId="0"/>
    <xf numFmtId="0" fontId="34" fillId="0" borderId="0" xfId="0" applyFont="1"/>
    <xf numFmtId="0" fontId="33" fillId="0" borderId="0" xfId="0" applyFont="1"/>
    <xf numFmtId="0" fontId="0" fillId="24" borderId="0" xfId="0" applyFill="1"/>
    <xf numFmtId="0" fontId="0" fillId="0" borderId="0" xfId="0" applyFill="1" applyBorder="1"/>
    <xf numFmtId="0" fontId="0" fillId="0" borderId="0" xfId="0" applyAlignment="1">
      <alignment horizontal="right"/>
    </xf>
    <xf numFmtId="0" fontId="34" fillId="0" borderId="0" xfId="0" applyFont="1" applyBorder="1" applyAlignment="1">
      <alignment horizontal="center" wrapText="1"/>
    </xf>
    <xf numFmtId="0" fontId="0" fillId="0" borderId="0" xfId="0" applyBorder="1"/>
    <xf numFmtId="0" fontId="10" fillId="0" borderId="0" xfId="0" applyFont="1" applyAlignment="1">
      <alignment horizontal="right"/>
    </xf>
    <xf numFmtId="0" fontId="10" fillId="0" borderId="0" xfId="0" applyFont="1"/>
    <xf numFmtId="0" fontId="0" fillId="0" borderId="0" xfId="0" quotePrefix="1"/>
    <xf numFmtId="0" fontId="0" fillId="0" borderId="17" xfId="0" applyBorder="1"/>
    <xf numFmtId="0" fontId="0" fillId="0" borderId="19" xfId="0" applyBorder="1"/>
    <xf numFmtId="0" fontId="0" fillId="0" borderId="21" xfId="0" applyBorder="1"/>
    <xf numFmtId="0" fontId="10" fillId="0" borderId="0" xfId="0" applyFont="1" applyAlignment="1">
      <alignment horizontal="center"/>
    </xf>
    <xf numFmtId="3" fontId="44" fillId="25" borderId="0" xfId="0" applyNumberFormat="1" applyFont="1" applyFill="1" applyBorder="1" applyAlignment="1" applyProtection="1">
      <alignment horizontal="center"/>
      <protection hidden="1"/>
    </xf>
    <xf numFmtId="3" fontId="43" fillId="25" borderId="25" xfId="0" applyNumberFormat="1" applyFont="1" applyFill="1" applyBorder="1" applyAlignment="1" applyProtection="1">
      <alignment horizontal="center"/>
      <protection hidden="1"/>
    </xf>
    <xf numFmtId="0" fontId="31" fillId="0" borderId="0" xfId="45" applyFont="1" applyBorder="1" applyAlignment="1" applyProtection="1">
      <alignment horizontal="right"/>
      <protection locked="0"/>
    </xf>
    <xf numFmtId="3" fontId="42" fillId="0" borderId="0" xfId="45" applyNumberFormat="1" applyFont="1" applyBorder="1" applyAlignment="1" applyProtection="1">
      <alignment horizontal="right"/>
    </xf>
    <xf numFmtId="2" fontId="0" fillId="0" borderId="0" xfId="0" applyNumberFormat="1" applyAlignment="1">
      <alignment horizontal="center"/>
    </xf>
    <xf numFmtId="1" fontId="42" fillId="0" borderId="0" xfId="0" applyNumberFormat="1" applyFont="1" applyAlignment="1">
      <alignment horizontal="center"/>
    </xf>
    <xf numFmtId="1" fontId="42" fillId="0" borderId="0" xfId="45" applyNumberFormat="1" applyFont="1" applyBorder="1" applyAlignment="1" applyProtection="1">
      <alignment horizontal="center"/>
    </xf>
    <xf numFmtId="0" fontId="31" fillId="0" borderId="0" xfId="45" applyFont="1" applyBorder="1" applyProtection="1"/>
    <xf numFmtId="0" fontId="31" fillId="0" borderId="0" xfId="45" applyFont="1" applyBorder="1" applyAlignment="1" applyProtection="1">
      <alignment horizontal="right"/>
    </xf>
    <xf numFmtId="3" fontId="31" fillId="0" borderId="0" xfId="45" applyNumberFormat="1" applyFont="1" applyBorder="1" applyAlignment="1" applyProtection="1">
      <alignment horizontal="center"/>
    </xf>
    <xf numFmtId="0" fontId="42" fillId="0" borderId="0" xfId="45" applyFont="1" applyBorder="1" applyProtection="1"/>
    <xf numFmtId="0" fontId="42" fillId="0" borderId="0" xfId="45" applyFont="1" applyBorder="1" applyAlignment="1" applyProtection="1">
      <alignment horizontal="right"/>
    </xf>
    <xf numFmtId="0" fontId="42" fillId="0" borderId="0" xfId="45" applyFont="1" applyBorder="1" applyAlignment="1" applyProtection="1">
      <alignment horizontal="center"/>
    </xf>
    <xf numFmtId="0" fontId="34" fillId="27" borderId="16" xfId="0" applyFont="1" applyFill="1" applyBorder="1" applyAlignment="1">
      <alignment horizontal="center"/>
    </xf>
    <xf numFmtId="0" fontId="33" fillId="24" borderId="0" xfId="0" applyFont="1" applyFill="1"/>
    <xf numFmtId="0" fontId="33" fillId="25" borderId="14" xfId="0" applyFont="1" applyFill="1" applyBorder="1"/>
    <xf numFmtId="0" fontId="0" fillId="25" borderId="26" xfId="0" applyFill="1" applyBorder="1"/>
    <xf numFmtId="0" fontId="0" fillId="25" borderId="19" xfId="0" applyFill="1" applyBorder="1"/>
    <xf numFmtId="0" fontId="0" fillId="25" borderId="27" xfId="0" applyFill="1" applyBorder="1"/>
    <xf numFmtId="0" fontId="0" fillId="25" borderId="0" xfId="0" applyFill="1" applyBorder="1"/>
    <xf numFmtId="0" fontId="0" fillId="25" borderId="28" xfId="0" applyFill="1" applyBorder="1"/>
    <xf numFmtId="0" fontId="35" fillId="24" borderId="27" xfId="0" applyFont="1" applyFill="1" applyBorder="1" applyAlignment="1">
      <alignment horizontal="right"/>
    </xf>
    <xf numFmtId="3" fontId="31" fillId="0" borderId="0" xfId="0" applyNumberFormat="1" applyFont="1" applyBorder="1" applyAlignment="1">
      <alignment horizontal="center"/>
    </xf>
    <xf numFmtId="0" fontId="34" fillId="24" borderId="27" xfId="0" applyFont="1" applyFill="1" applyBorder="1" applyAlignment="1">
      <alignment horizontal="right"/>
    </xf>
    <xf numFmtId="0" fontId="35" fillId="24" borderId="0" xfId="0" applyFont="1" applyFill="1" applyBorder="1" applyAlignment="1">
      <alignment horizontal="right"/>
    </xf>
    <xf numFmtId="0" fontId="0" fillId="24" borderId="27" xfId="0" applyFill="1" applyBorder="1"/>
    <xf numFmtId="0" fontId="34" fillId="24" borderId="0" xfId="0" applyFont="1" applyFill="1" applyBorder="1" applyAlignment="1">
      <alignment horizontal="right"/>
    </xf>
    <xf numFmtId="2" fontId="0" fillId="0" borderId="0" xfId="0" applyNumberFormat="1" applyBorder="1"/>
    <xf numFmtId="0" fontId="0" fillId="0" borderId="28" xfId="0" applyBorder="1"/>
    <xf numFmtId="0" fontId="31" fillId="24" borderId="0" xfId="0" applyFont="1" applyFill="1" applyBorder="1" applyAlignment="1">
      <alignment horizontal="center"/>
    </xf>
    <xf numFmtId="0" fontId="0" fillId="0" borderId="28" xfId="0" applyBorder="1" applyAlignment="1">
      <alignment horizontal="center"/>
    </xf>
    <xf numFmtId="0" fontId="0" fillId="0" borderId="27" xfId="0" applyBorder="1"/>
    <xf numFmtId="0" fontId="34" fillId="0" borderId="0" xfId="0" applyFont="1" applyBorder="1" applyAlignment="1">
      <alignment horizontal="right"/>
    </xf>
    <xf numFmtId="1" fontId="31" fillId="24" borderId="0" xfId="0" applyNumberFormat="1" applyFont="1" applyFill="1" applyBorder="1" applyAlignment="1">
      <alignment horizontal="center"/>
    </xf>
    <xf numFmtId="0" fontId="31" fillId="0" borderId="0" xfId="0" applyFont="1" applyBorder="1"/>
    <xf numFmtId="0" fontId="35" fillId="0" borderId="0" xfId="0" applyFont="1" applyBorder="1" applyAlignment="1">
      <alignment horizontal="center"/>
    </xf>
    <xf numFmtId="1" fontId="0" fillId="0" borderId="0" xfId="0" applyNumberFormat="1" applyBorder="1"/>
    <xf numFmtId="0" fontId="35" fillId="0" borderId="27" xfId="0" applyFont="1" applyBorder="1" applyAlignment="1">
      <alignment horizontal="right"/>
    </xf>
    <xf numFmtId="0" fontId="31" fillId="0" borderId="0" xfId="0" applyFont="1" applyBorder="1" applyAlignment="1">
      <alignment horizontal="center"/>
    </xf>
    <xf numFmtId="0" fontId="35" fillId="0" borderId="0" xfId="0" applyFont="1" applyBorder="1" applyAlignment="1">
      <alignment horizontal="right"/>
    </xf>
    <xf numFmtId="1" fontId="35" fillId="24" borderId="0" xfId="0" applyNumberFormat="1" applyFont="1" applyFill="1" applyBorder="1" applyAlignment="1">
      <alignment horizontal="center"/>
    </xf>
    <xf numFmtId="0" fontId="0" fillId="0" borderId="0" xfId="0" applyBorder="1" applyAlignment="1">
      <alignment horizontal="right"/>
    </xf>
    <xf numFmtId="2" fontId="0" fillId="24" borderId="0" xfId="0" applyNumberFormat="1" applyFill="1" applyBorder="1"/>
    <xf numFmtId="2" fontId="10" fillId="0" borderId="15" xfId="0" applyNumberFormat="1" applyFont="1" applyBorder="1" applyAlignment="1">
      <alignment horizontal="center" wrapText="1"/>
    </xf>
    <xf numFmtId="166" fontId="0" fillId="0" borderId="0" xfId="0" applyNumberFormat="1" applyBorder="1"/>
    <xf numFmtId="0" fontId="10" fillId="0" borderId="30" xfId="0" applyFont="1" applyBorder="1" applyAlignment="1">
      <alignment horizontal="center"/>
    </xf>
    <xf numFmtId="3" fontId="10" fillId="0" borderId="30" xfId="0" applyNumberFormat="1" applyFont="1" applyBorder="1" applyAlignment="1">
      <alignment horizontal="center"/>
    </xf>
    <xf numFmtId="3" fontId="41" fillId="28" borderId="30" xfId="0" applyNumberFormat="1" applyFont="1" applyFill="1" applyBorder="1" applyAlignment="1">
      <alignment horizontal="left"/>
    </xf>
    <xf numFmtId="0" fontId="0" fillId="28" borderId="0" xfId="0" applyFill="1"/>
    <xf numFmtId="2" fontId="31" fillId="24" borderId="0" xfId="0" applyNumberFormat="1" applyFont="1" applyFill="1" applyBorder="1" applyAlignment="1">
      <alignment horizontal="center"/>
    </xf>
    <xf numFmtId="3" fontId="0" fillId="0" borderId="0" xfId="0" applyNumberFormat="1" applyBorder="1" applyAlignment="1">
      <alignment horizontal="center"/>
    </xf>
    <xf numFmtId="3" fontId="0" fillId="0" borderId="28" xfId="0" applyNumberFormat="1" applyBorder="1" applyAlignment="1">
      <alignment horizontal="center"/>
    </xf>
    <xf numFmtId="3" fontId="0" fillId="0" borderId="0" xfId="0" applyNumberFormat="1" applyAlignment="1">
      <alignment horizontal="center"/>
    </xf>
    <xf numFmtId="173" fontId="0" fillId="0" borderId="0" xfId="0" applyNumberFormat="1" applyBorder="1"/>
    <xf numFmtId="168" fontId="10" fillId="0" borderId="30" xfId="0" applyNumberFormat="1" applyFont="1" applyBorder="1" applyAlignment="1">
      <alignment horizontal="center"/>
    </xf>
    <xf numFmtId="0" fontId="0" fillId="0" borderId="0" xfId="0" applyAlignment="1">
      <alignment horizontal="center"/>
    </xf>
    <xf numFmtId="0" fontId="10" fillId="0" borderId="31" xfId="0" applyFont="1" applyBorder="1" applyAlignment="1">
      <alignment horizontal="center"/>
    </xf>
    <xf numFmtId="3" fontId="10" fillId="0" borderId="31" xfId="0" applyNumberFormat="1" applyFont="1" applyBorder="1" applyAlignment="1">
      <alignment horizontal="center"/>
    </xf>
    <xf numFmtId="168" fontId="10" fillId="0" borderId="31" xfId="0" applyNumberFormat="1" applyFont="1" applyBorder="1" applyAlignment="1">
      <alignment horizontal="center"/>
    </xf>
    <xf numFmtId="0" fontId="35" fillId="0" borderId="26" xfId="0" applyFont="1" applyBorder="1" applyAlignment="1">
      <alignment horizontal="right"/>
    </xf>
    <xf numFmtId="3" fontId="0" fillId="0" borderId="28" xfId="0" applyNumberFormat="1" applyBorder="1"/>
    <xf numFmtId="3" fontId="0" fillId="0" borderId="0" xfId="0" applyNumberFormat="1"/>
    <xf numFmtId="166" fontId="31" fillId="0" borderId="0" xfId="0" applyNumberFormat="1" applyFont="1" applyBorder="1" applyAlignment="1">
      <alignment horizontal="center"/>
    </xf>
    <xf numFmtId="175" fontId="0" fillId="0" borderId="0" xfId="0" applyNumberFormat="1"/>
    <xf numFmtId="167" fontId="31" fillId="24" borderId="0" xfId="0" applyNumberFormat="1" applyFont="1" applyFill="1" applyBorder="1" applyAlignment="1">
      <alignment horizontal="center"/>
    </xf>
    <xf numFmtId="0" fontId="0" fillId="0" borderId="21" xfId="0" applyBorder="1" applyAlignment="1">
      <alignment horizontal="center"/>
    </xf>
    <xf numFmtId="0" fontId="0" fillId="0" borderId="32" xfId="0" applyBorder="1"/>
    <xf numFmtId="166" fontId="34" fillId="0" borderId="0" xfId="0" applyNumberFormat="1" applyFont="1" applyBorder="1" applyAlignment="1">
      <alignment horizontal="center"/>
    </xf>
    <xf numFmtId="0" fontId="41" fillId="0" borderId="0" xfId="0" applyFont="1"/>
    <xf numFmtId="0" fontId="10" fillId="24" borderId="0" xfId="0" applyFont="1" applyFill="1"/>
    <xf numFmtId="0" fontId="35" fillId="0" borderId="14" xfId="0" applyFont="1" applyBorder="1"/>
    <xf numFmtId="0" fontId="0" fillId="0" borderId="26" xfId="0" applyBorder="1"/>
    <xf numFmtId="0" fontId="38" fillId="0" borderId="0" xfId="0" applyFont="1" applyFill="1" applyBorder="1" applyAlignment="1">
      <alignment horizontal="center"/>
    </xf>
    <xf numFmtId="0" fontId="34" fillId="0" borderId="22" xfId="0" applyFont="1" applyBorder="1"/>
    <xf numFmtId="0" fontId="34" fillId="0" borderId="33" xfId="0" applyFont="1" applyBorder="1"/>
    <xf numFmtId="0" fontId="34" fillId="0" borderId="34" xfId="0" applyFont="1" applyBorder="1"/>
    <xf numFmtId="0" fontId="34" fillId="0" borderId="35" xfId="0" applyFont="1" applyBorder="1"/>
    <xf numFmtId="0" fontId="34" fillId="0" borderId="36" xfId="0" applyFont="1" applyBorder="1"/>
    <xf numFmtId="0" fontId="34" fillId="0" borderId="37" xfId="0" applyFont="1" applyBorder="1"/>
    <xf numFmtId="0" fontId="41" fillId="0" borderId="0" xfId="0" applyFont="1" applyFill="1" applyBorder="1"/>
    <xf numFmtId="0" fontId="34" fillId="0" borderId="38" xfId="0" applyFont="1" applyBorder="1"/>
    <xf numFmtId="0" fontId="34" fillId="0" borderId="39" xfId="0" applyFont="1" applyBorder="1"/>
    <xf numFmtId="0" fontId="34" fillId="0" borderId="0" xfId="0" applyFont="1" applyBorder="1"/>
    <xf numFmtId="0" fontId="34" fillId="0" borderId="40" xfId="0" applyFont="1" applyBorder="1"/>
    <xf numFmtId="0" fontId="34" fillId="24" borderId="41" xfId="0" applyFont="1" applyFill="1" applyBorder="1"/>
    <xf numFmtId="173" fontId="41" fillId="24" borderId="10" xfId="0" applyNumberFormat="1" applyFont="1" applyFill="1" applyBorder="1" applyAlignment="1">
      <alignment horizontal="center"/>
    </xf>
    <xf numFmtId="0" fontId="0" fillId="24" borderId="10" xfId="0" applyFill="1" applyBorder="1" applyAlignment="1">
      <alignment horizontal="center"/>
    </xf>
    <xf numFmtId="0" fontId="0" fillId="24" borderId="42" xfId="0" applyFill="1" applyBorder="1" applyAlignment="1">
      <alignment horizontal="center"/>
    </xf>
    <xf numFmtId="0" fontId="34" fillId="24" borderId="0" xfId="0" applyFont="1" applyFill="1" applyAlignment="1">
      <alignment horizontal="center"/>
    </xf>
    <xf numFmtId="0" fontId="41" fillId="0" borderId="0" xfId="0" applyFont="1" applyFill="1" applyBorder="1" applyAlignment="1">
      <alignment horizontal="center"/>
    </xf>
    <xf numFmtId="0" fontId="41" fillId="27" borderId="43" xfId="0" applyFont="1" applyFill="1" applyBorder="1" applyAlignment="1">
      <alignment horizontal="right"/>
    </xf>
    <xf numFmtId="0" fontId="0" fillId="0" borderId="10" xfId="0" applyBorder="1"/>
    <xf numFmtId="171" fontId="41" fillId="24" borderId="44" xfId="0" applyNumberFormat="1" applyFont="1" applyFill="1" applyBorder="1" applyAlignment="1">
      <alignment horizontal="center"/>
    </xf>
    <xf numFmtId="0" fontId="34" fillId="0" borderId="41" xfId="0" applyFont="1" applyBorder="1"/>
    <xf numFmtId="168" fontId="0" fillId="0" borderId="10" xfId="0" applyNumberFormat="1" applyBorder="1"/>
    <xf numFmtId="0" fontId="0" fillId="0" borderId="42" xfId="0" applyBorder="1"/>
    <xf numFmtId="0" fontId="34" fillId="0" borderId="0" xfId="0" applyFont="1" applyFill="1" applyBorder="1"/>
    <xf numFmtId="0" fontId="41" fillId="24" borderId="43" xfId="0" applyFont="1" applyFill="1" applyBorder="1" applyAlignment="1">
      <alignment horizontal="right"/>
    </xf>
    <xf numFmtId="171" fontId="41" fillId="24" borderId="45" xfId="0" applyNumberFormat="1" applyFont="1" applyFill="1" applyBorder="1" applyAlignment="1">
      <alignment horizontal="center"/>
    </xf>
    <xf numFmtId="172" fontId="41" fillId="24" borderId="10" xfId="0" applyNumberFormat="1" applyFont="1" applyFill="1" applyBorder="1" applyAlignment="1">
      <alignment horizontal="center"/>
    </xf>
    <xf numFmtId="1" fontId="41" fillId="0" borderId="0" xfId="0" applyNumberFormat="1" applyFont="1" applyFill="1" applyBorder="1" applyAlignment="1">
      <alignment horizontal="center"/>
    </xf>
    <xf numFmtId="170" fontId="41" fillId="24" borderId="45" xfId="0" applyNumberFormat="1" applyFont="1" applyFill="1" applyBorder="1" applyAlignment="1">
      <alignment horizontal="center"/>
    </xf>
    <xf numFmtId="168" fontId="41" fillId="24" borderId="10" xfId="0" applyNumberFormat="1" applyFont="1" applyFill="1" applyBorder="1" applyAlignment="1">
      <alignment horizontal="center"/>
    </xf>
    <xf numFmtId="43" fontId="0" fillId="0" borderId="0" xfId="0" applyNumberFormat="1"/>
    <xf numFmtId="169" fontId="41" fillId="24" borderId="10" xfId="0" applyNumberFormat="1" applyFont="1" applyFill="1" applyBorder="1" applyAlignment="1">
      <alignment horizontal="center"/>
    </xf>
    <xf numFmtId="0" fontId="41" fillId="27" borderId="46" xfId="0" applyFont="1" applyFill="1" applyBorder="1" applyAlignment="1">
      <alignment horizontal="right"/>
    </xf>
    <xf numFmtId="0" fontId="0" fillId="0" borderId="47" xfId="0" applyBorder="1"/>
    <xf numFmtId="171" fontId="41" fillId="24" borderId="48" xfId="0" applyNumberFormat="1" applyFont="1" applyFill="1" applyBorder="1" applyAlignment="1">
      <alignment horizontal="center"/>
    </xf>
    <xf numFmtId="168" fontId="0" fillId="0" borderId="0" xfId="0" applyNumberFormat="1" applyBorder="1"/>
    <xf numFmtId="0" fontId="34" fillId="0" borderId="49" xfId="0" applyFont="1" applyBorder="1"/>
    <xf numFmtId="168" fontId="0" fillId="0" borderId="47" xfId="0" applyNumberFormat="1" applyBorder="1"/>
    <xf numFmtId="0" fontId="0" fillId="0" borderId="50" xfId="0" applyBorder="1"/>
    <xf numFmtId="2" fontId="34" fillId="24" borderId="18" xfId="0" applyNumberFormat="1" applyFont="1" applyFill="1" applyBorder="1" applyAlignment="1">
      <alignment horizontal="center" wrapText="1"/>
    </xf>
    <xf numFmtId="2" fontId="34" fillId="0" borderId="0" xfId="0" applyNumberFormat="1" applyFont="1" applyAlignment="1">
      <alignment horizontal="center" wrapText="1"/>
    </xf>
    <xf numFmtId="168" fontId="34" fillId="24" borderId="15" xfId="0" applyNumberFormat="1" applyFont="1" applyFill="1" applyBorder="1" applyAlignment="1">
      <alignment horizontal="center"/>
    </xf>
    <xf numFmtId="3" fontId="34" fillId="0" borderId="0" xfId="0" applyNumberFormat="1" applyFont="1" applyAlignment="1">
      <alignment horizontal="center"/>
    </xf>
    <xf numFmtId="3" fontId="34" fillId="0" borderId="0" xfId="0" applyNumberFormat="1" applyFont="1"/>
    <xf numFmtId="168" fontId="34" fillId="24" borderId="30" xfId="0" applyNumberFormat="1" applyFont="1" applyFill="1" applyBorder="1" applyAlignment="1">
      <alignment horizontal="center"/>
    </xf>
    <xf numFmtId="3" fontId="10" fillId="0" borderId="0" xfId="45" applyNumberFormat="1" applyFont="1" applyBorder="1" applyAlignment="1" applyProtection="1">
      <alignment horizontal="left"/>
    </xf>
    <xf numFmtId="3" fontId="10" fillId="0" borderId="0" xfId="45" applyNumberFormat="1" applyFont="1" applyBorder="1" applyAlignment="1" applyProtection="1">
      <alignment horizontal="center"/>
    </xf>
    <xf numFmtId="0" fontId="10" fillId="0" borderId="0" xfId="45" applyFont="1" applyBorder="1" applyProtection="1"/>
    <xf numFmtId="0" fontId="10" fillId="0" borderId="0" xfId="45" applyFont="1" applyBorder="1" applyAlignment="1" applyProtection="1">
      <alignment horizontal="right"/>
    </xf>
    <xf numFmtId="0" fontId="0" fillId="29" borderId="0" xfId="0" applyFill="1" applyBorder="1"/>
    <xf numFmtId="0" fontId="25" fillId="29" borderId="51" xfId="0" applyFont="1" applyFill="1" applyBorder="1" applyAlignment="1" applyProtection="1">
      <alignment horizontal="right"/>
      <protection hidden="1"/>
    </xf>
    <xf numFmtId="0" fontId="25" fillId="29" borderId="0" xfId="0" applyFont="1" applyFill="1" applyBorder="1" applyAlignment="1" applyProtection="1">
      <alignment horizontal="right"/>
      <protection hidden="1"/>
    </xf>
    <xf numFmtId="168" fontId="34" fillId="27" borderId="16" xfId="0" applyNumberFormat="1" applyFont="1" applyFill="1" applyBorder="1" applyAlignment="1">
      <alignment horizontal="center"/>
    </xf>
    <xf numFmtId="168" fontId="34" fillId="24" borderId="31" xfId="0" applyNumberFormat="1" applyFont="1" applyFill="1" applyBorder="1" applyAlignment="1">
      <alignment horizontal="center"/>
    </xf>
    <xf numFmtId="0" fontId="35" fillId="0" borderId="22" xfId="48" applyFont="1" applyBorder="1" applyAlignment="1">
      <alignment horizontal="center"/>
    </xf>
    <xf numFmtId="0" fontId="35" fillId="0" borderId="33" xfId="48" applyFont="1" applyBorder="1"/>
    <xf numFmtId="0" fontId="35" fillId="0" borderId="26" xfId="48" applyFont="1" applyBorder="1" applyAlignment="1">
      <alignment horizontal="center"/>
    </xf>
    <xf numFmtId="0" fontId="35" fillId="0" borderId="19" xfId="48" applyFont="1" applyBorder="1"/>
    <xf numFmtId="0" fontId="35" fillId="0" borderId="26" xfId="48" applyFont="1" applyBorder="1"/>
    <xf numFmtId="0" fontId="37" fillId="0" borderId="0" xfId="48" applyAlignment="1">
      <alignment horizontal="center"/>
    </xf>
    <xf numFmtId="0" fontId="37" fillId="0" borderId="0" xfId="48"/>
    <xf numFmtId="0" fontId="35" fillId="0" borderId="46" xfId="48" applyFont="1" applyBorder="1" applyAlignment="1">
      <alignment horizontal="center"/>
    </xf>
    <xf numFmtId="0" fontId="35" fillId="0" borderId="52" xfId="48" applyFont="1" applyBorder="1"/>
    <xf numFmtId="0" fontId="35" fillId="0" borderId="32" xfId="48" applyFont="1" applyBorder="1" applyAlignment="1">
      <alignment horizontal="center"/>
    </xf>
    <xf numFmtId="0" fontId="35" fillId="0" borderId="21" xfId="48" applyFont="1" applyBorder="1"/>
    <xf numFmtId="0" fontId="35" fillId="0" borderId="32" xfId="48" applyFont="1" applyBorder="1"/>
    <xf numFmtId="0" fontId="35" fillId="0" borderId="49" xfId="48" applyFont="1" applyBorder="1" applyAlignment="1">
      <alignment horizontal="center"/>
    </xf>
    <xf numFmtId="0" fontId="35" fillId="0" borderId="47" xfId="48" applyFont="1" applyBorder="1" applyAlignment="1">
      <alignment horizontal="center"/>
    </xf>
    <xf numFmtId="0" fontId="35" fillId="0" borderId="50" xfId="48" applyFont="1" applyBorder="1" applyAlignment="1">
      <alignment horizontal="center"/>
    </xf>
    <xf numFmtId="0" fontId="35" fillId="0" borderId="53" xfId="48" applyFont="1" applyBorder="1" applyAlignment="1">
      <alignment horizontal="right"/>
    </xf>
    <xf numFmtId="0" fontId="35" fillId="0" borderId="50" xfId="48" applyFont="1" applyBorder="1" applyAlignment="1">
      <alignment horizontal="left"/>
    </xf>
    <xf numFmtId="0" fontId="42" fillId="0" borderId="0" xfId="48" applyFont="1" applyAlignment="1">
      <alignment horizontal="right"/>
    </xf>
    <xf numFmtId="0" fontId="42" fillId="0" borderId="0" xfId="48" applyFont="1" applyAlignment="1">
      <alignment horizontal="center"/>
    </xf>
    <xf numFmtId="0" fontId="42" fillId="0" borderId="0" xfId="48" applyFont="1" applyAlignment="1">
      <alignment horizontal="left"/>
    </xf>
    <xf numFmtId="0" fontId="35" fillId="0" borderId="27" xfId="48" applyFont="1" applyBorder="1" applyAlignment="1">
      <alignment horizontal="center"/>
    </xf>
    <xf numFmtId="0" fontId="35" fillId="0" borderId="0" xfId="48" applyFont="1" applyBorder="1"/>
    <xf numFmtId="0" fontId="35" fillId="0" borderId="0" xfId="48" applyFont="1" applyBorder="1" applyAlignment="1">
      <alignment horizontal="center"/>
    </xf>
    <xf numFmtId="0" fontId="35" fillId="0" borderId="28" xfId="48" applyFont="1" applyBorder="1"/>
    <xf numFmtId="0" fontId="35" fillId="0" borderId="28" xfId="48" applyFont="1" applyBorder="1" applyAlignment="1">
      <alignment horizontal="center"/>
    </xf>
    <xf numFmtId="0" fontId="35" fillId="0" borderId="0" xfId="48" applyFont="1" applyBorder="1" applyAlignment="1">
      <alignment horizontal="right"/>
    </xf>
    <xf numFmtId="0" fontId="35" fillId="0" borderId="28" xfId="48" applyFont="1" applyBorder="1" applyAlignment="1">
      <alignment horizontal="left"/>
    </xf>
    <xf numFmtId="0" fontId="46" fillId="27" borderId="0" xfId="48" applyFont="1" applyFill="1" applyAlignment="1">
      <alignment horizontal="center"/>
    </xf>
    <xf numFmtId="0" fontId="35" fillId="27" borderId="27" xfId="48" applyFont="1" applyFill="1" applyBorder="1" applyAlignment="1">
      <alignment horizontal="center"/>
    </xf>
    <xf numFmtId="0" fontId="35" fillId="27" borderId="0" xfId="48" applyFont="1" applyFill="1" applyBorder="1" applyAlignment="1">
      <alignment horizontal="center"/>
    </xf>
    <xf numFmtId="0" fontId="35" fillId="27" borderId="28" xfId="48" applyFont="1" applyFill="1" applyBorder="1" applyAlignment="1">
      <alignment horizontal="center"/>
    </xf>
    <xf numFmtId="0" fontId="35" fillId="27" borderId="0" xfId="48" applyFont="1" applyFill="1" applyAlignment="1">
      <alignment horizontal="center"/>
    </xf>
    <xf numFmtId="0" fontId="42" fillId="0" borderId="27" xfId="48" applyFont="1" applyBorder="1" applyAlignment="1">
      <alignment horizontal="center"/>
    </xf>
    <xf numFmtId="0" fontId="42" fillId="0" borderId="0" xfId="48" applyFont="1" applyBorder="1"/>
    <xf numFmtId="0" fontId="42" fillId="0" borderId="0" xfId="48" applyFont="1" applyBorder="1" applyAlignment="1">
      <alignment horizontal="center"/>
    </xf>
    <xf numFmtId="0" fontId="42" fillId="0" borderId="28" xfId="48" applyFont="1" applyBorder="1"/>
    <xf numFmtId="0" fontId="42" fillId="0" borderId="27" xfId="45" applyFont="1" applyBorder="1" applyAlignment="1" applyProtection="1">
      <alignment horizontal="right"/>
    </xf>
    <xf numFmtId="0" fontId="42" fillId="0" borderId="28" xfId="45" applyFont="1" applyBorder="1" applyAlignment="1" applyProtection="1">
      <alignment horizontal="center"/>
    </xf>
    <xf numFmtId="0" fontId="37" fillId="0" borderId="27" xfId="48" applyBorder="1" applyAlignment="1">
      <alignment horizontal="right"/>
    </xf>
    <xf numFmtId="0" fontId="37" fillId="0" borderId="0" xfId="48" applyBorder="1" applyAlignment="1">
      <alignment horizontal="center"/>
    </xf>
    <xf numFmtId="0" fontId="37" fillId="0" borderId="28" xfId="48" applyBorder="1" applyAlignment="1">
      <alignment horizontal="left"/>
    </xf>
    <xf numFmtId="0" fontId="42" fillId="0" borderId="0" xfId="45" applyFont="1" applyBorder="1" applyAlignment="1" applyProtection="1">
      <alignment horizontal="left"/>
    </xf>
    <xf numFmtId="0" fontId="37" fillId="0" borderId="0" xfId="48" applyAlignment="1">
      <alignment horizontal="right"/>
    </xf>
    <xf numFmtId="0" fontId="37" fillId="0" borderId="0" xfId="48" applyAlignment="1">
      <alignment horizontal="left"/>
    </xf>
    <xf numFmtId="49" fontId="42" fillId="0" borderId="27" xfId="48" applyNumberFormat="1" applyFont="1" applyBorder="1" applyAlignment="1">
      <alignment horizontal="center"/>
    </xf>
    <xf numFmtId="0" fontId="42" fillId="0" borderId="28" xfId="45" applyFont="1" applyBorder="1" applyAlignment="1" applyProtection="1">
      <alignment horizontal="left"/>
    </xf>
    <xf numFmtId="0" fontId="42" fillId="0" borderId="0" xfId="45" quotePrefix="1" applyFont="1" applyBorder="1" applyAlignment="1" applyProtection="1">
      <alignment horizontal="center"/>
    </xf>
    <xf numFmtId="0" fontId="37" fillId="0" borderId="27" xfId="48" applyBorder="1" applyAlignment="1">
      <alignment horizontal="center"/>
    </xf>
    <xf numFmtId="0" fontId="37" fillId="0" borderId="0" xfId="48" applyBorder="1"/>
    <xf numFmtId="0" fontId="37" fillId="0" borderId="28" xfId="48" applyBorder="1"/>
    <xf numFmtId="0" fontId="37" fillId="0" borderId="27" xfId="48" applyBorder="1"/>
    <xf numFmtId="0" fontId="37" fillId="0" borderId="17" xfId="48" applyBorder="1" applyAlignment="1">
      <alignment horizontal="center"/>
    </xf>
    <xf numFmtId="0" fontId="37" fillId="0" borderId="32" xfId="48" applyBorder="1"/>
    <xf numFmtId="0" fontId="37" fillId="0" borderId="32" xfId="48" applyBorder="1" applyAlignment="1">
      <alignment horizontal="center"/>
    </xf>
    <xf numFmtId="0" fontId="37" fillId="0" borderId="21" xfId="48" applyBorder="1"/>
    <xf numFmtId="0" fontId="37" fillId="0" borderId="17" xfId="48" applyBorder="1"/>
    <xf numFmtId="0" fontId="47" fillId="0" borderId="29" xfId="48" applyFont="1" applyBorder="1" applyAlignment="1">
      <alignment horizontal="center"/>
    </xf>
    <xf numFmtId="0" fontId="36" fillId="0" borderId="0" xfId="44"/>
    <xf numFmtId="0" fontId="34" fillId="0" borderId="54" xfId="44" applyFont="1" applyBorder="1" applyAlignment="1">
      <alignment horizontal="center"/>
    </xf>
    <xf numFmtId="1" fontId="42" fillId="0" borderId="0" xfId="44" applyNumberFormat="1" applyFont="1" applyBorder="1" applyAlignment="1">
      <alignment horizontal="center"/>
    </xf>
    <xf numFmtId="1" fontId="42" fillId="0" borderId="55" xfId="44" applyNumberFormat="1" applyFont="1" applyBorder="1" applyAlignment="1">
      <alignment horizontal="center"/>
    </xf>
    <xf numFmtId="0" fontId="36" fillId="0" borderId="55" xfId="44" applyBorder="1" applyAlignment="1">
      <alignment horizontal="center"/>
    </xf>
    <xf numFmtId="0" fontId="31" fillId="0" borderId="54" xfId="45" applyFont="1" applyBorder="1" applyAlignment="1" applyProtection="1">
      <alignment horizontal="right"/>
      <protection locked="0"/>
    </xf>
    <xf numFmtId="3" fontId="42" fillId="0" borderId="0" xfId="45" applyNumberFormat="1" applyFont="1" applyBorder="1" applyAlignment="1" applyProtection="1">
      <alignment horizontal="center"/>
    </xf>
    <xf numFmtId="1" fontId="42" fillId="0" borderId="55" xfId="45" applyNumberFormat="1" applyFont="1" applyBorder="1" applyAlignment="1" applyProtection="1">
      <alignment horizontal="center"/>
    </xf>
    <xf numFmtId="166" fontId="42" fillId="0" borderId="0" xfId="45" applyNumberFormat="1" applyFont="1" applyBorder="1" applyAlignment="1" applyProtection="1">
      <alignment horizontal="center"/>
    </xf>
    <xf numFmtId="168" fontId="42" fillId="0" borderId="55" xfId="45" applyNumberFormat="1" applyFont="1" applyBorder="1" applyAlignment="1" applyProtection="1">
      <alignment horizontal="center"/>
    </xf>
    <xf numFmtId="168" fontId="42" fillId="0" borderId="0" xfId="45" applyNumberFormat="1" applyFont="1" applyBorder="1" applyAlignment="1" applyProtection="1">
      <alignment horizontal="center"/>
    </xf>
    <xf numFmtId="0" fontId="31" fillId="0" borderId="54" xfId="45" applyFont="1" applyBorder="1" applyProtection="1"/>
    <xf numFmtId="3" fontId="31" fillId="0" borderId="55" xfId="45" applyNumberFormat="1" applyFont="1" applyBorder="1" applyAlignment="1" applyProtection="1">
      <alignment horizontal="center"/>
    </xf>
    <xf numFmtId="1" fontId="31" fillId="0" borderId="0" xfId="45" applyNumberFormat="1" applyFont="1" applyBorder="1" applyAlignment="1" applyProtection="1">
      <alignment horizontal="center"/>
    </xf>
    <xf numFmtId="1" fontId="31" fillId="0" borderId="55" xfId="45" applyNumberFormat="1" applyFont="1" applyBorder="1" applyAlignment="1" applyProtection="1">
      <alignment horizontal="center"/>
    </xf>
    <xf numFmtId="0" fontId="42" fillId="0" borderId="54" xfId="45" applyFont="1" applyBorder="1" applyProtection="1"/>
    <xf numFmtId="0" fontId="10" fillId="0" borderId="0" xfId="44" applyFont="1" applyBorder="1" applyAlignment="1">
      <alignment horizontal="center"/>
    </xf>
    <xf numFmtId="0" fontId="10" fillId="0" borderId="55" xfId="44" applyFont="1" applyBorder="1" applyAlignment="1">
      <alignment horizontal="center"/>
    </xf>
    <xf numFmtId="1" fontId="10" fillId="0" borderId="0" xfId="44" applyNumberFormat="1" applyFont="1" applyBorder="1" applyAlignment="1">
      <alignment horizontal="center"/>
    </xf>
    <xf numFmtId="1" fontId="10" fillId="0" borderId="55" xfId="44" applyNumberFormat="1" applyFont="1" applyBorder="1" applyAlignment="1">
      <alignment horizontal="center"/>
    </xf>
    <xf numFmtId="0" fontId="42" fillId="0" borderId="56" xfId="45" applyFont="1" applyBorder="1" applyProtection="1"/>
    <xf numFmtId="0" fontId="42" fillId="0" borderId="57" xfId="45" applyFont="1" applyBorder="1" applyAlignment="1" applyProtection="1">
      <alignment horizontal="center"/>
    </xf>
    <xf numFmtId="0" fontId="42" fillId="0" borderId="58" xfId="45" applyFont="1" applyBorder="1" applyAlignment="1" applyProtection="1">
      <alignment horizontal="center"/>
    </xf>
    <xf numFmtId="2" fontId="42" fillId="0" borderId="57" xfId="45" applyNumberFormat="1" applyFont="1" applyBorder="1" applyAlignment="1" applyProtection="1">
      <alignment horizontal="center"/>
    </xf>
    <xf numFmtId="168" fontId="42" fillId="0" borderId="57" xfId="45" applyNumberFormat="1" applyFont="1" applyBorder="1" applyAlignment="1" applyProtection="1">
      <alignment horizontal="center"/>
    </xf>
    <xf numFmtId="1" fontId="42" fillId="0" borderId="57" xfId="45" applyNumberFormat="1" applyFont="1" applyBorder="1" applyAlignment="1" applyProtection="1">
      <alignment horizontal="center"/>
    </xf>
    <xf numFmtId="1" fontId="42" fillId="0" borderId="58" xfId="45" applyNumberFormat="1" applyFont="1" applyBorder="1" applyAlignment="1" applyProtection="1">
      <alignment horizontal="center"/>
    </xf>
    <xf numFmtId="0" fontId="36" fillId="0" borderId="0" xfId="44" applyAlignment="1">
      <alignment horizontal="center"/>
    </xf>
    <xf numFmtId="0" fontId="36" fillId="0" borderId="0" xfId="44" applyAlignment="1">
      <alignment horizontal="right"/>
    </xf>
    <xf numFmtId="166" fontId="36" fillId="0" borderId="0" xfId="44" applyNumberFormat="1" applyAlignment="1">
      <alignment horizontal="center"/>
    </xf>
    <xf numFmtId="3" fontId="36" fillId="0" borderId="0" xfId="44" applyNumberFormat="1" applyAlignment="1">
      <alignment horizontal="center"/>
    </xf>
    <xf numFmtId="2" fontId="36" fillId="0" borderId="0" xfId="44" applyNumberFormat="1" applyAlignment="1">
      <alignment horizontal="center"/>
    </xf>
    <xf numFmtId="168" fontId="36" fillId="0" borderId="0" xfId="44" applyNumberFormat="1" applyAlignment="1">
      <alignment horizontal="center"/>
    </xf>
    <xf numFmtId="0" fontId="36" fillId="0" borderId="0" xfId="44" applyFont="1"/>
    <xf numFmtId="166" fontId="36" fillId="0" borderId="0" xfId="44" applyNumberFormat="1"/>
    <xf numFmtId="2" fontId="36" fillId="0" borderId="0" xfId="44" applyNumberFormat="1"/>
    <xf numFmtId="1" fontId="36" fillId="0" borderId="0" xfId="44" applyNumberFormat="1" applyAlignment="1">
      <alignment horizontal="center"/>
    </xf>
    <xf numFmtId="0" fontId="48" fillId="0" borderId="0" xfId="48" applyFont="1" applyAlignment="1">
      <alignment horizontal="center"/>
    </xf>
    <xf numFmtId="0" fontId="45" fillId="27" borderId="16" xfId="48" applyFont="1" applyFill="1" applyBorder="1" applyAlignment="1">
      <alignment horizontal="center"/>
    </xf>
    <xf numFmtId="0" fontId="45" fillId="27" borderId="29" xfId="48" applyFont="1" applyFill="1" applyBorder="1" applyAlignment="1">
      <alignment horizontal="center"/>
    </xf>
    <xf numFmtId="0" fontId="45" fillId="27" borderId="20" xfId="48" applyFont="1" applyFill="1" applyBorder="1" applyAlignment="1">
      <alignment horizontal="center"/>
    </xf>
    <xf numFmtId="0" fontId="45" fillId="0" borderId="0" xfId="48" applyFont="1" applyAlignment="1">
      <alignment horizontal="center"/>
    </xf>
    <xf numFmtId="0" fontId="49" fillId="0" borderId="0" xfId="47"/>
    <xf numFmtId="0" fontId="50" fillId="25" borderId="38" xfId="47" applyFont="1" applyFill="1" applyBorder="1" applyAlignment="1">
      <alignment horizontal="center"/>
    </xf>
    <xf numFmtId="0" fontId="50" fillId="25" borderId="40" xfId="47" applyFont="1" applyFill="1" applyBorder="1" applyAlignment="1">
      <alignment horizontal="center"/>
    </xf>
    <xf numFmtId="0" fontId="49" fillId="25" borderId="41" xfId="47" applyFill="1" applyBorder="1" applyAlignment="1">
      <alignment horizontal="left"/>
    </xf>
    <xf numFmtId="166" fontId="49" fillId="25" borderId="42" xfId="47" applyNumberFormat="1" applyFill="1" applyBorder="1" applyAlignment="1">
      <alignment horizontal="center"/>
    </xf>
    <xf numFmtId="0" fontId="49" fillId="25" borderId="49" xfId="47" applyFill="1" applyBorder="1" applyAlignment="1">
      <alignment horizontal="left"/>
    </xf>
    <xf numFmtId="0" fontId="49" fillId="25" borderId="41" xfId="47" applyFont="1" applyFill="1" applyBorder="1" applyAlignment="1">
      <alignment horizontal="left"/>
    </xf>
    <xf numFmtId="0" fontId="49" fillId="25" borderId="10" xfId="47" applyFill="1" applyBorder="1" applyAlignment="1">
      <alignment horizontal="center"/>
    </xf>
    <xf numFmtId="0" fontId="49" fillId="25" borderId="42" xfId="47" applyFont="1" applyFill="1" applyBorder="1" applyAlignment="1">
      <alignment horizontal="center"/>
    </xf>
    <xf numFmtId="0" fontId="49" fillId="25" borderId="49" xfId="47" applyFont="1" applyFill="1" applyBorder="1" applyAlignment="1">
      <alignment horizontal="left"/>
    </xf>
    <xf numFmtId="0" fontId="49" fillId="25" borderId="47" xfId="47" applyFill="1" applyBorder="1" applyAlignment="1">
      <alignment horizontal="center"/>
    </xf>
    <xf numFmtId="0" fontId="49" fillId="25" borderId="50" xfId="47" applyFont="1" applyFill="1" applyBorder="1" applyAlignment="1">
      <alignment horizontal="center"/>
    </xf>
    <xf numFmtId="0" fontId="10" fillId="0" borderId="0" xfId="0" applyFont="1" applyFill="1" applyBorder="1"/>
    <xf numFmtId="0" fontId="0" fillId="0" borderId="0" xfId="0" applyBorder="1" applyAlignment="1">
      <alignment horizontal="center"/>
    </xf>
    <xf numFmtId="0" fontId="31" fillId="0" borderId="16" xfId="0" applyFont="1" applyBorder="1" applyAlignment="1">
      <alignment horizontal="center"/>
    </xf>
    <xf numFmtId="0" fontId="31" fillId="0" borderId="29" xfId="0" applyFont="1" applyBorder="1" applyAlignment="1">
      <alignment horizontal="center"/>
    </xf>
    <xf numFmtId="0" fontId="31" fillId="0" borderId="20" xfId="0" applyFont="1" applyBorder="1" applyAlignment="1">
      <alignment horizontal="center"/>
    </xf>
    <xf numFmtId="0" fontId="34" fillId="0" borderId="0" xfId="0" applyFont="1" applyAlignment="1">
      <alignment horizontal="center"/>
    </xf>
    <xf numFmtId="0" fontId="10" fillId="0" borderId="0" xfId="0" applyFont="1" applyAlignment="1" applyProtection="1"/>
    <xf numFmtId="0" fontId="10" fillId="0" borderId="0" xfId="0" applyFont="1" applyAlignment="1" applyProtection="1">
      <alignment horizontal="center"/>
    </xf>
    <xf numFmtId="0" fontId="34" fillId="0" borderId="0" xfId="0" applyFont="1" applyAlignment="1" applyProtection="1">
      <alignment horizontal="left"/>
    </xf>
    <xf numFmtId="1" fontId="10" fillId="0" borderId="0" xfId="0" applyNumberFormat="1" applyFont="1" applyAlignment="1" applyProtection="1">
      <alignment horizontal="center"/>
    </xf>
    <xf numFmtId="0" fontId="40" fillId="0" borderId="0" xfId="0" applyFont="1" applyAlignment="1" applyProtection="1">
      <alignment horizontal="left"/>
      <protection hidden="1"/>
    </xf>
    <xf numFmtId="0" fontId="54" fillId="0" borderId="0" xfId="56" applyFont="1" applyAlignment="1" applyProtection="1">
      <alignment horizontal="left"/>
      <protection hidden="1"/>
    </xf>
    <xf numFmtId="0" fontId="40" fillId="0" borderId="0" xfId="0" applyFont="1" applyAlignment="1" applyProtection="1">
      <alignment horizontal="right"/>
      <protection hidden="1"/>
    </xf>
    <xf numFmtId="0" fontId="10" fillId="0" borderId="0" xfId="0" applyFont="1" applyAlignment="1" applyProtection="1">
      <protection hidden="1"/>
    </xf>
    <xf numFmtId="174" fontId="55" fillId="0" borderId="0" xfId="0" applyNumberFormat="1" applyFont="1" applyFill="1" applyBorder="1" applyAlignment="1" applyProtection="1">
      <alignment horizontal="center"/>
      <protection hidden="1"/>
    </xf>
    <xf numFmtId="1" fontId="56" fillId="30" borderId="0" xfId="0" applyNumberFormat="1" applyFont="1" applyFill="1" applyBorder="1" applyAlignment="1" applyProtection="1">
      <alignment horizontal="center"/>
      <protection hidden="1"/>
    </xf>
    <xf numFmtId="0" fontId="55" fillId="30" borderId="0" xfId="0" applyFont="1" applyFill="1" applyBorder="1" applyAlignment="1" applyProtection="1">
      <alignment horizontal="right"/>
      <protection hidden="1"/>
    </xf>
    <xf numFmtId="0" fontId="55" fillId="30" borderId="90" xfId="0" applyFont="1" applyFill="1" applyBorder="1" applyAlignment="1" applyProtection="1">
      <alignment horizontal="right"/>
      <protection hidden="1"/>
    </xf>
    <xf numFmtId="0" fontId="10" fillId="25" borderId="91" xfId="0" applyFont="1" applyFill="1" applyBorder="1" applyAlignment="1" applyProtection="1">
      <protection hidden="1"/>
    </xf>
    <xf numFmtId="174" fontId="57" fillId="25" borderId="92" xfId="0" applyNumberFormat="1" applyFont="1" applyFill="1" applyBorder="1" applyAlignment="1" applyProtection="1">
      <alignment horizontal="center"/>
      <protection hidden="1"/>
    </xf>
    <xf numFmtId="1" fontId="58" fillId="25" borderId="92" xfId="0" applyNumberFormat="1" applyFont="1" applyFill="1" applyBorder="1" applyAlignment="1" applyProtection="1">
      <alignment horizontal="center"/>
      <protection hidden="1"/>
    </xf>
    <xf numFmtId="0" fontId="57" fillId="25" borderId="92" xfId="0" applyFont="1" applyFill="1" applyBorder="1" applyAlignment="1" applyProtection="1">
      <alignment horizontal="right"/>
      <protection hidden="1"/>
    </xf>
    <xf numFmtId="0" fontId="57" fillId="25" borderId="93" xfId="0" applyFont="1" applyFill="1" applyBorder="1" applyAlignment="1" applyProtection="1">
      <alignment horizontal="right"/>
      <protection hidden="1"/>
    </xf>
    <xf numFmtId="0" fontId="10" fillId="25" borderId="25" xfId="0" applyFont="1" applyFill="1" applyBorder="1" applyAlignment="1" applyProtection="1">
      <protection hidden="1"/>
    </xf>
    <xf numFmtId="3" fontId="40" fillId="25" borderId="0" xfId="0" applyNumberFormat="1" applyFont="1" applyFill="1" applyBorder="1" applyAlignment="1" applyProtection="1">
      <alignment horizontal="center"/>
      <protection hidden="1"/>
    </xf>
    <xf numFmtId="1" fontId="40" fillId="25" borderId="0" xfId="0" applyNumberFormat="1" applyFont="1" applyFill="1" applyBorder="1" applyAlignment="1" applyProtection="1">
      <alignment horizontal="center"/>
      <protection hidden="1"/>
    </xf>
    <xf numFmtId="0" fontId="25" fillId="25" borderId="0" xfId="0" applyFont="1" applyFill="1" applyBorder="1" applyAlignment="1" applyProtection="1">
      <alignment horizontal="right"/>
      <protection hidden="1"/>
    </xf>
    <xf numFmtId="0" fontId="25" fillId="25" borderId="51" xfId="0" applyFont="1" applyFill="1" applyBorder="1" applyAlignment="1" applyProtection="1">
      <alignment horizontal="right"/>
      <protection hidden="1"/>
    </xf>
    <xf numFmtId="3" fontId="11"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43" fillId="25" borderId="25" xfId="0" applyFont="1" applyFill="1" applyBorder="1" applyAlignment="1" applyProtection="1">
      <alignment horizontal="center"/>
      <protection hidden="1"/>
    </xf>
    <xf numFmtId="2" fontId="40" fillId="25" borderId="0" xfId="0" applyNumberFormat="1" applyFont="1" applyFill="1" applyBorder="1" applyAlignment="1" applyProtection="1">
      <alignment horizontal="center"/>
      <protection hidden="1"/>
    </xf>
    <xf numFmtId="1" fontId="44" fillId="25" borderId="0" xfId="0" applyNumberFormat="1" applyFont="1" applyFill="1" applyBorder="1" applyAlignment="1" applyProtection="1">
      <alignment horizontal="center"/>
      <protection hidden="1"/>
    </xf>
    <xf numFmtId="2" fontId="11" fillId="0" borderId="0" xfId="0" applyNumberFormat="1" applyFont="1" applyAlignment="1" applyProtection="1">
      <alignment horizontal="center"/>
      <protection hidden="1"/>
    </xf>
    <xf numFmtId="9" fontId="43" fillId="25" borderId="25" xfId="51" applyFont="1" applyFill="1" applyBorder="1" applyAlignment="1" applyProtection="1">
      <alignment horizontal="center"/>
      <protection hidden="1"/>
    </xf>
    <xf numFmtId="2" fontId="44" fillId="25" borderId="0" xfId="0" applyNumberFormat="1" applyFont="1" applyFill="1" applyBorder="1" applyAlignment="1" applyProtection="1">
      <alignment horizontal="center"/>
      <protection hidden="1"/>
    </xf>
    <xf numFmtId="174" fontId="40" fillId="25" borderId="0" xfId="0" applyNumberFormat="1" applyFont="1" applyFill="1" applyBorder="1" applyAlignment="1" applyProtection="1">
      <alignment horizontal="center"/>
      <protection hidden="1"/>
    </xf>
    <xf numFmtId="165" fontId="11" fillId="0" borderId="0" xfId="51" applyNumberFormat="1" applyFont="1" applyAlignment="1" applyProtection="1">
      <alignment horizontal="center"/>
      <protection hidden="1"/>
    </xf>
    <xf numFmtId="166" fontId="11" fillId="0" borderId="0" xfId="0" applyNumberFormat="1" applyFont="1" applyAlignment="1" applyProtection="1">
      <alignment horizontal="center"/>
      <protection hidden="1"/>
    </xf>
    <xf numFmtId="1" fontId="25" fillId="25" borderId="0" xfId="0" applyNumberFormat="1" applyFont="1" applyFill="1" applyBorder="1" applyAlignment="1" applyProtection="1">
      <alignment horizontal="center"/>
      <protection hidden="1"/>
    </xf>
    <xf numFmtId="0" fontId="25" fillId="25" borderId="0" xfId="0" applyFont="1" applyFill="1" applyBorder="1" applyAlignment="1" applyProtection="1">
      <alignment horizontal="center"/>
      <protection hidden="1"/>
    </xf>
    <xf numFmtId="0" fontId="10" fillId="0" borderId="0" xfId="0" applyFont="1" applyFill="1" applyBorder="1" applyAlignment="1" applyProtection="1">
      <protection hidden="1"/>
    </xf>
    <xf numFmtId="0" fontId="43" fillId="25" borderId="95" xfId="0" applyFont="1" applyFill="1" applyBorder="1" applyAlignment="1" applyProtection="1">
      <alignment horizontal="center" wrapText="1"/>
      <protection hidden="1"/>
    </xf>
    <xf numFmtId="174" fontId="55" fillId="25" borderId="96" xfId="0" applyNumberFormat="1" applyFont="1" applyFill="1" applyBorder="1" applyAlignment="1" applyProtection="1">
      <alignment horizontal="center"/>
      <protection hidden="1"/>
    </xf>
    <xf numFmtId="1" fontId="56" fillId="25" borderId="96" xfId="0" applyNumberFormat="1" applyFont="1" applyFill="1" applyBorder="1" applyAlignment="1" applyProtection="1">
      <alignment horizontal="center"/>
      <protection hidden="1"/>
    </xf>
    <xf numFmtId="0" fontId="55" fillId="25" borderId="96" xfId="0" applyFont="1" applyFill="1" applyBorder="1" applyAlignment="1" applyProtection="1">
      <alignment horizontal="right"/>
      <protection hidden="1"/>
    </xf>
    <xf numFmtId="0" fontId="59" fillId="25" borderId="97" xfId="0" applyFont="1" applyFill="1" applyBorder="1" applyAlignment="1" applyProtection="1">
      <alignment horizontal="left"/>
      <protection hidden="1"/>
    </xf>
    <xf numFmtId="175" fontId="36" fillId="0" borderId="0" xfId="28" applyNumberFormat="1" applyFont="1" applyFill="1" applyBorder="1" applyAlignment="1" applyProtection="1"/>
    <xf numFmtId="0" fontId="36" fillId="0" borderId="0" xfId="0" applyFont="1" applyFill="1" applyBorder="1" applyAlignment="1" applyProtection="1">
      <alignment horizontal="right"/>
    </xf>
    <xf numFmtId="0" fontId="41" fillId="25" borderId="91" xfId="0" applyFont="1" applyFill="1" applyBorder="1" applyAlignment="1" applyProtection="1">
      <protection hidden="1"/>
    </xf>
    <xf numFmtId="174" fontId="25" fillId="25" borderId="92" xfId="0" applyNumberFormat="1" applyFont="1" applyFill="1" applyBorder="1" applyAlignment="1" applyProtection="1">
      <alignment horizontal="center"/>
      <protection hidden="1"/>
    </xf>
    <xf numFmtId="1" fontId="60" fillId="25" borderId="92" xfId="0" applyNumberFormat="1" applyFont="1" applyFill="1" applyBorder="1" applyAlignment="1" applyProtection="1">
      <alignment horizontal="center"/>
      <protection hidden="1"/>
    </xf>
    <xf numFmtId="0" fontId="25" fillId="25" borderId="92" xfId="0" applyFont="1" applyFill="1" applyBorder="1" applyAlignment="1" applyProtection="1">
      <alignment horizontal="right"/>
      <protection hidden="1"/>
    </xf>
    <xf numFmtId="0" fontId="25" fillId="25" borderId="93" xfId="0" applyFont="1" applyFill="1" applyBorder="1" applyAlignment="1" applyProtection="1">
      <alignment horizontal="right"/>
      <protection hidden="1"/>
    </xf>
    <xf numFmtId="0" fontId="36" fillId="0" borderId="0" xfId="0" applyFont="1" applyFill="1" applyBorder="1" applyAlignment="1" applyProtection="1">
      <alignment horizontal="center"/>
    </xf>
    <xf numFmtId="0" fontId="41" fillId="25" borderId="25" xfId="0" applyFont="1" applyFill="1" applyBorder="1" applyAlignment="1" applyProtection="1">
      <protection hidden="1"/>
    </xf>
    <xf numFmtId="174" fontId="25" fillId="25" borderId="0" xfId="0" quotePrefix="1" applyNumberFormat="1" applyFont="1" applyFill="1" applyBorder="1" applyAlignment="1" applyProtection="1">
      <alignment horizontal="center"/>
      <protection hidden="1"/>
    </xf>
    <xf numFmtId="3" fontId="10" fillId="30" borderId="98" xfId="0" applyNumberFormat="1" applyFont="1" applyFill="1" applyBorder="1" applyAlignment="1" applyProtection="1">
      <alignment horizontal="center"/>
    </xf>
    <xf numFmtId="3" fontId="10" fillId="30" borderId="99" xfId="0" applyNumberFormat="1" applyFont="1" applyFill="1" applyBorder="1" applyAlignment="1" applyProtection="1">
      <alignment horizontal="center"/>
    </xf>
    <xf numFmtId="3" fontId="10" fillId="0" borderId="99" xfId="0" applyNumberFormat="1" applyFont="1" applyFill="1" applyBorder="1" applyAlignment="1" applyProtection="1">
      <alignment horizontal="center"/>
    </xf>
    <xf numFmtId="3" fontId="10" fillId="0" borderId="100" xfId="0" applyNumberFormat="1" applyFont="1" applyFill="1" applyBorder="1" applyAlignment="1" applyProtection="1">
      <alignment horizontal="center"/>
    </xf>
    <xf numFmtId="174" fontId="25" fillId="25" borderId="0" xfId="0" applyNumberFormat="1" applyFont="1" applyFill="1" applyBorder="1" applyAlignment="1" applyProtection="1">
      <alignment horizontal="center"/>
      <protection hidden="1"/>
    </xf>
    <xf numFmtId="1" fontId="60" fillId="25" borderId="0" xfId="0" applyNumberFormat="1" applyFont="1" applyFill="1" applyBorder="1" applyAlignment="1" applyProtection="1">
      <alignment horizontal="center"/>
      <protection hidden="1"/>
    </xf>
    <xf numFmtId="2" fontId="36" fillId="30" borderId="39" xfId="0" applyNumberFormat="1" applyFont="1" applyFill="1" applyBorder="1" applyAlignment="1" applyProtection="1">
      <alignment horizontal="center"/>
    </xf>
    <xf numFmtId="2" fontId="10" fillId="30" borderId="39" xfId="0" applyNumberFormat="1" applyFont="1" applyFill="1" applyBorder="1" applyAlignment="1" applyProtection="1">
      <alignment horizontal="center"/>
      <protection hidden="1"/>
    </xf>
    <xf numFmtId="1" fontId="36" fillId="30" borderId="39" xfId="0" applyNumberFormat="1" applyFont="1" applyFill="1" applyBorder="1" applyAlignment="1" applyProtection="1">
      <alignment horizontal="center"/>
    </xf>
    <xf numFmtId="1" fontId="10" fillId="30" borderId="39" xfId="0" applyNumberFormat="1" applyFont="1" applyFill="1" applyBorder="1" applyAlignment="1" applyProtection="1">
      <alignment horizontal="center"/>
      <protection hidden="1"/>
    </xf>
    <xf numFmtId="3" fontId="42" fillId="25" borderId="25" xfId="0" applyNumberFormat="1" applyFont="1" applyFill="1" applyBorder="1" applyAlignment="1" applyProtection="1">
      <protection hidden="1"/>
    </xf>
    <xf numFmtId="0" fontId="36" fillId="30" borderId="61" xfId="0" applyFont="1" applyFill="1" applyBorder="1" applyAlignment="1" applyProtection="1">
      <alignment horizontal="center"/>
    </xf>
    <xf numFmtId="0" fontId="10" fillId="30" borderId="61" xfId="0" applyFont="1" applyFill="1" applyBorder="1" applyAlignment="1" applyProtection="1">
      <alignment horizontal="center"/>
      <protection hidden="1"/>
    </xf>
    <xf numFmtId="3" fontId="60" fillId="25" borderId="0" xfId="0" applyNumberFormat="1" applyFont="1" applyFill="1" applyBorder="1" applyAlignment="1" applyProtection="1">
      <alignment horizontal="center"/>
      <protection hidden="1"/>
    </xf>
    <xf numFmtId="3" fontId="25" fillId="25" borderId="0" xfId="0" applyNumberFormat="1" applyFont="1" applyFill="1" applyBorder="1" applyAlignment="1" applyProtection="1">
      <alignment horizontal="center"/>
      <protection hidden="1"/>
    </xf>
    <xf numFmtId="0" fontId="61" fillId="25" borderId="51" xfId="0" applyFont="1" applyFill="1" applyBorder="1" applyAlignment="1" applyProtection="1">
      <alignment horizontal="right"/>
      <protection hidden="1"/>
    </xf>
    <xf numFmtId="0" fontId="10" fillId="30" borderId="39" xfId="0" applyFont="1" applyFill="1" applyBorder="1" applyAlignment="1" applyProtection="1">
      <alignment horizontal="center"/>
      <protection hidden="1"/>
    </xf>
    <xf numFmtId="0" fontId="10" fillId="25" borderId="95" xfId="0" applyFont="1" applyFill="1" applyBorder="1" applyAlignment="1" applyProtection="1">
      <protection hidden="1"/>
    </xf>
    <xf numFmtId="0" fontId="10" fillId="0" borderId="0" xfId="0" applyFont="1" applyFill="1" applyBorder="1" applyAlignment="1" applyProtection="1"/>
    <xf numFmtId="0" fontId="10" fillId="0" borderId="0" xfId="0" applyFont="1" applyAlignment="1" applyProtection="1">
      <alignment wrapText="1"/>
    </xf>
    <xf numFmtId="0" fontId="10" fillId="0" borderId="0" xfId="0" applyFont="1" applyFill="1" applyBorder="1" applyAlignment="1" applyProtection="1">
      <alignment wrapText="1"/>
    </xf>
    <xf numFmtId="0" fontId="10" fillId="25" borderId="25" xfId="0" applyFont="1" applyFill="1" applyBorder="1" applyAlignment="1" applyProtection="1">
      <alignment wrapText="1"/>
    </xf>
    <xf numFmtId="9" fontId="39" fillId="25" borderId="0" xfId="51" applyFont="1" applyFill="1" applyBorder="1" applyAlignment="1" applyProtection="1">
      <alignment horizontal="center"/>
      <protection hidden="1"/>
    </xf>
    <xf numFmtId="0" fontId="10" fillId="25" borderId="0" xfId="0" applyFont="1" applyFill="1" applyBorder="1" applyAlignment="1" applyProtection="1">
      <alignment wrapText="1"/>
    </xf>
    <xf numFmtId="0" fontId="10" fillId="25" borderId="0" xfId="0" applyFont="1" applyFill="1" applyBorder="1" applyAlignment="1" applyProtection="1">
      <alignment horizontal="center"/>
    </xf>
    <xf numFmtId="0" fontId="25" fillId="25" borderId="0" xfId="0" applyFont="1" applyFill="1" applyBorder="1" applyAlignment="1" applyProtection="1">
      <alignment horizontal="left"/>
    </xf>
    <xf numFmtId="3" fontId="10" fillId="25" borderId="0" xfId="0" applyNumberFormat="1" applyFont="1" applyFill="1" applyBorder="1" applyAlignment="1" applyProtection="1">
      <alignment horizontal="center"/>
    </xf>
    <xf numFmtId="0" fontId="40" fillId="25" borderId="51" xfId="57" applyFont="1" applyFill="1" applyBorder="1" applyAlignment="1" applyProtection="1">
      <alignment horizontal="right"/>
      <protection hidden="1"/>
    </xf>
    <xf numFmtId="1" fontId="10" fillId="0" borderId="0" xfId="0" applyNumberFormat="1" applyFont="1" applyAlignment="1" applyProtection="1">
      <alignment wrapText="1"/>
    </xf>
    <xf numFmtId="0" fontId="10" fillId="0" borderId="0" xfId="0" applyFont="1" applyAlignment="1" applyProtection="1">
      <alignment horizontal="left" wrapText="1"/>
    </xf>
    <xf numFmtId="0" fontId="63" fillId="25" borderId="0" xfId="0" applyFont="1" applyFill="1" applyBorder="1" applyAlignment="1" applyProtection="1">
      <alignment horizontal="left"/>
    </xf>
    <xf numFmtId="3" fontId="10" fillId="0" borderId="101" xfId="0" applyNumberFormat="1" applyFont="1" applyFill="1" applyBorder="1" applyAlignment="1" applyProtection="1">
      <alignment horizontal="center"/>
    </xf>
    <xf numFmtId="1" fontId="10" fillId="25" borderId="0" xfId="0" applyNumberFormat="1" applyFont="1" applyFill="1" applyBorder="1" applyAlignment="1" applyProtection="1">
      <alignment horizontal="center"/>
      <protection hidden="1"/>
    </xf>
    <xf numFmtId="3" fontId="10" fillId="0" borderId="102" xfId="0" applyNumberFormat="1" applyFont="1" applyFill="1" applyBorder="1" applyAlignment="1" applyProtection="1">
      <alignment horizontal="center"/>
    </xf>
    <xf numFmtId="3" fontId="10" fillId="0" borderId="7" xfId="0" applyNumberFormat="1" applyFont="1" applyFill="1" applyBorder="1" applyAlignment="1" applyProtection="1">
      <alignment horizontal="center"/>
    </xf>
    <xf numFmtId="0" fontId="38" fillId="0" borderId="0" xfId="0" applyFont="1" applyFill="1" applyBorder="1" applyAlignment="1" applyProtection="1">
      <alignment wrapText="1"/>
      <protection hidden="1"/>
    </xf>
    <xf numFmtId="0" fontId="25" fillId="25" borderId="51" xfId="0" applyFont="1" applyFill="1" applyBorder="1" applyAlignment="1" applyProtection="1">
      <alignment horizontal="right" wrapText="1"/>
      <protection hidden="1"/>
    </xf>
    <xf numFmtId="0" fontId="65" fillId="0" borderId="0" xfId="0" applyFont="1" applyFill="1" applyBorder="1" applyAlignment="1" applyProtection="1">
      <alignment horizontal="left" wrapText="1"/>
      <protection hidden="1"/>
    </xf>
    <xf numFmtId="0" fontId="25" fillId="25" borderId="0" xfId="0" applyFont="1" applyFill="1" applyBorder="1" applyAlignment="1" applyProtection="1">
      <alignment horizontal="center" wrapText="1"/>
      <protection hidden="1"/>
    </xf>
    <xf numFmtId="0" fontId="10" fillId="25" borderId="0" xfId="0" applyFont="1" applyFill="1" applyBorder="1" applyAlignment="1" applyProtection="1">
      <alignment wrapText="1"/>
      <protection hidden="1"/>
    </xf>
    <xf numFmtId="0" fontId="61" fillId="25" borderId="0" xfId="57" applyFont="1" applyFill="1" applyBorder="1" applyAlignment="1" applyProtection="1">
      <alignment horizontal="left" vertical="top"/>
      <protection hidden="1"/>
    </xf>
    <xf numFmtId="0" fontId="61" fillId="25" borderId="0" xfId="57" applyFont="1" applyFill="1" applyBorder="1" applyAlignment="1" applyProtection="1">
      <alignment horizontal="left" vertical="top" wrapText="1"/>
      <protection hidden="1"/>
    </xf>
    <xf numFmtId="0" fontId="64" fillId="25" borderId="0" xfId="57" applyFont="1" applyFill="1" applyBorder="1" applyAlignment="1" applyProtection="1">
      <alignment horizontal="right" vertical="top"/>
      <protection hidden="1"/>
    </xf>
    <xf numFmtId="49" fontId="10" fillId="25" borderId="0" xfId="0" applyNumberFormat="1" applyFont="1" applyFill="1" applyBorder="1" applyAlignment="1" applyProtection="1">
      <alignment horizontal="center" wrapText="1"/>
      <protection hidden="1"/>
    </xf>
    <xf numFmtId="0" fontId="66" fillId="25" borderId="0" xfId="0" applyFont="1" applyFill="1" applyBorder="1" applyAlignment="1" applyProtection="1">
      <alignment horizontal="center" wrapText="1"/>
      <protection hidden="1"/>
    </xf>
    <xf numFmtId="0" fontId="67" fillId="25" borderId="0" xfId="0" applyFont="1" applyFill="1" applyBorder="1" applyAlignment="1" applyProtection="1">
      <alignment horizontal="right" wrapText="1"/>
      <protection hidden="1"/>
    </xf>
    <xf numFmtId="15" fontId="34" fillId="27" borderId="103" xfId="0" applyNumberFormat="1" applyFont="1" applyFill="1" applyBorder="1" applyProtection="1"/>
    <xf numFmtId="0" fontId="34" fillId="27" borderId="104" xfId="0" applyFont="1" applyFill="1" applyBorder="1" applyAlignment="1" applyProtection="1">
      <alignment wrapText="1"/>
    </xf>
    <xf numFmtId="0" fontId="67" fillId="25" borderId="51" xfId="0" applyFont="1" applyFill="1" applyBorder="1" applyAlignment="1" applyProtection="1">
      <alignment horizontal="right" wrapText="1"/>
      <protection hidden="1"/>
    </xf>
    <xf numFmtId="15" fontId="34" fillId="27" borderId="105" xfId="0" applyNumberFormat="1" applyFont="1" applyFill="1" applyBorder="1" applyProtection="1"/>
    <xf numFmtId="14" fontId="68" fillId="25" borderId="96" xfId="0" applyNumberFormat="1" applyFont="1" applyFill="1" applyBorder="1" applyAlignment="1" applyProtection="1">
      <alignment horizontal="right" vertical="top"/>
      <protection hidden="1"/>
    </xf>
    <xf numFmtId="0" fontId="55" fillId="25" borderId="96" xfId="0" applyFont="1" applyFill="1" applyBorder="1" applyAlignment="1" applyProtection="1">
      <alignment horizontal="center"/>
      <protection hidden="1"/>
    </xf>
    <xf numFmtId="0" fontId="34" fillId="0" borderId="0" xfId="0" applyFont="1" applyAlignment="1" applyProtection="1">
      <alignment horizontal="center"/>
    </xf>
    <xf numFmtId="0" fontId="10" fillId="0" borderId="0" xfId="0" applyFont="1" applyAlignment="1" applyProtection="1">
      <alignment horizontal="left"/>
    </xf>
    <xf numFmtId="0" fontId="10" fillId="25" borderId="91" xfId="0" applyFont="1" applyFill="1" applyBorder="1" applyAlignment="1" applyProtection="1"/>
    <xf numFmtId="0" fontId="34" fillId="25" borderId="92" xfId="0" applyFont="1" applyFill="1" applyBorder="1" applyAlignment="1" applyProtection="1">
      <alignment horizontal="center"/>
    </xf>
    <xf numFmtId="0" fontId="10" fillId="25" borderId="92" xfId="0" applyFont="1" applyFill="1" applyBorder="1" applyAlignment="1" applyProtection="1">
      <alignment horizontal="left"/>
    </xf>
    <xf numFmtId="0" fontId="10" fillId="25" borderId="93" xfId="0" applyFont="1" applyFill="1" applyBorder="1" applyAlignment="1" applyProtection="1">
      <alignment horizontal="left"/>
    </xf>
    <xf numFmtId="0" fontId="10" fillId="25" borderId="25" xfId="0" applyFont="1" applyFill="1" applyBorder="1" applyAlignment="1" applyProtection="1"/>
    <xf numFmtId="0" fontId="34" fillId="25" borderId="0" xfId="0" applyFont="1" applyFill="1" applyBorder="1" applyAlignment="1" applyProtection="1">
      <alignment horizontal="center"/>
    </xf>
    <xf numFmtId="0" fontId="10" fillId="25" borderId="0" xfId="0" applyFont="1" applyFill="1" applyBorder="1" applyAlignment="1" applyProtection="1">
      <alignment horizontal="left"/>
    </xf>
    <xf numFmtId="0" fontId="10" fillId="25" borderId="51" xfId="0" applyFont="1" applyFill="1" applyBorder="1" applyAlignment="1" applyProtection="1">
      <alignment horizontal="left"/>
    </xf>
    <xf numFmtId="0" fontId="10" fillId="25" borderId="95" xfId="0" applyFont="1" applyFill="1" applyBorder="1" applyAlignment="1" applyProtection="1"/>
    <xf numFmtId="0" fontId="34" fillId="25" borderId="96" xfId="0" applyFont="1" applyFill="1" applyBorder="1" applyAlignment="1" applyProtection="1">
      <alignment horizontal="center"/>
    </xf>
    <xf numFmtId="0" fontId="10" fillId="25" borderId="96" xfId="0" applyFont="1" applyFill="1" applyBorder="1" applyAlignment="1" applyProtection="1">
      <alignment horizontal="left"/>
    </xf>
    <xf numFmtId="0" fontId="10" fillId="25" borderId="97" xfId="0" applyFont="1" applyFill="1" applyBorder="1" applyAlignment="1" applyProtection="1">
      <alignment horizontal="left"/>
    </xf>
    <xf numFmtId="0" fontId="34" fillId="0" borderId="0" xfId="0" applyFont="1" applyBorder="1" applyAlignment="1" applyProtection="1">
      <alignment horizontal="center"/>
    </xf>
    <xf numFmtId="0" fontId="10" fillId="0" borderId="0" xfId="0" applyFont="1" applyBorder="1" applyAlignment="1" applyProtection="1">
      <alignment horizontal="left"/>
    </xf>
    <xf numFmtId="49" fontId="10" fillId="30" borderId="7" xfId="0" applyNumberFormat="1" applyFont="1" applyFill="1" applyBorder="1" applyAlignment="1" applyProtection="1">
      <alignment horizontal="center" wrapText="1"/>
      <protection locked="0"/>
    </xf>
    <xf numFmtId="0" fontId="0" fillId="0" borderId="0" xfId="0" applyFont="1" applyAlignment="1">
      <alignment horizontal="center"/>
    </xf>
    <xf numFmtId="37" fontId="35" fillId="0" borderId="0" xfId="30" applyNumberFormat="1" applyFont="1" applyBorder="1" applyAlignment="1">
      <alignment horizontal="center"/>
    </xf>
    <xf numFmtId="0" fontId="41" fillId="24" borderId="28" xfId="0" applyFont="1" applyFill="1" applyBorder="1"/>
    <xf numFmtId="37" fontId="35" fillId="24" borderId="0" xfId="30" applyNumberFormat="1" applyFont="1" applyFill="1" applyBorder="1" applyAlignment="1">
      <alignment horizontal="center"/>
    </xf>
    <xf numFmtId="3" fontId="41" fillId="0" borderId="0" xfId="0" applyNumberFormat="1" applyFont="1"/>
    <xf numFmtId="175" fontId="10" fillId="0" borderId="30" xfId="30" applyNumberFormat="1" applyFont="1" applyBorder="1" applyAlignment="1">
      <alignment horizontal="center"/>
    </xf>
    <xf numFmtId="175" fontId="10" fillId="0" borderId="31" xfId="30" applyNumberFormat="1" applyFont="1" applyBorder="1" applyAlignment="1">
      <alignment horizontal="center"/>
    </xf>
    <xf numFmtId="3" fontId="31" fillId="0" borderId="0" xfId="30" applyNumberFormat="1" applyFont="1" applyBorder="1" applyAlignment="1">
      <alignment horizontal="center"/>
    </xf>
    <xf numFmtId="10" fontId="10" fillId="0" borderId="0" xfId="51" applyNumberFormat="1" applyFont="1" applyBorder="1"/>
    <xf numFmtId="10" fontId="10" fillId="0" borderId="28" xfId="51" applyNumberFormat="1" applyFont="1" applyBorder="1" applyAlignment="1">
      <alignment horizontal="center"/>
    </xf>
    <xf numFmtId="175" fontId="10" fillId="0" borderId="0" xfId="30" applyNumberFormat="1"/>
    <xf numFmtId="37" fontId="34" fillId="0" borderId="0" xfId="30" applyNumberFormat="1" applyFont="1" applyBorder="1" applyAlignment="1">
      <alignment horizontal="center"/>
    </xf>
    <xf numFmtId="37" fontId="34" fillId="24" borderId="0" xfId="30" applyNumberFormat="1" applyFont="1" applyFill="1" applyBorder="1" applyAlignment="1">
      <alignment horizontal="center"/>
    </xf>
    <xf numFmtId="0" fontId="70" fillId="34" borderId="22" xfId="59" applyFont="1" applyFill="1" applyBorder="1" applyAlignment="1" applyProtection="1">
      <alignment horizontal="center" vertical="center" wrapText="1"/>
    </xf>
    <xf numFmtId="0" fontId="70" fillId="34" borderId="33" xfId="59" applyFont="1" applyFill="1" applyBorder="1" applyAlignment="1" applyProtection="1">
      <alignment horizontal="center" vertical="center" wrapText="1"/>
    </xf>
    <xf numFmtId="0" fontId="70" fillId="34" borderId="34" xfId="59" applyFont="1" applyFill="1" applyBorder="1" applyAlignment="1" applyProtection="1">
      <alignment horizontal="center" vertical="center" wrapText="1"/>
    </xf>
    <xf numFmtId="0" fontId="69" fillId="27" borderId="43" xfId="65" applyFont="1" applyFill="1" applyBorder="1" applyProtection="1"/>
    <xf numFmtId="0" fontId="69" fillId="27" borderId="43" xfId="59" applyFont="1" applyFill="1" applyBorder="1" applyAlignment="1" applyProtection="1"/>
    <xf numFmtId="0" fontId="69" fillId="27" borderId="43" xfId="59" applyFont="1" applyFill="1" applyBorder="1" applyAlignment="1" applyProtection="1">
      <alignment vertical="top"/>
    </xf>
    <xf numFmtId="0" fontId="7" fillId="0" borderId="0" xfId="69" applyFont="1" applyBorder="1" applyAlignment="1" applyProtection="1">
      <alignment horizontal="center" vertical="center" wrapText="1"/>
      <protection locked="0"/>
    </xf>
    <xf numFmtId="0" fontId="70" fillId="34" borderId="18" xfId="59" applyFont="1" applyFill="1" applyBorder="1" applyAlignment="1" applyProtection="1">
      <alignment horizontal="center" vertical="center" wrapText="1"/>
    </xf>
    <xf numFmtId="0" fontId="10" fillId="0" borderId="0" xfId="0" applyFont="1" applyAlignment="1">
      <alignment wrapText="1"/>
    </xf>
    <xf numFmtId="0" fontId="4" fillId="0" borderId="0" xfId="99"/>
    <xf numFmtId="0" fontId="7" fillId="0" borderId="0" xfId="0" applyFont="1"/>
    <xf numFmtId="8" fontId="7" fillId="0" borderId="0" xfId="0" applyNumberFormat="1" applyFont="1"/>
    <xf numFmtId="0" fontId="8" fillId="0" borderId="0" xfId="0" applyFont="1"/>
    <xf numFmtId="0" fontId="8" fillId="0" borderId="0" xfId="0" applyFont="1" applyAlignment="1">
      <alignment horizontal="left"/>
    </xf>
    <xf numFmtId="3" fontId="8" fillId="0" borderId="0" xfId="0" applyNumberFormat="1" applyFont="1" applyAlignment="1">
      <alignment horizontal="left"/>
    </xf>
    <xf numFmtId="14" fontId="7" fillId="0" borderId="0" xfId="0" applyNumberFormat="1" applyFont="1"/>
    <xf numFmtId="0" fontId="9" fillId="0" borderId="0" xfId="0" applyFont="1" applyAlignment="1">
      <alignment horizontal="left"/>
    </xf>
    <xf numFmtId="3" fontId="7" fillId="0" borderId="0" xfId="0" applyNumberFormat="1" applyFont="1"/>
    <xf numFmtId="40" fontId="8" fillId="0" borderId="0" xfId="0" applyNumberFormat="1" applyFont="1"/>
    <xf numFmtId="0" fontId="71" fillId="0" borderId="0" xfId="0" applyFont="1"/>
    <xf numFmtId="14" fontId="71" fillId="0" borderId="0" xfId="0" applyNumberFormat="1" applyFont="1"/>
    <xf numFmtId="3" fontId="71" fillId="0" borderId="0" xfId="0" applyNumberFormat="1" applyFont="1" applyAlignment="1">
      <alignment horizontal="left"/>
    </xf>
    <xf numFmtId="3" fontId="72" fillId="0" borderId="0" xfId="0" applyNumberFormat="1" applyFont="1" applyAlignment="1">
      <alignment horizontal="left"/>
    </xf>
    <xf numFmtId="0" fontId="0" fillId="0" borderId="0" xfId="0"/>
    <xf numFmtId="3" fontId="71" fillId="0" borderId="0" xfId="0" applyNumberFormat="1" applyFont="1"/>
    <xf numFmtId="0" fontId="74" fillId="0" borderId="0" xfId="0" applyFont="1" applyBorder="1"/>
    <xf numFmtId="0" fontId="74" fillId="0" borderId="0" xfId="0" applyFont="1" applyBorder="1" applyAlignment="1">
      <alignment horizontal="left"/>
    </xf>
    <xf numFmtId="0" fontId="74" fillId="0" borderId="0" xfId="0" applyFont="1" applyBorder="1" applyAlignment="1">
      <alignment horizontal="center"/>
    </xf>
    <xf numFmtId="179" fontId="74" fillId="0" borderId="0" xfId="0" applyNumberFormat="1" applyFont="1" applyAlignment="1">
      <alignment horizontal="center" vertical="center"/>
    </xf>
    <xf numFmtId="180" fontId="74" fillId="0" borderId="0" xfId="0" applyNumberFormat="1" applyFont="1" applyAlignment="1">
      <alignment horizontal="center" vertical="center"/>
    </xf>
    <xf numFmtId="0" fontId="74" fillId="0" borderId="0" xfId="0" applyFont="1" applyFill="1" applyBorder="1" applyAlignment="1">
      <alignment horizontal="center"/>
    </xf>
    <xf numFmtId="9" fontId="74" fillId="0" borderId="0" xfId="0" applyNumberFormat="1" applyFont="1" applyAlignment="1">
      <alignment horizontal="center" vertical="center"/>
    </xf>
    <xf numFmtId="0" fontId="74" fillId="0" borderId="0" xfId="0" applyFont="1" applyFill="1" applyBorder="1"/>
    <xf numFmtId="0" fontId="74" fillId="0" borderId="0" xfId="61" applyFont="1" applyBorder="1" applyAlignment="1">
      <alignment horizontal="left"/>
    </xf>
    <xf numFmtId="0" fontId="74" fillId="0" borderId="0" xfId="0" applyFont="1" applyFill="1" applyBorder="1" applyAlignment="1">
      <alignment horizontal="left"/>
    </xf>
    <xf numFmtId="165" fontId="74" fillId="0" borderId="0" xfId="0" applyNumberFormat="1" applyFont="1" applyAlignment="1">
      <alignment horizontal="center" vertical="center"/>
    </xf>
    <xf numFmtId="0" fontId="75" fillId="35" borderId="0" xfId="61" applyFont="1" applyFill="1" applyBorder="1"/>
    <xf numFmtId="0" fontId="74" fillId="35" borderId="0" xfId="61" applyFont="1" applyFill="1" applyBorder="1"/>
    <xf numFmtId="0" fontId="74" fillId="35" borderId="0" xfId="93" applyFont="1" applyFill="1" applyBorder="1"/>
    <xf numFmtId="0" fontId="76" fillId="38" borderId="16" xfId="93" applyFont="1" applyFill="1" applyBorder="1" applyAlignment="1">
      <alignment horizontal="center" vertical="center"/>
    </xf>
    <xf numFmtId="165" fontId="76" fillId="38" borderId="20" xfId="60" applyNumberFormat="1" applyFont="1" applyFill="1" applyBorder="1" applyAlignment="1">
      <alignment horizontal="center" vertical="center" wrapText="1"/>
    </xf>
    <xf numFmtId="0" fontId="77" fillId="35" borderId="0" xfId="61" applyFont="1" applyFill="1" applyBorder="1"/>
    <xf numFmtId="0" fontId="76" fillId="38" borderId="18" xfId="60" applyNumberFormat="1" applyFont="1" applyFill="1" applyBorder="1" applyAlignment="1">
      <alignment horizontal="center" vertical="center" wrapText="1"/>
    </xf>
    <xf numFmtId="0" fontId="74" fillId="38" borderId="84" xfId="60" applyNumberFormat="1" applyFont="1" applyFill="1" applyBorder="1" applyAlignment="1">
      <alignment horizontal="center" wrapText="1"/>
    </xf>
    <xf numFmtId="0" fontId="74" fillId="38" borderId="114" xfId="60" applyNumberFormat="1" applyFont="1" applyFill="1" applyBorder="1" applyAlignment="1">
      <alignment horizontal="center" wrapText="1"/>
    </xf>
    <xf numFmtId="0" fontId="74" fillId="38" borderId="85" xfId="60" applyNumberFormat="1" applyFont="1" applyFill="1" applyBorder="1" applyAlignment="1">
      <alignment horizontal="center" wrapText="1"/>
    </xf>
    <xf numFmtId="176" fontId="74" fillId="38" borderId="115" xfId="60" applyNumberFormat="1" applyFont="1" applyFill="1" applyBorder="1" applyAlignment="1">
      <alignment wrapText="1"/>
    </xf>
    <xf numFmtId="168" fontId="74" fillId="35" borderId="58" xfId="60" applyNumberFormat="1" applyFont="1" applyFill="1" applyBorder="1" applyAlignment="1">
      <alignment horizontal="center" wrapText="1"/>
    </xf>
    <xf numFmtId="168" fontId="74" fillId="35" borderId="39" xfId="60" applyNumberFormat="1" applyFont="1" applyFill="1" applyBorder="1" applyAlignment="1">
      <alignment horizontal="center" wrapText="1"/>
    </xf>
    <xf numFmtId="168" fontId="74" fillId="35" borderId="40" xfId="60" applyNumberFormat="1" applyFont="1" applyFill="1" applyBorder="1" applyAlignment="1">
      <alignment horizontal="center" wrapText="1"/>
    </xf>
    <xf numFmtId="176" fontId="74" fillId="38" borderId="116" xfId="60" applyNumberFormat="1" applyFont="1" applyFill="1" applyBorder="1" applyAlignment="1">
      <alignment wrapText="1"/>
    </xf>
    <xf numFmtId="168" fontId="74" fillId="35" borderId="13" xfId="60" applyNumberFormat="1" applyFont="1" applyFill="1" applyBorder="1" applyAlignment="1">
      <alignment horizontal="center" wrapText="1"/>
    </xf>
    <xf numFmtId="168" fontId="74" fillId="35" borderId="10" xfId="60" applyNumberFormat="1" applyFont="1" applyFill="1" applyBorder="1" applyAlignment="1">
      <alignment horizontal="center" wrapText="1"/>
    </xf>
    <xf numFmtId="168" fontId="74" fillId="35" borderId="42" xfId="60" applyNumberFormat="1" applyFont="1" applyFill="1" applyBorder="1" applyAlignment="1">
      <alignment horizontal="center" wrapText="1"/>
    </xf>
    <xf numFmtId="2" fontId="74" fillId="35" borderId="13" xfId="60" applyNumberFormat="1" applyFont="1" applyFill="1" applyBorder="1" applyAlignment="1">
      <alignment horizontal="center" wrapText="1"/>
    </xf>
    <xf numFmtId="2" fontId="74" fillId="35" borderId="10" xfId="60" applyNumberFormat="1" applyFont="1" applyFill="1" applyBorder="1" applyAlignment="1">
      <alignment horizontal="center" wrapText="1"/>
    </xf>
    <xf numFmtId="2" fontId="74" fillId="35" borderId="42" xfId="60" applyNumberFormat="1" applyFont="1" applyFill="1" applyBorder="1" applyAlignment="1">
      <alignment horizontal="center" wrapText="1"/>
    </xf>
    <xf numFmtId="176" fontId="74" fillId="38" borderId="117" xfId="60" applyNumberFormat="1" applyFont="1" applyFill="1" applyBorder="1" applyAlignment="1">
      <alignment wrapText="1"/>
    </xf>
    <xf numFmtId="2" fontId="74" fillId="35" borderId="53" xfId="60" applyNumberFormat="1" applyFont="1" applyFill="1" applyBorder="1" applyAlignment="1">
      <alignment horizontal="center" wrapText="1"/>
    </xf>
    <xf numFmtId="2" fontId="74" fillId="35" borderId="47" xfId="60" applyNumberFormat="1" applyFont="1" applyFill="1" applyBorder="1" applyAlignment="1">
      <alignment horizontal="center" wrapText="1"/>
    </xf>
    <xf numFmtId="2" fontId="74" fillId="35" borderId="50" xfId="60" applyNumberFormat="1" applyFont="1" applyFill="1" applyBorder="1" applyAlignment="1">
      <alignment horizontal="center" wrapText="1"/>
    </xf>
    <xf numFmtId="0" fontId="74" fillId="40" borderId="0" xfId="93" applyFont="1" applyFill="1" applyBorder="1"/>
    <xf numFmtId="0" fontId="83" fillId="40" borderId="0" xfId="93" applyFont="1" applyFill="1" applyBorder="1"/>
    <xf numFmtId="0" fontId="0" fillId="0" borderId="0" xfId="0" applyFont="1" applyFill="1" applyBorder="1"/>
    <xf numFmtId="8" fontId="83" fillId="40" borderId="0" xfId="93" applyNumberFormat="1" applyFont="1" applyFill="1" applyBorder="1"/>
    <xf numFmtId="168" fontId="69" fillId="27" borderId="0" xfId="59" applyNumberFormat="1" applyFont="1" applyFill="1" applyBorder="1" applyAlignment="1" applyProtection="1">
      <alignment horizontal="center"/>
    </xf>
    <xf numFmtId="0" fontId="84" fillId="0" borderId="0" xfId="0" applyFont="1"/>
    <xf numFmtId="0" fontId="85" fillId="0" borderId="0" xfId="61" applyFont="1" applyBorder="1" applyAlignment="1">
      <alignment horizontal="left"/>
    </xf>
    <xf numFmtId="0" fontId="85" fillId="0" borderId="0" xfId="0" applyFont="1" applyBorder="1" applyAlignment="1">
      <alignment horizontal="left"/>
    </xf>
    <xf numFmtId="0" fontId="85" fillId="35" borderId="0" xfId="0" applyFont="1" applyFill="1" applyBorder="1"/>
    <xf numFmtId="2" fontId="74" fillId="35" borderId="13" xfId="173" applyNumberFormat="1" applyFont="1" applyFill="1" applyBorder="1" applyAlignment="1">
      <alignment horizontal="center" wrapText="1"/>
    </xf>
    <xf numFmtId="2" fontId="74" fillId="35" borderId="10" xfId="173" applyNumberFormat="1" applyFont="1" applyFill="1" applyBorder="1" applyAlignment="1">
      <alignment horizontal="center" wrapText="1"/>
    </xf>
    <xf numFmtId="2" fontId="74" fillId="35" borderId="42" xfId="173" applyNumberFormat="1" applyFont="1" applyFill="1" applyBorder="1" applyAlignment="1">
      <alignment horizontal="center" wrapText="1"/>
    </xf>
    <xf numFmtId="0" fontId="88" fillId="35" borderId="0" xfId="61" applyFont="1" applyFill="1" applyBorder="1"/>
    <xf numFmtId="0" fontId="6" fillId="0" borderId="0" xfId="0" applyFont="1" applyFill="1" applyBorder="1"/>
    <xf numFmtId="0" fontId="25" fillId="25" borderId="0" xfId="57" applyFont="1" applyFill="1" applyBorder="1" applyAlignment="1" applyProtection="1">
      <alignment horizontal="center" wrapText="1"/>
      <protection hidden="1"/>
    </xf>
    <xf numFmtId="0" fontId="61" fillId="25" borderId="0" xfId="57" applyFont="1" applyFill="1" applyBorder="1" applyAlignment="1" applyProtection="1">
      <alignment horizontal="left"/>
      <protection hidden="1"/>
    </xf>
    <xf numFmtId="0" fontId="6" fillId="35" borderId="7" xfId="0" applyNumberFormat="1" applyFont="1" applyFill="1" applyBorder="1" applyAlignment="1" applyProtection="1">
      <alignment horizontal="center" wrapText="1"/>
      <protection locked="0"/>
    </xf>
    <xf numFmtId="0" fontId="76" fillId="0" borderId="0" xfId="0" applyFont="1"/>
    <xf numFmtId="0" fontId="74" fillId="0" borderId="0" xfId="0" applyFont="1"/>
    <xf numFmtId="0" fontId="74" fillId="31" borderId="0" xfId="0" applyFont="1" applyFill="1"/>
    <xf numFmtId="0" fontId="74" fillId="0" borderId="10" xfId="0" applyFont="1" applyBorder="1"/>
    <xf numFmtId="0" fontId="74" fillId="0" borderId="10" xfId="0" applyFont="1" applyFill="1" applyBorder="1"/>
    <xf numFmtId="0" fontId="95" fillId="0" borderId="0" xfId="0" applyFont="1"/>
    <xf numFmtId="0" fontId="74" fillId="0" borderId="18" xfId="0" applyFont="1" applyFill="1" applyBorder="1"/>
    <xf numFmtId="0" fontId="75" fillId="0" borderId="0" xfId="0" applyFont="1"/>
    <xf numFmtId="0" fontId="76" fillId="33" borderId="10" xfId="0" applyFont="1" applyFill="1" applyBorder="1"/>
    <xf numFmtId="0" fontId="74" fillId="0" borderId="0" xfId="0" applyFont="1" applyAlignment="1" applyProtection="1">
      <protection locked="0"/>
    </xf>
    <xf numFmtId="0" fontId="76" fillId="0" borderId="0" xfId="0" applyFont="1" applyAlignment="1" applyProtection="1">
      <protection locked="0"/>
    </xf>
    <xf numFmtId="0" fontId="74" fillId="0" borderId="0" xfId="0" applyFont="1" applyFill="1" applyAlignment="1" applyProtection="1">
      <protection locked="0"/>
    </xf>
    <xf numFmtId="0" fontId="74" fillId="0" borderId="26" xfId="0" applyFont="1" applyFill="1" applyBorder="1" applyAlignment="1" applyProtection="1">
      <protection locked="0"/>
    </xf>
    <xf numFmtId="3" fontId="74" fillId="37" borderId="109" xfId="0" applyNumberFormat="1" applyFont="1" applyFill="1" applyBorder="1" applyAlignment="1" applyProtection="1">
      <alignment horizontal="center" vertical="center"/>
      <protection locked="0"/>
    </xf>
    <xf numFmtId="0" fontId="74" fillId="0" borderId="0" xfId="0" applyFont="1" applyBorder="1" applyAlignment="1" applyProtection="1">
      <protection locked="0"/>
    </xf>
    <xf numFmtId="0" fontId="74" fillId="0" borderId="0" xfId="0" applyFont="1" applyFill="1" applyBorder="1" applyAlignment="1" applyProtection="1">
      <protection locked="0"/>
    </xf>
    <xf numFmtId="0" fontId="76" fillId="0" borderId="0" xfId="0" applyFont="1" applyFill="1" applyBorder="1" applyAlignment="1" applyProtection="1">
      <protection locked="0"/>
    </xf>
    <xf numFmtId="0" fontId="76" fillId="0" borderId="0" xfId="0" applyFont="1" applyFill="1" applyBorder="1" applyAlignment="1" applyProtection="1">
      <alignment vertical="top"/>
      <protection locked="0"/>
    </xf>
    <xf numFmtId="0" fontId="76" fillId="0" borderId="0" xfId="0" applyFont="1" applyFill="1" applyBorder="1" applyAlignment="1" applyProtection="1">
      <alignment vertical="top" wrapText="1"/>
      <protection locked="0"/>
    </xf>
    <xf numFmtId="3" fontId="74" fillId="0" borderId="0" xfId="0" applyNumberFormat="1" applyFont="1" applyFill="1" applyBorder="1" applyAlignment="1" applyProtection="1">
      <alignment horizontal="center" vertical="center"/>
      <protection locked="0"/>
    </xf>
    <xf numFmtId="174" fontId="74" fillId="0" borderId="0" xfId="0" applyNumberFormat="1" applyFont="1" applyFill="1" applyBorder="1" applyAlignment="1" applyProtection="1">
      <alignment horizontal="center" vertical="center"/>
      <protection locked="0"/>
    </xf>
    <xf numFmtId="166" fontId="74" fillId="0" borderId="0" xfId="0" applyNumberFormat="1" applyFont="1" applyFill="1" applyBorder="1" applyAlignment="1" applyProtection="1">
      <alignment horizontal="center" vertical="center"/>
      <protection locked="0"/>
    </xf>
    <xf numFmtId="167" fontId="74" fillId="0" borderId="0" xfId="0" applyNumberFormat="1" applyFont="1" applyFill="1" applyBorder="1" applyAlignment="1" applyProtection="1">
      <alignment horizontal="center" vertical="center"/>
      <protection locked="0"/>
    </xf>
    <xf numFmtId="0" fontId="74" fillId="0" borderId="0" xfId="0" applyFont="1" applyFill="1" applyBorder="1" applyAlignment="1" applyProtection="1">
      <alignment vertical="center"/>
      <protection locked="0"/>
    </xf>
    <xf numFmtId="164" fontId="74" fillId="0" borderId="0" xfId="0" applyNumberFormat="1" applyFont="1" applyFill="1" applyBorder="1" applyAlignment="1" applyProtection="1">
      <alignment horizontal="center" vertical="center"/>
      <protection locked="0"/>
    </xf>
    <xf numFmtId="3" fontId="74" fillId="0" borderId="0" xfId="0" applyNumberFormat="1" applyFont="1" applyFill="1" applyBorder="1" applyAlignment="1" applyProtection="1">
      <alignment horizontal="center"/>
      <protection locked="0"/>
    </xf>
    <xf numFmtId="174" fontId="74" fillId="0" borderId="0" xfId="0" applyNumberFormat="1" applyFont="1" applyFill="1" applyBorder="1" applyAlignment="1" applyProtection="1">
      <alignment horizontal="center"/>
      <protection locked="0"/>
    </xf>
    <xf numFmtId="0" fontId="74" fillId="0" borderId="0" xfId="0" applyFont="1" applyFill="1" applyBorder="1" applyAlignment="1" applyProtection="1">
      <alignment horizontal="right"/>
      <protection locked="0"/>
    </xf>
    <xf numFmtId="0" fontId="76" fillId="0" borderId="0" xfId="0" applyFont="1" applyFill="1" applyBorder="1" applyAlignment="1" applyProtection="1">
      <alignment horizontal="right"/>
      <protection locked="0"/>
    </xf>
    <xf numFmtId="0" fontId="74" fillId="0" borderId="0" xfId="0" applyFont="1" applyFill="1" applyBorder="1" applyAlignment="1" applyProtection="1">
      <alignment vertical="center" wrapText="1"/>
      <protection locked="0"/>
    </xf>
    <xf numFmtId="0" fontId="74" fillId="0" borderId="0" xfId="0" applyFont="1" applyFill="1" applyBorder="1" applyAlignment="1" applyProtection="1">
      <alignment horizontal="center" vertical="center" wrapText="1"/>
      <protection locked="0"/>
    </xf>
    <xf numFmtId="0" fontId="74" fillId="0" borderId="0" xfId="61" applyFont="1" applyBorder="1"/>
    <xf numFmtId="174" fontId="74" fillId="37" borderId="69" xfId="0" applyNumberFormat="1" applyFont="1" applyFill="1" applyBorder="1" applyAlignment="1" applyProtection="1">
      <alignment horizontal="center" vertical="center" wrapText="1"/>
      <protection locked="0"/>
    </xf>
    <xf numFmtId="174" fontId="74" fillId="37" borderId="69" xfId="0" applyNumberFormat="1" applyFont="1" applyFill="1" applyBorder="1" applyAlignment="1" applyProtection="1">
      <alignment horizontal="center" vertical="center"/>
      <protection locked="0"/>
    </xf>
    <xf numFmtId="0" fontId="74" fillId="37" borderId="69" xfId="0" applyFont="1" applyFill="1" applyBorder="1" applyAlignment="1" applyProtection="1">
      <alignment horizontal="center" vertical="center" wrapText="1"/>
      <protection locked="0"/>
    </xf>
    <xf numFmtId="0" fontId="74" fillId="37" borderId="39" xfId="0" applyFont="1" applyFill="1" applyBorder="1" applyAlignment="1" applyProtection="1">
      <alignment horizontal="center" vertical="center"/>
      <protection locked="0"/>
    </xf>
    <xf numFmtId="0" fontId="74" fillId="0" borderId="0" xfId="0" applyFont="1" applyAlignment="1" applyProtection="1">
      <alignment horizontal="right"/>
      <protection locked="0"/>
    </xf>
    <xf numFmtId="174" fontId="74" fillId="37" borderId="70" xfId="0" applyNumberFormat="1" applyFont="1" applyFill="1" applyBorder="1" applyAlignment="1" applyProtection="1">
      <alignment horizontal="center" vertical="center" wrapText="1"/>
      <protection locked="0"/>
    </xf>
    <xf numFmtId="174" fontId="74" fillId="37" borderId="70" xfId="0" applyNumberFormat="1" applyFont="1" applyFill="1" applyBorder="1" applyAlignment="1" applyProtection="1">
      <alignment horizontal="center" vertical="center"/>
      <protection locked="0"/>
    </xf>
    <xf numFmtId="0" fontId="74" fillId="37" borderId="70" xfId="0" applyFont="1" applyFill="1" applyBorder="1" applyAlignment="1" applyProtection="1">
      <alignment horizontal="center" vertical="center" wrapText="1"/>
      <protection locked="0"/>
    </xf>
    <xf numFmtId="0" fontId="74" fillId="37" borderId="61" xfId="0" applyFont="1" applyFill="1" applyBorder="1" applyAlignment="1" applyProtection="1">
      <alignment horizontal="center" vertical="center"/>
      <protection locked="0"/>
    </xf>
    <xf numFmtId="3" fontId="74" fillId="37" borderId="112" xfId="0" applyNumberFormat="1" applyFont="1" applyFill="1" applyBorder="1" applyAlignment="1" applyProtection="1">
      <alignment horizontal="center" vertical="center"/>
      <protection locked="0"/>
    </xf>
    <xf numFmtId="167" fontId="74" fillId="0" borderId="39" xfId="0" applyNumberFormat="1" applyFont="1" applyFill="1" applyBorder="1" applyAlignment="1" applyProtection="1">
      <alignment horizontal="center" vertical="center"/>
    </xf>
    <xf numFmtId="174" fontId="74" fillId="0" borderId="68" xfId="0" applyNumberFormat="1" applyFont="1" applyFill="1" applyBorder="1" applyAlignment="1" applyProtection="1">
      <alignment horizontal="center" vertical="center"/>
    </xf>
    <xf numFmtId="174" fontId="74" fillId="0" borderId="69" xfId="0" applyNumberFormat="1" applyFont="1" applyFill="1" applyBorder="1" applyAlignment="1" applyProtection="1">
      <alignment horizontal="center" vertical="center"/>
    </xf>
    <xf numFmtId="166" fontId="74" fillId="0" borderId="69" xfId="0" applyNumberFormat="1" applyFont="1" applyFill="1" applyBorder="1" applyAlignment="1" applyProtection="1">
      <alignment horizontal="center" vertical="center"/>
    </xf>
    <xf numFmtId="174" fontId="74" fillId="30" borderId="39" xfId="0" applyNumberFormat="1" applyFont="1" applyFill="1" applyBorder="1" applyAlignment="1" applyProtection="1">
      <alignment horizontal="center" vertical="center"/>
    </xf>
    <xf numFmtId="174" fontId="74" fillId="30" borderId="40" xfId="0" applyNumberFormat="1" applyFont="1" applyFill="1" applyBorder="1" applyAlignment="1" applyProtection="1">
      <alignment horizontal="center" vertical="center"/>
    </xf>
    <xf numFmtId="174" fontId="76" fillId="0" borderId="10" xfId="0" applyNumberFormat="1" applyFont="1" applyBorder="1" applyAlignment="1" applyProtection="1">
      <alignment horizontal="center" vertical="center"/>
    </xf>
    <xf numFmtId="167" fontId="76" fillId="0" borderId="10" xfId="0" applyNumberFormat="1" applyFont="1" applyFill="1" applyBorder="1" applyAlignment="1" applyProtection="1">
      <alignment horizontal="center" vertical="center"/>
    </xf>
    <xf numFmtId="174" fontId="76" fillId="30" borderId="10" xfId="0" applyNumberFormat="1" applyFont="1" applyFill="1" applyBorder="1" applyAlignment="1" applyProtection="1">
      <alignment horizontal="center" vertical="center"/>
    </xf>
    <xf numFmtId="174" fontId="76" fillId="0" borderId="10" xfId="0" applyNumberFormat="1" applyFont="1" applyFill="1" applyBorder="1" applyAlignment="1" applyProtection="1">
      <alignment horizontal="center" vertical="center"/>
    </xf>
    <xf numFmtId="3" fontId="74" fillId="35" borderId="10" xfId="93" applyNumberFormat="1" applyFont="1" applyFill="1" applyBorder="1" applyAlignment="1">
      <alignment horizontal="center" vertical="center" wrapText="1"/>
    </xf>
    <xf numFmtId="3" fontId="74" fillId="37" borderId="10" xfId="0" applyNumberFormat="1" applyFont="1" applyFill="1" applyBorder="1" applyAlignment="1" applyProtection="1">
      <alignment horizontal="center" vertical="center" wrapText="1"/>
      <protection locked="0"/>
    </xf>
    <xf numFmtId="0" fontId="76" fillId="33" borderId="10" xfId="0" applyFont="1" applyFill="1" applyBorder="1" applyAlignment="1">
      <alignment horizontal="center" vertical="center" wrapText="1"/>
    </xf>
    <xf numFmtId="0" fontId="76" fillId="0"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3" fontId="93" fillId="0" borderId="0" xfId="0" applyNumberFormat="1" applyFont="1" applyFill="1" applyBorder="1" applyAlignment="1">
      <alignment vertical="center"/>
    </xf>
    <xf numFmtId="3" fontId="74" fillId="0" borderId="0" xfId="0" applyNumberFormat="1" applyFont="1" applyFill="1" applyBorder="1" applyAlignment="1">
      <alignment vertical="center"/>
    </xf>
    <xf numFmtId="0" fontId="74" fillId="37" borderId="10" xfId="0" applyFont="1" applyFill="1" applyBorder="1" applyAlignment="1" applyProtection="1">
      <alignment horizontal="center"/>
      <protection locked="0"/>
    </xf>
    <xf numFmtId="14" fontId="74" fillId="37" borderId="10" xfId="0" applyNumberFormat="1" applyFont="1" applyFill="1" applyBorder="1" applyAlignment="1" applyProtection="1">
      <alignment horizontal="center" vertical="center" wrapText="1"/>
      <protection locked="0"/>
    </xf>
    <xf numFmtId="0" fontId="76" fillId="33" borderId="10" xfId="0" applyFont="1" applyFill="1" applyBorder="1" applyAlignment="1">
      <alignment horizontal="center" vertical="top" wrapText="1"/>
    </xf>
    <xf numFmtId="0" fontId="74" fillId="0" borderId="41" xfId="0" applyFont="1" applyBorder="1"/>
    <xf numFmtId="0" fontId="100" fillId="26" borderId="16" xfId="0" applyFont="1" applyFill="1" applyBorder="1"/>
    <xf numFmtId="0" fontId="74" fillId="0" borderId="17" xfId="0" applyFont="1" applyBorder="1"/>
    <xf numFmtId="0" fontId="74" fillId="0" borderId="20" xfId="0" applyFont="1" applyBorder="1"/>
    <xf numFmtId="0" fontId="74" fillId="0" borderId="19" xfId="0" applyFont="1" applyBorder="1"/>
    <xf numFmtId="0" fontId="100" fillId="26" borderId="15" xfId="0" applyFont="1" applyFill="1" applyBorder="1"/>
    <xf numFmtId="0" fontId="100" fillId="26" borderId="18" xfId="0" applyFont="1" applyFill="1" applyBorder="1" applyAlignment="1">
      <alignment horizontal="center"/>
    </xf>
    <xf numFmtId="0" fontId="100" fillId="26" borderId="20" xfId="0" applyFont="1" applyFill="1" applyBorder="1" applyAlignment="1">
      <alignment horizontal="center"/>
    </xf>
    <xf numFmtId="3" fontId="74" fillId="0" borderId="18" xfId="0" applyNumberFormat="1" applyFont="1" applyFill="1" applyBorder="1"/>
    <xf numFmtId="0" fontId="100" fillId="26" borderId="23" xfId="0" applyFont="1" applyFill="1" applyBorder="1" applyAlignment="1">
      <alignment horizontal="center"/>
    </xf>
    <xf numFmtId="3" fontId="74" fillId="0" borderId="16" xfId="0" applyNumberFormat="1" applyFont="1" applyFill="1" applyBorder="1"/>
    <xf numFmtId="9" fontId="74" fillId="0" borderId="10" xfId="51" applyFont="1" applyBorder="1" applyAlignment="1">
      <alignment horizontal="center"/>
    </xf>
    <xf numFmtId="0" fontId="74" fillId="0" borderId="16" xfId="0" applyFont="1" applyBorder="1"/>
    <xf numFmtId="0" fontId="101" fillId="0" borderId="16" xfId="0" applyFont="1" applyFill="1" applyBorder="1"/>
    <xf numFmtId="0" fontId="74" fillId="37" borderId="47" xfId="0" applyFont="1" applyFill="1" applyBorder="1" applyAlignment="1" applyProtection="1">
      <alignment horizontal="center" vertical="top" wrapText="1"/>
      <protection locked="0"/>
    </xf>
    <xf numFmtId="0" fontId="100" fillId="26" borderId="14" xfId="0" applyFont="1" applyFill="1" applyBorder="1"/>
    <xf numFmtId="0" fontId="74" fillId="0" borderId="14" xfId="0" applyFont="1" applyBorder="1"/>
    <xf numFmtId="3" fontId="74" fillId="0" borderId="15" xfId="0" applyNumberFormat="1" applyFont="1" applyFill="1" applyBorder="1"/>
    <xf numFmtId="3" fontId="74" fillId="0" borderId="31" xfId="0" applyNumberFormat="1" applyFont="1" applyFill="1" applyBorder="1"/>
    <xf numFmtId="0" fontId="74" fillId="0" borderId="16" xfId="0" applyFont="1" applyFill="1" applyBorder="1"/>
    <xf numFmtId="3" fontId="74" fillId="0" borderId="18" xfId="0" applyNumberFormat="1" applyFont="1" applyBorder="1"/>
    <xf numFmtId="177" fontId="74" fillId="35" borderId="15" xfId="0" applyNumberFormat="1" applyFont="1" applyFill="1" applyBorder="1" applyProtection="1">
      <protection locked="0"/>
    </xf>
    <xf numFmtId="8" fontId="74" fillId="35" borderId="15" xfId="0" applyNumberFormat="1" applyFont="1" applyFill="1" applyBorder="1" applyProtection="1">
      <protection locked="0"/>
    </xf>
    <xf numFmtId="0" fontId="100" fillId="26" borderId="22" xfId="0" applyFont="1" applyFill="1" applyBorder="1"/>
    <xf numFmtId="0" fontId="100" fillId="26" borderId="24" xfId="0" applyFont="1" applyFill="1" applyBorder="1" applyAlignment="1">
      <alignment horizontal="center"/>
    </xf>
    <xf numFmtId="3" fontId="74" fillId="0" borderId="18" xfId="0" applyNumberFormat="1" applyFont="1" applyFill="1" applyBorder="1" applyProtection="1">
      <protection locked="0"/>
    </xf>
    <xf numFmtId="3" fontId="74" fillId="0" borderId="20" xfId="0" applyNumberFormat="1" applyFont="1" applyFill="1" applyBorder="1" applyProtection="1">
      <protection locked="0"/>
    </xf>
    <xf numFmtId="164" fontId="74" fillId="0" borderId="18" xfId="0" applyNumberFormat="1" applyFont="1" applyBorder="1" applyProtection="1">
      <protection locked="0"/>
    </xf>
    <xf numFmtId="164" fontId="74" fillId="0" borderId="20" xfId="0" applyNumberFormat="1" applyFont="1" applyBorder="1" applyProtection="1">
      <protection locked="0"/>
    </xf>
    <xf numFmtId="10" fontId="74" fillId="0" borderId="18" xfId="0" applyNumberFormat="1" applyFont="1" applyBorder="1" applyProtection="1">
      <protection locked="0"/>
    </xf>
    <xf numFmtId="10" fontId="74" fillId="0" borderId="20" xfId="0" applyNumberFormat="1" applyFont="1" applyBorder="1" applyProtection="1">
      <protection locked="0"/>
    </xf>
    <xf numFmtId="164" fontId="74" fillId="0" borderId="18" xfId="0" applyNumberFormat="1" applyFont="1" applyFill="1" applyBorder="1" applyProtection="1">
      <protection locked="0"/>
    </xf>
    <xf numFmtId="175" fontId="74" fillId="0" borderId="18" xfId="28" applyNumberFormat="1" applyFont="1" applyFill="1" applyBorder="1" applyProtection="1">
      <protection locked="0"/>
    </xf>
    <xf numFmtId="164" fontId="74" fillId="0" borderId="20" xfId="0" applyNumberFormat="1" applyFont="1" applyFill="1" applyBorder="1" applyProtection="1">
      <protection locked="0"/>
    </xf>
    <xf numFmtId="10" fontId="92" fillId="0" borderId="20" xfId="0" applyNumberFormat="1" applyFont="1" applyBorder="1" applyProtection="1">
      <protection locked="0"/>
    </xf>
    <xf numFmtId="43" fontId="74" fillId="0" borderId="0" xfId="0" applyNumberFormat="1" applyFont="1"/>
    <xf numFmtId="3" fontId="74" fillId="35" borderId="10" xfId="0" applyNumberFormat="1" applyFont="1" applyFill="1" applyBorder="1" applyAlignment="1" applyProtection="1">
      <alignment horizontal="center" vertical="center" wrapText="1"/>
      <protection locked="0"/>
    </xf>
    <xf numFmtId="0" fontId="103" fillId="0" borderId="10" xfId="0" applyFont="1" applyFill="1" applyBorder="1"/>
    <xf numFmtId="3" fontId="103" fillId="35" borderId="10" xfId="0" applyNumberFormat="1" applyFont="1" applyFill="1" applyBorder="1" applyAlignment="1" applyProtection="1">
      <alignment horizontal="center" vertical="center" wrapText="1"/>
      <protection locked="0"/>
    </xf>
    <xf numFmtId="0" fontId="104" fillId="0" borderId="59" xfId="0" applyFont="1" applyBorder="1"/>
    <xf numFmtId="0" fontId="96" fillId="30" borderId="0" xfId="0" applyFont="1" applyFill="1" applyAlignment="1" applyProtection="1">
      <alignment wrapText="1"/>
    </xf>
    <xf numFmtId="0" fontId="74" fillId="30" borderId="0" xfId="0" applyFont="1" applyFill="1" applyAlignment="1" applyProtection="1"/>
    <xf numFmtId="0" fontId="74" fillId="30" borderId="0" xfId="0" applyFont="1" applyFill="1" applyAlignment="1" applyProtection="1">
      <alignment horizontal="right" vertical="top" wrapText="1"/>
    </xf>
    <xf numFmtId="0" fontId="74" fillId="30" borderId="27" xfId="0" applyFont="1" applyFill="1" applyBorder="1" applyAlignment="1" applyProtection="1">
      <alignment horizontal="justify" wrapText="1"/>
    </xf>
    <xf numFmtId="0" fontId="74" fillId="30" borderId="28" xfId="0" applyFont="1" applyFill="1" applyBorder="1" applyAlignment="1" applyProtection="1">
      <alignment horizontal="justify" wrapText="1"/>
    </xf>
    <xf numFmtId="0" fontId="74" fillId="30" borderId="27" xfId="0" applyFont="1" applyFill="1" applyBorder="1" applyAlignment="1" applyProtection="1"/>
    <xf numFmtId="0" fontId="74" fillId="30" borderId="28" xfId="0" applyFont="1" applyFill="1" applyBorder="1" applyAlignment="1" applyProtection="1">
      <alignment wrapText="1"/>
    </xf>
    <xf numFmtId="0" fontId="74" fillId="30" borderId="42" xfId="0" applyFont="1" applyFill="1" applyBorder="1" applyAlignment="1" applyProtection="1">
      <alignment wrapText="1"/>
    </xf>
    <xf numFmtId="0" fontId="74" fillId="30" borderId="27" xfId="0" applyFont="1" applyFill="1" applyBorder="1" applyAlignment="1" applyProtection="1">
      <alignment horizontal="left"/>
    </xf>
    <xf numFmtId="0" fontId="105" fillId="30" borderId="28" xfId="0" applyFont="1" applyFill="1" applyBorder="1" applyAlignment="1" applyProtection="1">
      <alignment horizontal="right" vertical="top" wrapText="1"/>
    </xf>
    <xf numFmtId="0" fontId="74" fillId="30" borderId="28" xfId="0" applyFont="1" applyFill="1" applyBorder="1" applyAlignment="1" applyProtection="1">
      <alignment horizontal="right" vertical="top" wrapText="1"/>
    </xf>
    <xf numFmtId="0" fontId="75" fillId="30" borderId="0" xfId="0" applyFont="1" applyFill="1" applyAlignment="1" applyProtection="1"/>
    <xf numFmtId="0" fontId="74" fillId="0" borderId="27" xfId="0" applyFont="1" applyBorder="1" applyProtection="1"/>
    <xf numFmtId="0" fontId="74" fillId="0" borderId="0" xfId="0" applyFont="1" applyAlignment="1"/>
    <xf numFmtId="0" fontId="76" fillId="0" borderId="0" xfId="0" applyFont="1" applyAlignment="1"/>
    <xf numFmtId="0" fontId="76" fillId="0" borderId="35" xfId="0" applyFont="1" applyFill="1" applyBorder="1" applyAlignment="1">
      <alignment horizontal="right" vertical="center"/>
    </xf>
    <xf numFmtId="164" fontId="74" fillId="0" borderId="37" xfId="0" applyNumberFormat="1" applyFont="1" applyFill="1" applyBorder="1" applyAlignment="1">
      <alignment horizontal="right" vertical="center"/>
    </xf>
    <xf numFmtId="0" fontId="74" fillId="0" borderId="0" xfId="0" applyFont="1" applyAlignment="1">
      <alignment vertical="center"/>
    </xf>
    <xf numFmtId="0" fontId="76" fillId="0" borderId="41" xfId="0" applyFont="1" applyFill="1" applyBorder="1" applyAlignment="1">
      <alignment horizontal="right" vertical="center"/>
    </xf>
    <xf numFmtId="178" fontId="74" fillId="0" borderId="42" xfId="64" applyNumberFormat="1" applyFont="1" applyFill="1" applyBorder="1" applyAlignment="1">
      <alignment horizontal="right" vertical="center"/>
    </xf>
    <xf numFmtId="9" fontId="74" fillId="0" borderId="0" xfId="64" applyFont="1" applyAlignment="1">
      <alignment vertical="center"/>
    </xf>
    <xf numFmtId="0" fontId="97" fillId="0" borderId="41" xfId="0" applyFont="1" applyFill="1" applyBorder="1" applyAlignment="1">
      <alignment horizontal="right" vertical="center"/>
    </xf>
    <xf numFmtId="9" fontId="74" fillId="0" borderId="42" xfId="64" applyNumberFormat="1" applyFont="1" applyFill="1" applyBorder="1" applyAlignment="1">
      <alignment horizontal="right" vertical="center"/>
    </xf>
    <xf numFmtId="1" fontId="74" fillId="0" borderId="42" xfId="0" applyNumberFormat="1" applyFont="1" applyFill="1" applyBorder="1" applyAlignment="1">
      <alignment horizontal="right" vertical="center"/>
    </xf>
    <xf numFmtId="164" fontId="74" fillId="0" borderId="42" xfId="0" applyNumberFormat="1" applyFont="1" applyBorder="1" applyAlignment="1">
      <alignment horizontal="right" vertical="center"/>
    </xf>
    <xf numFmtId="166" fontId="74" fillId="0" borderId="42" xfId="64" applyNumberFormat="1" applyFont="1" applyBorder="1" applyAlignment="1">
      <alignment horizontal="right" vertical="center"/>
    </xf>
    <xf numFmtId="166" fontId="74" fillId="30" borderId="42" xfId="0" applyNumberFormat="1" applyFont="1" applyFill="1" applyBorder="1" applyAlignment="1">
      <alignment horizontal="right" vertical="center"/>
    </xf>
    <xf numFmtId="0" fontId="76" fillId="0" borderId="49" xfId="0" applyFont="1" applyFill="1" applyBorder="1" applyAlignment="1">
      <alignment horizontal="right" vertical="center"/>
    </xf>
    <xf numFmtId="3" fontId="74" fillId="30" borderId="50" xfId="0" applyNumberFormat="1" applyFont="1" applyFill="1" applyBorder="1" applyAlignment="1">
      <alignment horizontal="right" vertical="center"/>
    </xf>
    <xf numFmtId="0" fontId="76" fillId="0" borderId="0" xfId="0" applyFont="1" applyFill="1" applyBorder="1" applyAlignment="1">
      <alignment horizontal="right" vertical="center"/>
    </xf>
    <xf numFmtId="164" fontId="74" fillId="0" borderId="0" xfId="0" applyNumberFormat="1" applyFont="1" applyBorder="1" applyAlignment="1">
      <alignment horizontal="right" vertical="center"/>
    </xf>
    <xf numFmtId="0" fontId="75" fillId="0" borderId="0" xfId="0" applyFont="1" applyAlignment="1"/>
    <xf numFmtId="0" fontId="76" fillId="33" borderId="79" xfId="0" applyFont="1" applyFill="1" applyBorder="1" applyAlignment="1">
      <alignment horizontal="right" vertical="center"/>
    </xf>
    <xf numFmtId="9" fontId="74" fillId="33" borderId="71" xfId="0" applyNumberFormat="1" applyFont="1" applyFill="1" applyBorder="1" applyAlignment="1">
      <alignment horizontal="right" vertical="center"/>
    </xf>
    <xf numFmtId="0" fontId="76" fillId="0" borderId="0" xfId="0" applyFont="1" applyAlignment="1">
      <alignment horizontal="left"/>
    </xf>
    <xf numFmtId="174" fontId="74" fillId="0" borderId="10" xfId="0" applyNumberFormat="1" applyFont="1" applyFill="1" applyBorder="1" applyAlignment="1">
      <alignment horizontal="center" vertical="center" wrapText="1"/>
    </xf>
    <xf numFmtId="3" fontId="74" fillId="0" borderId="10" xfId="0" applyNumberFormat="1" applyFont="1" applyFill="1" applyBorder="1" applyAlignment="1">
      <alignment horizontal="center" vertical="center" wrapText="1"/>
    </xf>
    <xf numFmtId="3" fontId="74" fillId="0" borderId="10" xfId="0" applyNumberFormat="1" applyFont="1" applyBorder="1" applyAlignment="1">
      <alignment horizontal="center" vertical="center" wrapText="1"/>
    </xf>
    <xf numFmtId="0" fontId="74" fillId="0" borderId="0" xfId="0" applyFont="1" applyBorder="1" applyAlignment="1">
      <alignment horizontal="left" vertical="center" wrapText="1"/>
    </xf>
    <xf numFmtId="167" fontId="74" fillId="0" borderId="0" xfId="0" applyNumberFormat="1" applyFont="1" applyFill="1" applyBorder="1" applyAlignment="1">
      <alignment horizontal="center" vertical="center" wrapText="1"/>
    </xf>
    <xf numFmtId="167" fontId="74" fillId="0" borderId="0" xfId="0" applyNumberFormat="1" applyFont="1" applyBorder="1" applyAlignment="1">
      <alignment horizontal="center" vertical="center" wrapText="1"/>
    </xf>
    <xf numFmtId="9" fontId="74" fillId="0" borderId="0" xfId="0" applyNumberFormat="1" applyFont="1" applyBorder="1" applyAlignment="1">
      <alignment horizontal="center" vertical="center" wrapText="1"/>
    </xf>
    <xf numFmtId="0" fontId="76" fillId="33" borderId="10" xfId="0" applyFont="1" applyFill="1" applyBorder="1" applyAlignment="1">
      <alignment horizontal="left" vertical="top" wrapText="1"/>
    </xf>
    <xf numFmtId="0" fontId="74" fillId="0" borderId="10" xfId="0" applyFont="1" applyBorder="1" applyAlignment="1">
      <alignment horizontal="left" vertical="center" wrapText="1"/>
    </xf>
    <xf numFmtId="174" fontId="74" fillId="0" borderId="10" xfId="0" applyNumberFormat="1" applyFont="1" applyBorder="1" applyAlignment="1">
      <alignment horizontal="center" vertical="center" wrapText="1"/>
    </xf>
    <xf numFmtId="9" fontId="74" fillId="0" borderId="10" xfId="0" applyNumberFormat="1" applyFont="1" applyBorder="1" applyAlignment="1">
      <alignment horizontal="center" vertical="center" wrapText="1"/>
    </xf>
    <xf numFmtId="0" fontId="74" fillId="0" borderId="0" xfId="93" applyFont="1" applyAlignment="1">
      <alignment wrapText="1"/>
    </xf>
    <xf numFmtId="0" fontId="74" fillId="33" borderId="10" xfId="93" applyFont="1" applyFill="1" applyBorder="1" applyAlignment="1">
      <alignment horizontal="center" vertical="top" wrapText="1"/>
    </xf>
    <xf numFmtId="0" fontId="74" fillId="0" borderId="10" xfId="93" applyFont="1" applyFill="1" applyBorder="1" applyAlignment="1">
      <alignment vertical="center" wrapText="1"/>
    </xf>
    <xf numFmtId="9" fontId="74" fillId="35" borderId="10" xfId="64" applyFont="1" applyFill="1" applyBorder="1" applyAlignment="1">
      <alignment horizontal="center" vertical="center" wrapText="1"/>
    </xf>
    <xf numFmtId="0" fontId="76" fillId="0" borderId="10" xfId="93" applyFont="1" applyFill="1" applyBorder="1" applyAlignment="1">
      <alignment horizontal="center" vertical="center" wrapText="1"/>
    </xf>
    <xf numFmtId="3" fontId="76" fillId="0" borderId="10" xfId="93" applyNumberFormat="1" applyFont="1" applyFill="1" applyBorder="1" applyAlignment="1">
      <alignment horizontal="center" vertical="center" wrapText="1"/>
    </xf>
    <xf numFmtId="1" fontId="76" fillId="0" borderId="10" xfId="93" applyNumberFormat="1" applyFont="1" applyFill="1" applyBorder="1" applyAlignment="1">
      <alignment horizontal="center" vertical="center" wrapText="1"/>
    </xf>
    <xf numFmtId="0" fontId="74" fillId="33" borderId="10" xfId="0" applyFont="1" applyFill="1" applyBorder="1" applyAlignment="1">
      <alignment horizontal="center" vertical="center" wrapText="1"/>
    </xf>
    <xf numFmtId="167" fontId="74" fillId="0" borderId="42" xfId="0" applyNumberFormat="1" applyFont="1" applyBorder="1" applyAlignment="1">
      <alignment horizontal="right" vertical="center"/>
    </xf>
    <xf numFmtId="0" fontId="89" fillId="0" borderId="0" xfId="662" applyFont="1" applyFill="1" applyBorder="1" applyProtection="1"/>
    <xf numFmtId="0" fontId="89" fillId="30" borderId="0" xfId="662" applyFont="1" applyFill="1" applyBorder="1" applyProtection="1"/>
    <xf numFmtId="0" fontId="74" fillId="30" borderId="0" xfId="187" applyFont="1" applyFill="1" applyBorder="1" applyAlignment="1" applyProtection="1"/>
    <xf numFmtId="0" fontId="74" fillId="0" borderId="0" xfId="187" applyFont="1" applyFill="1" applyBorder="1" applyAlignment="1" applyProtection="1"/>
    <xf numFmtId="0" fontId="74" fillId="30" borderId="0" xfId="187" applyFont="1" applyFill="1" applyBorder="1" applyAlignment="1" applyProtection="1">
      <alignment wrapText="1"/>
    </xf>
    <xf numFmtId="0" fontId="86" fillId="46" borderId="29" xfId="61" applyFont="1" applyFill="1" applyBorder="1" applyAlignment="1">
      <alignment vertical="center"/>
    </xf>
    <xf numFmtId="0" fontId="86" fillId="46" borderId="20" xfId="61" applyFont="1" applyFill="1" applyBorder="1" applyAlignment="1">
      <alignment vertical="center"/>
    </xf>
    <xf numFmtId="0" fontId="74" fillId="35" borderId="56" xfId="662" applyFont="1" applyFill="1" applyBorder="1" applyAlignment="1" applyProtection="1">
      <alignment horizontal="center" vertical="center" wrapText="1"/>
    </xf>
    <xf numFmtId="0" fontId="74" fillId="35" borderId="11" xfId="662" applyFont="1" applyFill="1" applyBorder="1" applyAlignment="1" applyProtection="1">
      <alignment horizontal="center" vertical="center" wrapText="1"/>
    </xf>
    <xf numFmtId="185" fontId="74" fillId="37" borderId="59" xfId="93" applyNumberFormat="1" applyFont="1" applyFill="1" applyBorder="1" applyAlignment="1" applyProtection="1">
      <alignment horizontal="center" vertical="center" wrapText="1"/>
      <protection locked="0"/>
    </xf>
    <xf numFmtId="186" fontId="74" fillId="37" borderId="59" xfId="93" applyNumberFormat="1" applyFont="1" applyFill="1" applyBorder="1" applyAlignment="1" applyProtection="1">
      <alignment horizontal="center" vertical="center" wrapText="1"/>
      <protection locked="0"/>
    </xf>
    <xf numFmtId="185" fontId="74" fillId="37" borderId="10" xfId="93" applyNumberFormat="1" applyFont="1" applyFill="1" applyBorder="1" applyAlignment="1" applyProtection="1">
      <alignment horizontal="center" vertical="center" wrapText="1"/>
      <protection locked="0"/>
    </xf>
    <xf numFmtId="3" fontId="74" fillId="37" borderId="72" xfId="93" applyNumberFormat="1" applyFont="1" applyFill="1" applyBorder="1" applyAlignment="1" applyProtection="1">
      <alignment horizontal="center" vertical="center" wrapText="1"/>
      <protection locked="0"/>
    </xf>
    <xf numFmtId="3" fontId="74" fillId="37" borderId="69" xfId="93" applyNumberFormat="1" applyFont="1" applyFill="1" applyBorder="1" applyAlignment="1" applyProtection="1">
      <alignment horizontal="center" vertical="center" wrapText="1"/>
      <protection locked="0"/>
    </xf>
    <xf numFmtId="3" fontId="74" fillId="37" borderId="111" xfId="93" applyNumberFormat="1" applyFont="1" applyFill="1" applyBorder="1" applyAlignment="1" applyProtection="1">
      <alignment horizontal="center" vertical="center" wrapText="1"/>
      <protection locked="0"/>
    </xf>
    <xf numFmtId="3" fontId="74" fillId="37" borderId="70" xfId="93" applyNumberFormat="1" applyFont="1" applyFill="1" applyBorder="1" applyAlignment="1" applyProtection="1">
      <alignment horizontal="center" vertical="center" wrapText="1"/>
      <protection locked="0"/>
    </xf>
    <xf numFmtId="0" fontId="74" fillId="37" borderId="10" xfId="0" applyFont="1" applyFill="1" applyBorder="1" applyAlignment="1" applyProtection="1">
      <alignment horizontal="center" vertical="center" wrapText="1"/>
      <protection locked="0"/>
    </xf>
    <xf numFmtId="185" fontId="74" fillId="37" borderId="59" xfId="0" applyNumberFormat="1" applyFont="1" applyFill="1" applyBorder="1" applyAlignment="1" applyProtection="1">
      <alignment horizontal="center" vertical="center" wrapText="1"/>
      <protection locked="0"/>
    </xf>
    <xf numFmtId="0" fontId="74" fillId="37" borderId="10" xfId="0" applyFont="1" applyFill="1" applyBorder="1" applyAlignment="1" applyProtection="1">
      <alignment vertical="center" wrapText="1"/>
      <protection locked="0"/>
    </xf>
    <xf numFmtId="0" fontId="74" fillId="35" borderId="10" xfId="662" applyFont="1" applyFill="1" applyBorder="1" applyAlignment="1" applyProtection="1">
      <alignment horizontal="center" vertical="center" wrapText="1"/>
    </xf>
    <xf numFmtId="0" fontId="89" fillId="0" borderId="0" xfId="662" applyFont="1" applyFill="1" applyBorder="1" applyAlignment="1" applyProtection="1">
      <alignment wrapText="1"/>
    </xf>
    <xf numFmtId="0" fontId="74" fillId="30" borderId="0" xfId="662" applyFont="1" applyFill="1" applyBorder="1" applyAlignment="1" applyProtection="1">
      <alignment horizontal="left" vertical="center"/>
    </xf>
    <xf numFmtId="0" fontId="74" fillId="30" borderId="0" xfId="662" applyFont="1" applyFill="1" applyBorder="1" applyAlignment="1" applyProtection="1">
      <alignment horizontal="center" vertical="center"/>
    </xf>
    <xf numFmtId="0" fontId="74" fillId="33" borderId="10" xfId="662" applyFont="1" applyFill="1" applyBorder="1" applyAlignment="1" applyProtection="1">
      <alignment horizontal="left" wrapText="1"/>
    </xf>
    <xf numFmtId="0" fontId="74" fillId="33" borderId="60" xfId="662" applyFont="1" applyFill="1" applyBorder="1" applyAlignment="1" applyProtection="1">
      <alignment horizontal="center" vertical="center" wrapText="1"/>
    </xf>
    <xf numFmtId="0" fontId="74" fillId="33" borderId="10" xfId="662" applyFont="1" applyFill="1" applyBorder="1" applyAlignment="1" applyProtection="1">
      <alignment horizontal="center" vertical="center" wrapText="1"/>
    </xf>
    <xf numFmtId="0" fontId="74" fillId="45" borderId="11" xfId="187" applyFont="1" applyFill="1" applyBorder="1" applyAlignment="1" applyProtection="1">
      <alignment horizontal="left" vertical="top" wrapText="1"/>
    </xf>
    <xf numFmtId="0" fontId="74" fillId="35" borderId="39" xfId="662" applyFont="1" applyFill="1" applyBorder="1" applyAlignment="1" applyProtection="1">
      <alignment horizontal="center" vertical="center" wrapText="1"/>
    </xf>
    <xf numFmtId="0" fontId="74" fillId="45" borderId="12" xfId="187" applyFont="1" applyFill="1" applyBorder="1" applyAlignment="1" applyProtection="1">
      <alignment horizontal="left" vertical="top" wrapText="1"/>
    </xf>
    <xf numFmtId="0" fontId="95" fillId="45" borderId="0" xfId="662" applyFont="1" applyFill="1" applyBorder="1" applyAlignment="1" applyProtection="1">
      <alignment horizontal="center" vertical="center" wrapText="1"/>
    </xf>
    <xf numFmtId="0" fontId="74" fillId="45" borderId="0" xfId="662" applyFont="1" applyFill="1" applyBorder="1" applyAlignment="1" applyProtection="1">
      <alignment horizontal="center" vertical="center" wrapText="1"/>
    </xf>
    <xf numFmtId="0" fontId="89" fillId="0" borderId="10" xfId="662" applyFont="1" applyFill="1" applyBorder="1" applyProtection="1"/>
    <xf numFmtId="0" fontId="74" fillId="38" borderId="11" xfId="187" applyFont="1" applyFill="1" applyBorder="1" applyAlignment="1" applyProtection="1">
      <alignment horizontal="left" vertical="top" wrapText="1"/>
    </xf>
    <xf numFmtId="0" fontId="74" fillId="38" borderId="12" xfId="187" applyFont="1" applyFill="1" applyBorder="1" applyAlignment="1" applyProtection="1">
      <alignment horizontal="left" vertical="top" wrapText="1"/>
    </xf>
    <xf numFmtId="0" fontId="95" fillId="38" borderId="0" xfId="662" applyFont="1" applyFill="1" applyBorder="1" applyAlignment="1" applyProtection="1">
      <alignment horizontal="center" vertical="center" wrapText="1"/>
    </xf>
    <xf numFmtId="0" fontId="74" fillId="38" borderId="0" xfId="662" applyFont="1" applyFill="1" applyBorder="1" applyAlignment="1" applyProtection="1">
      <alignment horizontal="center" vertical="center" wrapText="1"/>
    </xf>
    <xf numFmtId="0" fontId="74" fillId="35" borderId="10" xfId="662" applyFont="1" applyFill="1" applyBorder="1" applyAlignment="1" applyProtection="1">
      <alignment horizontal="center" vertical="center" wrapText="1"/>
      <protection locked="0"/>
    </xf>
    <xf numFmtId="0" fontId="89" fillId="0" borderId="0" xfId="662" applyFont="1" applyFill="1" applyBorder="1" applyProtection="1">
      <protection locked="0"/>
    </xf>
    <xf numFmtId="0" fontId="108" fillId="0" borderId="0" xfId="662" applyFont="1" applyFill="1" applyBorder="1" applyProtection="1"/>
    <xf numFmtId="0" fontId="89" fillId="0" borderId="0" xfId="662" applyFont="1" applyFill="1" applyBorder="1" applyAlignment="1" applyProtection="1">
      <alignment horizontal="center"/>
    </xf>
    <xf numFmtId="168" fontId="89" fillId="0" borderId="0" xfId="662" applyNumberFormat="1" applyFont="1" applyFill="1" applyBorder="1" applyProtection="1"/>
    <xf numFmtId="168" fontId="89" fillId="0" borderId="0" xfId="662" applyNumberFormat="1" applyFont="1" applyFill="1" applyBorder="1" applyAlignment="1" applyProtection="1">
      <alignment horizontal="center"/>
    </xf>
    <xf numFmtId="0" fontId="74" fillId="0" borderId="0" xfId="662" applyFont="1" applyFill="1" applyBorder="1" applyProtection="1"/>
    <xf numFmtId="3" fontId="74" fillId="37" borderId="109" xfId="93" applyNumberFormat="1" applyFont="1" applyFill="1" applyBorder="1" applyAlignment="1" applyProtection="1">
      <alignment horizontal="center" vertical="center" wrapText="1"/>
      <protection locked="0"/>
    </xf>
    <xf numFmtId="3" fontId="74" fillId="37" borderId="112" xfId="93" applyNumberFormat="1" applyFont="1" applyFill="1" applyBorder="1" applyAlignment="1" applyProtection="1">
      <alignment horizontal="center" vertical="center" wrapText="1"/>
      <protection locked="0"/>
    </xf>
    <xf numFmtId="3" fontId="74" fillId="37" borderId="136" xfId="93" applyNumberFormat="1" applyFont="1" applyFill="1" applyBorder="1" applyAlignment="1" applyProtection="1">
      <alignment horizontal="center" vertical="center" wrapText="1"/>
      <protection locked="0"/>
    </xf>
    <xf numFmtId="0" fontId="74" fillId="37" borderId="137" xfId="0" applyFont="1" applyFill="1" applyBorder="1" applyAlignment="1" applyProtection="1">
      <alignment horizontal="center" vertical="center" wrapText="1"/>
      <protection locked="0"/>
    </xf>
    <xf numFmtId="0" fontId="74" fillId="37" borderId="61" xfId="0" applyFont="1" applyFill="1" applyBorder="1" applyAlignment="1" applyProtection="1">
      <alignment horizontal="center" vertical="center" wrapText="1"/>
      <protection locked="0"/>
    </xf>
    <xf numFmtId="3" fontId="74" fillId="37" borderId="61" xfId="93" applyNumberFormat="1" applyFont="1" applyFill="1" applyBorder="1" applyAlignment="1" applyProtection="1">
      <alignment horizontal="center" vertical="center" wrapText="1"/>
      <protection locked="0"/>
    </xf>
    <xf numFmtId="3" fontId="74" fillId="37" borderId="137" xfId="93" applyNumberFormat="1" applyFont="1" applyFill="1" applyBorder="1" applyAlignment="1" applyProtection="1">
      <alignment horizontal="center" vertical="center" wrapText="1"/>
      <protection locked="0"/>
    </xf>
    <xf numFmtId="3" fontId="74" fillId="37" borderId="54" xfId="93" applyNumberFormat="1" applyFont="1" applyFill="1" applyBorder="1" applyAlignment="1" applyProtection="1">
      <alignment horizontal="center" vertical="center" wrapText="1"/>
      <protection locked="0"/>
    </xf>
    <xf numFmtId="0" fontId="89" fillId="0" borderId="10" xfId="662" applyFont="1" applyFill="1" applyBorder="1" applyAlignment="1" applyProtection="1">
      <alignment vertical="center" wrapText="1"/>
    </xf>
    <xf numFmtId="0" fontId="74" fillId="35" borderId="11" xfId="187" applyFont="1" applyFill="1" applyBorder="1" applyAlignment="1" applyProtection="1">
      <alignment horizontal="left" vertical="center" wrapText="1"/>
    </xf>
    <xf numFmtId="0" fontId="74" fillId="35" borderId="10" xfId="660" applyNumberFormat="1" applyFont="1" applyFill="1" applyBorder="1" applyAlignment="1" applyProtection="1">
      <alignment horizontal="left" vertical="center" wrapText="1"/>
    </xf>
    <xf numFmtId="0" fontId="74" fillId="35" borderId="10" xfId="187" applyFont="1" applyFill="1" applyBorder="1" applyAlignment="1" applyProtection="1">
      <alignment horizontal="left" vertical="center" wrapText="1"/>
    </xf>
    <xf numFmtId="0" fontId="89" fillId="0" borderId="11" xfId="662" applyFont="1" applyFill="1" applyBorder="1" applyAlignment="1" applyProtection="1">
      <alignment horizontal="left" vertical="center" wrapText="1"/>
    </xf>
    <xf numFmtId="0" fontId="89" fillId="0" borderId="10" xfId="662" applyFont="1" applyFill="1" applyBorder="1" applyAlignment="1" applyProtection="1">
      <alignment horizontal="left" vertical="center" wrapText="1"/>
    </xf>
    <xf numFmtId="0" fontId="89" fillId="0" borderId="11" xfId="662" applyFont="1" applyFill="1" applyBorder="1" applyAlignment="1" applyProtection="1">
      <alignment horizontal="left" vertical="center"/>
    </xf>
    <xf numFmtId="0" fontId="74" fillId="47" borderId="137" xfId="0" applyFont="1" applyFill="1" applyBorder="1" applyAlignment="1" applyProtection="1">
      <alignment vertical="center" wrapText="1"/>
      <protection locked="0"/>
    </xf>
    <xf numFmtId="0" fontId="74" fillId="47" borderId="139" xfId="0" applyFont="1" applyFill="1" applyBorder="1" applyAlignment="1" applyProtection="1">
      <alignment vertical="center" wrapText="1"/>
      <protection locked="0"/>
    </xf>
    <xf numFmtId="0" fontId="74" fillId="47" borderId="39" xfId="0" applyFont="1" applyFill="1" applyBorder="1" applyAlignment="1" applyProtection="1">
      <alignment vertical="center" wrapText="1"/>
      <protection locked="0"/>
    </xf>
    <xf numFmtId="0" fontId="74" fillId="47" borderId="61" xfId="0" applyFont="1" applyFill="1" applyBorder="1" applyAlignment="1" applyProtection="1">
      <alignment vertical="center" wrapText="1"/>
      <protection locked="0"/>
    </xf>
    <xf numFmtId="0" fontId="74" fillId="33" borderId="136" xfId="662" applyFont="1" applyFill="1" applyBorder="1" applyAlignment="1" applyProtection="1">
      <alignment horizontal="left" wrapText="1"/>
    </xf>
    <xf numFmtId="0" fontId="74" fillId="45" borderId="140" xfId="187" applyFont="1" applyFill="1" applyBorder="1" applyAlignment="1" applyProtection="1">
      <alignment horizontal="left" vertical="top" wrapText="1"/>
    </xf>
    <xf numFmtId="0" fontId="74" fillId="35" borderId="135" xfId="662" applyFont="1" applyFill="1" applyBorder="1" applyAlignment="1" applyProtection="1">
      <alignment horizontal="center" vertical="center" wrapText="1"/>
    </xf>
    <xf numFmtId="0" fontId="74" fillId="38" borderId="140" xfId="187" applyFont="1" applyFill="1" applyBorder="1" applyAlignment="1" applyProtection="1">
      <alignment horizontal="left" vertical="top" wrapText="1"/>
    </xf>
    <xf numFmtId="0" fontId="74" fillId="35" borderId="136" xfId="662" applyFont="1" applyFill="1" applyBorder="1" applyAlignment="1" applyProtection="1">
      <alignment horizontal="center" vertical="center" wrapText="1"/>
    </xf>
    <xf numFmtId="186" fontId="74" fillId="35" borderId="59" xfId="93" applyNumberFormat="1" applyFont="1" applyFill="1" applyBorder="1" applyAlignment="1" applyProtection="1">
      <alignment horizontal="center" vertical="center" wrapText="1"/>
    </xf>
    <xf numFmtId="186" fontId="74" fillId="35" borderId="59" xfId="0" applyNumberFormat="1" applyFont="1" applyFill="1" applyBorder="1" applyAlignment="1" applyProtection="1">
      <alignment horizontal="center" vertical="center" wrapText="1"/>
    </xf>
    <xf numFmtId="188" fontId="74" fillId="35" borderId="10" xfId="0" applyNumberFormat="1" applyFont="1" applyFill="1" applyBorder="1" applyAlignment="1" applyProtection="1">
      <alignment horizontal="center" vertical="center" wrapText="1"/>
    </xf>
    <xf numFmtId="185" fontId="74" fillId="35" borderId="10" xfId="0" applyNumberFormat="1" applyFont="1" applyFill="1" applyBorder="1" applyAlignment="1" applyProtection="1">
      <alignment horizontal="center" vertical="center" wrapText="1"/>
    </xf>
    <xf numFmtId="174" fontId="74" fillId="35" borderId="69" xfId="0" applyNumberFormat="1" applyFont="1" applyFill="1" applyBorder="1" applyAlignment="1" applyProtection="1">
      <alignment horizontal="center" vertical="center" wrapText="1"/>
      <protection locked="0"/>
    </xf>
    <xf numFmtId="0" fontId="74" fillId="47" borderId="154" xfId="0" applyFont="1" applyFill="1" applyBorder="1" applyAlignment="1" applyProtection="1">
      <alignment horizontal="center" vertical="center" wrapText="1"/>
      <protection locked="0"/>
    </xf>
    <xf numFmtId="3" fontId="74" fillId="47" borderId="155" xfId="93" applyNumberFormat="1" applyFont="1" applyFill="1" applyBorder="1" applyAlignment="1" applyProtection="1">
      <alignment horizontal="center" vertical="center" wrapText="1"/>
      <protection locked="0"/>
    </xf>
    <xf numFmtId="0" fontId="74" fillId="47" borderId="153" xfId="0" applyFont="1" applyFill="1" applyBorder="1" applyAlignment="1" applyProtection="1">
      <alignment vertical="center" wrapText="1"/>
      <protection locked="0"/>
    </xf>
    <xf numFmtId="0" fontId="74" fillId="47" borderId="146" xfId="0" applyFont="1" applyFill="1" applyBorder="1" applyAlignment="1" applyProtection="1">
      <alignment vertical="center" wrapText="1"/>
      <protection locked="0"/>
    </xf>
    <xf numFmtId="3" fontId="74" fillId="47" borderId="151" xfId="93" applyNumberFormat="1" applyFont="1" applyFill="1" applyBorder="1" applyAlignment="1" applyProtection="1">
      <alignment horizontal="center" vertical="center" wrapText="1"/>
      <protection locked="0"/>
    </xf>
    <xf numFmtId="0" fontId="74" fillId="47" borderId="152" xfId="0" applyFont="1" applyFill="1" applyBorder="1" applyAlignment="1" applyProtection="1">
      <alignment vertical="center" wrapText="1"/>
      <protection locked="0"/>
    </xf>
    <xf numFmtId="3" fontId="74" fillId="47" borderId="157" xfId="93" applyNumberFormat="1" applyFont="1" applyFill="1" applyBorder="1" applyAlignment="1" applyProtection="1">
      <alignment horizontal="center" vertical="center" wrapText="1"/>
      <protection locked="0"/>
    </xf>
    <xf numFmtId="3" fontId="74" fillId="47" borderId="147" xfId="93" applyNumberFormat="1" applyFont="1" applyFill="1" applyBorder="1" applyAlignment="1" applyProtection="1">
      <alignment horizontal="center" vertical="center" wrapText="1"/>
      <protection locked="0"/>
    </xf>
    <xf numFmtId="3" fontId="74" fillId="47" borderId="152" xfId="93" applyNumberFormat="1" applyFont="1" applyFill="1" applyBorder="1" applyAlignment="1" applyProtection="1">
      <alignment horizontal="center" vertical="center" wrapText="1"/>
      <protection locked="0"/>
    </xf>
    <xf numFmtId="0" fontId="74" fillId="47" borderId="0" xfId="0" applyFont="1" applyFill="1" applyBorder="1" applyAlignment="1" applyProtection="1">
      <alignment vertical="center" wrapText="1"/>
      <protection locked="0"/>
    </xf>
    <xf numFmtId="3" fontId="74" fillId="47" borderId="145" xfId="93" applyNumberFormat="1" applyFont="1" applyFill="1" applyBorder="1" applyAlignment="1" applyProtection="1">
      <alignment horizontal="center" vertical="center" wrapText="1"/>
      <protection locked="0"/>
    </xf>
    <xf numFmtId="0" fontId="74" fillId="47" borderId="150" xfId="0" applyFont="1" applyFill="1" applyBorder="1" applyAlignment="1" applyProtection="1">
      <alignment vertical="center" wrapText="1"/>
      <protection locked="0"/>
    </xf>
    <xf numFmtId="0" fontId="74" fillId="47" borderId="148" xfId="0" applyFont="1" applyFill="1" applyBorder="1" applyAlignment="1" applyProtection="1">
      <alignment vertical="center" wrapText="1"/>
      <protection locked="0"/>
    </xf>
    <xf numFmtId="0" fontId="74" fillId="45" borderId="154" xfId="187" applyFont="1" applyFill="1" applyBorder="1" applyAlignment="1" applyProtection="1">
      <alignment horizontal="left" vertical="top" wrapText="1"/>
    </xf>
    <xf numFmtId="0" fontId="74" fillId="45" borderId="155" xfId="187" applyFont="1" applyFill="1" applyBorder="1" applyAlignment="1" applyProtection="1">
      <alignment horizontal="left" vertical="top" wrapText="1"/>
    </xf>
    <xf numFmtId="0" fontId="95" fillId="45" borderId="155" xfId="662" applyFont="1" applyFill="1" applyBorder="1" applyAlignment="1" applyProtection="1">
      <alignment horizontal="center" vertical="center" wrapText="1"/>
    </xf>
    <xf numFmtId="0" fontId="74" fillId="45" borderId="155" xfId="662" applyFont="1" applyFill="1" applyBorder="1" applyAlignment="1" applyProtection="1">
      <alignment horizontal="center" vertical="center" wrapText="1"/>
    </xf>
    <xf numFmtId="0" fontId="95" fillId="45" borderId="156" xfId="662" applyFont="1" applyFill="1" applyBorder="1" applyAlignment="1" applyProtection="1">
      <alignment horizontal="center" vertical="center" wrapText="1"/>
    </xf>
    <xf numFmtId="0" fontId="74" fillId="35" borderId="157" xfId="662" applyFont="1" applyFill="1" applyBorder="1" applyAlignment="1" applyProtection="1">
      <alignment horizontal="center" vertical="center" wrapText="1"/>
    </xf>
    <xf numFmtId="0" fontId="89" fillId="0" borderId="157" xfId="662" applyFont="1" applyFill="1" applyBorder="1" applyAlignment="1" applyProtection="1">
      <alignment horizontal="left" vertical="center" wrapText="1"/>
    </xf>
    <xf numFmtId="0" fontId="89" fillId="0" borderId="39" xfId="662" applyFont="1" applyFill="1" applyBorder="1" applyAlignment="1" applyProtection="1">
      <alignment horizontal="left" vertical="center" wrapText="1"/>
    </xf>
    <xf numFmtId="0" fontId="74" fillId="45" borderId="156" xfId="662" applyFont="1" applyFill="1" applyBorder="1" applyAlignment="1" applyProtection="1">
      <alignment horizontal="center" vertical="center" wrapText="1"/>
    </xf>
    <xf numFmtId="0" fontId="89" fillId="0" borderId="156" xfId="662" applyFont="1" applyFill="1" applyBorder="1" applyAlignment="1" applyProtection="1">
      <alignment vertical="center" wrapText="1"/>
    </xf>
    <xf numFmtId="0" fontId="74" fillId="37" borderId="134" xfId="0" applyNumberFormat="1" applyFont="1" applyFill="1" applyBorder="1" applyAlignment="1" applyProtection="1">
      <alignment horizontal="center" vertical="center" wrapText="1"/>
      <protection locked="0"/>
    </xf>
    <xf numFmtId="3" fontId="89" fillId="0" borderId="10" xfId="662" applyNumberFormat="1" applyFont="1" applyFill="1" applyBorder="1" applyProtection="1"/>
    <xf numFmtId="0" fontId="89" fillId="0" borderId="10" xfId="662" applyFont="1" applyFill="1" applyBorder="1" applyAlignment="1" applyProtection="1">
      <alignment wrapText="1"/>
    </xf>
    <xf numFmtId="0" fontId="89" fillId="30" borderId="0" xfId="662" applyFont="1" applyFill="1" applyBorder="1" applyAlignment="1" applyProtection="1">
      <alignment wrapText="1"/>
    </xf>
    <xf numFmtId="0" fontId="89" fillId="0" borderId="0" xfId="662" applyFont="1" applyFill="1" applyBorder="1" applyAlignment="1" applyProtection="1">
      <alignment wrapText="1"/>
      <protection locked="0"/>
    </xf>
    <xf numFmtId="0" fontId="89" fillId="0" borderId="149" xfId="662" applyFont="1" applyFill="1" applyBorder="1" applyAlignment="1" applyProtection="1">
      <alignment wrapText="1"/>
    </xf>
    <xf numFmtId="0" fontId="74" fillId="35" borderId="149" xfId="662" applyFont="1" applyFill="1" applyBorder="1" applyAlignment="1" applyProtection="1">
      <alignment horizontal="center" vertical="center" wrapText="1"/>
    </xf>
    <xf numFmtId="0" fontId="74" fillId="35" borderId="154" xfId="662" applyFont="1" applyFill="1" applyBorder="1" applyAlignment="1" applyProtection="1">
      <alignment horizontal="center" vertical="center" wrapText="1"/>
    </xf>
    <xf numFmtId="0" fontId="89" fillId="35" borderId="10" xfId="662" applyFont="1" applyFill="1" applyBorder="1" applyAlignment="1" applyProtection="1">
      <alignment vertical="center" wrapText="1"/>
    </xf>
    <xf numFmtId="187" fontId="74" fillId="37" borderId="39" xfId="0" applyNumberFormat="1" applyFont="1" applyFill="1" applyBorder="1" applyAlignment="1" applyProtection="1">
      <alignment horizontal="center" vertical="center" wrapText="1"/>
      <protection locked="0"/>
    </xf>
    <xf numFmtId="0" fontId="74" fillId="30" borderId="54" xfId="187" applyFont="1" applyFill="1" applyBorder="1" applyAlignment="1" applyProtection="1"/>
    <xf numFmtId="0" fontId="74" fillId="35" borderId="129" xfId="662" applyFont="1" applyFill="1" applyBorder="1" applyAlignment="1" applyProtection="1">
      <alignment horizontal="left" vertical="top" wrapText="1"/>
      <protection locked="0"/>
    </xf>
    <xf numFmtId="0" fontId="74" fillId="35" borderId="129" xfId="187" applyFont="1" applyFill="1" applyBorder="1" applyAlignment="1" applyProtection="1">
      <alignment horizontal="left" vertical="center" wrapText="1"/>
      <protection locked="0"/>
    </xf>
    <xf numFmtId="0" fontId="89" fillId="0" borderId="156" xfId="662" applyFont="1" applyFill="1" applyBorder="1" applyAlignment="1" applyProtection="1">
      <alignment horizontal="left" vertical="center" wrapText="1"/>
    </xf>
    <xf numFmtId="0" fontId="74" fillId="35" borderId="11" xfId="662" applyFont="1" applyFill="1" applyBorder="1" applyAlignment="1" applyProtection="1">
      <alignment horizontal="left" vertical="center" wrapText="1"/>
    </xf>
    <xf numFmtId="0" fontId="74" fillId="35" borderId="0" xfId="662" applyFont="1" applyFill="1" applyBorder="1" applyAlignment="1" applyProtection="1">
      <alignment horizontal="center" vertical="center"/>
    </xf>
    <xf numFmtId="3" fontId="74" fillId="35" borderId="129" xfId="187" applyNumberFormat="1" applyFont="1" applyFill="1" applyBorder="1" applyAlignment="1" applyProtection="1">
      <alignment horizontal="center" vertical="center" wrapText="1"/>
      <protection locked="0"/>
    </xf>
    <xf numFmtId="0" fontId="74" fillId="35" borderId="0" xfId="662" applyFont="1" applyFill="1" applyBorder="1" applyAlignment="1" applyProtection="1">
      <alignment horizontal="center" vertical="center" wrapText="1"/>
    </xf>
    <xf numFmtId="0" fontId="74" fillId="35" borderId="134" xfId="662" applyFont="1" applyFill="1" applyBorder="1" applyAlignment="1" applyProtection="1">
      <alignment horizontal="center" vertical="center" wrapText="1"/>
    </xf>
    <xf numFmtId="0" fontId="89" fillId="0" borderId="134" xfId="662" applyFont="1" applyFill="1" applyBorder="1" applyAlignment="1" applyProtection="1">
      <alignment horizontal="left" vertical="center" wrapText="1"/>
    </xf>
    <xf numFmtId="0" fontId="74" fillId="35" borderId="151" xfId="662" applyFont="1" applyFill="1" applyBorder="1" applyAlignment="1" applyProtection="1">
      <alignment horizontal="center" vertical="center" wrapText="1"/>
    </xf>
    <xf numFmtId="0" fontId="74" fillId="35" borderId="130" xfId="187" applyFont="1" applyFill="1" applyBorder="1" applyAlignment="1" applyProtection="1">
      <alignment horizontal="left" vertical="top" wrapText="1"/>
      <protection locked="0"/>
    </xf>
    <xf numFmtId="0" fontId="74" fillId="35" borderId="131" xfId="187" applyFont="1" applyFill="1" applyBorder="1" applyAlignment="1" applyProtection="1">
      <alignment horizontal="center" vertical="center" wrapText="1"/>
      <protection locked="0"/>
    </xf>
    <xf numFmtId="0" fontId="74" fillId="35" borderId="10" xfId="187" applyFont="1" applyFill="1" applyBorder="1" applyAlignment="1" applyProtection="1">
      <alignment horizontal="left" vertical="top" wrapText="1"/>
      <protection locked="0"/>
    </xf>
    <xf numFmtId="0" fontId="74" fillId="35" borderId="10" xfId="662" applyFont="1" applyFill="1" applyBorder="1" applyAlignment="1" applyProtection="1">
      <alignment horizontal="left" vertical="center" wrapText="1"/>
    </xf>
    <xf numFmtId="0" fontId="74" fillId="45" borderId="152" xfId="187" applyFont="1" applyFill="1" applyBorder="1" applyAlignment="1" applyProtection="1">
      <alignment horizontal="left" vertical="top" wrapText="1"/>
    </xf>
    <xf numFmtId="0" fontId="74" fillId="45" borderId="57" xfId="187" applyFont="1" applyFill="1" applyBorder="1" applyAlignment="1" applyProtection="1">
      <alignment horizontal="left" vertical="top" wrapText="1"/>
    </xf>
    <xf numFmtId="0" fontId="74" fillId="35" borderId="161" xfId="662" applyFont="1" applyFill="1" applyBorder="1" applyAlignment="1" applyProtection="1">
      <alignment horizontal="left" vertical="center" wrapText="1"/>
    </xf>
    <xf numFmtId="0" fontId="74" fillId="35" borderId="161" xfId="187" applyFont="1" applyFill="1" applyBorder="1" applyAlignment="1" applyProtection="1">
      <alignment horizontal="left" vertical="top" wrapText="1"/>
      <protection locked="0"/>
    </xf>
    <xf numFmtId="0" fontId="74" fillId="35" borderId="161" xfId="662" applyFont="1" applyFill="1" applyBorder="1" applyAlignment="1" applyProtection="1">
      <alignment horizontal="left" vertical="top" wrapText="1"/>
      <protection locked="0"/>
    </xf>
    <xf numFmtId="0" fontId="74" fillId="35" borderId="161" xfId="662" applyFont="1" applyFill="1" applyBorder="1" applyAlignment="1" applyProtection="1">
      <alignment horizontal="left" vertical="center" wrapText="1"/>
      <protection locked="0"/>
    </xf>
    <xf numFmtId="0" fontId="74" fillId="35" borderId="161" xfId="187" applyFont="1" applyFill="1" applyBorder="1" applyAlignment="1" applyProtection="1">
      <alignment horizontal="left" vertical="center" wrapText="1"/>
      <protection locked="0"/>
    </xf>
    <xf numFmtId="0" fontId="74" fillId="35" borderId="161" xfId="187" applyFont="1" applyFill="1" applyBorder="1" applyAlignment="1" applyProtection="1">
      <alignment vertical="center" wrapText="1"/>
      <protection locked="0"/>
    </xf>
    <xf numFmtId="0" fontId="74" fillId="35" borderId="162" xfId="662" applyFont="1" applyFill="1" applyBorder="1" applyAlignment="1" applyProtection="1">
      <alignment vertical="center" wrapText="1"/>
      <protection locked="0"/>
    </xf>
    <xf numFmtId="0" fontId="74" fillId="35" borderId="10" xfId="662" applyFont="1" applyFill="1" applyBorder="1" applyAlignment="1" applyProtection="1">
      <alignment horizontal="left" vertical="center" wrapText="1"/>
      <protection locked="0"/>
    </xf>
    <xf numFmtId="0" fontId="89" fillId="0" borderId="54" xfId="662" applyFont="1" applyFill="1" applyBorder="1" applyProtection="1"/>
    <xf numFmtId="3" fontId="89" fillId="0" borderId="54" xfId="662" applyNumberFormat="1" applyFont="1" applyFill="1" applyBorder="1" applyProtection="1"/>
    <xf numFmtId="0" fontId="89" fillId="0" borderId="54" xfId="662" applyFont="1" applyFill="1" applyBorder="1" applyAlignment="1" applyProtection="1">
      <alignment wrapText="1"/>
    </xf>
    <xf numFmtId="0" fontId="89" fillId="0" borderId="54" xfId="662" applyFont="1" applyFill="1" applyBorder="1" applyAlignment="1" applyProtection="1">
      <alignment vertical="center" wrapText="1"/>
    </xf>
    <xf numFmtId="0" fontId="89" fillId="0" borderId="0" xfId="662" applyFont="1" applyFill="1" applyBorder="1" applyAlignment="1" applyProtection="1">
      <alignment vertical="center" wrapText="1"/>
    </xf>
    <xf numFmtId="3" fontId="89" fillId="0" borderId="10" xfId="662" applyNumberFormat="1" applyFont="1" applyFill="1" applyBorder="1" applyAlignment="1" applyProtection="1">
      <alignment vertical="center" wrapText="1"/>
    </xf>
    <xf numFmtId="3" fontId="89" fillId="0" borderId="156" xfId="662" applyNumberFormat="1" applyFont="1" applyFill="1" applyBorder="1" applyAlignment="1" applyProtection="1">
      <alignment vertical="center" wrapText="1"/>
    </xf>
    <xf numFmtId="0" fontId="74" fillId="35" borderId="0" xfId="187" applyFont="1" applyFill="1" applyBorder="1" applyAlignment="1" applyProtection="1">
      <alignment horizontal="left" vertical="center" wrapText="1"/>
      <protection locked="0"/>
    </xf>
    <xf numFmtId="0" fontId="74" fillId="35" borderId="130" xfId="187" applyFont="1" applyFill="1" applyBorder="1" applyAlignment="1" applyProtection="1">
      <alignment horizontal="left" vertical="center" wrapText="1"/>
      <protection locked="0"/>
    </xf>
    <xf numFmtId="0" fontId="74" fillId="35" borderId="10" xfId="187" applyFont="1" applyFill="1" applyBorder="1" applyAlignment="1" applyProtection="1">
      <alignment horizontal="left" vertical="center" wrapText="1"/>
      <protection locked="0"/>
    </xf>
    <xf numFmtId="0" fontId="74" fillId="35" borderId="10" xfId="661" applyFont="1" applyFill="1" applyBorder="1" applyAlignment="1" applyProtection="1">
      <alignment horizontal="left" vertical="center" wrapText="1"/>
      <protection locked="0"/>
    </xf>
    <xf numFmtId="0" fontId="74" fillId="0" borderId="10" xfId="662" applyFont="1" applyFill="1" applyBorder="1" applyAlignment="1" applyProtection="1">
      <alignment horizontal="center" vertical="center"/>
    </xf>
    <xf numFmtId="0" fontId="74" fillId="35" borderId="132" xfId="661" applyFont="1" applyFill="1" applyBorder="1" applyAlignment="1" applyProtection="1">
      <alignment horizontal="left" vertical="center" wrapText="1"/>
      <protection locked="0"/>
    </xf>
    <xf numFmtId="0" fontId="74" fillId="35" borderId="11" xfId="661" applyFont="1" applyFill="1" applyBorder="1" applyAlignment="1" applyProtection="1">
      <alignment horizontal="left" vertical="center" wrapText="1"/>
      <protection locked="0"/>
    </xf>
    <xf numFmtId="168" fontId="74" fillId="35" borderId="148" xfId="173" applyNumberFormat="1" applyFont="1" applyFill="1" applyBorder="1" applyAlignment="1">
      <alignment horizontal="center" wrapText="1"/>
    </xf>
    <xf numFmtId="168" fontId="74" fillId="35" borderId="160" xfId="173" applyNumberFormat="1" applyFont="1" applyFill="1" applyBorder="1" applyAlignment="1">
      <alignment horizontal="center" wrapText="1"/>
    </xf>
    <xf numFmtId="168" fontId="74" fillId="35" borderId="40" xfId="173" applyNumberFormat="1" applyFont="1" applyFill="1" applyBorder="1" applyAlignment="1">
      <alignment horizontal="center" wrapText="1"/>
    </xf>
    <xf numFmtId="168" fontId="74" fillId="35" borderId="13" xfId="173" applyNumberFormat="1" applyFont="1" applyFill="1" applyBorder="1" applyAlignment="1">
      <alignment horizontal="center" wrapText="1"/>
    </xf>
    <xf numFmtId="168" fontId="74" fillId="35" borderId="10" xfId="173" applyNumberFormat="1" applyFont="1" applyFill="1" applyBorder="1" applyAlignment="1">
      <alignment horizontal="center" wrapText="1"/>
    </xf>
    <xf numFmtId="168" fontId="74" fillId="35" borderId="42" xfId="173" applyNumberFormat="1" applyFont="1" applyFill="1" applyBorder="1" applyAlignment="1">
      <alignment horizontal="center" wrapText="1"/>
    </xf>
    <xf numFmtId="171" fontId="74" fillId="35" borderId="13" xfId="173" applyNumberFormat="1" applyFont="1" applyFill="1" applyBorder="1" applyAlignment="1">
      <alignment horizontal="center" wrapText="1"/>
    </xf>
    <xf numFmtId="171" fontId="74" fillId="35" borderId="10" xfId="173" applyNumberFormat="1" applyFont="1" applyFill="1" applyBorder="1" applyAlignment="1">
      <alignment horizontal="center" wrapText="1"/>
    </xf>
    <xf numFmtId="171" fontId="74" fillId="35" borderId="42" xfId="173" applyNumberFormat="1" applyFont="1" applyFill="1" applyBorder="1" applyAlignment="1">
      <alignment horizontal="center" wrapText="1"/>
    </xf>
    <xf numFmtId="168" fontId="74" fillId="35" borderId="148" xfId="60" applyNumberFormat="1" applyFont="1" applyFill="1" applyBorder="1" applyAlignment="1">
      <alignment horizontal="center" wrapText="1"/>
    </xf>
    <xf numFmtId="3" fontId="74" fillId="47" borderId="0" xfId="93" applyNumberFormat="1" applyFont="1" applyFill="1" applyBorder="1" applyAlignment="1" applyProtection="1">
      <alignment horizontal="center" vertical="center" wrapText="1"/>
      <protection locked="0"/>
    </xf>
    <xf numFmtId="0" fontId="74" fillId="47" borderId="135" xfId="0" applyFont="1" applyFill="1" applyBorder="1" applyAlignment="1" applyProtection="1">
      <alignment horizontal="center" vertical="center" wrapText="1"/>
      <protection locked="0"/>
    </xf>
    <xf numFmtId="0" fontId="6" fillId="0" borderId="0" xfId="0" applyFont="1"/>
    <xf numFmtId="44" fontId="74" fillId="35" borderId="18" xfId="665" applyFont="1" applyFill="1" applyBorder="1" applyProtection="1">
      <protection locked="0"/>
    </xf>
    <xf numFmtId="0" fontId="6" fillId="0" borderId="0" xfId="0" applyFont="1" applyAlignment="1">
      <alignment wrapText="1"/>
    </xf>
    <xf numFmtId="0" fontId="74" fillId="0" borderId="0" xfId="93" applyFont="1" applyFill="1" applyBorder="1" applyAlignment="1">
      <alignment horizontal="center" vertical="top" wrapText="1"/>
    </xf>
    <xf numFmtId="9" fontId="74" fillId="0" borderId="0" xfId="64" applyFont="1" applyFill="1" applyBorder="1" applyAlignment="1">
      <alignment horizontal="center" vertical="center" wrapText="1"/>
    </xf>
    <xf numFmtId="0" fontId="74" fillId="0" borderId="0" xfId="0" applyFont="1" applyAlignment="1"/>
    <xf numFmtId="1" fontId="74" fillId="0" borderId="10" xfId="93" applyNumberFormat="1" applyFont="1" applyFill="1" applyBorder="1" applyAlignment="1">
      <alignment horizontal="center" vertical="center" wrapText="1"/>
    </xf>
    <xf numFmtId="0" fontId="76" fillId="33" borderId="10" xfId="93" applyFont="1" applyFill="1" applyBorder="1" applyAlignment="1">
      <alignment horizontal="center" vertical="top" wrapText="1"/>
    </xf>
    <xf numFmtId="0" fontId="74" fillId="0" borderId="10" xfId="93" applyFont="1" applyFill="1" applyBorder="1" applyAlignment="1">
      <alignment horizontal="center" vertical="center" wrapText="1"/>
    </xf>
    <xf numFmtId="3" fontId="74" fillId="0" borderId="10" xfId="93" applyNumberFormat="1" applyFont="1" applyFill="1" applyBorder="1" applyAlignment="1">
      <alignment horizontal="center" vertical="center" wrapText="1"/>
    </xf>
    <xf numFmtId="3" fontId="74" fillId="37" borderId="10" xfId="0" applyNumberFormat="1" applyFont="1" applyFill="1" applyBorder="1" applyProtection="1">
      <protection locked="0"/>
    </xf>
    <xf numFmtId="0" fontId="89" fillId="0" borderId="145" xfId="662" applyFont="1" applyFill="1" applyBorder="1" applyAlignment="1" applyProtection="1">
      <alignment vertical="center" wrapText="1"/>
    </xf>
    <xf numFmtId="0" fontId="74" fillId="35" borderId="10" xfId="0" applyFont="1" applyFill="1" applyBorder="1" applyAlignment="1" applyProtection="1">
      <alignment horizontal="center"/>
      <protection locked="0"/>
    </xf>
    <xf numFmtId="0" fontId="74" fillId="30" borderId="17" xfId="0" applyFont="1" applyFill="1" applyBorder="1" applyAlignment="1" applyProtection="1"/>
    <xf numFmtId="0" fontId="74" fillId="30" borderId="21" xfId="0" applyFont="1" applyFill="1" applyBorder="1" applyAlignment="1" applyProtection="1">
      <alignment wrapText="1"/>
    </xf>
    <xf numFmtId="0" fontId="74" fillId="0" borderId="0" xfId="0" applyFont="1" applyFill="1" applyBorder="1" applyAlignment="1">
      <alignment horizontal="center" wrapText="1"/>
    </xf>
    <xf numFmtId="0" fontId="90" fillId="33" borderId="163" xfId="46" applyFont="1" applyFill="1" applyBorder="1" applyProtection="1"/>
    <xf numFmtId="0" fontId="89" fillId="33" borderId="56" xfId="46" applyFont="1" applyFill="1" applyBorder="1" applyProtection="1"/>
    <xf numFmtId="0" fontId="89" fillId="33" borderId="10" xfId="46" applyFont="1" applyFill="1" applyBorder="1" applyAlignment="1" applyProtection="1">
      <alignment horizontal="center"/>
    </xf>
    <xf numFmtId="0" fontId="74" fillId="0" borderId="145" xfId="46" applyFont="1" applyFill="1" applyBorder="1" applyProtection="1"/>
    <xf numFmtId="2" fontId="89" fillId="0" borderId="145" xfId="46" applyNumberFormat="1" applyFont="1" applyBorder="1" applyAlignment="1" applyProtection="1">
      <alignment horizontal="center"/>
    </xf>
    <xf numFmtId="2" fontId="89" fillId="0" borderId="146" xfId="46" applyNumberFormat="1" applyFont="1" applyBorder="1" applyAlignment="1" applyProtection="1">
      <alignment horizontal="center"/>
    </xf>
    <xf numFmtId="0" fontId="89" fillId="0" borderId="145" xfId="46" applyFont="1" applyBorder="1" applyAlignment="1" applyProtection="1">
      <alignment horizontal="center"/>
    </xf>
    <xf numFmtId="0" fontId="89" fillId="0" borderId="0" xfId="46" applyFont="1" applyBorder="1" applyAlignment="1" applyProtection="1">
      <alignment horizontal="center"/>
    </xf>
    <xf numFmtId="2" fontId="89" fillId="0" borderId="0" xfId="46" applyNumberFormat="1" applyFont="1" applyBorder="1" applyAlignment="1" applyProtection="1">
      <alignment horizontal="center"/>
    </xf>
    <xf numFmtId="0" fontId="74" fillId="0" borderId="56" xfId="46" applyFont="1" applyFill="1" applyBorder="1" applyProtection="1"/>
    <xf numFmtId="0" fontId="89" fillId="0" borderId="56" xfId="46" applyFont="1" applyBorder="1" applyAlignment="1" applyProtection="1">
      <alignment horizontal="center"/>
    </xf>
    <xf numFmtId="2" fontId="89" fillId="0" borderId="58" xfId="46" applyNumberFormat="1" applyFont="1" applyBorder="1" applyAlignment="1" applyProtection="1">
      <alignment horizontal="center"/>
    </xf>
    <xf numFmtId="0" fontId="89" fillId="0" borderId="57" xfId="46" applyFont="1" applyBorder="1" applyAlignment="1" applyProtection="1">
      <alignment horizontal="center"/>
    </xf>
    <xf numFmtId="0" fontId="89" fillId="0" borderId="0" xfId="46" applyFont="1" applyProtection="1"/>
    <xf numFmtId="0" fontId="74" fillId="0" borderId="0" xfId="0" applyFont="1" applyProtection="1"/>
    <xf numFmtId="0" fontId="95" fillId="0" borderId="0" xfId="0" applyFont="1" applyAlignment="1" applyProtection="1">
      <alignment horizontal="left"/>
    </xf>
    <xf numFmtId="0" fontId="74" fillId="0" borderId="0" xfId="0" applyFont="1" applyAlignment="1" applyProtection="1">
      <alignment horizontal="center"/>
    </xf>
    <xf numFmtId="0" fontId="74" fillId="33" borderId="10" xfId="0" applyFont="1" applyFill="1" applyBorder="1" applyAlignment="1" applyProtection="1">
      <alignment horizontal="center"/>
    </xf>
    <xf numFmtId="0" fontId="74" fillId="37" borderId="0" xfId="0" applyFont="1" applyFill="1" applyProtection="1"/>
    <xf numFmtId="0" fontId="117" fillId="0" borderId="0" xfId="0" applyFont="1" applyProtection="1"/>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protection locked="0"/>
    </xf>
    <xf numFmtId="0" fontId="118" fillId="0" borderId="0" xfId="0" applyFont="1" applyFill="1" applyBorder="1" applyAlignment="1" applyProtection="1">
      <alignment horizontal="center"/>
    </xf>
    <xf numFmtId="0" fontId="74" fillId="0" borderId="0" xfId="0" applyFont="1" applyBorder="1" applyProtection="1"/>
    <xf numFmtId="0" fontId="74" fillId="33" borderId="10" xfId="0" applyFont="1" applyFill="1" applyBorder="1" applyAlignment="1" applyProtection="1">
      <alignment horizontal="center" wrapText="1"/>
    </xf>
    <xf numFmtId="0" fontId="74" fillId="33" borderId="10" xfId="0" applyFont="1" applyFill="1" applyBorder="1" applyAlignment="1" applyProtection="1">
      <alignment horizontal="center" vertical="center" wrapText="1"/>
    </xf>
    <xf numFmtId="0" fontId="76" fillId="35" borderId="146" xfId="0" applyFont="1" applyFill="1" applyBorder="1" applyProtection="1">
      <protection locked="0"/>
    </xf>
    <xf numFmtId="0" fontId="74" fillId="37" borderId="10" xfId="0" applyFont="1" applyFill="1" applyBorder="1" applyAlignment="1" applyProtection="1">
      <alignment horizontal="left"/>
      <protection locked="0"/>
    </xf>
    <xf numFmtId="0" fontId="74" fillId="0" borderId="10" xfId="0" applyFont="1" applyBorder="1" applyAlignment="1" applyProtection="1">
      <alignment horizontal="center"/>
    </xf>
    <xf numFmtId="0" fontId="74" fillId="0" borderId="10" xfId="0" applyFont="1" applyBorder="1" applyAlignment="1" applyProtection="1">
      <alignment horizontal="center" vertical="center" wrapText="1"/>
    </xf>
    <xf numFmtId="2" fontId="74" fillId="53" borderId="10" xfId="0" applyNumberFormat="1" applyFont="1" applyFill="1" applyBorder="1" applyAlignment="1" applyProtection="1">
      <alignment horizontal="center" vertical="center" wrapText="1"/>
    </xf>
    <xf numFmtId="0" fontId="74" fillId="53" borderId="10" xfId="0" applyFont="1" applyFill="1" applyBorder="1" applyAlignment="1" applyProtection="1">
      <alignment horizontal="center" vertical="center"/>
    </xf>
    <xf numFmtId="1" fontId="74" fillId="0" borderId="10" xfId="0" applyNumberFormat="1" applyFont="1" applyBorder="1" applyAlignment="1" applyProtection="1">
      <alignment horizontal="center"/>
    </xf>
    <xf numFmtId="0" fontId="76" fillId="35" borderId="0" xfId="0" applyFont="1" applyFill="1" applyBorder="1" applyProtection="1">
      <protection locked="0"/>
    </xf>
    <xf numFmtId="0" fontId="74" fillId="35" borderId="0" xfId="0" applyFont="1" applyFill="1" applyBorder="1" applyProtection="1">
      <protection locked="0"/>
    </xf>
    <xf numFmtId="0" fontId="74" fillId="35" borderId="146" xfId="0" applyFont="1" applyFill="1" applyBorder="1" applyProtection="1">
      <protection locked="0"/>
    </xf>
    <xf numFmtId="0" fontId="74" fillId="35" borderId="146" xfId="0" applyFont="1" applyFill="1" applyBorder="1" applyAlignment="1" applyProtection="1">
      <alignment horizontal="center"/>
      <protection locked="0"/>
    </xf>
    <xf numFmtId="0" fontId="74" fillId="37" borderId="0" xfId="0" applyFont="1" applyFill="1" applyAlignment="1" applyProtection="1">
      <alignment horizontal="left"/>
      <protection locked="0"/>
    </xf>
    <xf numFmtId="0" fontId="74" fillId="35" borderId="0" xfId="0" applyFont="1" applyFill="1"/>
    <xf numFmtId="0" fontId="74" fillId="0" borderId="0" xfId="0" applyFont="1" applyAlignment="1" applyProtection="1">
      <alignment horizontal="left"/>
    </xf>
    <xf numFmtId="0" fontId="74" fillId="35" borderId="0" xfId="0" applyFont="1" applyFill="1" applyProtection="1"/>
    <xf numFmtId="0" fontId="74" fillId="0" borderId="0" xfId="0" applyFont="1" applyFill="1" applyProtection="1"/>
    <xf numFmtId="0" fontId="74" fillId="24" borderId="0" xfId="0" applyFont="1" applyFill="1" applyProtection="1"/>
    <xf numFmtId="0" fontId="74" fillId="44" borderId="0" xfId="0" applyFont="1" applyFill="1" applyProtection="1"/>
    <xf numFmtId="0" fontId="93" fillId="35" borderId="0" xfId="0" applyFont="1" applyFill="1" applyProtection="1"/>
    <xf numFmtId="0" fontId="76" fillId="33" borderId="168" xfId="0" applyFont="1" applyFill="1" applyBorder="1" applyAlignment="1" applyProtection="1">
      <alignment horizontal="center" wrapText="1"/>
    </xf>
    <xf numFmtId="0" fontId="74" fillId="37" borderId="10" xfId="0" applyFont="1" applyFill="1" applyBorder="1" applyProtection="1">
      <protection locked="0"/>
    </xf>
    <xf numFmtId="167" fontId="74" fillId="37" borderId="10" xfId="0" applyNumberFormat="1" applyFont="1" applyFill="1" applyBorder="1" applyProtection="1">
      <protection locked="0"/>
    </xf>
    <xf numFmtId="167" fontId="74" fillId="0" borderId="10" xfId="0" applyNumberFormat="1" applyFont="1" applyFill="1" applyBorder="1" applyProtection="1"/>
    <xf numFmtId="167" fontId="74" fillId="0" borderId="10" xfId="0" applyNumberFormat="1" applyFont="1" applyFill="1" applyBorder="1" applyAlignment="1" applyProtection="1">
      <alignment horizontal="center"/>
    </xf>
    <xf numFmtId="0" fontId="74" fillId="55" borderId="0" xfId="0" applyFont="1" applyFill="1" applyProtection="1"/>
    <xf numFmtId="0" fontId="74" fillId="0" borderId="26" xfId="0" applyFont="1" applyBorder="1"/>
    <xf numFmtId="0" fontId="74" fillId="0" borderId="27" xfId="0" applyFont="1" applyFill="1" applyBorder="1" applyAlignment="1" applyProtection="1">
      <alignment horizontal="right"/>
    </xf>
    <xf numFmtId="0" fontId="74" fillId="0" borderId="28" xfId="0" applyFont="1" applyBorder="1" applyProtection="1"/>
    <xf numFmtId="0" fontId="74" fillId="0" borderId="27" xfId="0" applyFont="1" applyBorder="1" applyAlignment="1" applyProtection="1">
      <alignment horizontal="right"/>
    </xf>
    <xf numFmtId="0" fontId="74" fillId="0" borderId="27" xfId="0" applyFont="1" applyBorder="1"/>
    <xf numFmtId="0" fontId="74" fillId="0" borderId="28" xfId="0" applyFont="1" applyBorder="1"/>
    <xf numFmtId="0" fontId="74" fillId="35" borderId="0" xfId="0" applyFont="1" applyFill="1" applyBorder="1" applyAlignment="1" applyProtection="1">
      <alignment horizontal="center"/>
      <protection locked="0"/>
    </xf>
    <xf numFmtId="0" fontId="76" fillId="0" borderId="14" xfId="0" applyFont="1" applyBorder="1" applyAlignment="1" applyProtection="1">
      <alignment horizontal="center"/>
    </xf>
    <xf numFmtId="0" fontId="74" fillId="0" borderId="26" xfId="0" applyFont="1" applyBorder="1" applyProtection="1"/>
    <xf numFmtId="0" fontId="74" fillId="0" borderId="21" xfId="0" applyFont="1" applyBorder="1"/>
    <xf numFmtId="3" fontId="76" fillId="35" borderId="0" xfId="0" applyNumberFormat="1" applyFont="1" applyFill="1" applyBorder="1" applyAlignment="1">
      <alignment wrapText="1"/>
    </xf>
    <xf numFmtId="0" fontId="74" fillId="0" borderId="0" xfId="0" applyFont="1" applyAlignment="1" applyProtection="1">
      <alignment horizontal="right"/>
    </xf>
    <xf numFmtId="0" fontId="93" fillId="0" borderId="0" xfId="0" applyFont="1" applyAlignment="1" applyProtection="1">
      <alignment horizontal="right"/>
    </xf>
    <xf numFmtId="0" fontId="103" fillId="0" borderId="10" xfId="0" applyFont="1" applyBorder="1"/>
    <xf numFmtId="0" fontId="0" fillId="0" borderId="0" xfId="0" applyFont="1" applyFill="1" applyBorder="1" applyProtection="1"/>
    <xf numFmtId="0" fontId="6" fillId="0" borderId="0" xfId="0" applyFont="1" applyProtection="1"/>
    <xf numFmtId="0" fontId="0" fillId="0" borderId="0" xfId="0" applyFill="1" applyBorder="1" applyProtection="1"/>
    <xf numFmtId="0" fontId="10" fillId="0" borderId="0" xfId="0" applyFont="1" applyFill="1" applyBorder="1" applyProtection="1"/>
    <xf numFmtId="0" fontId="0" fillId="0" borderId="0" xfId="0" applyProtection="1"/>
    <xf numFmtId="0" fontId="6" fillId="0" borderId="0" xfId="0" applyFont="1" applyFill="1" applyBorder="1" applyProtection="1"/>
    <xf numFmtId="0" fontId="74" fillId="0" borderId="32" xfId="0" applyFont="1" applyBorder="1"/>
    <xf numFmtId="1" fontId="69" fillId="27" borderId="0" xfId="59" applyNumberFormat="1" applyFont="1" applyFill="1" applyBorder="1" applyAlignment="1" applyProtection="1">
      <alignment horizontal="center"/>
    </xf>
    <xf numFmtId="0" fontId="74" fillId="0" borderId="14" xfId="61" applyFont="1" applyBorder="1"/>
    <xf numFmtId="0" fontId="74" fillId="0" borderId="26" xfId="61" applyFont="1" applyBorder="1"/>
    <xf numFmtId="0" fontId="74" fillId="0" borderId="19" xfId="61" applyFont="1" applyBorder="1"/>
    <xf numFmtId="0" fontId="74" fillId="0" borderId="27" xfId="61" applyFont="1" applyBorder="1"/>
    <xf numFmtId="0" fontId="74" fillId="0" borderId="28" xfId="61" applyFont="1" applyBorder="1"/>
    <xf numFmtId="0" fontId="87" fillId="0" borderId="27" xfId="61" applyFont="1" applyBorder="1"/>
    <xf numFmtId="0" fontId="74" fillId="0" borderId="41" xfId="61" applyFont="1" applyBorder="1"/>
    <xf numFmtId="0" fontId="76" fillId="0" borderId="41" xfId="61" applyFont="1" applyBorder="1"/>
    <xf numFmtId="44" fontId="74" fillId="0" borderId="10" xfId="665" applyFont="1" applyBorder="1"/>
    <xf numFmtId="174" fontId="74" fillId="35" borderId="23" xfId="665" applyNumberFormat="1" applyFont="1" applyFill="1" applyBorder="1" applyAlignment="1" applyProtection="1">
      <alignment horizontal="center" vertical="center"/>
    </xf>
    <xf numFmtId="0" fontId="118" fillId="59" borderId="16" xfId="0" applyFont="1" applyFill="1" applyBorder="1" applyAlignment="1">
      <alignment horizontal="center" vertical="center"/>
    </xf>
    <xf numFmtId="0" fontId="118" fillId="59" borderId="18" xfId="0" applyFont="1" applyFill="1" applyBorder="1" applyAlignment="1">
      <alignment horizontal="center" vertical="center"/>
    </xf>
    <xf numFmtId="174" fontId="74" fillId="35" borderId="20" xfId="665" applyNumberFormat="1" applyFont="1" applyFill="1" applyBorder="1" applyAlignment="1" applyProtection="1">
      <alignment horizontal="center" vertical="center"/>
    </xf>
    <xf numFmtId="0" fontId="74" fillId="0" borderId="10" xfId="0" applyFont="1" applyBorder="1" applyAlignment="1" applyProtection="1">
      <protection locked="0"/>
    </xf>
    <xf numFmtId="0" fontId="74" fillId="0" borderId="28" xfId="0" applyFont="1" applyBorder="1" applyAlignment="1" applyProtection="1">
      <protection locked="0"/>
    </xf>
    <xf numFmtId="0" fontId="86" fillId="0" borderId="0" xfId="61" applyFont="1" applyFill="1" applyBorder="1" applyAlignment="1">
      <alignment vertical="center"/>
    </xf>
    <xf numFmtId="0" fontId="74" fillId="0" borderId="38" xfId="61" applyFont="1" applyBorder="1"/>
    <xf numFmtId="0" fontId="74" fillId="0" borderId="78" xfId="0" applyFont="1" applyBorder="1" applyAlignment="1" applyProtection="1">
      <protection locked="0"/>
    </xf>
    <xf numFmtId="0" fontId="74" fillId="0" borderId="27" xfId="0" applyFont="1" applyFill="1" applyBorder="1" applyAlignment="1" applyProtection="1">
      <protection locked="0"/>
    </xf>
    <xf numFmtId="0" fontId="74" fillId="0" borderId="28" xfId="0" applyFont="1" applyFill="1" applyBorder="1" applyAlignment="1" applyProtection="1">
      <protection locked="0"/>
    </xf>
    <xf numFmtId="0" fontId="0" fillId="0" borderId="0" xfId="0" applyFont="1"/>
    <xf numFmtId="0" fontId="74" fillId="0" borderId="175" xfId="0" applyFont="1" applyBorder="1" applyAlignment="1" applyProtection="1">
      <protection locked="0"/>
    </xf>
    <xf numFmtId="0" fontId="74" fillId="46" borderId="32" xfId="61" applyFont="1" applyFill="1" applyBorder="1"/>
    <xf numFmtId="0" fontId="74" fillId="46" borderId="21" xfId="61" applyFont="1" applyFill="1" applyBorder="1"/>
    <xf numFmtId="0" fontId="74" fillId="0" borderId="0" xfId="61" applyFont="1" applyBorder="1" applyAlignment="1">
      <alignment horizontal="right"/>
    </xf>
    <xf numFmtId="0" fontId="118" fillId="46" borderId="29" xfId="0" applyFont="1" applyFill="1" applyBorder="1" applyAlignment="1" applyProtection="1">
      <protection locked="0"/>
    </xf>
    <xf numFmtId="0" fontId="118" fillId="46" borderId="20" xfId="0" applyFont="1" applyFill="1" applyBorder="1" applyAlignment="1" applyProtection="1">
      <protection locked="0"/>
    </xf>
    <xf numFmtId="0" fontId="74" fillId="0" borderId="14" xfId="0" applyFont="1" applyFill="1" applyBorder="1" applyAlignment="1" applyProtection="1">
      <protection locked="0"/>
    </xf>
    <xf numFmtId="0" fontId="74" fillId="0" borderId="19" xfId="0" applyFont="1" applyFill="1" applyBorder="1" applyAlignment="1" applyProtection="1">
      <protection locked="0"/>
    </xf>
    <xf numFmtId="220" fontId="74" fillId="0" borderId="10" xfId="665" applyNumberFormat="1" applyFont="1" applyBorder="1" applyAlignment="1">
      <alignment horizontal="center"/>
    </xf>
    <xf numFmtId="220" fontId="74" fillId="0" borderId="10" xfId="61" applyNumberFormat="1" applyFont="1" applyBorder="1" applyAlignment="1">
      <alignment horizontal="center"/>
    </xf>
    <xf numFmtId="9" fontId="74" fillId="0" borderId="42" xfId="51" applyFont="1" applyBorder="1" applyAlignment="1">
      <alignment horizontal="center"/>
    </xf>
    <xf numFmtId="220" fontId="74" fillId="0" borderId="10" xfId="665" applyNumberFormat="1" applyFont="1" applyBorder="1" applyAlignment="1" applyProtection="1">
      <alignment horizontal="center"/>
      <protection locked="0"/>
    </xf>
    <xf numFmtId="0" fontId="76" fillId="0" borderId="41" xfId="643" applyFont="1" applyFill="1" applyBorder="1" applyAlignment="1" applyProtection="1">
      <alignment horizontal="left" vertical="center" wrapText="1"/>
      <protection hidden="1"/>
    </xf>
    <xf numFmtId="44" fontId="74" fillId="0" borderId="10" xfId="665" applyFont="1" applyFill="1" applyBorder="1" applyAlignment="1" applyProtection="1"/>
    <xf numFmtId="0" fontId="118" fillId="46" borderId="26" xfId="0" applyFont="1" applyFill="1" applyBorder="1" applyAlignment="1" applyProtection="1">
      <protection locked="0"/>
    </xf>
    <xf numFmtId="0" fontId="118" fillId="46" borderId="19" xfId="0" applyFont="1" applyFill="1" applyBorder="1" applyAlignment="1" applyProtection="1">
      <protection locked="0"/>
    </xf>
    <xf numFmtId="0" fontId="74" fillId="0" borderId="26" xfId="0" applyNumberFormat="1" applyFont="1" applyBorder="1"/>
    <xf numFmtId="166" fontId="76" fillId="0" borderId="10" xfId="0" applyNumberFormat="1" applyFont="1" applyBorder="1" applyAlignment="1" applyProtection="1">
      <alignment horizontal="center" vertical="center"/>
    </xf>
    <xf numFmtId="1" fontId="76" fillId="30" borderId="10" xfId="0" applyNumberFormat="1" applyFont="1" applyFill="1" applyBorder="1" applyAlignment="1" applyProtection="1">
      <alignment horizontal="center" vertical="center"/>
    </xf>
    <xf numFmtId="0" fontId="74" fillId="0" borderId="179" xfId="0" applyFont="1" applyBorder="1" applyAlignment="1" applyProtection="1">
      <protection locked="0"/>
    </xf>
    <xf numFmtId="0" fontId="76" fillId="0" borderId="160" xfId="61" applyFont="1" applyBorder="1" applyAlignment="1">
      <alignment horizontal="center"/>
    </xf>
    <xf numFmtId="0" fontId="74" fillId="0" borderId="17" xfId="0" applyFont="1" applyFill="1" applyBorder="1" applyAlignment="1" applyProtection="1">
      <protection locked="0"/>
    </xf>
    <xf numFmtId="0" fontId="74" fillId="0" borderId="32" xfId="0" applyFont="1" applyFill="1" applyBorder="1" applyAlignment="1" applyProtection="1">
      <protection locked="0"/>
    </xf>
    <xf numFmtId="0" fontId="74" fillId="0" borderId="21" xfId="0" applyFont="1" applyFill="1" applyBorder="1" applyAlignment="1" applyProtection="1">
      <protection locked="0"/>
    </xf>
    <xf numFmtId="0" fontId="76" fillId="0" borderId="41" xfId="0" applyFont="1" applyFill="1" applyBorder="1" applyAlignment="1" applyProtection="1">
      <alignment horizontal="left" vertical="center" wrapText="1"/>
      <protection locked="0"/>
    </xf>
    <xf numFmtId="0" fontId="74" fillId="0" borderId="41" xfId="0" applyFont="1" applyBorder="1" applyAlignment="1">
      <alignment wrapText="1"/>
    </xf>
    <xf numFmtId="0" fontId="74" fillId="0" borderId="79" xfId="0" applyFont="1" applyBorder="1"/>
    <xf numFmtId="0" fontId="74" fillId="0" borderId="10" xfId="0" applyFont="1" applyFill="1" applyBorder="1" applyAlignment="1" applyProtection="1">
      <protection locked="0"/>
    </xf>
    <xf numFmtId="0" fontId="74" fillId="0" borderId="10" xfId="665" applyNumberFormat="1" applyFont="1" applyBorder="1"/>
    <xf numFmtId="0" fontId="74" fillId="0" borderId="0" xfId="0" applyNumberFormat="1" applyFont="1" applyBorder="1"/>
    <xf numFmtId="0" fontId="93" fillId="0" borderId="0" xfId="0" applyFont="1" applyBorder="1"/>
    <xf numFmtId="0" fontId="74" fillId="0" borderId="174" xfId="61" applyFont="1" applyBorder="1"/>
    <xf numFmtId="0" fontId="74" fillId="0" borderId="41" xfId="0" applyFont="1" applyFill="1" applyBorder="1" applyAlignment="1" applyProtection="1">
      <alignment wrapText="1"/>
      <protection locked="0"/>
    </xf>
    <xf numFmtId="0" fontId="74" fillId="0" borderId="145" xfId="0" applyFont="1" applyFill="1" applyBorder="1" applyAlignment="1" applyProtection="1">
      <protection locked="0"/>
    </xf>
    <xf numFmtId="0" fontId="74" fillId="0" borderId="41" xfId="61" applyFont="1" applyFill="1" applyBorder="1" applyAlignment="1">
      <alignment vertical="center" wrapText="1"/>
    </xf>
    <xf numFmtId="220" fontId="74" fillId="0" borderId="42" xfId="665" applyNumberFormat="1" applyFont="1" applyBorder="1" applyAlignment="1" applyProtection="1"/>
    <xf numFmtId="0" fontId="74" fillId="0" borderId="0" xfId="0" applyFont="1" applyBorder="1" applyAlignment="1">
      <alignment wrapText="1"/>
    </xf>
    <xf numFmtId="0" fontId="74" fillId="0" borderId="28" xfId="0" applyFont="1" applyBorder="1" applyAlignment="1">
      <alignment wrapText="1"/>
    </xf>
    <xf numFmtId="0" fontId="74" fillId="0" borderId="27" xfId="0" applyFont="1" applyBorder="1" applyAlignment="1"/>
    <xf numFmtId="166" fontId="76" fillId="35" borderId="39" xfId="61" applyNumberFormat="1" applyFont="1" applyFill="1" applyBorder="1" applyAlignment="1" applyProtection="1">
      <alignment horizontal="center"/>
    </xf>
    <xf numFmtId="0" fontId="74" fillId="0" borderId="0" xfId="0" applyFont="1" applyFill="1" applyBorder="1" applyAlignment="1"/>
    <xf numFmtId="0" fontId="74" fillId="0" borderId="145" xfId="0" applyFont="1" applyBorder="1"/>
    <xf numFmtId="221" fontId="74" fillId="0" borderId="0" xfId="0" applyNumberFormat="1" applyFont="1" applyFill="1" applyBorder="1" applyAlignment="1"/>
    <xf numFmtId="0" fontId="76" fillId="0" borderId="26" xfId="643" applyFont="1" applyFill="1" applyBorder="1" applyAlignment="1" applyProtection="1">
      <alignment horizontal="center" vertical="center" wrapText="1"/>
      <protection hidden="1"/>
    </xf>
    <xf numFmtId="0" fontId="76" fillId="0" borderId="0" xfId="643" applyFont="1" applyFill="1" applyBorder="1" applyAlignment="1" applyProtection="1">
      <alignment horizontal="center" vertical="center" wrapText="1"/>
      <protection hidden="1"/>
    </xf>
    <xf numFmtId="0" fontId="76" fillId="0" borderId="10" xfId="643" applyFont="1" applyFill="1" applyBorder="1" applyAlignment="1" applyProtection="1">
      <alignment horizontal="center" vertical="center" wrapText="1"/>
      <protection hidden="1"/>
    </xf>
    <xf numFmtId="174" fontId="74" fillId="0" borderId="0" xfId="643" applyNumberFormat="1" applyFont="1" applyFill="1" applyBorder="1" applyAlignment="1" applyProtection="1">
      <alignment horizontal="center" vertical="center" wrapText="1"/>
      <protection hidden="1"/>
    </xf>
    <xf numFmtId="0" fontId="76" fillId="0" borderId="28" xfId="643" applyFont="1" applyFill="1" applyBorder="1" applyAlignment="1" applyProtection="1">
      <alignment horizontal="center" vertical="center" wrapText="1"/>
      <protection hidden="1"/>
    </xf>
    <xf numFmtId="174" fontId="74" fillId="0" borderId="10" xfId="643" applyNumberFormat="1" applyFont="1" applyFill="1" applyBorder="1" applyAlignment="1" applyProtection="1">
      <alignment horizontal="center" vertical="center" wrapText="1"/>
      <protection hidden="1"/>
    </xf>
    <xf numFmtId="174" fontId="74" fillId="0" borderId="28" xfId="643" applyNumberFormat="1" applyFont="1" applyFill="1" applyBorder="1" applyAlignment="1" applyProtection="1">
      <alignment horizontal="center" vertical="center" wrapText="1"/>
      <protection hidden="1"/>
    </xf>
    <xf numFmtId="174" fontId="74" fillId="0" borderId="17" xfId="643" applyNumberFormat="1" applyFont="1" applyFill="1" applyBorder="1" applyAlignment="1" applyProtection="1">
      <alignment horizontal="center" vertical="center" wrapText="1"/>
      <protection hidden="1"/>
    </xf>
    <xf numFmtId="174" fontId="74" fillId="0" borderId="32" xfId="643" applyNumberFormat="1" applyFont="1" applyFill="1" applyBorder="1" applyAlignment="1" applyProtection="1">
      <alignment horizontal="center" vertical="center" wrapText="1"/>
      <protection hidden="1"/>
    </xf>
    <xf numFmtId="174" fontId="74" fillId="0" borderId="21" xfId="643" applyNumberFormat="1" applyFont="1" applyFill="1" applyBorder="1" applyAlignment="1" applyProtection="1">
      <alignment horizontal="center" vertical="center" wrapText="1"/>
      <protection hidden="1"/>
    </xf>
    <xf numFmtId="0" fontId="124" fillId="0" borderId="0" xfId="0" applyFont="1" applyBorder="1"/>
    <xf numFmtId="174" fontId="74" fillId="35" borderId="0" xfId="187" applyNumberFormat="1" applyFont="1" applyFill="1" applyBorder="1" applyAlignment="1" applyProtection="1">
      <alignment horizontal="center"/>
      <protection hidden="1"/>
    </xf>
    <xf numFmtId="0" fontId="76" fillId="0" borderId="41" xfId="0" applyFont="1" applyFill="1" applyBorder="1" applyAlignment="1" applyProtection="1">
      <protection locked="0"/>
    </xf>
    <xf numFmtId="9" fontId="74" fillId="0" borderId="39" xfId="51" applyFont="1" applyBorder="1" applyProtection="1"/>
    <xf numFmtId="44" fontId="74" fillId="0" borderId="39" xfId="665" applyNumberFormat="1" applyFont="1" applyBorder="1" applyProtection="1"/>
    <xf numFmtId="44" fontId="76" fillId="43" borderId="39" xfId="665" applyNumberFormat="1" applyFont="1" applyFill="1" applyBorder="1" applyProtection="1"/>
    <xf numFmtId="44" fontId="74" fillId="0" borderId="0" xfId="665" applyFont="1" applyBorder="1"/>
    <xf numFmtId="0" fontId="74" fillId="0" borderId="27" xfId="0" applyFont="1" applyFill="1" applyBorder="1" applyAlignment="1"/>
    <xf numFmtId="0" fontId="74" fillId="61" borderId="10" xfId="0" applyNumberFormat="1" applyFont="1" applyFill="1" applyBorder="1"/>
    <xf numFmtId="220" fontId="74" fillId="61" borderId="10" xfId="0" applyNumberFormat="1" applyFont="1" applyFill="1" applyBorder="1"/>
    <xf numFmtId="44" fontId="74" fillId="61" borderId="10" xfId="665" applyFont="1" applyFill="1" applyBorder="1" applyAlignment="1" applyProtection="1"/>
    <xf numFmtId="44" fontId="74" fillId="61" borderId="10" xfId="665" applyFont="1" applyFill="1" applyBorder="1"/>
    <xf numFmtId="179" fontId="74" fillId="61" borderId="10" xfId="0" applyNumberFormat="1" applyFont="1" applyFill="1" applyBorder="1"/>
    <xf numFmtId="0" fontId="127" fillId="46" borderId="16" xfId="0" applyFont="1" applyFill="1" applyBorder="1" applyAlignment="1" applyProtection="1">
      <protection locked="0"/>
    </xf>
    <xf numFmtId="0" fontId="127" fillId="46" borderId="17" xfId="61" applyFont="1" applyFill="1" applyBorder="1"/>
    <xf numFmtId="0" fontId="127" fillId="46" borderId="14" xfId="0" applyFont="1" applyFill="1" applyBorder="1" applyAlignment="1" applyProtection="1">
      <protection locked="0"/>
    </xf>
    <xf numFmtId="0" fontId="128" fillId="46" borderId="16" xfId="61" applyFont="1" applyFill="1" applyBorder="1" applyAlignment="1">
      <alignment vertical="center"/>
    </xf>
    <xf numFmtId="0" fontId="128" fillId="46" borderId="10" xfId="61" applyFont="1" applyFill="1" applyBorder="1" applyAlignment="1">
      <alignment horizontal="center" vertical="center"/>
    </xf>
    <xf numFmtId="0" fontId="128" fillId="46" borderId="10" xfId="61" applyFont="1" applyFill="1" applyBorder="1" applyAlignment="1">
      <alignment horizontal="center" vertical="center" wrapText="1"/>
    </xf>
    <xf numFmtId="0" fontId="127" fillId="43" borderId="42" xfId="61" applyFont="1" applyFill="1" applyBorder="1" applyAlignment="1">
      <alignment horizontal="center"/>
    </xf>
    <xf numFmtId="0" fontId="6" fillId="25" borderId="10" xfId="0" applyFont="1" applyFill="1" applyBorder="1" applyProtection="1"/>
    <xf numFmtId="0" fontId="6" fillId="0" borderId="10" xfId="0" applyFont="1" applyFill="1" applyBorder="1" applyProtection="1"/>
    <xf numFmtId="1" fontId="6" fillId="0" borderId="10" xfId="0" applyNumberFormat="1" applyFont="1" applyFill="1" applyBorder="1" applyAlignment="1" applyProtection="1">
      <alignment wrapText="1"/>
    </xf>
    <xf numFmtId="0" fontId="0" fillId="0" borderId="10" xfId="0" applyFill="1" applyBorder="1" applyAlignment="1" applyProtection="1">
      <alignment horizontal="left" wrapText="1"/>
    </xf>
    <xf numFmtId="0" fontId="0" fillId="0" borderId="10" xfId="0" applyFill="1" applyBorder="1" applyAlignment="1" applyProtection="1">
      <alignment horizontal="left"/>
    </xf>
    <xf numFmtId="0" fontId="6" fillId="0" borderId="10" xfId="0" applyFont="1" applyFill="1" applyBorder="1" applyAlignment="1" applyProtection="1">
      <alignment wrapText="1"/>
    </xf>
    <xf numFmtId="0" fontId="6" fillId="0" borderId="10" xfId="0" applyFont="1" applyBorder="1" applyAlignment="1" applyProtection="1">
      <alignment horizontal="center" wrapText="1"/>
    </xf>
    <xf numFmtId="0" fontId="6" fillId="33" borderId="10" xfId="0" applyFont="1" applyFill="1" applyBorder="1" applyAlignment="1" applyProtection="1">
      <alignment horizontal="center" wrapText="1"/>
    </xf>
    <xf numFmtId="0" fontId="6" fillId="0" borderId="10" xfId="0" applyFont="1" applyBorder="1" applyAlignment="1" applyProtection="1">
      <alignment wrapText="1"/>
    </xf>
    <xf numFmtId="166" fontId="6" fillId="0" borderId="10" xfId="0" applyNumberFormat="1" applyFont="1" applyFill="1" applyBorder="1" applyAlignment="1" applyProtection="1">
      <alignment wrapText="1"/>
    </xf>
    <xf numFmtId="0" fontId="0" fillId="0" borderId="10" xfId="0" applyFill="1" applyBorder="1" applyAlignment="1" applyProtection="1">
      <alignment horizontal="right"/>
    </xf>
    <xf numFmtId="0" fontId="6" fillId="0" borderId="10" xfId="0" applyFont="1" applyFill="1" applyBorder="1" applyAlignment="1" applyProtection="1">
      <alignment horizontal="center"/>
    </xf>
    <xf numFmtId="0" fontId="0" fillId="0" borderId="10" xfId="0" applyBorder="1" applyAlignment="1" applyProtection="1">
      <alignment horizontal="center"/>
    </xf>
    <xf numFmtId="0" fontId="0" fillId="33" borderId="10" xfId="0" applyFill="1" applyBorder="1" applyAlignment="1" applyProtection="1">
      <alignment horizontal="center"/>
    </xf>
    <xf numFmtId="0" fontId="0" fillId="0" borderId="10" xfId="0" applyBorder="1" applyAlignment="1" applyProtection="1">
      <alignment horizontal="right"/>
    </xf>
    <xf numFmtId="0" fontId="6" fillId="0" borderId="10" xfId="0" applyFont="1" applyBorder="1" applyAlignment="1" applyProtection="1">
      <alignment horizontal="center"/>
    </xf>
    <xf numFmtId="0" fontId="6" fillId="33" borderId="10" xfId="0" applyFont="1" applyFill="1" applyBorder="1" applyAlignment="1" applyProtection="1">
      <alignment horizontal="center"/>
    </xf>
    <xf numFmtId="0" fontId="6" fillId="0" borderId="10" xfId="0" applyFont="1" applyFill="1" applyBorder="1" applyAlignment="1" applyProtection="1">
      <alignment horizontal="right"/>
    </xf>
    <xf numFmtId="2" fontId="0" fillId="0" borderId="10" xfId="0" applyNumberFormat="1" applyBorder="1" applyAlignment="1" applyProtection="1">
      <alignment horizontal="center"/>
    </xf>
    <xf numFmtId="2" fontId="6" fillId="0" borderId="10" xfId="0" applyNumberFormat="1" applyFont="1" applyBorder="1" applyAlignment="1" applyProtection="1">
      <alignment horizontal="center"/>
    </xf>
    <xf numFmtId="0" fontId="6" fillId="0" borderId="10" xfId="0" applyFont="1" applyBorder="1" applyAlignment="1" applyProtection="1">
      <alignment horizontal="right"/>
    </xf>
    <xf numFmtId="166" fontId="6" fillId="0" borderId="10" xfId="0" applyNumberFormat="1" applyFont="1" applyFill="1" applyBorder="1" applyProtection="1"/>
    <xf numFmtId="0" fontId="0" fillId="0" borderId="10" xfId="0" applyFill="1" applyBorder="1" applyProtection="1"/>
    <xf numFmtId="0" fontId="50" fillId="25" borderId="157" xfId="47" applyFont="1" applyFill="1" applyBorder="1" applyAlignment="1">
      <alignment horizontal="center"/>
    </xf>
    <xf numFmtId="0" fontId="49" fillId="25" borderId="11" xfId="47" applyFill="1" applyBorder="1" applyAlignment="1">
      <alignment horizontal="center"/>
    </xf>
    <xf numFmtId="0" fontId="49" fillId="25" borderId="180" xfId="47" applyFill="1" applyBorder="1" applyAlignment="1">
      <alignment horizontal="center"/>
    </xf>
    <xf numFmtId="0" fontId="50" fillId="25" borderId="160" xfId="47" applyFont="1" applyFill="1" applyBorder="1" applyAlignment="1">
      <alignment horizontal="center"/>
    </xf>
    <xf numFmtId="0" fontId="50" fillId="25" borderId="37" xfId="47" applyFont="1" applyFill="1" applyBorder="1" applyAlignment="1">
      <alignment horizontal="center"/>
    </xf>
    <xf numFmtId="0" fontId="49" fillId="25" borderId="38" xfId="47" applyFont="1" applyFill="1" applyBorder="1" applyAlignment="1">
      <alignment horizontal="left"/>
    </xf>
    <xf numFmtId="0" fontId="49" fillId="25" borderId="160" xfId="47" applyFill="1" applyBorder="1" applyAlignment="1">
      <alignment horizontal="center"/>
    </xf>
    <xf numFmtId="0" fontId="49" fillId="25" borderId="157" xfId="47" applyFill="1" applyBorder="1" applyAlignment="1">
      <alignment horizontal="center"/>
    </xf>
    <xf numFmtId="0" fontId="49" fillId="25" borderId="40" xfId="47" applyFont="1" applyFill="1" applyBorder="1" applyAlignment="1">
      <alignment horizontal="center"/>
    </xf>
    <xf numFmtId="0" fontId="49" fillId="25" borderId="182" xfId="47" applyFill="1" applyBorder="1"/>
    <xf numFmtId="0" fontId="49" fillId="25" borderId="183" xfId="47" applyFill="1" applyBorder="1" applyAlignment="1">
      <alignment horizontal="center"/>
    </xf>
    <xf numFmtId="0" fontId="49" fillId="25" borderId="184" xfId="47" applyFill="1" applyBorder="1" applyAlignment="1">
      <alignment horizontal="center"/>
    </xf>
    <xf numFmtId="0" fontId="49" fillId="25" borderId="185" xfId="47" applyFill="1" applyBorder="1" applyAlignment="1">
      <alignment horizontal="center"/>
    </xf>
    <xf numFmtId="0" fontId="49" fillId="25" borderId="186" xfId="47" applyFill="1" applyBorder="1"/>
    <xf numFmtId="0" fontId="49" fillId="25" borderId="187" xfId="47" applyFill="1" applyBorder="1" applyAlignment="1">
      <alignment horizontal="center"/>
    </xf>
    <xf numFmtId="0" fontId="49" fillId="25" borderId="188" xfId="47" applyFill="1" applyBorder="1" applyAlignment="1">
      <alignment horizontal="center"/>
    </xf>
    <xf numFmtId="0" fontId="49" fillId="25" borderId="189" xfId="47" applyFill="1" applyBorder="1" applyAlignment="1">
      <alignment horizontal="center"/>
    </xf>
    <xf numFmtId="0" fontId="130" fillId="0" borderId="0" xfId="0" applyFont="1" applyProtection="1"/>
    <xf numFmtId="0" fontId="74" fillId="35" borderId="0" xfId="0" applyFont="1" applyFill="1" applyAlignment="1" applyProtection="1">
      <protection locked="0"/>
    </xf>
    <xf numFmtId="0" fontId="130" fillId="35" borderId="0" xfId="0" applyFont="1" applyFill="1" applyProtection="1"/>
    <xf numFmtId="0" fontId="6" fillId="46" borderId="0" xfId="0" applyFont="1" applyFill="1" applyProtection="1"/>
    <xf numFmtId="0" fontId="114" fillId="0" borderId="0" xfId="0" applyFont="1" applyProtection="1"/>
    <xf numFmtId="0" fontId="113" fillId="0" borderId="0" xfId="0" applyFont="1" applyProtection="1"/>
    <xf numFmtId="0" fontId="117" fillId="35" borderId="0" xfId="0" applyFont="1" applyFill="1" applyProtection="1"/>
    <xf numFmtId="0" fontId="74" fillId="33" borderId="10" xfId="0" applyFont="1" applyFill="1" applyBorder="1" applyProtection="1"/>
    <xf numFmtId="0" fontId="74" fillId="0" borderId="11" xfId="0" applyFont="1" applyFill="1" applyBorder="1" applyProtection="1"/>
    <xf numFmtId="0" fontId="118" fillId="0" borderId="0" xfId="0" applyFont="1" applyProtection="1"/>
    <xf numFmtId="0" fontId="90" fillId="0" borderId="168" xfId="0" applyFont="1" applyBorder="1" applyAlignment="1" applyProtection="1">
      <alignment horizontal="center"/>
    </xf>
    <xf numFmtId="0" fontId="90" fillId="0" borderId="42" xfId="0" applyFont="1" applyBorder="1" applyAlignment="1" applyProtection="1">
      <alignment horizontal="center"/>
    </xf>
    <xf numFmtId="43" fontId="74" fillId="0" borderId="71" xfId="0" applyNumberFormat="1" applyFont="1" applyBorder="1" applyProtection="1"/>
    <xf numFmtId="9" fontId="74" fillId="0" borderId="10" xfId="51" applyFont="1" applyBorder="1" applyProtection="1"/>
    <xf numFmtId="44" fontId="74" fillId="0" borderId="10" xfId="665" applyNumberFormat="1" applyFont="1" applyBorder="1"/>
    <xf numFmtId="0" fontId="74" fillId="0" borderId="14" xfId="694" applyFont="1" applyBorder="1"/>
    <xf numFmtId="0" fontId="87" fillId="0" borderId="27" xfId="694" applyFont="1" applyBorder="1"/>
    <xf numFmtId="166" fontId="74" fillId="0" borderId="10" xfId="0" applyNumberFormat="1" applyFont="1" applyBorder="1" applyAlignment="1" applyProtection="1">
      <alignment horizontal="center"/>
    </xf>
    <xf numFmtId="8" fontId="74" fillId="37" borderId="10" xfId="0" applyNumberFormat="1" applyFont="1" applyFill="1" applyBorder="1" applyAlignment="1" applyProtection="1">
      <alignment horizontal="center"/>
      <protection locked="0"/>
    </xf>
    <xf numFmtId="0" fontId="74" fillId="35" borderId="10" xfId="0" applyFont="1" applyFill="1" applyBorder="1" applyAlignment="1" applyProtection="1">
      <alignment horizontal="center"/>
      <protection locked="0"/>
    </xf>
    <xf numFmtId="0" fontId="75" fillId="0" borderId="0" xfId="0" applyFont="1" applyProtection="1">
      <protection locked="0"/>
    </xf>
    <xf numFmtId="0" fontId="74" fillId="0" borderId="0" xfId="0" applyFont="1" applyProtection="1">
      <protection locked="0"/>
    </xf>
    <xf numFmtId="0" fontId="74" fillId="0" borderId="10" xfId="0" applyFont="1" applyBorder="1" applyProtection="1">
      <protection locked="0"/>
    </xf>
    <xf numFmtId="0" fontId="93" fillId="0" borderId="0" xfId="0" applyFont="1" applyFill="1" applyBorder="1" applyAlignment="1" applyProtection="1">
      <alignment horizontal="center" vertical="center" wrapText="1"/>
      <protection locked="0"/>
    </xf>
    <xf numFmtId="0" fontId="93" fillId="0" borderId="0" xfId="0" applyFont="1" applyAlignment="1" applyProtection="1">
      <alignment horizontal="center"/>
      <protection locked="0"/>
    </xf>
    <xf numFmtId="0" fontId="76" fillId="0" borderId="0" xfId="0" applyFont="1" applyFill="1" applyBorder="1" applyAlignment="1" applyProtection="1">
      <alignment horizontal="center" vertical="center" wrapText="1"/>
      <protection locked="0"/>
    </xf>
    <xf numFmtId="0" fontId="74" fillId="0" borderId="0" xfId="0" applyFont="1" applyBorder="1" applyProtection="1">
      <protection locked="0"/>
    </xf>
    <xf numFmtId="0" fontId="74" fillId="0" borderId="10" xfId="0" applyFont="1" applyFill="1" applyBorder="1" applyProtection="1">
      <protection locked="0"/>
    </xf>
    <xf numFmtId="3" fontId="74" fillId="0" borderId="0" xfId="0" applyNumberFormat="1" applyFont="1" applyFill="1" applyBorder="1" applyAlignment="1" applyProtection="1">
      <alignment vertical="center"/>
      <protection locked="0"/>
    </xf>
    <xf numFmtId="3" fontId="76" fillId="0" borderId="0" xfId="0" applyNumberFormat="1" applyFont="1" applyFill="1" applyBorder="1" applyAlignment="1" applyProtection="1">
      <alignment wrapText="1"/>
      <protection locked="0"/>
    </xf>
    <xf numFmtId="14" fontId="74" fillId="37" borderId="10" xfId="0" applyNumberFormat="1" applyFont="1" applyFill="1" applyBorder="1" applyAlignment="1" applyProtection="1">
      <alignment horizontal="center" wrapText="1"/>
      <protection locked="0"/>
    </xf>
    <xf numFmtId="14" fontId="74" fillId="37" borderId="10" xfId="0" applyNumberFormat="1" applyFont="1" applyFill="1" applyBorder="1" applyAlignment="1" applyProtection="1">
      <alignment horizontal="center"/>
      <protection locked="0"/>
    </xf>
    <xf numFmtId="0" fontId="98" fillId="37" borderId="10" xfId="38" applyFont="1" applyFill="1" applyBorder="1" applyAlignment="1" applyProtection="1">
      <alignment horizontal="center" vertical="center" wrapText="1"/>
      <protection locked="0"/>
    </xf>
    <xf numFmtId="0" fontId="74" fillId="37" borderId="177" xfId="0" applyFont="1" applyFill="1" applyBorder="1" applyProtection="1">
      <protection locked="0"/>
    </xf>
    <xf numFmtId="0" fontId="74" fillId="37" borderId="179" xfId="0" applyFont="1" applyFill="1" applyBorder="1" applyProtection="1">
      <protection locked="0"/>
    </xf>
    <xf numFmtId="0" fontId="74" fillId="37" borderId="178" xfId="0" applyFont="1" applyFill="1" applyBorder="1" applyProtection="1">
      <protection locked="0"/>
    </xf>
    <xf numFmtId="0" fontId="74" fillId="37" borderId="54" xfId="0" applyFont="1" applyFill="1" applyBorder="1" applyProtection="1">
      <protection locked="0"/>
    </xf>
    <xf numFmtId="0" fontId="74" fillId="37" borderId="0" xfId="0" applyFont="1" applyFill="1" applyBorder="1" applyProtection="1">
      <protection locked="0"/>
    </xf>
    <xf numFmtId="0" fontId="74" fillId="37" borderId="146" xfId="0" applyFont="1" applyFill="1" applyBorder="1" applyProtection="1">
      <protection locked="0"/>
    </xf>
    <xf numFmtId="0" fontId="74" fillId="37" borderId="145" xfId="0" applyFont="1" applyFill="1" applyBorder="1" applyProtection="1">
      <protection locked="0"/>
    </xf>
    <xf numFmtId="0" fontId="74" fillId="37" borderId="56" xfId="0" applyFont="1" applyFill="1" applyBorder="1" applyProtection="1">
      <protection locked="0"/>
    </xf>
    <xf numFmtId="0" fontId="74" fillId="37" borderId="57" xfId="0" applyFont="1" applyFill="1" applyBorder="1" applyProtection="1">
      <protection locked="0"/>
    </xf>
    <xf numFmtId="0" fontId="74" fillId="37" borderId="58" xfId="0" applyFont="1" applyFill="1" applyBorder="1" applyProtection="1">
      <protection locked="0"/>
    </xf>
    <xf numFmtId="0" fontId="93" fillId="0" borderId="0" xfId="0" applyFont="1" applyFill="1" applyBorder="1" applyAlignment="1" applyProtection="1">
      <alignment horizontal="left" vertical="center"/>
    </xf>
    <xf numFmtId="3" fontId="93" fillId="0" borderId="0" xfId="0" applyNumberFormat="1" applyFont="1" applyFill="1" applyBorder="1" applyAlignment="1" applyProtection="1">
      <alignment vertical="center"/>
    </xf>
    <xf numFmtId="0" fontId="93" fillId="0" borderId="0" xfId="0" applyFont="1" applyFill="1" applyBorder="1" applyAlignment="1" applyProtection="1">
      <alignment horizontal="center" vertical="center" wrapText="1"/>
    </xf>
    <xf numFmtId="0" fontId="75" fillId="0" borderId="0" xfId="0" applyFont="1" applyProtection="1"/>
    <xf numFmtId="0" fontId="76" fillId="33" borderId="10" xfId="0" applyFont="1" applyFill="1" applyBorder="1" applyProtection="1"/>
    <xf numFmtId="0" fontId="74" fillId="0" borderId="10" xfId="0" applyFont="1" applyBorder="1" applyProtection="1"/>
    <xf numFmtId="0" fontId="74" fillId="0" borderId="10" xfId="0" applyFont="1" applyFill="1" applyBorder="1" applyProtection="1"/>
    <xf numFmtId="3" fontId="74" fillId="0" borderId="10" xfId="0" applyNumberFormat="1" applyFont="1" applyFill="1" applyBorder="1" applyAlignment="1" applyProtection="1">
      <alignment horizontal="center" wrapText="1"/>
    </xf>
    <xf numFmtId="0" fontId="74" fillId="35" borderId="10" xfId="0" applyFont="1" applyFill="1" applyBorder="1" applyProtection="1"/>
    <xf numFmtId="0" fontId="76" fillId="33" borderId="10" xfId="0" applyFont="1" applyFill="1" applyBorder="1" applyAlignment="1" applyProtection="1">
      <alignment horizontal="left"/>
    </xf>
    <xf numFmtId="0" fontId="74" fillId="0" borderId="10" xfId="0" applyFont="1" applyFill="1" applyBorder="1" applyAlignment="1" applyProtection="1">
      <alignment vertical="center" wrapText="1"/>
    </xf>
    <xf numFmtId="0" fontId="74" fillId="0" borderId="10" xfId="0" applyFont="1" applyFill="1" applyBorder="1" applyAlignment="1" applyProtection="1">
      <alignment wrapText="1"/>
    </xf>
    <xf numFmtId="0" fontId="76" fillId="33" borderId="10" xfId="0" applyFont="1" applyFill="1" applyBorder="1" applyAlignment="1" applyProtection="1">
      <alignment horizontal="center"/>
    </xf>
    <xf numFmtId="0" fontId="74" fillId="0" borderId="10" xfId="0" applyFont="1" applyFill="1" applyBorder="1" applyAlignment="1" applyProtection="1">
      <alignment horizontal="center" vertical="center" wrapText="1"/>
    </xf>
    <xf numFmtId="0" fontId="76" fillId="33" borderId="10" xfId="0" applyFont="1" applyFill="1" applyBorder="1" applyAlignment="1" applyProtection="1">
      <alignment horizontal="center" vertical="top" wrapText="1"/>
    </xf>
    <xf numFmtId="0" fontId="74" fillId="0" borderId="0" xfId="0" applyFont="1" applyAlignment="1" applyProtection="1">
      <alignment wrapText="1"/>
      <protection locked="0"/>
    </xf>
    <xf numFmtId="0" fontId="74" fillId="35" borderId="0" xfId="187" applyFont="1" applyFill="1" applyBorder="1" applyProtection="1">
      <protection locked="0"/>
    </xf>
    <xf numFmtId="0" fontId="74" fillId="0" borderId="0" xfId="187" applyFont="1" applyBorder="1" applyProtection="1">
      <protection locked="0"/>
    </xf>
    <xf numFmtId="0" fontId="74" fillId="0" borderId="0" xfId="0" applyFont="1" applyAlignment="1" applyProtection="1">
      <alignment horizontal="center" vertical="center" wrapText="1"/>
      <protection locked="0"/>
    </xf>
    <xf numFmtId="0" fontId="76" fillId="0" borderId="0" xfId="0" applyFont="1" applyFill="1" applyBorder="1" applyAlignment="1" applyProtection="1">
      <alignment horizontal="center" wrapText="1"/>
      <protection locked="0"/>
    </xf>
    <xf numFmtId="3" fontId="74" fillId="35" borderId="10" xfId="93" applyNumberFormat="1" applyFont="1" applyFill="1" applyBorder="1" applyAlignment="1" applyProtection="1">
      <alignment horizontal="center" vertical="center" wrapText="1"/>
      <protection locked="0"/>
    </xf>
    <xf numFmtId="3" fontId="74" fillId="37" borderId="10" xfId="93" applyNumberFormat="1" applyFont="1" applyFill="1" applyBorder="1" applyAlignment="1" applyProtection="1">
      <alignment horizontal="center" vertical="center" wrapText="1"/>
      <protection locked="0"/>
    </xf>
    <xf numFmtId="3" fontId="74" fillId="0" borderId="0" xfId="93" applyNumberFormat="1" applyFont="1" applyFill="1" applyBorder="1" applyAlignment="1" applyProtection="1">
      <alignment horizontal="center" vertical="center" wrapText="1"/>
      <protection locked="0"/>
    </xf>
    <xf numFmtId="192" fontId="74" fillId="37" borderId="10" xfId="93" applyNumberFormat="1" applyFont="1" applyFill="1" applyBorder="1" applyAlignment="1" applyProtection="1">
      <alignment horizontal="center" vertical="center" wrapText="1"/>
      <protection locked="0"/>
    </xf>
    <xf numFmtId="193" fontId="74" fillId="37" borderId="134" xfId="93" applyNumberFormat="1" applyFont="1" applyFill="1" applyBorder="1" applyAlignment="1" applyProtection="1">
      <alignment horizontal="center" vertical="center" wrapText="1"/>
      <protection locked="0"/>
    </xf>
    <xf numFmtId="192" fontId="74" fillId="37" borderId="134" xfId="93" applyNumberFormat="1" applyFont="1" applyFill="1" applyBorder="1" applyAlignment="1" applyProtection="1">
      <alignment horizontal="center" vertical="center" wrapText="1"/>
      <protection locked="0"/>
    </xf>
    <xf numFmtId="193" fontId="74" fillId="37" borderId="10" xfId="93" applyNumberFormat="1" applyFont="1" applyFill="1" applyBorder="1" applyAlignment="1" applyProtection="1">
      <alignment horizontal="center" vertical="center" wrapText="1"/>
      <protection locked="0"/>
    </xf>
    <xf numFmtId="3" fontId="74" fillId="37" borderId="134" xfId="93" applyNumberFormat="1" applyFont="1" applyFill="1" applyBorder="1" applyAlignment="1" applyProtection="1">
      <alignment horizontal="center" vertical="center" wrapText="1"/>
      <protection locked="0"/>
    </xf>
    <xf numFmtId="194" fontId="74" fillId="37" borderId="10" xfId="93" applyNumberFormat="1" applyFont="1" applyFill="1" applyBorder="1" applyAlignment="1" applyProtection="1">
      <alignment horizontal="center" vertical="center" wrapText="1"/>
      <protection locked="0"/>
    </xf>
    <xf numFmtId="194" fontId="74" fillId="37" borderId="134" xfId="93" applyNumberFormat="1" applyFont="1" applyFill="1" applyBorder="1" applyAlignment="1" applyProtection="1">
      <alignment horizontal="center" vertical="center" wrapText="1"/>
      <protection locked="0"/>
    </xf>
    <xf numFmtId="194" fontId="74" fillId="35" borderId="149" xfId="93" applyNumberFormat="1" applyFont="1" applyFill="1" applyBorder="1" applyAlignment="1" applyProtection="1">
      <alignment horizontal="center" vertical="center" wrapText="1"/>
      <protection locked="0"/>
    </xf>
    <xf numFmtId="194" fontId="74" fillId="35" borderId="150" xfId="93" applyNumberFormat="1" applyFont="1" applyFill="1" applyBorder="1" applyAlignment="1" applyProtection="1">
      <alignment horizontal="center" vertical="center" wrapText="1"/>
      <protection locked="0"/>
    </xf>
    <xf numFmtId="9" fontId="74" fillId="37" borderId="10" xfId="51" applyFont="1" applyFill="1" applyBorder="1" applyAlignment="1" applyProtection="1">
      <alignment horizontal="center" vertical="center" wrapText="1"/>
      <protection locked="0"/>
    </xf>
    <xf numFmtId="9" fontId="74" fillId="0" borderId="0" xfId="51" applyFont="1" applyFill="1" applyBorder="1" applyAlignment="1" applyProtection="1">
      <alignment horizontal="center" vertical="center" wrapText="1"/>
      <protection locked="0"/>
    </xf>
    <xf numFmtId="195" fontId="74" fillId="37" borderId="10" xfId="93" applyNumberFormat="1" applyFont="1" applyFill="1" applyBorder="1" applyAlignment="1" applyProtection="1">
      <alignment horizontal="center" vertical="center" wrapText="1"/>
      <protection locked="0"/>
    </xf>
    <xf numFmtId="0" fontId="74" fillId="37" borderId="134" xfId="0" applyFont="1" applyFill="1" applyBorder="1" applyAlignment="1" applyProtection="1">
      <alignment horizontal="center" vertical="center" wrapText="1"/>
      <protection locked="0"/>
    </xf>
    <xf numFmtId="0" fontId="74" fillId="0" borderId="0" xfId="0" applyFont="1" applyFill="1" applyBorder="1" applyAlignment="1" applyProtection="1">
      <alignment wrapText="1"/>
      <protection locked="0"/>
    </xf>
    <xf numFmtId="3" fontId="74" fillId="35" borderId="138" xfId="93" applyNumberFormat="1" applyFont="1" applyFill="1" applyBorder="1" applyAlignment="1" applyProtection="1">
      <alignment horizontal="center" vertical="center" wrapText="1"/>
      <protection locked="0"/>
    </xf>
    <xf numFmtId="0" fontId="74" fillId="0" borderId="0" xfId="0" applyFont="1" applyFill="1" applyAlignment="1" applyProtection="1">
      <alignment wrapText="1"/>
      <protection locked="0"/>
    </xf>
    <xf numFmtId="187" fontId="74" fillId="0" borderId="10" xfId="0" applyNumberFormat="1" applyFont="1" applyBorder="1" applyAlignment="1" applyProtection="1">
      <alignment horizontal="center" vertical="center" wrapText="1"/>
      <protection locked="0"/>
    </xf>
    <xf numFmtId="187" fontId="74" fillId="37" borderId="10" xfId="0" applyNumberFormat="1" applyFont="1" applyFill="1" applyBorder="1" applyAlignment="1" applyProtection="1">
      <alignment horizontal="center" vertical="center" wrapText="1"/>
      <protection locked="0"/>
    </xf>
    <xf numFmtId="2" fontId="74" fillId="0" borderId="0" xfId="0" applyNumberFormat="1" applyFont="1" applyFill="1" applyBorder="1" applyAlignment="1" applyProtection="1">
      <alignment horizontal="center" wrapText="1"/>
      <protection locked="0"/>
    </xf>
    <xf numFmtId="0" fontId="74" fillId="37" borderId="11" xfId="662" applyFont="1" applyFill="1" applyBorder="1" applyAlignment="1" applyProtection="1">
      <alignment horizontal="center" vertical="center" wrapText="1"/>
      <protection locked="0"/>
    </xf>
    <xf numFmtId="0" fontId="74" fillId="37" borderId="149" xfId="662" applyFont="1" applyFill="1" applyBorder="1" applyAlignment="1" applyProtection="1">
      <alignment horizontal="center" vertical="center" wrapText="1"/>
      <protection locked="0"/>
    </xf>
    <xf numFmtId="0" fontId="74" fillId="37" borderId="149" xfId="0" applyNumberFormat="1" applyFont="1" applyFill="1" applyBorder="1" applyAlignment="1" applyProtection="1">
      <alignment horizontal="center" vertical="center" wrapText="1"/>
      <protection locked="0"/>
    </xf>
    <xf numFmtId="219" fontId="74" fillId="37" borderId="149" xfId="93" applyNumberFormat="1" applyFont="1" applyFill="1" applyBorder="1" applyAlignment="1" applyProtection="1">
      <alignment horizontal="center" vertical="center" wrapText="1"/>
      <protection locked="0"/>
    </xf>
    <xf numFmtId="187" fontId="74" fillId="37" borderId="149" xfId="93" applyNumberFormat="1" applyFont="1" applyFill="1" applyBorder="1" applyAlignment="1" applyProtection="1">
      <alignment horizontal="center" vertical="center" wrapText="1"/>
      <protection locked="0"/>
    </xf>
    <xf numFmtId="219" fontId="74" fillId="37" borderId="10" xfId="0" applyNumberFormat="1" applyFont="1" applyFill="1" applyBorder="1" applyAlignment="1" applyProtection="1">
      <alignment horizontal="center" vertical="center" wrapText="1"/>
      <protection locked="0"/>
    </xf>
    <xf numFmtId="1" fontId="74" fillId="0" borderId="0" xfId="0" applyNumberFormat="1" applyFont="1" applyFill="1" applyBorder="1" applyAlignment="1" applyProtection="1">
      <alignment horizontal="center" wrapText="1"/>
      <protection locked="0"/>
    </xf>
    <xf numFmtId="0" fontId="74" fillId="37" borderId="56" xfId="0" applyFont="1" applyFill="1" applyBorder="1" applyAlignment="1" applyProtection="1">
      <alignment horizontal="center" vertical="center" wrapText="1"/>
      <protection locked="0"/>
    </xf>
    <xf numFmtId="0" fontId="74" fillId="47" borderId="163" xfId="0" applyFont="1" applyFill="1" applyBorder="1" applyAlignment="1" applyProtection="1">
      <alignment horizontal="center" vertical="center" wrapText="1"/>
      <protection locked="0"/>
    </xf>
    <xf numFmtId="0" fontId="74" fillId="0" borderId="0" xfId="0" applyFont="1" applyAlignment="1" applyProtection="1">
      <alignment vertical="center" wrapText="1"/>
      <protection locked="0"/>
    </xf>
    <xf numFmtId="0" fontId="93" fillId="0" borderId="0" xfId="0" applyFont="1" applyAlignment="1" applyProtection="1">
      <alignment horizontal="center" vertical="center" wrapText="1"/>
      <protection locked="0"/>
    </xf>
    <xf numFmtId="0" fontId="74" fillId="0" borderId="39" xfId="0" applyFont="1" applyBorder="1" applyAlignment="1" applyProtection="1">
      <alignment horizontal="center" vertical="center" wrapText="1"/>
      <protection locked="0"/>
    </xf>
    <xf numFmtId="3" fontId="74" fillId="37" borderId="149" xfId="93" applyNumberFormat="1" applyFont="1" applyFill="1" applyBorder="1" applyAlignment="1" applyProtection="1">
      <alignment horizontal="center" vertical="center" wrapText="1"/>
      <protection locked="0"/>
    </xf>
    <xf numFmtId="0" fontId="74" fillId="47" borderId="143" xfId="0" applyFont="1" applyFill="1" applyBorder="1" applyAlignment="1" applyProtection="1">
      <alignment horizontal="center" vertical="center" wrapText="1"/>
      <protection locked="0"/>
    </xf>
    <xf numFmtId="0" fontId="74" fillId="47" borderId="0" xfId="0" applyFont="1" applyFill="1" applyBorder="1" applyAlignment="1" applyProtection="1">
      <alignment horizontal="center" vertical="center" wrapText="1"/>
      <protection locked="0"/>
    </xf>
    <xf numFmtId="0" fontId="74" fillId="47" borderId="146" xfId="0" applyFont="1" applyFill="1" applyBorder="1" applyAlignment="1" applyProtection="1">
      <alignment horizontal="center" vertical="center" wrapText="1"/>
      <protection locked="0"/>
    </xf>
    <xf numFmtId="0" fontId="74" fillId="37" borderId="10" xfId="0" applyFont="1" applyFill="1" applyBorder="1" applyAlignment="1" applyProtection="1">
      <alignment wrapText="1"/>
      <protection locked="0"/>
    </xf>
    <xf numFmtId="0" fontId="74" fillId="37" borderId="10" xfId="93" applyNumberFormat="1" applyFont="1" applyFill="1" applyBorder="1" applyAlignment="1" applyProtection="1">
      <alignment horizontal="center" vertical="center" wrapText="1"/>
      <protection locked="0"/>
    </xf>
    <xf numFmtId="0" fontId="74" fillId="47" borderId="145" xfId="0" applyFont="1" applyFill="1" applyBorder="1" applyAlignment="1" applyProtection="1">
      <alignment horizontal="center" vertical="center" wrapText="1"/>
      <protection locked="0"/>
    </xf>
    <xf numFmtId="202" fontId="74" fillId="37" borderId="10" xfId="93" applyNumberFormat="1" applyFont="1" applyFill="1" applyBorder="1" applyAlignment="1" applyProtection="1">
      <alignment horizontal="center" vertical="center" wrapText="1"/>
      <protection locked="0"/>
    </xf>
    <xf numFmtId="0" fontId="74" fillId="47" borderId="147" xfId="0" applyFont="1" applyFill="1" applyBorder="1" applyAlignment="1" applyProtection="1">
      <alignment horizontal="center" vertical="center" wrapText="1"/>
      <protection locked="0"/>
    </xf>
    <xf numFmtId="0" fontId="74" fillId="47" borderId="148" xfId="0" applyFont="1" applyFill="1" applyBorder="1" applyAlignment="1" applyProtection="1">
      <alignment horizontal="center" vertical="center" wrapText="1"/>
      <protection locked="0"/>
    </xf>
    <xf numFmtId="3" fontId="74" fillId="37" borderId="148" xfId="93" applyNumberFormat="1" applyFont="1" applyFill="1" applyBorder="1" applyAlignment="1" applyProtection="1">
      <alignment horizontal="center" vertical="center" wrapText="1"/>
      <protection locked="0"/>
    </xf>
    <xf numFmtId="3" fontId="74" fillId="37" borderId="39" xfId="93" applyNumberFormat="1" applyFont="1" applyFill="1" applyBorder="1" applyAlignment="1" applyProtection="1">
      <alignment horizontal="center" vertical="center" wrapText="1"/>
      <protection locked="0"/>
    </xf>
    <xf numFmtId="0" fontId="74" fillId="47" borderId="142" xfId="0" applyFont="1" applyFill="1" applyBorder="1" applyAlignment="1" applyProtection="1">
      <alignment horizontal="center" vertical="center" wrapText="1"/>
      <protection locked="0"/>
    </xf>
    <xf numFmtId="0" fontId="74" fillId="47" borderId="144" xfId="0" applyFont="1" applyFill="1" applyBorder="1" applyAlignment="1" applyProtection="1">
      <alignment horizontal="center" vertical="center" wrapText="1"/>
      <protection locked="0"/>
    </xf>
    <xf numFmtId="3" fontId="74" fillId="37" borderId="13" xfId="93" applyNumberFormat="1" applyFont="1" applyFill="1" applyBorder="1" applyAlignment="1" applyProtection="1">
      <alignment horizontal="center" vertical="center" wrapText="1"/>
      <protection locked="0"/>
    </xf>
    <xf numFmtId="3" fontId="74" fillId="37" borderId="158" xfId="93" applyNumberFormat="1" applyFont="1" applyFill="1" applyBorder="1" applyAlignment="1" applyProtection="1">
      <alignment horizontal="center" vertical="center" wrapText="1"/>
      <protection locked="0"/>
    </xf>
    <xf numFmtId="0" fontId="93" fillId="0" borderId="0" xfId="0" applyFont="1" applyAlignment="1" applyProtection="1">
      <protection locked="0"/>
    </xf>
    <xf numFmtId="0" fontId="74" fillId="37" borderId="69" xfId="93" applyNumberFormat="1" applyFont="1" applyFill="1" applyBorder="1" applyAlignment="1" applyProtection="1">
      <alignment horizontal="center" vertical="center" wrapText="1"/>
      <protection locked="0"/>
    </xf>
    <xf numFmtId="3" fontId="74" fillId="37" borderId="106" xfId="93" applyNumberFormat="1" applyFont="1" applyFill="1" applyBorder="1" applyAlignment="1" applyProtection="1">
      <alignment horizontal="center" vertical="center" wrapText="1"/>
      <protection locked="0"/>
    </xf>
    <xf numFmtId="218" fontId="74" fillId="37" borderId="10" xfId="93" applyNumberFormat="1" applyFont="1" applyFill="1" applyBorder="1" applyAlignment="1" applyProtection="1">
      <alignment horizontal="center" vertical="center" wrapText="1"/>
      <protection locked="0"/>
    </xf>
    <xf numFmtId="204" fontId="74" fillId="37" borderId="10" xfId="93" applyNumberFormat="1" applyFont="1" applyFill="1" applyBorder="1" applyAlignment="1" applyProtection="1">
      <alignment horizontal="center" vertical="center" wrapText="1"/>
      <protection locked="0"/>
    </xf>
    <xf numFmtId="0" fontId="74" fillId="47" borderId="56" xfId="0" applyFont="1" applyFill="1" applyBorder="1" applyAlignment="1" applyProtection="1">
      <alignment horizontal="center" vertical="center" wrapText="1"/>
      <protection locked="0"/>
    </xf>
    <xf numFmtId="3" fontId="74" fillId="37" borderId="146" xfId="93" applyNumberFormat="1" applyFont="1" applyFill="1" applyBorder="1" applyAlignment="1" applyProtection="1">
      <alignment horizontal="center" vertical="center" wrapText="1"/>
      <protection locked="0"/>
    </xf>
    <xf numFmtId="0" fontId="74" fillId="37" borderId="139" xfId="93" applyNumberFormat="1" applyFont="1" applyFill="1" applyBorder="1" applyAlignment="1" applyProtection="1">
      <alignment horizontal="center" vertical="center" wrapText="1"/>
      <protection locked="0"/>
    </xf>
    <xf numFmtId="3" fontId="74" fillId="37" borderId="139" xfId="93" applyNumberFormat="1" applyFont="1" applyFill="1" applyBorder="1" applyAlignment="1" applyProtection="1">
      <alignment horizontal="center" vertical="center" wrapText="1"/>
      <protection locked="0"/>
    </xf>
    <xf numFmtId="0" fontId="74" fillId="47" borderId="164" xfId="0" applyFont="1" applyFill="1" applyBorder="1" applyAlignment="1" applyProtection="1">
      <alignment horizontal="center" vertical="center" wrapText="1"/>
      <protection locked="0"/>
    </xf>
    <xf numFmtId="0" fontId="74" fillId="47" borderId="165" xfId="0" applyFont="1" applyFill="1" applyBorder="1" applyAlignment="1" applyProtection="1">
      <alignment horizontal="center" vertical="center" wrapText="1"/>
      <protection locked="0"/>
    </xf>
    <xf numFmtId="0" fontId="74" fillId="47" borderId="54" xfId="0" applyFont="1" applyFill="1" applyBorder="1" applyAlignment="1" applyProtection="1">
      <alignment horizontal="center" vertical="center" wrapText="1"/>
      <protection locked="0"/>
    </xf>
    <xf numFmtId="0" fontId="74" fillId="47" borderId="57" xfId="0" applyFont="1" applyFill="1" applyBorder="1" applyAlignment="1" applyProtection="1">
      <alignment horizontal="center" vertical="center" wrapText="1"/>
      <protection locked="0"/>
    </xf>
    <xf numFmtId="0" fontId="74" fillId="47" borderId="58" xfId="0" applyFont="1" applyFill="1" applyBorder="1" applyAlignment="1" applyProtection="1">
      <alignment horizontal="center" vertical="center" wrapText="1"/>
      <protection locked="0"/>
    </xf>
    <xf numFmtId="197" fontId="74" fillId="37" borderId="11" xfId="93" applyNumberFormat="1" applyFont="1" applyFill="1" applyBorder="1" applyAlignment="1" applyProtection="1">
      <alignment horizontal="center" vertical="center" wrapText="1"/>
      <protection locked="0"/>
    </xf>
    <xf numFmtId="0" fontId="74" fillId="51" borderId="163" xfId="0" applyFont="1" applyFill="1" applyBorder="1" applyAlignment="1" applyProtection="1">
      <alignment wrapText="1"/>
      <protection locked="0"/>
    </xf>
    <xf numFmtId="0" fontId="74" fillId="51" borderId="164" xfId="0" applyFont="1" applyFill="1" applyBorder="1" applyAlignment="1" applyProtection="1">
      <alignment wrapText="1"/>
      <protection locked="0"/>
    </xf>
    <xf numFmtId="0" fontId="74" fillId="51" borderId="165" xfId="0" applyFont="1" applyFill="1" applyBorder="1" applyAlignment="1" applyProtection="1">
      <alignment wrapText="1"/>
      <protection locked="0"/>
    </xf>
    <xf numFmtId="0" fontId="74" fillId="51" borderId="54" xfId="0" applyFont="1" applyFill="1" applyBorder="1" applyAlignment="1" applyProtection="1">
      <alignment wrapText="1"/>
      <protection locked="0"/>
    </xf>
    <xf numFmtId="0" fontId="74" fillId="51" borderId="0" xfId="0" applyFont="1" applyFill="1" applyBorder="1" applyAlignment="1" applyProtection="1">
      <alignment wrapText="1"/>
      <protection locked="0"/>
    </xf>
    <xf numFmtId="0" fontId="74" fillId="51" borderId="146" xfId="0" applyFont="1" applyFill="1" applyBorder="1" applyAlignment="1" applyProtection="1">
      <alignment wrapText="1"/>
      <protection locked="0"/>
    </xf>
    <xf numFmtId="3" fontId="74" fillId="37" borderId="11" xfId="93" applyNumberFormat="1" applyFont="1" applyFill="1" applyBorder="1" applyAlignment="1" applyProtection="1">
      <alignment horizontal="center" vertical="center" wrapText="1"/>
      <protection locked="0"/>
    </xf>
    <xf numFmtId="0" fontId="74" fillId="37" borderId="12" xfId="0" applyFont="1" applyFill="1" applyBorder="1" applyAlignment="1" applyProtection="1">
      <alignment horizontal="center" vertical="center" wrapText="1"/>
      <protection locked="0"/>
    </xf>
    <xf numFmtId="3" fontId="74" fillId="37" borderId="12" xfId="93" applyNumberFormat="1" applyFont="1" applyFill="1" applyBorder="1" applyAlignment="1" applyProtection="1">
      <alignment horizontal="center" vertical="center" wrapText="1"/>
      <protection locked="0"/>
    </xf>
    <xf numFmtId="0" fontId="74" fillId="51" borderId="145" xfId="0" applyFont="1" applyFill="1" applyBorder="1" applyAlignment="1" applyProtection="1">
      <alignment wrapText="1"/>
      <protection locked="0"/>
    </xf>
    <xf numFmtId="0" fontId="74" fillId="50" borderId="10" xfId="0" applyFont="1" applyFill="1" applyBorder="1" applyAlignment="1" applyProtection="1">
      <alignment horizontal="center" wrapText="1"/>
      <protection locked="0"/>
    </xf>
    <xf numFmtId="196" fontId="74" fillId="37" borderId="11" xfId="93" applyNumberFormat="1" applyFont="1" applyFill="1" applyBorder="1" applyAlignment="1" applyProtection="1">
      <alignment horizontal="center" vertical="center" wrapText="1"/>
      <protection locked="0"/>
    </xf>
    <xf numFmtId="0" fontId="74" fillId="48" borderId="54" xfId="0" applyFont="1" applyFill="1" applyBorder="1" applyAlignment="1" applyProtection="1">
      <alignment wrapText="1"/>
      <protection locked="0"/>
    </xf>
    <xf numFmtId="0" fontId="74" fillId="48" borderId="0" xfId="0" applyFont="1" applyFill="1" applyBorder="1" applyAlignment="1" applyProtection="1">
      <alignment wrapText="1"/>
      <protection locked="0"/>
    </xf>
    <xf numFmtId="0" fontId="74" fillId="48" borderId="146" xfId="0" applyFont="1" applyFill="1" applyBorder="1" applyAlignment="1" applyProtection="1">
      <alignment wrapText="1"/>
      <protection locked="0"/>
    </xf>
    <xf numFmtId="3" fontId="74" fillId="37" borderId="110" xfId="93" applyNumberFormat="1" applyFont="1" applyFill="1" applyBorder="1" applyAlignment="1" applyProtection="1">
      <alignment horizontal="center" vertical="center" wrapText="1"/>
      <protection locked="0"/>
    </xf>
    <xf numFmtId="167" fontId="74" fillId="37" borderId="70" xfId="93" applyNumberFormat="1" applyFont="1" applyFill="1" applyBorder="1" applyAlignment="1" applyProtection="1">
      <alignment horizontal="center" vertical="center" wrapText="1"/>
      <protection locked="0"/>
    </xf>
    <xf numFmtId="167" fontId="74" fillId="37" borderId="112" xfId="93" applyNumberFormat="1" applyFont="1" applyFill="1" applyBorder="1" applyAlignment="1" applyProtection="1">
      <alignment horizontal="center" vertical="center" wrapText="1"/>
      <protection locked="0"/>
    </xf>
    <xf numFmtId="0" fontId="74" fillId="37" borderId="39" xfId="0" applyFont="1" applyFill="1" applyBorder="1" applyAlignment="1" applyProtection="1">
      <alignment horizontal="center" vertical="center" wrapText="1"/>
      <protection locked="0"/>
    </xf>
    <xf numFmtId="167" fontId="74" fillId="37" borderId="134" xfId="93" applyNumberFormat="1" applyFont="1" applyFill="1" applyBorder="1" applyAlignment="1" applyProtection="1">
      <alignment horizontal="center" vertical="center" wrapText="1"/>
      <protection locked="0"/>
    </xf>
    <xf numFmtId="167" fontId="74" fillId="37" borderId="11" xfId="93" applyNumberFormat="1" applyFont="1" applyFill="1" applyBorder="1" applyAlignment="1" applyProtection="1">
      <alignment horizontal="center" vertical="center" wrapText="1"/>
      <protection locked="0"/>
    </xf>
    <xf numFmtId="203" fontId="74" fillId="37" borderId="11" xfId="93" applyNumberFormat="1" applyFont="1" applyFill="1" applyBorder="1" applyAlignment="1" applyProtection="1">
      <alignment horizontal="center" vertical="center" wrapText="1"/>
      <protection locked="0"/>
    </xf>
    <xf numFmtId="0" fontId="74" fillId="48" borderId="54" xfId="0" applyFont="1" applyFill="1" applyBorder="1" applyAlignment="1" applyProtection="1">
      <alignment horizontal="center" vertical="center" wrapText="1"/>
      <protection locked="0"/>
    </xf>
    <xf numFmtId="0" fontId="74" fillId="48" borderId="0" xfId="0" applyFont="1" applyFill="1" applyBorder="1" applyAlignment="1" applyProtection="1">
      <alignment horizontal="center" vertical="center" wrapText="1"/>
      <protection locked="0"/>
    </xf>
    <xf numFmtId="0" fontId="74" fillId="48" borderId="146" xfId="0" applyFont="1" applyFill="1" applyBorder="1" applyAlignment="1" applyProtection="1">
      <alignment horizontal="center" vertical="center" wrapText="1"/>
      <protection locked="0"/>
    </xf>
    <xf numFmtId="0" fontId="74" fillId="49" borderId="0" xfId="0" applyFont="1" applyFill="1" applyBorder="1" applyAlignment="1" applyProtection="1">
      <alignment horizontal="center" vertical="center" wrapText="1"/>
      <protection locked="0"/>
    </xf>
    <xf numFmtId="0" fontId="74" fillId="48" borderId="145" xfId="0" applyFont="1" applyFill="1" applyBorder="1" applyAlignment="1" applyProtection="1">
      <alignment horizontal="center" vertical="center" wrapText="1"/>
      <protection locked="0"/>
    </xf>
    <xf numFmtId="198" fontId="74" fillId="37" borderId="108" xfId="93" applyNumberFormat="1" applyFont="1" applyFill="1" applyBorder="1" applyAlignment="1" applyProtection="1">
      <alignment horizontal="center" vertical="center" wrapText="1"/>
      <protection locked="0"/>
    </xf>
    <xf numFmtId="191" fontId="74" fillId="37" borderId="108" xfId="93" applyNumberFormat="1" applyFont="1" applyFill="1" applyBorder="1" applyAlignment="1" applyProtection="1">
      <alignment horizontal="center" vertical="center" wrapText="1"/>
      <protection locked="0"/>
    </xf>
    <xf numFmtId="190" fontId="74" fillId="37" borderId="108" xfId="93" applyNumberFormat="1" applyFont="1" applyFill="1" applyBorder="1" applyAlignment="1" applyProtection="1">
      <alignment horizontal="center" vertical="center" wrapText="1"/>
      <protection locked="0"/>
    </xf>
    <xf numFmtId="190" fontId="74" fillId="37" borderId="106" xfId="93" applyNumberFormat="1" applyFont="1" applyFill="1" applyBorder="1" applyAlignment="1" applyProtection="1">
      <alignment horizontal="center" vertical="center" wrapText="1"/>
      <protection locked="0"/>
    </xf>
    <xf numFmtId="3" fontId="74" fillId="37" borderId="108" xfId="93" applyNumberFormat="1" applyFont="1" applyFill="1" applyBorder="1" applyAlignment="1" applyProtection="1">
      <alignment horizontal="center" vertical="center" wrapText="1"/>
      <protection locked="0"/>
    </xf>
    <xf numFmtId="189" fontId="74" fillId="37" borderId="133" xfId="93" applyNumberFormat="1" applyFont="1" applyFill="1" applyBorder="1" applyAlignment="1" applyProtection="1">
      <alignment horizontal="center" vertical="center" wrapText="1"/>
      <protection locked="0"/>
    </xf>
    <xf numFmtId="0" fontId="74" fillId="50" borderId="10" xfId="0" applyFont="1" applyFill="1" applyBorder="1" applyAlignment="1" applyProtection="1">
      <alignment horizontal="center" vertical="center" wrapText="1"/>
      <protection locked="0"/>
    </xf>
    <xf numFmtId="3" fontId="74" fillId="37" borderId="156" xfId="93" applyNumberFormat="1" applyFont="1" applyFill="1" applyBorder="1" applyAlignment="1" applyProtection="1">
      <alignment horizontal="center" vertical="center" wrapText="1"/>
      <protection locked="0"/>
    </xf>
    <xf numFmtId="165" fontId="74" fillId="37" borderId="149" xfId="51" applyNumberFormat="1" applyFont="1" applyFill="1" applyBorder="1" applyAlignment="1" applyProtection="1">
      <alignment horizontal="center" vertical="center" wrapText="1"/>
      <protection locked="0"/>
    </xf>
    <xf numFmtId="165" fontId="74" fillId="37" borderId="156" xfId="51" applyNumberFormat="1" applyFont="1" applyFill="1" applyBorder="1" applyAlignment="1" applyProtection="1">
      <alignment horizontal="center" vertical="center" wrapText="1"/>
      <protection locked="0"/>
    </xf>
    <xf numFmtId="201" fontId="74" fillId="37" borderId="69" xfId="93" applyNumberFormat="1" applyFont="1" applyFill="1" applyBorder="1" applyAlignment="1" applyProtection="1">
      <alignment horizontal="center" vertical="center" wrapText="1"/>
      <protection locked="0"/>
    </xf>
    <xf numFmtId="199" fontId="74" fillId="37" borderId="10" xfId="93" applyNumberFormat="1" applyFont="1" applyFill="1" applyBorder="1" applyAlignment="1" applyProtection="1">
      <alignment horizontal="center" vertical="center" wrapText="1"/>
      <protection locked="0"/>
    </xf>
    <xf numFmtId="200" fontId="74" fillId="37" borderId="10" xfId="93" applyNumberFormat="1" applyFont="1" applyFill="1" applyBorder="1" applyAlignment="1" applyProtection="1">
      <alignment horizontal="center" vertical="center" wrapText="1"/>
      <protection locked="0"/>
    </xf>
    <xf numFmtId="199" fontId="74" fillId="37" borderId="10" xfId="0" applyNumberFormat="1" applyFont="1" applyFill="1" applyBorder="1" applyAlignment="1" applyProtection="1">
      <alignment horizontal="center" vertical="center" wrapText="1"/>
      <protection locked="0"/>
    </xf>
    <xf numFmtId="208" fontId="74" fillId="37" borderId="10" xfId="93" applyNumberFormat="1" applyFont="1" applyFill="1" applyBorder="1" applyAlignment="1" applyProtection="1">
      <alignment horizontal="center" vertical="center" wrapText="1"/>
      <protection locked="0"/>
    </xf>
    <xf numFmtId="3" fontId="74" fillId="37" borderId="135" xfId="93" applyNumberFormat="1" applyFont="1" applyFill="1" applyBorder="1" applyAlignment="1" applyProtection="1">
      <alignment horizontal="center" vertical="center" wrapText="1"/>
      <protection locked="0"/>
    </xf>
    <xf numFmtId="205" fontId="74" fillId="37" borderId="10" xfId="93" applyNumberFormat="1" applyFont="1" applyFill="1" applyBorder="1" applyAlignment="1" applyProtection="1">
      <alignment horizontal="center" vertical="center" wrapText="1"/>
      <protection locked="0"/>
    </xf>
    <xf numFmtId="0" fontId="74" fillId="47" borderId="151" xfId="0" applyFont="1" applyFill="1" applyBorder="1" applyAlignment="1" applyProtection="1">
      <alignment horizontal="center" vertical="center" wrapText="1"/>
      <protection locked="0"/>
    </xf>
    <xf numFmtId="0" fontId="74" fillId="47" borderId="152" xfId="0" applyFont="1" applyFill="1" applyBorder="1" applyAlignment="1" applyProtection="1">
      <alignment horizontal="center" vertical="center" wrapText="1"/>
      <protection locked="0"/>
    </xf>
    <xf numFmtId="210" fontId="74" fillId="37" borderId="10" xfId="93" applyNumberFormat="1" applyFont="1" applyFill="1" applyBorder="1" applyAlignment="1" applyProtection="1">
      <alignment horizontal="center" vertical="center" wrapText="1"/>
      <protection locked="0"/>
    </xf>
    <xf numFmtId="165" fontId="74" fillId="37" borderId="10" xfId="51" applyNumberFormat="1" applyFont="1" applyFill="1" applyBorder="1" applyAlignment="1" applyProtection="1">
      <alignment horizontal="center" vertical="center" wrapText="1"/>
      <protection locked="0"/>
    </xf>
    <xf numFmtId="207" fontId="74" fillId="37" borderId="10" xfId="93" applyNumberFormat="1" applyFont="1" applyFill="1" applyBorder="1" applyAlignment="1" applyProtection="1">
      <alignment horizontal="center" vertical="center" wrapText="1"/>
      <protection locked="0"/>
    </xf>
    <xf numFmtId="0" fontId="74" fillId="37" borderId="139" xfId="0" applyFont="1" applyFill="1" applyBorder="1" applyAlignment="1" applyProtection="1">
      <alignment horizontal="center" vertical="center" wrapText="1"/>
      <protection locked="0"/>
    </xf>
    <xf numFmtId="209" fontId="74" fillId="37" borderId="10" xfId="93" applyNumberFormat="1" applyFont="1" applyFill="1" applyBorder="1" applyAlignment="1" applyProtection="1">
      <alignment horizontal="center" vertical="center" wrapText="1"/>
      <protection locked="0"/>
    </xf>
    <xf numFmtId="211" fontId="74" fillId="37" borderId="10" xfId="93" applyNumberFormat="1" applyFont="1" applyFill="1" applyBorder="1" applyAlignment="1" applyProtection="1">
      <alignment horizontal="center" vertical="center" wrapText="1"/>
      <protection locked="0"/>
    </xf>
    <xf numFmtId="167" fontId="74" fillId="37" borderId="10" xfId="93" applyNumberFormat="1" applyFont="1" applyFill="1" applyBorder="1" applyAlignment="1" applyProtection="1">
      <alignment horizontal="center" vertical="center" wrapText="1"/>
      <protection locked="0"/>
    </xf>
    <xf numFmtId="208" fontId="74" fillId="37" borderId="135" xfId="93" applyNumberFormat="1" applyFont="1" applyFill="1" applyBorder="1" applyAlignment="1" applyProtection="1">
      <alignment horizontal="center" vertical="center" wrapText="1"/>
      <protection locked="0"/>
    </xf>
    <xf numFmtId="208" fontId="110" fillId="37" borderId="135" xfId="93" applyNumberFormat="1" applyFont="1" applyFill="1" applyBorder="1" applyAlignment="1" applyProtection="1">
      <alignment horizontal="center" vertical="center" wrapText="1"/>
      <protection locked="0"/>
    </xf>
    <xf numFmtId="0" fontId="74" fillId="37" borderId="160" xfId="0" applyFont="1" applyFill="1" applyBorder="1" applyAlignment="1" applyProtection="1">
      <alignment horizontal="center" vertical="center" wrapText="1"/>
      <protection locked="0"/>
    </xf>
    <xf numFmtId="167" fontId="74" fillId="35" borderId="10" xfId="93" applyNumberFormat="1" applyFont="1" applyFill="1" applyBorder="1" applyAlignment="1" applyProtection="1">
      <alignment horizontal="center" vertical="center" wrapText="1"/>
      <protection locked="0"/>
    </xf>
    <xf numFmtId="208" fontId="74" fillId="37" borderId="10" xfId="51" applyNumberFormat="1" applyFont="1" applyFill="1" applyBorder="1" applyAlignment="1" applyProtection="1">
      <alignment horizontal="center" vertical="center" wrapText="1"/>
      <protection locked="0"/>
    </xf>
    <xf numFmtId="206" fontId="74" fillId="37" borderId="10" xfId="93" applyNumberFormat="1" applyFont="1" applyFill="1" applyBorder="1" applyAlignment="1" applyProtection="1">
      <alignment horizontal="center" vertical="center" wrapText="1"/>
      <protection locked="0"/>
    </xf>
    <xf numFmtId="213" fontId="74" fillId="37" borderId="10" xfId="93" applyNumberFormat="1" applyFont="1" applyFill="1" applyBorder="1" applyAlignment="1" applyProtection="1">
      <alignment horizontal="center" vertical="center" wrapText="1"/>
      <protection locked="0"/>
    </xf>
    <xf numFmtId="0" fontId="74" fillId="47" borderId="157" xfId="0" applyFont="1" applyFill="1" applyBorder="1" applyAlignment="1" applyProtection="1">
      <alignment horizontal="center" vertical="center" wrapText="1"/>
      <protection locked="0"/>
    </xf>
    <xf numFmtId="0" fontId="74" fillId="0" borderId="0" xfId="0" applyFont="1" applyAlignment="1" applyProtection="1">
      <alignment wrapText="1"/>
    </xf>
    <xf numFmtId="0" fontId="75" fillId="0" borderId="0" xfId="0" applyFont="1" applyAlignment="1" applyProtection="1">
      <alignment wrapText="1"/>
    </xf>
    <xf numFmtId="0" fontId="75" fillId="0" borderId="0" xfId="0" applyFont="1" applyAlignment="1" applyProtection="1">
      <alignment horizontal="center" vertical="center" wrapText="1"/>
    </xf>
    <xf numFmtId="0" fontId="96" fillId="35" borderId="0" xfId="187" applyFont="1" applyFill="1" applyBorder="1" applyAlignment="1" applyProtection="1">
      <alignment vertical="top"/>
    </xf>
    <xf numFmtId="0" fontId="74" fillId="35" borderId="0" xfId="187" applyFont="1" applyFill="1" applyBorder="1" applyProtection="1"/>
    <xf numFmtId="0" fontId="74" fillId="0" borderId="0" xfId="187" applyFont="1" applyBorder="1" applyProtection="1"/>
    <xf numFmtId="0" fontId="74" fillId="0" borderId="0" xfId="0" applyFont="1" applyAlignment="1" applyProtection="1">
      <alignment horizontal="center" vertical="center" wrapText="1"/>
    </xf>
    <xf numFmtId="0" fontId="76" fillId="33" borderId="10" xfId="0" applyFont="1" applyFill="1" applyBorder="1" applyAlignment="1" applyProtection="1">
      <alignment wrapText="1"/>
    </xf>
    <xf numFmtId="0" fontId="74" fillId="0" borderId="39" xfId="0" applyFont="1" applyBorder="1" applyAlignment="1" applyProtection="1">
      <alignment vertical="center" wrapText="1"/>
    </xf>
    <xf numFmtId="0" fontId="74" fillId="0" borderId="10" xfId="0" applyFont="1" applyBorder="1" applyAlignment="1" applyProtection="1">
      <alignment vertical="center" wrapText="1"/>
    </xf>
    <xf numFmtId="0" fontId="74" fillId="0" borderId="134" xfId="0" applyFont="1" applyBorder="1" applyAlignment="1" applyProtection="1">
      <alignment vertical="center" wrapText="1"/>
    </xf>
    <xf numFmtId="0" fontId="76" fillId="33" borderId="10" xfId="0" applyFont="1" applyFill="1" applyBorder="1" applyAlignment="1" applyProtection="1">
      <alignment horizontal="center" vertical="center" wrapText="1"/>
    </xf>
    <xf numFmtId="0" fontId="76" fillId="33" borderId="134" xfId="0" applyFont="1" applyFill="1" applyBorder="1" applyAlignment="1" applyProtection="1">
      <alignment horizontal="center" wrapText="1"/>
    </xf>
    <xf numFmtId="0" fontId="76" fillId="33" borderId="10" xfId="0" applyFont="1" applyFill="1" applyBorder="1" applyAlignment="1" applyProtection="1">
      <alignment horizontal="center" wrapText="1"/>
    </xf>
    <xf numFmtId="0" fontId="74" fillId="0" borderId="134" xfId="0" applyFont="1" applyBorder="1" applyAlignment="1" applyProtection="1">
      <alignment horizontal="center" vertical="center" wrapText="1"/>
    </xf>
    <xf numFmtId="0" fontId="74" fillId="0" borderId="149" xfId="0" applyFont="1" applyBorder="1" applyAlignment="1" applyProtection="1">
      <alignment vertical="center" wrapText="1"/>
    </xf>
    <xf numFmtId="0" fontId="76" fillId="33" borderId="134" xfId="0" applyFont="1" applyFill="1" applyBorder="1" applyAlignment="1" applyProtection="1">
      <alignment horizontal="center" vertical="center" wrapText="1"/>
    </xf>
    <xf numFmtId="0" fontId="74" fillId="0" borderId="11" xfId="0" applyFont="1" applyBorder="1" applyAlignment="1" applyProtection="1">
      <alignment horizontal="center" vertical="center" wrapText="1"/>
    </xf>
    <xf numFmtId="0" fontId="74" fillId="0" borderId="149" xfId="0" applyFont="1" applyBorder="1" applyAlignment="1" applyProtection="1">
      <alignment horizontal="center" vertical="center" wrapText="1"/>
    </xf>
    <xf numFmtId="185" fontId="74" fillId="35" borderId="10" xfId="0" applyNumberFormat="1" applyFont="1" applyFill="1" applyBorder="1" applyAlignment="1" applyProtection="1">
      <alignment vertical="center" wrapText="1"/>
    </xf>
    <xf numFmtId="0" fontId="76" fillId="33" borderId="137" xfId="0" applyFont="1" applyFill="1" applyBorder="1" applyAlignment="1" applyProtection="1">
      <alignment horizontal="center" wrapText="1"/>
    </xf>
    <xf numFmtId="185" fontId="74" fillId="35" borderId="59" xfId="0" applyNumberFormat="1" applyFont="1" applyFill="1" applyBorder="1" applyAlignment="1" applyProtection="1">
      <alignment horizontal="center" vertical="center" wrapText="1"/>
    </xf>
    <xf numFmtId="188" fontId="74" fillId="35" borderId="135" xfId="0" applyNumberFormat="1" applyFont="1" applyFill="1" applyBorder="1" applyAlignment="1" applyProtection="1">
      <alignment horizontal="center" vertical="center" wrapText="1"/>
    </xf>
    <xf numFmtId="187" fontId="74" fillId="35" borderId="56" xfId="0" applyNumberFormat="1" applyFont="1" applyFill="1" applyBorder="1" applyAlignment="1" applyProtection="1">
      <alignment horizontal="center" vertical="center" wrapText="1"/>
    </xf>
    <xf numFmtId="0" fontId="74" fillId="0" borderId="39" xfId="0" applyFont="1" applyBorder="1" applyAlignment="1" applyProtection="1">
      <alignment wrapText="1"/>
    </xf>
    <xf numFmtId="0" fontId="74" fillId="0" borderId="10" xfId="0" applyFont="1" applyBorder="1" applyAlignment="1" applyProtection="1">
      <alignment wrapText="1"/>
    </xf>
    <xf numFmtId="0" fontId="74" fillId="0" borderId="157" xfId="0" applyFont="1" applyBorder="1" applyAlignment="1" applyProtection="1">
      <alignment horizontal="center" vertical="center" wrapText="1"/>
    </xf>
    <xf numFmtId="3" fontId="74" fillId="35" borderId="10" xfId="93" applyNumberFormat="1" applyFont="1" applyFill="1" applyBorder="1" applyAlignment="1" applyProtection="1">
      <alignment horizontal="center" vertical="center" wrapText="1"/>
    </xf>
    <xf numFmtId="202" fontId="74" fillId="35" borderId="10" xfId="93" applyNumberFormat="1" applyFont="1" applyFill="1" applyBorder="1" applyAlignment="1" applyProtection="1">
      <alignment horizontal="center" vertical="center" wrapText="1"/>
    </xf>
    <xf numFmtId="3" fontId="74" fillId="35" borderId="149" xfId="93" applyNumberFormat="1" applyFont="1" applyFill="1" applyBorder="1" applyAlignment="1" applyProtection="1">
      <alignment horizontal="center" vertical="center" wrapText="1"/>
    </xf>
    <xf numFmtId="0" fontId="76" fillId="33" borderId="10" xfId="0" applyFont="1" applyFill="1" applyBorder="1" applyAlignment="1" applyProtection="1">
      <alignment horizontal="left" wrapText="1"/>
    </xf>
    <xf numFmtId="0" fontId="74" fillId="0" borderId="134" xfId="0" applyFont="1" applyBorder="1" applyAlignment="1" applyProtection="1">
      <alignment wrapText="1"/>
    </xf>
    <xf numFmtId="0" fontId="74" fillId="0" borderId="39" xfId="0" applyFont="1" applyBorder="1" applyAlignment="1" applyProtection="1">
      <alignment horizontal="center" vertical="center" wrapText="1"/>
    </xf>
    <xf numFmtId="3" fontId="74" fillId="35" borderId="134" xfId="93" applyNumberFormat="1" applyFont="1" applyFill="1" applyBorder="1" applyAlignment="1" applyProtection="1">
      <alignment horizontal="center" vertical="center" wrapText="1"/>
    </xf>
    <xf numFmtId="0" fontId="74" fillId="0" borderId="149" xfId="0" applyFont="1" applyBorder="1" applyAlignment="1" applyProtection="1">
      <alignment wrapText="1"/>
    </xf>
    <xf numFmtId="0" fontId="74" fillId="0" borderId="141" xfId="0" applyFont="1" applyBorder="1" applyAlignment="1" applyProtection="1">
      <alignment horizontal="center" vertical="center" wrapText="1"/>
    </xf>
    <xf numFmtId="0" fontId="74" fillId="0" borderId="156" xfId="0" applyFont="1" applyBorder="1" applyAlignment="1" applyProtection="1">
      <alignment horizontal="center" vertical="center" wrapText="1"/>
    </xf>
    <xf numFmtId="0" fontId="74" fillId="0" borderId="167" xfId="0" applyFont="1" applyBorder="1" applyAlignment="1" applyProtection="1">
      <alignment horizontal="center" vertical="center" wrapText="1"/>
    </xf>
    <xf numFmtId="0" fontId="74" fillId="0" borderId="149" xfId="0" applyFont="1" applyBorder="1" applyAlignment="1" applyProtection="1">
      <alignment horizontal="center" wrapText="1"/>
    </xf>
    <xf numFmtId="0" fontId="74" fillId="0" borderId="159" xfId="0" applyFont="1" applyBorder="1" applyAlignment="1" applyProtection="1">
      <alignment horizontal="center" vertical="center" wrapText="1"/>
    </xf>
    <xf numFmtId="203" fontId="74" fillId="0" borderId="134" xfId="0" applyNumberFormat="1" applyFont="1" applyFill="1" applyBorder="1" applyAlignment="1" applyProtection="1">
      <alignment horizontal="center" vertical="center" wrapText="1"/>
    </xf>
    <xf numFmtId="197" fontId="74" fillId="35" borderId="10" xfId="93" applyNumberFormat="1" applyFont="1" applyFill="1" applyBorder="1" applyAlignment="1" applyProtection="1">
      <alignment horizontal="center" vertical="center" wrapText="1"/>
    </xf>
    <xf numFmtId="3" fontId="74" fillId="35" borderId="156" xfId="93" applyNumberFormat="1" applyFont="1" applyFill="1" applyBorder="1" applyAlignment="1" applyProtection="1">
      <alignment horizontal="center" vertical="center" wrapText="1"/>
    </xf>
    <xf numFmtId="196" fontId="74" fillId="35" borderId="10" xfId="93" applyNumberFormat="1" applyFont="1" applyFill="1" applyBorder="1" applyAlignment="1" applyProtection="1">
      <alignment horizontal="center" vertical="center" wrapText="1"/>
    </xf>
    <xf numFmtId="3" fontId="74" fillId="35" borderId="72" xfId="93" applyNumberFormat="1" applyFont="1" applyFill="1" applyBorder="1" applyAlignment="1" applyProtection="1">
      <alignment horizontal="center" vertical="center" wrapText="1"/>
    </xf>
    <xf numFmtId="0" fontId="74" fillId="0" borderId="12" xfId="0" applyFont="1" applyBorder="1" applyAlignment="1" applyProtection="1">
      <alignment horizontal="center" vertical="center" wrapText="1"/>
    </xf>
    <xf numFmtId="0" fontId="74" fillId="0" borderId="166" xfId="0" applyFont="1" applyBorder="1" applyAlignment="1" applyProtection="1">
      <alignment horizontal="center" vertical="center" wrapText="1"/>
    </xf>
    <xf numFmtId="203" fontId="74" fillId="35" borderId="10" xfId="93" applyNumberFormat="1" applyFont="1" applyFill="1" applyBorder="1" applyAlignment="1" applyProtection="1">
      <alignment horizontal="center" vertical="center" wrapText="1"/>
    </xf>
    <xf numFmtId="0" fontId="74" fillId="35" borderId="10" xfId="0" applyFont="1" applyFill="1" applyBorder="1" applyAlignment="1" applyProtection="1">
      <alignment wrapText="1"/>
    </xf>
    <xf numFmtId="199" fontId="74" fillId="35" borderId="10" xfId="93" applyNumberFormat="1" applyFont="1" applyFill="1" applyBorder="1" applyAlignment="1" applyProtection="1">
      <alignment horizontal="center" vertical="center" wrapText="1"/>
    </xf>
    <xf numFmtId="200" fontId="74" fillId="35" borderId="10" xfId="93" applyNumberFormat="1" applyFont="1" applyFill="1" applyBorder="1" applyAlignment="1" applyProtection="1">
      <alignment horizontal="center" vertical="center" wrapText="1"/>
    </xf>
    <xf numFmtId="189" fontId="74" fillId="35" borderId="133" xfId="93" applyNumberFormat="1" applyFont="1" applyFill="1" applyBorder="1" applyAlignment="1" applyProtection="1">
      <alignment horizontal="center" vertical="center" wrapText="1"/>
    </xf>
    <xf numFmtId="0" fontId="74" fillId="0" borderId="10" xfId="0" applyFont="1" applyBorder="1" applyAlignment="1" applyProtection="1">
      <alignment horizontal="center" wrapText="1"/>
    </xf>
    <xf numFmtId="0" fontId="74" fillId="0" borderId="11" xfId="0" applyFont="1" applyBorder="1" applyAlignment="1" applyProtection="1">
      <alignment horizontal="center" wrapText="1"/>
    </xf>
    <xf numFmtId="208" fontId="74" fillId="35" borderId="10" xfId="0" applyNumberFormat="1" applyFont="1" applyFill="1" applyBorder="1" applyAlignment="1" applyProtection="1">
      <alignment horizontal="center" vertical="center" wrapText="1"/>
    </xf>
    <xf numFmtId="0" fontId="74" fillId="0" borderId="134" xfId="0" applyFont="1" applyBorder="1" applyAlignment="1" applyProtection="1">
      <alignment horizontal="center" wrapText="1"/>
    </xf>
    <xf numFmtId="0" fontId="74" fillId="0" borderId="10" xfId="0" applyFont="1" applyBorder="1" applyAlignment="1" applyProtection="1">
      <alignment horizontal="left" wrapText="1"/>
    </xf>
    <xf numFmtId="167" fontId="74" fillId="35" borderId="10" xfId="93" applyNumberFormat="1" applyFont="1" applyFill="1" applyBorder="1" applyAlignment="1" applyProtection="1">
      <alignment horizontal="center" vertical="center" wrapText="1"/>
    </xf>
    <xf numFmtId="206" fontId="74" fillId="35" borderId="10" xfId="93" applyNumberFormat="1" applyFont="1" applyFill="1" applyBorder="1" applyAlignment="1" applyProtection="1">
      <alignment horizontal="center" vertical="center" wrapText="1"/>
    </xf>
    <xf numFmtId="209" fontId="74" fillId="35" borderId="10" xfId="93" applyNumberFormat="1" applyFont="1" applyFill="1" applyBorder="1" applyAlignment="1" applyProtection="1">
      <alignment horizontal="center" vertical="center" wrapText="1"/>
    </xf>
    <xf numFmtId="165" fontId="74" fillId="35" borderId="10" xfId="51" applyNumberFormat="1" applyFont="1" applyFill="1" applyBorder="1" applyAlignment="1" applyProtection="1">
      <alignment horizontal="center" vertical="center" wrapText="1"/>
    </xf>
    <xf numFmtId="211" fontId="74" fillId="35" borderId="10" xfId="93" applyNumberFormat="1" applyFont="1" applyFill="1" applyBorder="1" applyAlignment="1" applyProtection="1">
      <alignment horizontal="center" vertical="center" wrapText="1"/>
    </xf>
    <xf numFmtId="210" fontId="74" fillId="35" borderId="10" xfId="93" applyNumberFormat="1" applyFont="1" applyFill="1" applyBorder="1" applyAlignment="1" applyProtection="1">
      <alignment horizontal="center" vertical="center" wrapText="1"/>
    </xf>
    <xf numFmtId="207" fontId="74" fillId="35" borderId="10" xfId="93" applyNumberFormat="1" applyFont="1" applyFill="1" applyBorder="1" applyAlignment="1" applyProtection="1">
      <alignment horizontal="center" vertical="center" wrapText="1"/>
    </xf>
    <xf numFmtId="0" fontId="74" fillId="35" borderId="10" xfId="93" applyNumberFormat="1" applyFont="1" applyFill="1" applyBorder="1" applyAlignment="1" applyProtection="1">
      <alignment horizontal="center" vertical="center" wrapText="1"/>
    </xf>
    <xf numFmtId="205" fontId="74" fillId="35" borderId="10" xfId="93" applyNumberFormat="1" applyFont="1" applyFill="1" applyBorder="1" applyAlignment="1" applyProtection="1">
      <alignment horizontal="center" vertical="center" wrapText="1"/>
    </xf>
    <xf numFmtId="0" fontId="74" fillId="48" borderId="39" xfId="0" applyFont="1" applyFill="1" applyBorder="1" applyAlignment="1" applyProtection="1">
      <alignment horizontal="center" vertical="center" wrapText="1"/>
    </xf>
    <xf numFmtId="0" fontId="74" fillId="48" borderId="139" xfId="0" applyFont="1" applyFill="1" applyBorder="1" applyAlignment="1" applyProtection="1">
      <alignment horizontal="center" vertical="center" wrapText="1"/>
    </xf>
    <xf numFmtId="0" fontId="74" fillId="47" borderId="134" xfId="0" applyFont="1" applyFill="1" applyBorder="1" applyAlignment="1" applyProtection="1">
      <alignment horizontal="center" vertical="center" wrapText="1"/>
    </xf>
    <xf numFmtId="0" fontId="117" fillId="0" borderId="0" xfId="0" applyFont="1" applyProtection="1">
      <protection locked="0"/>
    </xf>
    <xf numFmtId="0" fontId="74" fillId="37" borderId="149" xfId="0" applyFont="1" applyFill="1" applyBorder="1" applyAlignment="1" applyProtection="1">
      <alignment horizontal="center"/>
      <protection locked="0"/>
    </xf>
    <xf numFmtId="0" fontId="74" fillId="35" borderId="28" xfId="0" applyFont="1" applyFill="1" applyBorder="1" applyProtection="1">
      <protection locked="0"/>
    </xf>
    <xf numFmtId="2" fontId="74" fillId="37" borderId="47" xfId="0" applyNumberFormat="1" applyFont="1" applyFill="1" applyBorder="1" applyProtection="1">
      <protection locked="0"/>
    </xf>
    <xf numFmtId="0" fontId="74" fillId="35" borderId="14" xfId="0" applyFont="1" applyFill="1" applyBorder="1" applyProtection="1">
      <protection locked="0"/>
    </xf>
    <xf numFmtId="0" fontId="74" fillId="35" borderId="26" xfId="0" applyFont="1" applyFill="1" applyBorder="1" applyProtection="1">
      <protection locked="0"/>
    </xf>
    <xf numFmtId="0" fontId="74" fillId="35" borderId="19" xfId="0" applyFont="1" applyFill="1" applyBorder="1" applyProtection="1">
      <protection locked="0"/>
    </xf>
    <xf numFmtId="0" fontId="74" fillId="35" borderId="27" xfId="0" applyFont="1" applyFill="1" applyBorder="1" applyProtection="1">
      <protection locked="0"/>
    </xf>
    <xf numFmtId="0" fontId="74" fillId="35" borderId="17" xfId="0" applyFont="1" applyFill="1" applyBorder="1" applyProtection="1">
      <protection locked="0"/>
    </xf>
    <xf numFmtId="0" fontId="74" fillId="35" borderId="32" xfId="0" applyFont="1" applyFill="1" applyBorder="1" applyProtection="1">
      <protection locked="0"/>
    </xf>
    <xf numFmtId="0" fontId="74" fillId="35" borderId="21" xfId="0" applyFont="1" applyFill="1" applyBorder="1" applyProtection="1">
      <protection locked="0"/>
    </xf>
    <xf numFmtId="0" fontId="74" fillId="33" borderId="114" xfId="0" applyFont="1" applyFill="1" applyBorder="1" applyAlignment="1" applyProtection="1">
      <alignment horizontal="center" vertical="top" wrapText="1"/>
    </xf>
    <xf numFmtId="0" fontId="74" fillId="0" borderId="36" xfId="0" applyFont="1" applyFill="1" applyBorder="1" applyAlignment="1" applyProtection="1">
      <alignment horizontal="center" vertical="top" wrapText="1"/>
    </xf>
    <xf numFmtId="0" fontId="89" fillId="0" borderId="27" xfId="0" applyFont="1" applyFill="1" applyBorder="1" applyAlignment="1" applyProtection="1">
      <alignment horizontal="left"/>
    </xf>
    <xf numFmtId="0" fontId="89" fillId="0" borderId="0" xfId="0" applyFont="1" applyFill="1" applyBorder="1" applyAlignment="1" applyProtection="1">
      <alignment horizontal="left"/>
    </xf>
    <xf numFmtId="0" fontId="89" fillId="0" borderId="146" xfId="0" applyFont="1" applyFill="1" applyBorder="1" applyAlignment="1" applyProtection="1">
      <alignment horizontal="left"/>
    </xf>
    <xf numFmtId="3" fontId="74" fillId="0" borderId="36" xfId="0" applyNumberFormat="1" applyFont="1" applyFill="1" applyBorder="1" applyAlignment="1" applyProtection="1">
      <alignment horizontal="center"/>
    </xf>
    <xf numFmtId="0" fontId="74" fillId="35" borderId="10" xfId="0" applyFont="1" applyFill="1" applyBorder="1" applyAlignment="1" applyProtection="1">
      <alignment horizontal="center"/>
    </xf>
    <xf numFmtId="1" fontId="74" fillId="35" borderId="10" xfId="0" applyNumberFormat="1" applyFont="1" applyFill="1" applyBorder="1" applyAlignment="1" applyProtection="1">
      <alignment horizontal="center"/>
    </xf>
    <xf numFmtId="1" fontId="74" fillId="35" borderId="47" xfId="0" applyNumberFormat="1" applyFont="1" applyFill="1" applyBorder="1" applyAlignment="1" applyProtection="1">
      <alignment horizontal="center"/>
    </xf>
    <xf numFmtId="0" fontId="74" fillId="33" borderId="36" xfId="0" applyFont="1" applyFill="1" applyBorder="1" applyAlignment="1" applyProtection="1">
      <alignment horizontal="center" vertical="center" wrapText="1"/>
    </xf>
    <xf numFmtId="0" fontId="74" fillId="0" borderId="27" xfId="0" applyFont="1" applyFill="1" applyBorder="1" applyAlignment="1" applyProtection="1">
      <alignment horizontal="left" vertical="top" wrapText="1"/>
    </xf>
    <xf numFmtId="0" fontId="74" fillId="0" borderId="0" xfId="0" applyFont="1" applyFill="1" applyBorder="1" applyAlignment="1" applyProtection="1">
      <alignment horizontal="left" vertical="top" wrapText="1"/>
    </xf>
    <xf numFmtId="167" fontId="74" fillId="0" borderId="10" xfId="0" applyNumberFormat="1" applyFont="1" applyBorder="1" applyAlignment="1" applyProtection="1">
      <alignment horizontal="center"/>
    </xf>
    <xf numFmtId="0" fontId="74" fillId="0" borderId="149" xfId="0" applyFont="1" applyBorder="1" applyAlignment="1" applyProtection="1">
      <alignment horizontal="center"/>
    </xf>
    <xf numFmtId="0" fontId="74" fillId="0" borderId="59" xfId="0" applyFont="1" applyFill="1" applyBorder="1" applyAlignment="1" applyProtection="1">
      <alignment horizontal="center" vertical="top" wrapText="1"/>
    </xf>
    <xf numFmtId="0" fontId="74" fillId="0" borderId="61" xfId="0" applyFont="1" applyFill="1" applyBorder="1" applyAlignment="1" applyProtection="1">
      <alignment horizontal="center" vertical="top" wrapText="1"/>
    </xf>
    <xf numFmtId="0" fontId="74" fillId="0" borderId="58" xfId="0" applyFont="1" applyFill="1" applyBorder="1" applyAlignment="1" applyProtection="1">
      <alignment horizontal="center" vertical="top" wrapText="1"/>
    </xf>
    <xf numFmtId="0" fontId="74" fillId="0" borderId="39" xfId="0" applyFont="1" applyFill="1" applyBorder="1" applyAlignment="1" applyProtection="1">
      <alignment horizontal="center" vertical="top" wrapText="1"/>
    </xf>
    <xf numFmtId="0" fontId="74" fillId="0" borderId="52" xfId="0" applyFont="1" applyFill="1" applyBorder="1" applyAlignment="1" applyProtection="1">
      <alignment horizontal="center" vertical="top" wrapText="1"/>
    </xf>
    <xf numFmtId="0" fontId="74" fillId="33" borderId="35" xfId="0" applyFont="1" applyFill="1" applyBorder="1" applyProtection="1"/>
    <xf numFmtId="0" fontId="74" fillId="33" borderId="41" xfId="0" applyFont="1" applyFill="1" applyBorder="1" applyProtection="1"/>
    <xf numFmtId="0" fontId="74" fillId="33" borderId="49" xfId="0" applyFont="1" applyFill="1" applyBorder="1" applyProtection="1"/>
    <xf numFmtId="0" fontId="74" fillId="0" borderId="36" xfId="0" applyFont="1" applyFill="1" applyBorder="1" applyProtection="1"/>
    <xf numFmtId="2" fontId="74" fillId="0" borderId="10" xfId="0" applyNumberFormat="1" applyFont="1" applyFill="1" applyBorder="1" applyProtection="1"/>
    <xf numFmtId="0" fontId="74" fillId="0" borderId="37" xfId="0" applyFont="1" applyBorder="1" applyProtection="1"/>
    <xf numFmtId="0" fontId="74" fillId="0" borderId="42" xfId="0" applyFont="1" applyBorder="1" applyProtection="1"/>
    <xf numFmtId="0" fontId="74" fillId="0" borderId="50" xfId="0" applyFont="1" applyBorder="1" applyProtection="1"/>
    <xf numFmtId="0" fontId="76" fillId="33" borderId="35" xfId="0" applyFont="1" applyFill="1" applyBorder="1" applyProtection="1"/>
    <xf numFmtId="0" fontId="76" fillId="33" borderId="36" xfId="0" applyFont="1" applyFill="1" applyBorder="1" applyAlignment="1" applyProtection="1">
      <alignment horizontal="center"/>
    </xf>
    <xf numFmtId="0" fontId="76" fillId="33" borderId="41" xfId="0" applyFont="1" applyFill="1" applyBorder="1" applyProtection="1"/>
    <xf numFmtId="0" fontId="76" fillId="33" borderId="59" xfId="0" applyFont="1" applyFill="1" applyBorder="1" applyAlignment="1" applyProtection="1">
      <alignment horizontal="center"/>
    </xf>
    <xf numFmtId="0" fontId="74" fillId="0" borderId="41" xfId="0" applyFont="1" applyBorder="1" applyProtection="1"/>
    <xf numFmtId="3" fontId="74" fillId="0" borderId="10" xfId="0" applyNumberFormat="1" applyFont="1" applyFill="1" applyBorder="1" applyProtection="1"/>
    <xf numFmtId="174" fontId="74" fillId="0" borderId="10" xfId="0" applyNumberFormat="1" applyFont="1" applyBorder="1" applyProtection="1"/>
    <xf numFmtId="0" fontId="100" fillId="33" borderId="13" xfId="0" applyFont="1" applyFill="1" applyBorder="1" applyAlignment="1" applyProtection="1">
      <alignment horizontal="center"/>
    </xf>
    <xf numFmtId="9" fontId="74" fillId="0" borderId="10" xfId="0" applyNumberFormat="1" applyFont="1" applyBorder="1" applyProtection="1"/>
    <xf numFmtId="0" fontId="100" fillId="33" borderId="167" xfId="0" applyFont="1" applyFill="1" applyBorder="1" applyAlignment="1" applyProtection="1">
      <alignment horizontal="center"/>
    </xf>
    <xf numFmtId="0" fontId="87" fillId="0" borderId="41" xfId="0" applyFont="1" applyFill="1" applyBorder="1" applyProtection="1"/>
    <xf numFmtId="0" fontId="100" fillId="33" borderId="10" xfId="0" applyFont="1" applyFill="1" applyBorder="1" applyAlignment="1" applyProtection="1">
      <alignment horizontal="center"/>
    </xf>
    <xf numFmtId="3" fontId="74" fillId="35" borderId="10" xfId="0" applyNumberFormat="1" applyFont="1" applyFill="1" applyBorder="1" applyProtection="1"/>
    <xf numFmtId="0" fontId="87" fillId="0" borderId="49" xfId="0" applyFont="1" applyFill="1" applyBorder="1" applyProtection="1"/>
    <xf numFmtId="0" fontId="100" fillId="33" borderId="47" xfId="0" applyFont="1" applyFill="1" applyBorder="1" applyAlignment="1" applyProtection="1">
      <alignment horizontal="center"/>
    </xf>
    <xf numFmtId="9" fontId="74" fillId="0" borderId="38" xfId="51" applyNumberFormat="1" applyFont="1" applyBorder="1" applyProtection="1"/>
    <xf numFmtId="0" fontId="74" fillId="0" borderId="40" xfId="28" applyNumberFormat="1" applyFont="1" applyBorder="1" applyProtection="1"/>
    <xf numFmtId="175" fontId="74" fillId="0" borderId="42" xfId="28" applyNumberFormat="1" applyFont="1" applyBorder="1" applyProtection="1"/>
    <xf numFmtId="9" fontId="74" fillId="0" borderId="43" xfId="51" applyNumberFormat="1" applyFont="1" applyBorder="1" applyProtection="1"/>
    <xf numFmtId="175" fontId="74" fillId="0" borderId="44" xfId="28" applyNumberFormat="1" applyFont="1" applyBorder="1" applyProtection="1"/>
    <xf numFmtId="9" fontId="74" fillId="0" borderId="23" xfId="51" applyNumberFormat="1" applyFont="1" applyBorder="1" applyProtection="1"/>
    <xf numFmtId="175" fontId="74" fillId="0" borderId="85" xfId="28" applyNumberFormat="1" applyFont="1" applyBorder="1" applyProtection="1"/>
    <xf numFmtId="0" fontId="100" fillId="33" borderId="22" xfId="0" applyFont="1" applyFill="1" applyBorder="1" applyProtection="1"/>
    <xf numFmtId="0" fontId="76" fillId="33" borderId="33" xfId="0" applyFont="1" applyFill="1" applyBorder="1" applyAlignment="1" applyProtection="1">
      <alignment horizontal="center"/>
    </xf>
    <xf numFmtId="0" fontId="76" fillId="33" borderId="34" xfId="0" applyFont="1" applyFill="1" applyBorder="1" applyAlignment="1" applyProtection="1">
      <alignment horizontal="center"/>
    </xf>
    <xf numFmtId="0" fontId="100" fillId="33" borderId="38" xfId="0" applyFont="1" applyFill="1" applyBorder="1" applyProtection="1"/>
    <xf numFmtId="0" fontId="76" fillId="33" borderId="39" xfId="0" applyFont="1" applyFill="1" applyBorder="1" applyAlignment="1" applyProtection="1">
      <alignment horizontal="center"/>
    </xf>
    <xf numFmtId="0" fontId="76" fillId="33" borderId="40" xfId="0" applyFont="1" applyFill="1" applyBorder="1" applyAlignment="1" applyProtection="1">
      <alignment horizontal="center"/>
    </xf>
    <xf numFmtId="0" fontId="74" fillId="0" borderId="38" xfId="0" applyFont="1" applyBorder="1" applyProtection="1"/>
    <xf numFmtId="3" fontId="74" fillId="0" borderId="38" xfId="0" applyNumberFormat="1" applyFont="1" applyFill="1" applyBorder="1" applyProtection="1"/>
    <xf numFmtId="3" fontId="74" fillId="0" borderId="40" xfId="0" applyNumberFormat="1" applyFont="1" applyFill="1" applyBorder="1" applyProtection="1"/>
    <xf numFmtId="3" fontId="74" fillId="0" borderId="41" xfId="0" applyNumberFormat="1" applyFont="1" applyFill="1" applyBorder="1" applyProtection="1"/>
    <xf numFmtId="3" fontId="74" fillId="0" borderId="42" xfId="0" applyNumberFormat="1" applyFont="1" applyFill="1" applyBorder="1" applyProtection="1"/>
    <xf numFmtId="0" fontId="74" fillId="0" borderId="172" xfId="0" applyFont="1" applyBorder="1" applyProtection="1"/>
    <xf numFmtId="3" fontId="74" fillId="0" borderId="49" xfId="0" applyNumberFormat="1" applyFont="1" applyFill="1" applyBorder="1" applyProtection="1"/>
    <xf numFmtId="3" fontId="74" fillId="0" borderId="50" xfId="0" applyNumberFormat="1" applyFont="1" applyFill="1" applyBorder="1" applyProtection="1"/>
    <xf numFmtId="0" fontId="76" fillId="0" borderId="0" xfId="0" applyFont="1" applyProtection="1">
      <protection locked="0"/>
    </xf>
    <xf numFmtId="0" fontId="76" fillId="35" borderId="0" xfId="61" applyFont="1" applyFill="1" applyProtection="1">
      <protection locked="0"/>
    </xf>
    <xf numFmtId="0" fontId="76" fillId="0" borderId="0" xfId="61" applyFont="1" applyFill="1" applyBorder="1" applyAlignment="1" applyProtection="1">
      <alignment horizontal="center" vertical="center" wrapText="1"/>
      <protection locked="0"/>
    </xf>
    <xf numFmtId="0" fontId="74" fillId="35" borderId="0" xfId="61" applyFont="1" applyFill="1" applyProtection="1">
      <protection locked="0"/>
    </xf>
    <xf numFmtId="0" fontId="86" fillId="0" borderId="0" xfId="61" applyFont="1" applyFill="1" applyBorder="1" applyAlignment="1" applyProtection="1">
      <alignment vertical="center"/>
      <protection locked="0"/>
    </xf>
    <xf numFmtId="0" fontId="74" fillId="0" borderId="0" xfId="61" applyFont="1" applyProtection="1">
      <protection locked="0"/>
    </xf>
    <xf numFmtId="174" fontId="74" fillId="0" borderId="0" xfId="61" applyNumberFormat="1" applyFont="1" applyFill="1" applyBorder="1" applyAlignment="1" applyProtection="1">
      <alignment horizontal="center" vertical="center"/>
      <protection locked="0"/>
    </xf>
    <xf numFmtId="0" fontId="95" fillId="35" borderId="0" xfId="187" applyFont="1" applyFill="1" applyBorder="1" applyProtection="1">
      <protection locked="0"/>
    </xf>
    <xf numFmtId="0" fontId="89" fillId="0" borderId="0" xfId="61" applyFont="1" applyFill="1" applyBorder="1" applyProtection="1">
      <protection locked="0"/>
    </xf>
    <xf numFmtId="0" fontId="113" fillId="0" borderId="0" xfId="643" applyFont="1" applyFill="1" applyBorder="1" applyAlignment="1" applyProtection="1">
      <alignment horizontal="center" vertical="center" wrapText="1"/>
      <protection locked="0" hidden="1"/>
    </xf>
    <xf numFmtId="0" fontId="113" fillId="0" borderId="0" xfId="643" applyFont="1" applyFill="1" applyBorder="1" applyAlignment="1" applyProtection="1">
      <alignment vertical="center" wrapText="1"/>
      <protection locked="0" hidden="1"/>
    </xf>
    <xf numFmtId="174" fontId="114" fillId="0" borderId="0" xfId="643" applyNumberFormat="1" applyFont="1" applyFill="1" applyBorder="1" applyAlignment="1" applyProtection="1">
      <alignment horizontal="center" vertical="center" wrapText="1"/>
      <protection locked="0" hidden="1"/>
    </xf>
    <xf numFmtId="174" fontId="114" fillId="35" borderId="0" xfId="187" applyNumberFormat="1" applyFont="1" applyFill="1" applyBorder="1" applyAlignment="1" applyProtection="1">
      <alignment horizontal="center"/>
      <protection locked="0" hidden="1"/>
    </xf>
    <xf numFmtId="0" fontId="0" fillId="0" borderId="0" xfId="0" applyProtection="1">
      <protection locked="0"/>
    </xf>
    <xf numFmtId="0" fontId="86" fillId="46" borderId="16" xfId="61" applyFont="1" applyFill="1" applyBorder="1" applyAlignment="1" applyProtection="1">
      <alignment vertical="center"/>
    </xf>
    <xf numFmtId="0" fontId="86" fillId="46" borderId="29" xfId="61" applyFont="1" applyFill="1" applyBorder="1" applyAlignment="1" applyProtection="1">
      <alignment vertical="center"/>
    </xf>
    <xf numFmtId="0" fontId="86" fillId="46" borderId="20" xfId="61" applyFont="1" applyFill="1" applyBorder="1" applyAlignment="1" applyProtection="1">
      <alignment vertical="center"/>
    </xf>
    <xf numFmtId="174" fontId="74" fillId="35" borderId="38" xfId="60" applyNumberFormat="1" applyFont="1" applyFill="1" applyBorder="1" applyAlignment="1" applyProtection="1">
      <alignment horizontal="center" vertical="center"/>
    </xf>
    <xf numFmtId="174" fontId="74" fillId="35" borderId="39" xfId="60" applyNumberFormat="1" applyFont="1" applyFill="1" applyBorder="1" applyAlignment="1" applyProtection="1">
      <alignment horizontal="center" vertical="center"/>
    </xf>
    <xf numFmtId="174" fontId="74" fillId="42" borderId="39" xfId="60" applyNumberFormat="1" applyFont="1" applyFill="1" applyBorder="1" applyAlignment="1" applyProtection="1">
      <alignment horizontal="center" vertical="center"/>
    </xf>
    <xf numFmtId="175" fontId="74" fillId="42" borderId="56" xfId="28" applyNumberFormat="1" applyFont="1" applyFill="1" applyBorder="1" applyAlignment="1" applyProtection="1">
      <alignment horizontal="center" vertical="center"/>
    </xf>
    <xf numFmtId="175" fontId="74" fillId="42" borderId="40" xfId="28" applyNumberFormat="1" applyFont="1" applyFill="1" applyBorder="1" applyAlignment="1" applyProtection="1">
      <alignment horizontal="center" vertical="center"/>
    </xf>
    <xf numFmtId="174" fontId="74" fillId="35" borderId="43" xfId="60" applyNumberFormat="1" applyFont="1" applyFill="1" applyBorder="1" applyAlignment="1" applyProtection="1">
      <alignment horizontal="center" vertical="center"/>
    </xf>
    <xf numFmtId="174" fontId="74" fillId="35" borderId="61" xfId="60" applyNumberFormat="1" applyFont="1" applyFill="1" applyBorder="1" applyAlignment="1" applyProtection="1">
      <alignment horizontal="center" vertical="center"/>
    </xf>
    <xf numFmtId="174" fontId="74" fillId="42" borderId="61" xfId="60" applyNumberFormat="1" applyFont="1" applyFill="1" applyBorder="1" applyAlignment="1" applyProtection="1">
      <alignment horizontal="center" vertical="center"/>
    </xf>
    <xf numFmtId="0" fontId="74" fillId="46" borderId="16" xfId="0" applyFont="1" applyFill="1" applyBorder="1" applyAlignment="1" applyProtection="1"/>
    <xf numFmtId="0" fontId="74" fillId="46" borderId="29" xfId="0" applyFont="1" applyFill="1" applyBorder="1" applyAlignment="1" applyProtection="1"/>
    <xf numFmtId="0" fontId="74" fillId="46" borderId="20" xfId="0" applyFont="1" applyFill="1" applyBorder="1" applyAlignment="1" applyProtection="1"/>
    <xf numFmtId="0" fontId="74" fillId="0" borderId="18" xfId="0" applyFont="1" applyFill="1" applyBorder="1" applyAlignment="1" applyProtection="1">
      <alignment horizontal="center"/>
    </xf>
    <xf numFmtId="0" fontId="86" fillId="46" borderId="23" xfId="61" applyFont="1" applyFill="1" applyBorder="1" applyAlignment="1" applyProtection="1">
      <alignment vertical="center"/>
    </xf>
    <xf numFmtId="0" fontId="86" fillId="46" borderId="85" xfId="61" applyFont="1" applyFill="1" applyBorder="1" applyAlignment="1" applyProtection="1">
      <alignment vertical="center"/>
    </xf>
    <xf numFmtId="174" fontId="74" fillId="42" borderId="38" xfId="61" applyNumberFormat="1" applyFont="1" applyFill="1" applyBorder="1" applyAlignment="1" applyProtection="1">
      <alignment horizontal="center" vertical="center"/>
    </xf>
    <xf numFmtId="174" fontId="74" fillId="42" borderId="40" xfId="61" applyNumberFormat="1" applyFont="1" applyFill="1" applyBorder="1" applyAlignment="1" applyProtection="1">
      <alignment horizontal="center" vertical="center"/>
    </xf>
    <xf numFmtId="0" fontId="86" fillId="46" borderId="114" xfId="61" applyFont="1" applyFill="1" applyBorder="1" applyAlignment="1" applyProtection="1">
      <alignment vertical="center"/>
    </xf>
    <xf numFmtId="0" fontId="86" fillId="46" borderId="84" xfId="61" applyFont="1" applyFill="1" applyBorder="1" applyAlignment="1" applyProtection="1">
      <alignment vertical="center"/>
    </xf>
    <xf numFmtId="2" fontId="74" fillId="0" borderId="38" xfId="61" applyNumberFormat="1" applyFont="1" applyFill="1" applyBorder="1" applyAlignment="1" applyProtection="1">
      <alignment horizontal="center" vertical="center"/>
    </xf>
    <xf numFmtId="2" fontId="74" fillId="0" borderId="39" xfId="61" applyNumberFormat="1" applyFont="1" applyFill="1" applyBorder="1" applyAlignment="1" applyProtection="1">
      <alignment horizontal="center" vertical="center"/>
    </xf>
    <xf numFmtId="0" fontId="74" fillId="0" borderId="39" xfId="61" applyNumberFormat="1" applyFont="1" applyFill="1" applyBorder="1" applyAlignment="1" applyProtection="1">
      <alignment horizontal="center" vertical="center"/>
    </xf>
    <xf numFmtId="174" fontId="74" fillId="0" borderId="58" xfId="61" applyNumberFormat="1" applyFont="1" applyFill="1" applyBorder="1" applyAlignment="1" applyProtection="1">
      <alignment horizontal="center" vertical="center"/>
    </xf>
    <xf numFmtId="174" fontId="74" fillId="42" borderId="176" xfId="61" applyNumberFormat="1" applyFont="1" applyFill="1" applyBorder="1" applyAlignment="1" applyProtection="1">
      <alignment horizontal="center" vertical="center"/>
    </xf>
    <xf numFmtId="174" fontId="74" fillId="42" borderId="21" xfId="61" applyNumberFormat="1" applyFont="1" applyFill="1" applyBorder="1" applyAlignment="1" applyProtection="1">
      <alignment horizontal="center" vertical="center"/>
    </xf>
    <xf numFmtId="9" fontId="74" fillId="0" borderId="0" xfId="0" applyNumberFormat="1" applyFont="1" applyAlignment="1" applyProtection="1">
      <alignment horizontal="left"/>
    </xf>
    <xf numFmtId="0" fontId="76" fillId="33" borderId="66" xfId="0" applyFont="1" applyFill="1" applyBorder="1" applyAlignment="1" applyProtection="1">
      <alignment horizontal="center" vertical="center" wrapText="1"/>
    </xf>
    <xf numFmtId="0" fontId="76" fillId="33" borderId="59" xfId="0" applyFont="1" applyFill="1" applyBorder="1" applyAlignment="1" applyProtection="1">
      <alignment horizontal="center" vertical="center" wrapText="1"/>
    </xf>
    <xf numFmtId="0" fontId="74" fillId="41" borderId="16" xfId="0" applyFont="1" applyFill="1" applyBorder="1" applyAlignment="1" applyProtection="1">
      <alignment horizontal="center"/>
    </xf>
    <xf numFmtId="0" fontId="76" fillId="41" borderId="29" xfId="0" applyFont="1" applyFill="1" applyBorder="1" applyAlignment="1" applyProtection="1">
      <alignment horizontal="center" vertical="top" wrapText="1"/>
    </xf>
    <xf numFmtId="0" fontId="76" fillId="41" borderId="29" xfId="0" applyFont="1" applyFill="1" applyBorder="1" applyAlignment="1" applyProtection="1">
      <alignment horizontal="center" vertical="top"/>
    </xf>
    <xf numFmtId="0" fontId="76" fillId="41" borderId="29" xfId="43" applyFont="1" applyFill="1" applyBorder="1" applyAlignment="1" applyProtection="1">
      <alignment horizontal="center" vertical="top"/>
    </xf>
    <xf numFmtId="0" fontId="74" fillId="41" borderId="29" xfId="43" applyFont="1" applyFill="1" applyBorder="1" applyAlignment="1" applyProtection="1">
      <alignment vertical="top"/>
    </xf>
    <xf numFmtId="0" fontId="76" fillId="41" borderId="20" xfId="0" applyFont="1" applyFill="1" applyBorder="1" applyAlignment="1" applyProtection="1">
      <alignment horizontal="center" vertical="top" wrapText="1"/>
    </xf>
    <xf numFmtId="0" fontId="75" fillId="0" borderId="0" xfId="0" applyFont="1" applyAlignment="1" applyProtection="1"/>
    <xf numFmtId="0" fontId="74" fillId="0" borderId="0" xfId="0" applyFont="1" applyAlignment="1" applyProtection="1"/>
    <xf numFmtId="0" fontId="76" fillId="0" borderId="0" xfId="0" applyFont="1" applyProtection="1"/>
    <xf numFmtId="0" fontId="74" fillId="0" borderId="67" xfId="0" applyFont="1" applyFill="1" applyBorder="1" applyAlignment="1" applyProtection="1">
      <alignment vertical="center" wrapText="1"/>
    </xf>
    <xf numFmtId="0" fontId="74" fillId="0" borderId="68" xfId="0" applyFont="1" applyFill="1" applyBorder="1" applyAlignment="1" applyProtection="1">
      <alignment vertical="center" wrapText="1"/>
    </xf>
    <xf numFmtId="0" fontId="74" fillId="0" borderId="43" xfId="0" applyFont="1" applyFill="1" applyBorder="1" applyAlignment="1" applyProtection="1">
      <alignment vertical="center" wrapText="1"/>
    </xf>
    <xf numFmtId="0" fontId="74" fillId="35" borderId="39" xfId="0" applyFont="1" applyFill="1" applyBorder="1" applyAlignment="1" applyProtection="1">
      <alignment horizontal="center" vertical="center"/>
    </xf>
    <xf numFmtId="0" fontId="74" fillId="0" borderId="39" xfId="0" applyFont="1" applyFill="1" applyBorder="1" applyAlignment="1" applyProtection="1">
      <alignment horizontal="center" vertical="center"/>
    </xf>
    <xf numFmtId="3" fontId="74" fillId="0" borderId="72" xfId="0" applyNumberFormat="1" applyFont="1" applyFill="1" applyBorder="1" applyAlignment="1" applyProtection="1">
      <alignment horizontal="center" vertical="center"/>
    </xf>
    <xf numFmtId="3" fontId="74" fillId="0" borderId="69" xfId="0" applyNumberFormat="1" applyFont="1" applyFill="1" applyBorder="1" applyAlignment="1" applyProtection="1">
      <alignment horizontal="center" vertical="center"/>
    </xf>
    <xf numFmtId="167" fontId="74" fillId="0" borderId="109" xfId="0" applyNumberFormat="1" applyFont="1" applyFill="1" applyBorder="1" applyAlignment="1" applyProtection="1">
      <alignment horizontal="center" vertical="center"/>
    </xf>
    <xf numFmtId="3" fontId="74" fillId="0" borderId="110" xfId="0" applyNumberFormat="1" applyFont="1" applyFill="1" applyBorder="1" applyAlignment="1" applyProtection="1">
      <alignment horizontal="center" vertical="center"/>
    </xf>
    <xf numFmtId="3" fontId="74" fillId="0" borderId="39" xfId="0" applyNumberFormat="1" applyFont="1" applyFill="1" applyBorder="1" applyAlignment="1" applyProtection="1">
      <alignment horizontal="center" vertical="center"/>
    </xf>
    <xf numFmtId="3" fontId="74" fillId="0" borderId="10" xfId="0" applyNumberFormat="1" applyFont="1" applyFill="1" applyBorder="1" applyAlignment="1" applyProtection="1">
      <alignment horizontal="center" vertical="center"/>
    </xf>
    <xf numFmtId="0" fontId="74" fillId="41" borderId="16" xfId="0" applyFont="1" applyFill="1" applyBorder="1" applyAlignment="1" applyProtection="1">
      <alignment vertical="center"/>
    </xf>
    <xf numFmtId="0" fontId="74" fillId="41" borderId="29" xfId="0" applyFont="1" applyFill="1" applyBorder="1" applyAlignment="1" applyProtection="1">
      <alignment vertical="center"/>
    </xf>
    <xf numFmtId="164" fontId="74" fillId="41" borderId="85" xfId="0" applyNumberFormat="1" applyFont="1" applyFill="1" applyBorder="1" applyAlignment="1" applyProtection="1">
      <alignment horizontal="center" vertical="center"/>
    </xf>
    <xf numFmtId="3" fontId="74" fillId="0" borderId="39" xfId="0" applyNumberFormat="1" applyFont="1" applyBorder="1" applyAlignment="1" applyProtection="1">
      <alignment horizontal="center"/>
    </xf>
    <xf numFmtId="0" fontId="74" fillId="32" borderId="0" xfId="0" applyFont="1" applyFill="1" applyBorder="1" applyAlignment="1" applyProtection="1">
      <alignment vertical="center"/>
    </xf>
    <xf numFmtId="0" fontId="74" fillId="0" borderId="0" xfId="0" applyFont="1" applyBorder="1" applyAlignment="1" applyProtection="1"/>
    <xf numFmtId="174" fontId="74" fillId="0" borderId="11" xfId="0" applyNumberFormat="1" applyFont="1" applyFill="1" applyBorder="1" applyAlignment="1" applyProtection="1">
      <alignment horizontal="center"/>
    </xf>
    <xf numFmtId="0" fontId="76" fillId="33" borderId="168" xfId="0" applyFont="1" applyFill="1" applyBorder="1" applyAlignment="1" applyProtection="1">
      <alignment horizontal="center"/>
    </xf>
    <xf numFmtId="0" fontId="76" fillId="33" borderId="61" xfId="0" applyFont="1" applyFill="1" applyBorder="1" applyAlignment="1" applyProtection="1">
      <alignment horizontal="center"/>
    </xf>
    <xf numFmtId="0" fontId="96" fillId="35" borderId="14" xfId="187" applyFont="1" applyFill="1" applyBorder="1" applyAlignment="1" applyProtection="1">
      <alignment vertical="top"/>
    </xf>
    <xf numFmtId="0" fontId="74" fillId="0" borderId="26" xfId="187" applyFont="1" applyBorder="1" applyProtection="1"/>
    <xf numFmtId="0" fontId="95" fillId="35" borderId="26" xfId="187" applyFont="1" applyFill="1" applyBorder="1" applyProtection="1"/>
    <xf numFmtId="0" fontId="95" fillId="35" borderId="26" xfId="61" applyFont="1" applyFill="1" applyBorder="1" applyProtection="1"/>
    <xf numFmtId="0" fontId="95" fillId="35" borderId="19" xfId="187" applyFont="1" applyFill="1" applyBorder="1" applyProtection="1"/>
    <xf numFmtId="0" fontId="74" fillId="35" borderId="27" xfId="187" applyFont="1" applyFill="1" applyBorder="1" applyProtection="1"/>
    <xf numFmtId="0" fontId="95" fillId="35" borderId="0" xfId="61" applyFont="1" applyFill="1" applyBorder="1" applyProtection="1"/>
    <xf numFmtId="0" fontId="95" fillId="35" borderId="0" xfId="187" applyFont="1" applyFill="1" applyBorder="1" applyProtection="1"/>
    <xf numFmtId="0" fontId="95" fillId="35" borderId="28" xfId="187" applyFont="1" applyFill="1" applyBorder="1" applyProtection="1"/>
    <xf numFmtId="0" fontId="74" fillId="0" borderId="28" xfId="187" applyFont="1" applyBorder="1" applyProtection="1"/>
    <xf numFmtId="0" fontId="97" fillId="0" borderId="27" xfId="187" applyFont="1" applyFill="1" applyBorder="1" applyProtection="1"/>
    <xf numFmtId="0" fontId="76" fillId="0" borderId="0" xfId="187" applyFont="1" applyFill="1" applyBorder="1" applyProtection="1"/>
    <xf numFmtId="0" fontId="89" fillId="0" borderId="0" xfId="187" applyFont="1" applyFill="1" applyBorder="1" applyProtection="1"/>
    <xf numFmtId="0" fontId="74" fillId="35" borderId="28" xfId="187" applyFont="1" applyFill="1" applyBorder="1" applyProtection="1"/>
    <xf numFmtId="0" fontId="74" fillId="0" borderId="27" xfId="187" applyFont="1" applyFill="1" applyBorder="1" applyAlignment="1" applyProtection="1"/>
    <xf numFmtId="0" fontId="74" fillId="0" borderId="27" xfId="187" applyFont="1" applyBorder="1" applyProtection="1"/>
    <xf numFmtId="0" fontId="74" fillId="0" borderId="17" xfId="187" applyFont="1" applyBorder="1" applyProtection="1"/>
    <xf numFmtId="0" fontId="74" fillId="0" borderId="32" xfId="187" applyFont="1" applyBorder="1" applyProtection="1"/>
    <xf numFmtId="0" fontId="74" fillId="0" borderId="32" xfId="187" applyFont="1" applyFill="1" applyBorder="1" applyProtection="1"/>
    <xf numFmtId="0" fontId="74" fillId="35" borderId="21" xfId="187" applyFont="1" applyFill="1" applyBorder="1" applyProtection="1"/>
    <xf numFmtId="0" fontId="89" fillId="0" borderId="0" xfId="46" applyFont="1" applyProtection="1">
      <protection locked="0"/>
    </xf>
    <xf numFmtId="0" fontId="91" fillId="0" borderId="0" xfId="46" applyFont="1" applyProtection="1">
      <protection locked="0"/>
    </xf>
    <xf numFmtId="0" fontId="89" fillId="0" borderId="0" xfId="46" applyFont="1" applyFill="1" applyProtection="1">
      <protection locked="0"/>
    </xf>
    <xf numFmtId="0" fontId="90" fillId="0" borderId="0" xfId="46" applyFont="1" applyFill="1" applyAlignment="1" applyProtection="1">
      <alignment horizontal="center"/>
      <protection locked="0"/>
    </xf>
    <xf numFmtId="175" fontId="89" fillId="0" borderId="0" xfId="28" applyNumberFormat="1" applyFont="1" applyFill="1" applyProtection="1">
      <protection locked="0"/>
    </xf>
    <xf numFmtId="0" fontId="94" fillId="0" borderId="0" xfId="46" applyFont="1" applyProtection="1">
      <protection locked="0"/>
    </xf>
    <xf numFmtId="0" fontId="74" fillId="33" borderId="14" xfId="0" applyFont="1" applyFill="1" applyBorder="1" applyAlignment="1" applyProtection="1">
      <alignment horizontal="center"/>
      <protection locked="0"/>
    </xf>
    <xf numFmtId="0" fontId="74" fillId="33" borderId="15" xfId="0" applyFont="1" applyFill="1" applyBorder="1" applyAlignment="1" applyProtection="1">
      <alignment horizontal="center"/>
      <protection locked="0"/>
    </xf>
    <xf numFmtId="0" fontId="89" fillId="33" borderId="0" xfId="46" applyFont="1" applyFill="1" applyAlignment="1" applyProtection="1">
      <alignment horizontal="center"/>
      <protection locked="0"/>
    </xf>
    <xf numFmtId="0" fontId="90" fillId="0" borderId="0" xfId="46" applyFont="1" applyProtection="1">
      <protection locked="0"/>
    </xf>
    <xf numFmtId="0" fontId="89" fillId="0" borderId="0" xfId="46" applyFont="1" applyAlignment="1" applyProtection="1">
      <alignment horizontal="center"/>
      <protection locked="0"/>
    </xf>
    <xf numFmtId="0" fontId="89" fillId="33" borderId="22" xfId="46" applyFont="1" applyFill="1" applyBorder="1" applyAlignment="1" applyProtection="1">
      <alignment horizontal="center"/>
      <protection locked="0"/>
    </xf>
    <xf numFmtId="0" fontId="89" fillId="33" borderId="33" xfId="46" applyFont="1" applyFill="1" applyBorder="1" applyAlignment="1" applyProtection="1">
      <alignment horizontal="center"/>
      <protection locked="0"/>
    </xf>
    <xf numFmtId="0" fontId="89" fillId="33" borderId="34" xfId="46" applyFont="1" applyFill="1" applyBorder="1" applyAlignment="1" applyProtection="1">
      <alignment horizontal="center"/>
      <protection locked="0"/>
    </xf>
    <xf numFmtId="0" fontId="89" fillId="33" borderId="43" xfId="46" applyFont="1" applyFill="1" applyBorder="1" applyAlignment="1" applyProtection="1">
      <alignment horizontal="center"/>
      <protection locked="0"/>
    </xf>
    <xf numFmtId="0" fontId="89" fillId="33" borderId="61" xfId="46" applyFont="1" applyFill="1" applyBorder="1" applyAlignment="1" applyProtection="1">
      <alignment horizontal="center"/>
      <protection locked="0"/>
    </xf>
    <xf numFmtId="0" fontId="89" fillId="33" borderId="45" xfId="46" applyFont="1" applyFill="1" applyBorder="1" applyAlignment="1" applyProtection="1">
      <alignment horizontal="center"/>
      <protection locked="0"/>
    </xf>
    <xf numFmtId="0" fontId="89" fillId="33" borderId="46" xfId="46" applyFont="1" applyFill="1" applyBorder="1" applyAlignment="1" applyProtection="1">
      <alignment horizontal="center"/>
      <protection locked="0"/>
    </xf>
    <xf numFmtId="0" fontId="89" fillId="33" borderId="52" xfId="46" applyFont="1" applyFill="1" applyBorder="1" applyAlignment="1" applyProtection="1">
      <alignment horizontal="center"/>
      <protection locked="0"/>
    </xf>
    <xf numFmtId="0" fontId="89" fillId="33" borderId="48" xfId="46" applyFont="1" applyFill="1" applyBorder="1" applyAlignment="1" applyProtection="1">
      <alignment horizontal="center"/>
      <protection locked="0"/>
    </xf>
    <xf numFmtId="0" fontId="74" fillId="37" borderId="27" xfId="0" applyFont="1" applyFill="1" applyBorder="1" applyAlignment="1" applyProtection="1">
      <alignment horizontal="center"/>
      <protection locked="0"/>
    </xf>
    <xf numFmtId="0" fontId="74" fillId="37" borderId="0" xfId="0" applyFont="1" applyFill="1" applyBorder="1" applyAlignment="1" applyProtection="1">
      <alignment horizontal="center"/>
      <protection locked="0"/>
    </xf>
    <xf numFmtId="6" fontId="74" fillId="37" borderId="0" xfId="0" applyNumberFormat="1" applyFont="1" applyFill="1" applyBorder="1" applyAlignment="1" applyProtection="1">
      <alignment horizontal="center"/>
      <protection locked="0"/>
    </xf>
    <xf numFmtId="0" fontId="74" fillId="37" borderId="28" xfId="0" applyFont="1" applyFill="1" applyBorder="1" applyAlignment="1" applyProtection="1">
      <alignment horizontal="center"/>
      <protection locked="0"/>
    </xf>
    <xf numFmtId="0" fontId="74" fillId="37" borderId="26" xfId="0" applyFont="1" applyFill="1" applyBorder="1" applyAlignment="1" applyProtection="1">
      <alignment horizontal="center"/>
      <protection locked="0"/>
    </xf>
    <xf numFmtId="0" fontId="74" fillId="37" borderId="19" xfId="0" applyFont="1" applyFill="1" applyBorder="1" applyAlignment="1" applyProtection="1">
      <alignment horizontal="center"/>
      <protection locked="0"/>
    </xf>
    <xf numFmtId="0" fontId="74" fillId="37" borderId="17" xfId="0" applyFont="1" applyFill="1" applyBorder="1" applyAlignment="1" applyProtection="1">
      <alignment horizontal="center"/>
      <protection locked="0"/>
    </xf>
    <xf numFmtId="0" fontId="74" fillId="37" borderId="32" xfId="0" applyFont="1" applyFill="1" applyBorder="1" applyAlignment="1" applyProtection="1">
      <alignment horizontal="center"/>
      <protection locked="0"/>
    </xf>
    <xf numFmtId="6" fontId="74" fillId="37" borderId="32" xfId="0" applyNumberFormat="1" applyFont="1" applyFill="1" applyBorder="1" applyAlignment="1" applyProtection="1">
      <alignment horizontal="center"/>
      <protection locked="0"/>
    </xf>
    <xf numFmtId="0" fontId="74" fillId="37" borderId="21" xfId="0" applyFont="1" applyFill="1" applyBorder="1" applyAlignment="1" applyProtection="1">
      <alignment horizontal="center"/>
      <protection locked="0"/>
    </xf>
    <xf numFmtId="0" fontId="74" fillId="35" borderId="114" xfId="46" applyFont="1" applyFill="1" applyBorder="1" applyAlignment="1" applyProtection="1">
      <alignment horizontal="center"/>
      <protection locked="0"/>
    </xf>
    <xf numFmtId="1" fontId="74" fillId="35" borderId="114" xfId="46" applyNumberFormat="1" applyFont="1" applyFill="1" applyBorder="1" applyAlignment="1" applyProtection="1">
      <alignment horizontal="center"/>
      <protection locked="0"/>
    </xf>
    <xf numFmtId="0" fontId="74" fillId="35" borderId="85" xfId="46" applyFont="1" applyFill="1" applyBorder="1" applyAlignment="1" applyProtection="1">
      <alignment horizontal="center"/>
      <protection locked="0"/>
    </xf>
    <xf numFmtId="0" fontId="74" fillId="0" borderId="0" xfId="46" applyFont="1" applyFill="1" applyProtection="1">
      <protection locked="0"/>
    </xf>
    <xf numFmtId="168" fontId="89" fillId="0" borderId="0" xfId="46" applyNumberFormat="1" applyFont="1" applyFill="1" applyProtection="1">
      <protection locked="0"/>
    </xf>
    <xf numFmtId="0" fontId="74" fillId="37" borderId="16" xfId="0" applyFont="1" applyFill="1" applyBorder="1" applyProtection="1">
      <protection locked="0"/>
    </xf>
    <xf numFmtId="0" fontId="74" fillId="37" borderId="29" xfId="0" applyFont="1" applyFill="1" applyBorder="1" applyProtection="1">
      <protection locked="0"/>
    </xf>
    <xf numFmtId="6" fontId="74" fillId="37" borderId="29" xfId="0" applyNumberFormat="1" applyFont="1" applyFill="1" applyBorder="1" applyProtection="1">
      <protection locked="0"/>
    </xf>
    <xf numFmtId="0" fontId="74" fillId="37" borderId="20" xfId="0" applyFont="1" applyFill="1" applyBorder="1" applyProtection="1">
      <protection locked="0"/>
    </xf>
    <xf numFmtId="0" fontId="74" fillId="37" borderId="29" xfId="0" applyFont="1" applyFill="1" applyBorder="1" applyAlignment="1" applyProtection="1">
      <alignment horizontal="center"/>
      <protection locked="0"/>
    </xf>
    <xf numFmtId="0" fontId="74" fillId="37" borderId="20" xfId="0" applyFont="1" applyFill="1" applyBorder="1" applyAlignment="1" applyProtection="1">
      <alignment horizontal="center"/>
      <protection locked="0"/>
    </xf>
    <xf numFmtId="6" fontId="89" fillId="0" borderId="0" xfId="46" applyNumberFormat="1" applyFont="1" applyProtection="1">
      <protection locked="0"/>
    </xf>
    <xf numFmtId="0" fontId="74" fillId="37" borderId="14" xfId="0" applyFont="1" applyFill="1" applyBorder="1" applyProtection="1">
      <protection locked="0"/>
    </xf>
    <xf numFmtId="0" fontId="74" fillId="37" borderId="26" xfId="0" applyFont="1" applyFill="1" applyBorder="1" applyProtection="1">
      <protection locked="0"/>
    </xf>
    <xf numFmtId="6" fontId="74" fillId="37" borderId="26" xfId="0" applyNumberFormat="1" applyFont="1" applyFill="1" applyBorder="1" applyProtection="1">
      <protection locked="0"/>
    </xf>
    <xf numFmtId="0" fontId="74" fillId="37" borderId="19" xfId="0" applyFont="1" applyFill="1" applyBorder="1" applyProtection="1">
      <protection locked="0"/>
    </xf>
    <xf numFmtId="0" fontId="74" fillId="37" borderId="27" xfId="0" applyFont="1" applyFill="1" applyBorder="1" applyProtection="1">
      <protection locked="0"/>
    </xf>
    <xf numFmtId="6" fontId="74" fillId="37" borderId="0" xfId="0" applyNumberFormat="1" applyFont="1" applyFill="1" applyBorder="1" applyProtection="1">
      <protection locked="0"/>
    </xf>
    <xf numFmtId="0" fontId="74" fillId="37" borderId="28" xfId="0" applyFont="1" applyFill="1" applyBorder="1" applyProtection="1">
      <protection locked="0"/>
    </xf>
    <xf numFmtId="0" fontId="89" fillId="37" borderId="27" xfId="46" applyFont="1" applyFill="1" applyBorder="1" applyProtection="1">
      <protection locked="0"/>
    </xf>
    <xf numFmtId="0" fontId="89" fillId="37" borderId="0" xfId="46" applyFont="1" applyFill="1" applyBorder="1" applyProtection="1">
      <protection locked="0"/>
    </xf>
    <xf numFmtId="0" fontId="89" fillId="37" borderId="28" xfId="46" applyFont="1" applyFill="1" applyBorder="1" applyProtection="1">
      <protection locked="0"/>
    </xf>
    <xf numFmtId="0" fontId="89" fillId="37" borderId="32" xfId="46" applyFont="1" applyFill="1" applyBorder="1" applyAlignment="1" applyProtection="1">
      <alignment horizontal="center"/>
      <protection locked="0"/>
    </xf>
    <xf numFmtId="0" fontId="89" fillId="37" borderId="21" xfId="46" applyFont="1" applyFill="1" applyBorder="1" applyAlignment="1" applyProtection="1">
      <alignment horizontal="center"/>
      <protection locked="0"/>
    </xf>
    <xf numFmtId="0" fontId="89" fillId="37" borderId="17" xfId="46" applyFont="1" applyFill="1" applyBorder="1" applyProtection="1">
      <protection locked="0"/>
    </xf>
    <xf numFmtId="0" fontId="89" fillId="37" borderId="32" xfId="46" applyFont="1" applyFill="1" applyBorder="1" applyProtection="1">
      <protection locked="0"/>
    </xf>
    <xf numFmtId="0" fontId="89" fillId="37" borderId="21" xfId="46" applyFont="1" applyFill="1" applyBorder="1" applyProtection="1">
      <protection locked="0"/>
    </xf>
    <xf numFmtId="0" fontId="91" fillId="0" borderId="0" xfId="46" applyFont="1" applyProtection="1"/>
    <xf numFmtId="0" fontId="90" fillId="0" borderId="0" xfId="46" applyFont="1" applyAlignment="1" applyProtection="1">
      <alignment horizontal="right"/>
    </xf>
    <xf numFmtId="0" fontId="92" fillId="0" borderId="0" xfId="46" applyFont="1" applyAlignment="1" applyProtection="1">
      <alignment horizontal="right"/>
    </xf>
    <xf numFmtId="0" fontId="92" fillId="0" borderId="0" xfId="46" applyFont="1" applyProtection="1"/>
    <xf numFmtId="0" fontId="94" fillId="0" borderId="0" xfId="46" applyFont="1" applyAlignment="1" applyProtection="1">
      <alignment horizontal="right"/>
    </xf>
    <xf numFmtId="0" fontId="94" fillId="0" borderId="0" xfId="46" applyFont="1" applyProtection="1"/>
    <xf numFmtId="0" fontId="89" fillId="33" borderId="22" xfId="46" applyFont="1" applyFill="1" applyBorder="1" applyAlignment="1" applyProtection="1">
      <alignment horizontal="center"/>
    </xf>
    <xf numFmtId="0" fontId="89" fillId="33" borderId="33" xfId="46" applyFont="1" applyFill="1" applyBorder="1" applyAlignment="1" applyProtection="1">
      <alignment horizontal="center"/>
    </xf>
    <xf numFmtId="0" fontId="89" fillId="33" borderId="34" xfId="46" applyFont="1" applyFill="1" applyBorder="1" applyAlignment="1" applyProtection="1">
      <alignment horizontal="center"/>
    </xf>
    <xf numFmtId="0" fontId="89" fillId="33" borderId="43" xfId="46" applyFont="1" applyFill="1" applyBorder="1" applyAlignment="1" applyProtection="1">
      <alignment horizontal="center"/>
    </xf>
    <xf numFmtId="0" fontId="89" fillId="33" borderId="61" xfId="46" applyFont="1" applyFill="1" applyBorder="1" applyAlignment="1" applyProtection="1">
      <alignment horizontal="center"/>
    </xf>
    <xf numFmtId="0" fontId="89" fillId="33" borderId="45" xfId="46" applyFont="1" applyFill="1" applyBorder="1" applyAlignment="1" applyProtection="1">
      <alignment horizontal="center"/>
    </xf>
    <xf numFmtId="0" fontId="89" fillId="33" borderId="46" xfId="46" applyFont="1" applyFill="1" applyBorder="1" applyAlignment="1" applyProtection="1">
      <alignment horizontal="center"/>
    </xf>
    <xf numFmtId="0" fontId="89" fillId="33" borderId="52" xfId="46" applyFont="1" applyFill="1" applyBorder="1" applyAlignment="1" applyProtection="1">
      <alignment horizontal="center"/>
    </xf>
    <xf numFmtId="0" fontId="89" fillId="33" borderId="48" xfId="46" applyFont="1" applyFill="1" applyBorder="1" applyAlignment="1" applyProtection="1">
      <alignment horizontal="center"/>
    </xf>
    <xf numFmtId="0" fontId="74" fillId="33" borderId="14" xfId="0" applyFont="1" applyFill="1" applyBorder="1" applyAlignment="1" applyProtection="1">
      <alignment horizontal="center"/>
    </xf>
    <xf numFmtId="0" fontId="74" fillId="33" borderId="15" xfId="0" applyFont="1" applyFill="1" applyBorder="1" applyAlignment="1" applyProtection="1">
      <alignment horizontal="center"/>
    </xf>
    <xf numFmtId="0" fontId="89" fillId="33" borderId="0" xfId="46" applyFont="1" applyFill="1" applyAlignment="1" applyProtection="1">
      <alignment horizontal="center"/>
    </xf>
    <xf numFmtId="0" fontId="89" fillId="0" borderId="0" xfId="46" applyFont="1" applyFill="1" applyProtection="1"/>
    <xf numFmtId="0" fontId="74" fillId="35" borderId="114" xfId="46" applyFont="1" applyFill="1" applyBorder="1" applyAlignment="1" applyProtection="1">
      <alignment horizontal="center"/>
    </xf>
    <xf numFmtId="1" fontId="74" fillId="35" borderId="114" xfId="46" applyNumberFormat="1" applyFont="1" applyFill="1" applyBorder="1" applyAlignment="1" applyProtection="1">
      <alignment horizontal="center"/>
    </xf>
    <xf numFmtId="166" fontId="74" fillId="35" borderId="114" xfId="46" applyNumberFormat="1" applyFont="1" applyFill="1" applyBorder="1" applyAlignment="1" applyProtection="1">
      <alignment horizontal="center"/>
    </xf>
    <xf numFmtId="0" fontId="74" fillId="35" borderId="85" xfId="46" applyFont="1" applyFill="1" applyBorder="1" applyAlignment="1" applyProtection="1">
      <alignment horizontal="center"/>
    </xf>
    <xf numFmtId="0" fontId="14" fillId="0" borderId="0" xfId="46" applyFont="1" applyProtection="1">
      <protection locked="0"/>
    </xf>
    <xf numFmtId="0" fontId="14" fillId="35" borderId="0" xfId="46" applyFont="1" applyFill="1" applyProtection="1">
      <protection locked="0"/>
    </xf>
    <xf numFmtId="0" fontId="14" fillId="0" borderId="0" xfId="46" applyFont="1" applyFill="1" applyProtection="1">
      <protection locked="0"/>
    </xf>
    <xf numFmtId="2" fontId="89" fillId="37" borderId="10" xfId="46" applyNumberFormat="1" applyFont="1" applyFill="1" applyBorder="1" applyAlignment="1" applyProtection="1">
      <alignment horizontal="center"/>
      <protection locked="0"/>
    </xf>
    <xf numFmtId="2" fontId="89" fillId="0" borderId="39" xfId="46" applyNumberFormat="1" applyFont="1" applyFill="1" applyBorder="1" applyAlignment="1" applyProtection="1">
      <alignment horizontal="center"/>
      <protection locked="0"/>
    </xf>
    <xf numFmtId="0" fontId="89" fillId="0" borderId="0" xfId="46" applyFont="1" applyFill="1" applyBorder="1" applyProtection="1">
      <protection locked="0"/>
    </xf>
    <xf numFmtId="0" fontId="89" fillId="0" borderId="0" xfId="46" applyFont="1" applyBorder="1" applyProtection="1">
      <protection locked="0"/>
    </xf>
    <xf numFmtId="0" fontId="14" fillId="0" borderId="0" xfId="46" applyFont="1" applyBorder="1" applyProtection="1">
      <protection locked="0"/>
    </xf>
    <xf numFmtId="0" fontId="14" fillId="0" borderId="0" xfId="46" applyFont="1" applyFill="1" applyBorder="1" applyProtection="1">
      <protection locked="0"/>
    </xf>
    <xf numFmtId="0" fontId="89" fillId="35" borderId="0" xfId="46" applyFont="1" applyFill="1" applyProtection="1"/>
    <xf numFmtId="0" fontId="89" fillId="33" borderId="10" xfId="46" applyFont="1" applyFill="1" applyBorder="1" applyProtection="1"/>
    <xf numFmtId="0" fontId="89" fillId="0" borderId="135" xfId="46" applyFont="1" applyFill="1" applyBorder="1" applyProtection="1"/>
    <xf numFmtId="0" fontId="89" fillId="0" borderId="10" xfId="46" applyFont="1" applyFill="1" applyBorder="1" applyProtection="1"/>
    <xf numFmtId="2" fontId="89" fillId="53" borderId="10" xfId="46" applyNumberFormat="1" applyFont="1" applyFill="1" applyBorder="1" applyAlignment="1" applyProtection="1">
      <alignment horizontal="center"/>
    </xf>
    <xf numFmtId="0" fontId="76" fillId="0" borderId="0" xfId="46" applyFont="1" applyProtection="1"/>
    <xf numFmtId="0" fontId="49" fillId="0" borderId="0" xfId="47" applyProtection="1">
      <protection locked="0"/>
    </xf>
    <xf numFmtId="0" fontId="14" fillId="0" borderId="0" xfId="47" applyFont="1" applyBorder="1" applyProtection="1">
      <protection locked="0"/>
    </xf>
    <xf numFmtId="0" fontId="121" fillId="0" borderId="0" xfId="47" applyFont="1" applyProtection="1">
      <protection locked="0"/>
    </xf>
    <xf numFmtId="0" fontId="114" fillId="0" borderId="0" xfId="666" applyFont="1" applyFill="1" applyProtection="1">
      <protection locked="0"/>
    </xf>
    <xf numFmtId="0" fontId="121" fillId="0" borderId="0" xfId="47" applyFont="1" applyFill="1" applyProtection="1">
      <protection locked="0"/>
    </xf>
    <xf numFmtId="0" fontId="89" fillId="0" borderId="0" xfId="47" applyFont="1" applyFill="1" applyAlignment="1" applyProtection="1">
      <alignment horizontal="center" vertical="top" wrapText="1"/>
      <protection locked="0"/>
    </xf>
    <xf numFmtId="0" fontId="74" fillId="0" borderId="0" xfId="666" applyFont="1" applyFill="1" applyAlignment="1" applyProtection="1">
      <alignment horizontal="left" wrapText="1"/>
      <protection locked="0"/>
    </xf>
    <xf numFmtId="0" fontId="74" fillId="30" borderId="0" xfId="666" applyFont="1" applyFill="1" applyBorder="1" applyAlignment="1" applyProtection="1">
      <alignment horizontal="left" vertical="center"/>
      <protection locked="0"/>
    </xf>
    <xf numFmtId="0" fontId="6" fillId="30" borderId="0" xfId="666" applyFill="1" applyBorder="1" applyAlignment="1" applyProtection="1">
      <alignment horizontal="left" vertical="center"/>
      <protection locked="0"/>
    </xf>
    <xf numFmtId="0" fontId="89" fillId="0" borderId="0" xfId="47" applyFont="1" applyProtection="1">
      <protection locked="0"/>
    </xf>
    <xf numFmtId="0" fontId="89" fillId="0" borderId="0" xfId="47" applyFont="1" applyFill="1" applyProtection="1">
      <protection locked="0"/>
    </xf>
    <xf numFmtId="0" fontId="49" fillId="0" borderId="0" xfId="47" applyFill="1" applyProtection="1">
      <protection locked="0"/>
    </xf>
    <xf numFmtId="0" fontId="90" fillId="0" borderId="0" xfId="47" applyFont="1" applyFill="1" applyBorder="1" applyProtection="1">
      <protection locked="0"/>
    </xf>
    <xf numFmtId="3" fontId="49" fillId="0" borderId="0" xfId="47" applyNumberFormat="1" applyFill="1" applyBorder="1" applyAlignment="1" applyProtection="1">
      <alignment horizontal="center"/>
      <protection locked="0"/>
    </xf>
    <xf numFmtId="0" fontId="89" fillId="0" borderId="0" xfId="47" applyFont="1" applyFill="1" applyBorder="1" applyAlignment="1" applyProtection="1">
      <alignment horizontal="center"/>
      <protection locked="0"/>
    </xf>
    <xf numFmtId="0" fontId="89" fillId="0" borderId="0" xfId="47" applyFont="1" applyAlignment="1" applyProtection="1">
      <alignment horizontal="center"/>
      <protection locked="0"/>
    </xf>
    <xf numFmtId="0" fontId="89" fillId="37" borderId="10" xfId="47" applyFont="1" applyFill="1" applyBorder="1" applyAlignment="1" applyProtection="1">
      <alignment horizontal="center"/>
      <protection locked="0"/>
    </xf>
    <xf numFmtId="0" fontId="89" fillId="0" borderId="0" xfId="47" applyFont="1" applyFill="1" applyBorder="1" applyAlignment="1" applyProtection="1">
      <alignment horizontal="left"/>
      <protection locked="0"/>
    </xf>
    <xf numFmtId="0" fontId="49" fillId="37" borderId="10" xfId="47" applyFill="1" applyBorder="1" applyProtection="1">
      <protection locked="0"/>
    </xf>
    <xf numFmtId="0" fontId="89" fillId="35" borderId="0" xfId="47" applyFont="1" applyFill="1" applyProtection="1">
      <protection locked="0"/>
    </xf>
    <xf numFmtId="0" fontId="90" fillId="0" borderId="0" xfId="47" applyFont="1" applyBorder="1" applyProtection="1"/>
    <xf numFmtId="0" fontId="89" fillId="0" borderId="0" xfId="47" applyFont="1" applyBorder="1" applyProtection="1"/>
    <xf numFmtId="0" fontId="74" fillId="0" borderId="0" xfId="47" applyFont="1" applyFill="1" applyAlignment="1" applyProtection="1">
      <alignment horizontal="left" vertical="top"/>
    </xf>
    <xf numFmtId="0" fontId="120" fillId="0" borderId="0" xfId="47" applyFont="1" applyFill="1" applyAlignment="1" applyProtection="1">
      <alignment horizontal="center" vertical="top" wrapText="1"/>
    </xf>
    <xf numFmtId="0" fontId="89" fillId="0" borderId="0" xfId="47" applyFont="1" applyFill="1" applyAlignment="1" applyProtection="1">
      <alignment horizontal="center" vertical="top" wrapText="1"/>
    </xf>
    <xf numFmtId="0" fontId="90" fillId="33" borderId="135" xfId="47" applyFont="1" applyFill="1" applyBorder="1" applyProtection="1"/>
    <xf numFmtId="217" fontId="89" fillId="30" borderId="10" xfId="664" applyNumberFormat="1" applyFont="1" applyFill="1" applyBorder="1" applyAlignment="1" applyProtection="1">
      <alignment horizontal="center"/>
    </xf>
    <xf numFmtId="3" fontId="89" fillId="0" borderId="10" xfId="47" applyNumberFormat="1" applyFont="1" applyFill="1" applyBorder="1" applyAlignment="1" applyProtection="1">
      <alignment horizontal="center"/>
    </xf>
    <xf numFmtId="0" fontId="90" fillId="33" borderId="10" xfId="47" applyFont="1" applyFill="1" applyBorder="1" applyProtection="1"/>
    <xf numFmtId="0" fontId="89" fillId="35" borderId="10" xfId="47" applyFont="1" applyFill="1" applyBorder="1" applyAlignment="1" applyProtection="1">
      <alignment horizontal="left"/>
    </xf>
    <xf numFmtId="0" fontId="89" fillId="35" borderId="135" xfId="47" applyFont="1" applyFill="1" applyBorder="1" applyAlignment="1" applyProtection="1">
      <alignment horizontal="left"/>
    </xf>
    <xf numFmtId="0" fontId="90" fillId="35" borderId="10" xfId="47" applyFont="1" applyFill="1" applyBorder="1" applyAlignment="1" applyProtection="1">
      <alignment horizontal="left"/>
    </xf>
    <xf numFmtId="0" fontId="90" fillId="33" borderId="10" xfId="666" applyFont="1" applyFill="1" applyBorder="1" applyAlignment="1" applyProtection="1">
      <alignment horizontal="center"/>
    </xf>
    <xf numFmtId="0" fontId="90" fillId="33" borderId="167" xfId="47" applyFont="1" applyFill="1" applyBorder="1" applyAlignment="1" applyProtection="1">
      <alignment horizontal="center"/>
    </xf>
    <xf numFmtId="166" fontId="74" fillId="30" borderId="10" xfId="666" applyNumberFormat="1" applyFont="1" applyFill="1" applyBorder="1" applyAlignment="1" applyProtection="1">
      <alignment horizontal="center"/>
    </xf>
    <xf numFmtId="37" fontId="89" fillId="30" borderId="167" xfId="28" applyNumberFormat="1" applyFont="1" applyFill="1" applyBorder="1" applyAlignment="1" applyProtection="1">
      <alignment horizontal="center"/>
    </xf>
    <xf numFmtId="166" fontId="74" fillId="30" borderId="167" xfId="666" applyNumberFormat="1" applyFont="1" applyFill="1" applyBorder="1" applyAlignment="1" applyProtection="1">
      <alignment horizontal="center"/>
    </xf>
    <xf numFmtId="37" fontId="90" fillId="30" borderId="10" xfId="28" applyNumberFormat="1" applyFont="1" applyFill="1" applyBorder="1" applyAlignment="1" applyProtection="1">
      <alignment horizontal="center"/>
    </xf>
    <xf numFmtId="0" fontId="90" fillId="33" borderId="10" xfId="47" applyFont="1" applyFill="1" applyBorder="1" applyAlignment="1" applyProtection="1">
      <alignment horizontal="center"/>
    </xf>
    <xf numFmtId="0" fontId="89" fillId="35" borderId="10" xfId="47" applyFont="1" applyFill="1" applyBorder="1" applyAlignment="1" applyProtection="1">
      <alignment horizontal="center"/>
    </xf>
    <xf numFmtId="0" fontId="90" fillId="33" borderId="168" xfId="47" applyFont="1" applyFill="1" applyBorder="1" applyAlignment="1" applyProtection="1">
      <alignment horizontal="center"/>
    </xf>
    <xf numFmtId="0" fontId="89" fillId="35" borderId="166" xfId="47" applyFont="1" applyFill="1" applyBorder="1" applyAlignment="1" applyProtection="1">
      <alignment horizontal="left"/>
    </xf>
    <xf numFmtId="0" fontId="90" fillId="35" borderId="10" xfId="47" applyFont="1" applyFill="1" applyBorder="1" applyProtection="1"/>
    <xf numFmtId="0" fontId="49" fillId="0" borderId="0" xfId="47" applyProtection="1"/>
    <xf numFmtId="0" fontId="89" fillId="35" borderId="10" xfId="47" applyFont="1" applyFill="1" applyBorder="1" applyProtection="1"/>
    <xf numFmtId="37" fontId="89" fillId="30" borderId="10" xfId="28" applyNumberFormat="1" applyFont="1" applyFill="1" applyBorder="1" applyAlignment="1" applyProtection="1">
      <alignment horizontal="center"/>
    </xf>
    <xf numFmtId="7" fontId="89" fillId="30" borderId="10" xfId="664" applyNumberFormat="1" applyFont="1" applyFill="1" applyBorder="1" applyAlignment="1" applyProtection="1">
      <alignment horizontal="center"/>
    </xf>
    <xf numFmtId="37" fontId="90" fillId="30" borderId="10" xfId="667" applyNumberFormat="1" applyFont="1" applyFill="1" applyBorder="1" applyAlignment="1" applyProtection="1">
      <alignment horizontal="center"/>
    </xf>
    <xf numFmtId="7" fontId="90" fillId="30" borderId="10" xfId="664" applyNumberFormat="1" applyFont="1" applyFill="1" applyBorder="1" applyAlignment="1" applyProtection="1">
      <alignment horizontal="center"/>
    </xf>
    <xf numFmtId="0" fontId="74" fillId="37" borderId="0" xfId="0" applyFont="1" applyFill="1" applyProtection="1">
      <protection locked="0"/>
    </xf>
    <xf numFmtId="0" fontId="74" fillId="35" borderId="0" xfId="0" applyFont="1" applyFill="1" applyProtection="1">
      <protection locked="0"/>
    </xf>
    <xf numFmtId="0" fontId="74" fillId="0" borderId="0" xfId="0" applyFont="1" applyAlignment="1" applyProtection="1">
      <alignment horizontal="center"/>
      <protection locked="0"/>
    </xf>
    <xf numFmtId="0" fontId="74" fillId="53" borderId="0" xfId="0" applyFont="1" applyFill="1" applyProtection="1">
      <protection locked="0"/>
    </xf>
    <xf numFmtId="0" fontId="76" fillId="35" borderId="0" xfId="0" applyFont="1" applyFill="1" applyAlignment="1" applyProtection="1">
      <alignment wrapText="1"/>
      <protection locked="0"/>
    </xf>
    <xf numFmtId="0" fontId="93" fillId="0" borderId="0" xfId="0" applyFont="1" applyProtection="1">
      <protection locked="0"/>
    </xf>
    <xf numFmtId="0" fontId="74" fillId="0" borderId="167" xfId="0" applyFont="1" applyBorder="1" applyProtection="1">
      <protection locked="0"/>
    </xf>
    <xf numFmtId="0" fontId="95" fillId="0" borderId="0" xfId="0" applyFont="1" applyProtection="1">
      <protection locked="0"/>
    </xf>
    <xf numFmtId="2" fontId="74" fillId="0" borderId="0" xfId="0" applyNumberFormat="1" applyFont="1" applyFill="1" applyBorder="1" applyProtection="1">
      <protection locked="0"/>
    </xf>
    <xf numFmtId="2" fontId="74" fillId="0" borderId="0" xfId="0" applyNumberFormat="1" applyFont="1" applyBorder="1" applyProtection="1">
      <protection locked="0"/>
    </xf>
    <xf numFmtId="2" fontId="74" fillId="0" borderId="0" xfId="0" applyNumberFormat="1" applyFont="1" applyProtection="1">
      <protection locked="0"/>
    </xf>
    <xf numFmtId="175" fontId="74" fillId="0" borderId="0" xfId="28" applyNumberFormat="1" applyFont="1" applyProtection="1">
      <protection locked="0"/>
    </xf>
    <xf numFmtId="0" fontId="74" fillId="0" borderId="26" xfId="0" applyFont="1" applyBorder="1" applyProtection="1">
      <protection locked="0"/>
    </xf>
    <xf numFmtId="0" fontId="74" fillId="0" borderId="19" xfId="0" applyFont="1" applyBorder="1" applyProtection="1">
      <protection locked="0"/>
    </xf>
    <xf numFmtId="0" fontId="74" fillId="0" borderId="27" xfId="0" applyFont="1" applyBorder="1" applyProtection="1">
      <protection locked="0"/>
    </xf>
    <xf numFmtId="0" fontId="74" fillId="0" borderId="28" xfId="0" applyFont="1" applyBorder="1" applyProtection="1">
      <protection locked="0"/>
    </xf>
    <xf numFmtId="0" fontId="0" fillId="0" borderId="0" xfId="0" applyBorder="1" applyProtection="1">
      <protection locked="0"/>
    </xf>
    <xf numFmtId="0" fontId="74" fillId="0" borderId="0" xfId="0" applyFont="1" applyFill="1" applyProtection="1">
      <protection locked="0"/>
    </xf>
    <xf numFmtId="0" fontId="74" fillId="0" borderId="17" xfId="0" applyFont="1" applyBorder="1" applyProtection="1">
      <protection locked="0"/>
    </xf>
    <xf numFmtId="0" fontId="74" fillId="0" borderId="32" xfId="0" applyFont="1" applyBorder="1" applyProtection="1">
      <protection locked="0"/>
    </xf>
    <xf numFmtId="0" fontId="74" fillId="0" borderId="21" xfId="0" applyFont="1" applyBorder="1" applyProtection="1">
      <protection locked="0"/>
    </xf>
    <xf numFmtId="9" fontId="74" fillId="37" borderId="10" xfId="51" applyFont="1" applyFill="1" applyBorder="1" applyAlignment="1" applyProtection="1">
      <alignment horizontal="center"/>
      <protection locked="0"/>
    </xf>
    <xf numFmtId="0" fontId="74" fillId="53" borderId="0" xfId="0" applyFont="1" applyFill="1" applyProtection="1"/>
    <xf numFmtId="0" fontId="74" fillId="0" borderId="135" xfId="0" applyFont="1" applyBorder="1" applyProtection="1"/>
    <xf numFmtId="0" fontId="89" fillId="33" borderId="168" xfId="0" applyFont="1" applyFill="1" applyBorder="1" applyAlignment="1" applyProtection="1">
      <alignment horizontal="center"/>
    </xf>
    <xf numFmtId="166" fontId="74" fillId="0" borderId="10" xfId="0" applyNumberFormat="1" applyFont="1" applyBorder="1" applyProtection="1"/>
    <xf numFmtId="166" fontId="74" fillId="0" borderId="10" xfId="0" applyNumberFormat="1" applyFont="1" applyFill="1" applyBorder="1" applyProtection="1"/>
    <xf numFmtId="1" fontId="74" fillId="0" borderId="39" xfId="0" applyNumberFormat="1" applyFont="1" applyBorder="1" applyProtection="1"/>
    <xf numFmtId="2" fontId="74" fillId="0" borderId="10" xfId="0" applyNumberFormat="1" applyFont="1" applyBorder="1" applyProtection="1"/>
    <xf numFmtId="0" fontId="74" fillId="37" borderId="10" xfId="0" applyFont="1" applyFill="1" applyBorder="1" applyAlignment="1" applyProtection="1">
      <alignment horizontal="center"/>
    </xf>
    <xf numFmtId="2" fontId="74" fillId="53" borderId="10" xfId="0" applyNumberFormat="1" applyFont="1" applyFill="1" applyBorder="1" applyAlignment="1" applyProtection="1">
      <alignment horizontal="center"/>
    </xf>
    <xf numFmtId="0" fontId="74" fillId="0" borderId="167" xfId="0" applyFont="1" applyBorder="1" applyProtection="1"/>
    <xf numFmtId="1" fontId="74" fillId="0" borderId="10" xfId="0" applyNumberFormat="1" applyFont="1" applyBorder="1" applyProtection="1"/>
    <xf numFmtId="2" fontId="74" fillId="53" borderId="10" xfId="0" applyNumberFormat="1" applyFont="1" applyFill="1" applyBorder="1" applyProtection="1"/>
    <xf numFmtId="43" fontId="76" fillId="33" borderId="10" xfId="0" applyNumberFormat="1" applyFont="1" applyFill="1" applyBorder="1" applyProtection="1"/>
    <xf numFmtId="175" fontId="74" fillId="0" borderId="10" xfId="28" applyNumberFormat="1" applyFont="1" applyBorder="1" applyProtection="1"/>
    <xf numFmtId="1" fontId="74" fillId="0" borderId="0" xfId="0" applyNumberFormat="1" applyFont="1" applyProtection="1"/>
    <xf numFmtId="0" fontId="74" fillId="0" borderId="10" xfId="0" applyFont="1" applyFill="1" applyBorder="1" applyAlignment="1" applyProtection="1">
      <alignment horizontal="center"/>
    </xf>
    <xf numFmtId="3" fontId="74" fillId="0" borderId="10" xfId="0" applyNumberFormat="1" applyFont="1" applyFill="1" applyBorder="1" applyAlignment="1" applyProtection="1">
      <alignment horizontal="center"/>
    </xf>
    <xf numFmtId="168" fontId="74" fillId="53" borderId="10" xfId="0" applyNumberFormat="1" applyFont="1" applyFill="1" applyBorder="1" applyAlignment="1" applyProtection="1">
      <alignment horizontal="center"/>
    </xf>
    <xf numFmtId="166" fontId="74" fillId="53" borderId="10" xfId="0" applyNumberFormat="1" applyFont="1" applyFill="1" applyBorder="1" applyAlignment="1" applyProtection="1">
      <alignment horizontal="center"/>
    </xf>
    <xf numFmtId="0" fontId="76" fillId="0" borderId="14" xfId="0" applyFont="1" applyBorder="1" applyProtection="1"/>
    <xf numFmtId="0" fontId="74" fillId="0" borderId="19" xfId="0" applyFont="1" applyBorder="1" applyProtection="1"/>
    <xf numFmtId="0" fontId="74" fillId="53" borderId="27" xfId="0" applyFont="1" applyFill="1" applyBorder="1" applyProtection="1"/>
    <xf numFmtId="0" fontId="74" fillId="33" borderId="135" xfId="0" applyFont="1" applyFill="1" applyBorder="1" applyAlignment="1" applyProtection="1"/>
    <xf numFmtId="0" fontId="74" fillId="33" borderId="167" xfId="0" applyFont="1" applyFill="1" applyBorder="1" applyAlignment="1" applyProtection="1"/>
    <xf numFmtId="43" fontId="74" fillId="0" borderId="10" xfId="0" applyNumberFormat="1" applyFont="1" applyBorder="1" applyProtection="1"/>
    <xf numFmtId="175" fontId="74" fillId="0" borderId="10" xfId="0" applyNumberFormat="1" applyFont="1" applyFill="1" applyBorder="1" applyProtection="1"/>
    <xf numFmtId="2" fontId="74" fillId="0" borderId="10" xfId="0" applyNumberFormat="1" applyFont="1" applyFill="1" applyBorder="1" applyAlignment="1" applyProtection="1">
      <alignment horizontal="center"/>
    </xf>
    <xf numFmtId="0" fontId="74" fillId="53" borderId="10" xfId="0" applyFont="1" applyFill="1" applyBorder="1" applyProtection="1">
      <protection locked="0"/>
    </xf>
    <xf numFmtId="0" fontId="74" fillId="0" borderId="0" xfId="0" applyFont="1" applyFill="1" applyAlignment="1" applyProtection="1">
      <alignment horizontal="right"/>
      <protection locked="0"/>
    </xf>
    <xf numFmtId="0" fontId="74" fillId="35" borderId="61" xfId="0" applyFont="1" applyFill="1" applyBorder="1" applyProtection="1">
      <protection locked="0"/>
    </xf>
    <xf numFmtId="0" fontId="74" fillId="0" borderId="0" xfId="0" applyFont="1" applyFill="1" applyBorder="1" applyProtection="1">
      <protection locked="0"/>
    </xf>
    <xf numFmtId="166" fontId="74" fillId="0" borderId="0" xfId="0" applyNumberFormat="1" applyFont="1" applyFill="1" applyProtection="1">
      <protection locked="0"/>
    </xf>
    <xf numFmtId="0" fontId="74" fillId="0" borderId="135" xfId="0" applyFont="1" applyFill="1" applyBorder="1" applyProtection="1">
      <protection locked="0"/>
    </xf>
    <xf numFmtId="0" fontId="74" fillId="35" borderId="145" xfId="0" applyFont="1" applyFill="1" applyBorder="1" applyProtection="1">
      <protection locked="0"/>
    </xf>
    <xf numFmtId="0" fontId="74" fillId="53" borderId="135" xfId="0" applyFont="1" applyFill="1" applyBorder="1" applyProtection="1">
      <protection locked="0"/>
    </xf>
    <xf numFmtId="0" fontId="74" fillId="0" borderId="0" xfId="0" applyFont="1" applyAlignment="1" applyProtection="1">
      <alignment horizontal="left"/>
      <protection locked="0"/>
    </xf>
    <xf numFmtId="0" fontId="74" fillId="0" borderId="0" xfId="0" applyFont="1" applyAlignment="1" applyProtection="1">
      <alignment wrapText="1" shrinkToFit="1"/>
      <protection locked="0"/>
    </xf>
    <xf numFmtId="0" fontId="105" fillId="0" borderId="0" xfId="38" applyFont="1" applyAlignment="1" applyProtection="1">
      <alignment horizontal="left"/>
      <protection locked="0"/>
    </xf>
    <xf numFmtId="0" fontId="74" fillId="0" borderId="0" xfId="0" quotePrefix="1" applyFont="1" applyProtection="1">
      <protection locked="0"/>
    </xf>
    <xf numFmtId="0" fontId="74" fillId="54" borderId="168" xfId="0" applyFont="1" applyFill="1" applyBorder="1" applyProtection="1"/>
    <xf numFmtId="0" fontId="74" fillId="0" borderId="135" xfId="0" applyFont="1" applyBorder="1" applyAlignment="1" applyProtection="1">
      <alignment vertical="top" wrapText="1"/>
    </xf>
    <xf numFmtId="0" fontId="74" fillId="35" borderId="10" xfId="0" applyFont="1" applyFill="1" applyBorder="1" applyAlignment="1" applyProtection="1">
      <alignment vertical="top" wrapText="1"/>
    </xf>
    <xf numFmtId="1" fontId="74" fillId="0" borderId="10" xfId="0" applyNumberFormat="1" applyFont="1" applyFill="1" applyBorder="1" applyAlignment="1" applyProtection="1">
      <alignment vertical="top" wrapText="1"/>
    </xf>
    <xf numFmtId="0" fontId="74" fillId="0" borderId="10" xfId="0" applyFont="1" applyBorder="1" applyAlignment="1" applyProtection="1">
      <alignment vertical="top" wrapText="1"/>
    </xf>
    <xf numFmtId="0" fontId="74" fillId="0" borderId="39" xfId="0" applyFont="1" applyBorder="1" applyAlignment="1" applyProtection="1">
      <alignment vertical="top" wrapText="1"/>
    </xf>
    <xf numFmtId="1" fontId="74" fillId="0" borderId="39" xfId="0" applyNumberFormat="1" applyFont="1" applyBorder="1" applyAlignment="1" applyProtection="1">
      <alignment vertical="top" wrapText="1"/>
    </xf>
    <xf numFmtId="0" fontId="74" fillId="53" borderId="10" xfId="0" applyFont="1" applyFill="1" applyBorder="1" applyAlignment="1" applyProtection="1">
      <alignment vertical="top" wrapText="1"/>
    </xf>
    <xf numFmtId="168" fontId="74" fillId="53" borderId="10" xfId="0" applyNumberFormat="1" applyFont="1" applyFill="1" applyBorder="1" applyAlignment="1" applyProtection="1">
      <alignment vertical="top" wrapText="1"/>
    </xf>
    <xf numFmtId="0" fontId="74" fillId="0" borderId="10" xfId="0" applyFont="1" applyFill="1" applyBorder="1" applyAlignment="1" applyProtection="1">
      <alignment vertical="top" wrapText="1"/>
    </xf>
    <xf numFmtId="1" fontId="74" fillId="0" borderId="10" xfId="0" applyNumberFormat="1" applyFont="1" applyBorder="1" applyAlignment="1" applyProtection="1">
      <alignment vertical="top" wrapText="1"/>
    </xf>
    <xf numFmtId="1" fontId="74" fillId="53" borderId="10" xfId="0" applyNumberFormat="1" applyFont="1" applyFill="1" applyBorder="1" applyAlignment="1" applyProtection="1">
      <alignment vertical="top" wrapText="1"/>
    </xf>
    <xf numFmtId="2" fontId="74" fillId="53" borderId="10" xfId="0" applyNumberFormat="1" applyFont="1" applyFill="1" applyBorder="1" applyAlignment="1" applyProtection="1">
      <alignment vertical="top" wrapText="1"/>
    </xf>
    <xf numFmtId="0" fontId="74" fillId="53" borderId="10" xfId="0" applyFont="1" applyFill="1" applyBorder="1" applyProtection="1"/>
    <xf numFmtId="166" fontId="74" fillId="53" borderId="10" xfId="0" applyNumberFormat="1" applyFont="1" applyFill="1" applyBorder="1" applyProtection="1"/>
    <xf numFmtId="0" fontId="74" fillId="0" borderId="168" xfId="0" applyFont="1" applyFill="1" applyBorder="1" applyProtection="1"/>
    <xf numFmtId="166" fontId="74" fillId="0" borderId="10" xfId="0" applyNumberFormat="1" applyFont="1" applyFill="1" applyBorder="1" applyAlignment="1" applyProtection="1">
      <alignment horizontal="center"/>
    </xf>
    <xf numFmtId="0" fontId="74" fillId="0" borderId="0" xfId="0" applyFont="1" applyFill="1" applyBorder="1" applyProtection="1"/>
    <xf numFmtId="0" fontId="74" fillId="0" borderId="0" xfId="0" applyFont="1" applyFill="1" applyAlignment="1" applyProtection="1">
      <alignment horizontal="left"/>
    </xf>
    <xf numFmtId="0" fontId="74" fillId="54" borderId="10" xfId="0" applyFont="1" applyFill="1" applyBorder="1" applyProtection="1"/>
    <xf numFmtId="0" fontId="74" fillId="54" borderId="10" xfId="0" applyFont="1" applyFill="1" applyBorder="1" applyAlignment="1" applyProtection="1">
      <alignment wrapText="1"/>
    </xf>
    <xf numFmtId="0" fontId="74" fillId="0" borderId="0" xfId="0" applyFont="1" applyAlignment="1" applyProtection="1">
      <alignment vertical="top"/>
      <protection locked="0"/>
    </xf>
    <xf numFmtId="0" fontId="95" fillId="0" borderId="0" xfId="0" applyFont="1" applyFill="1" applyBorder="1" applyProtection="1">
      <protection locked="0"/>
    </xf>
    <xf numFmtId="0" fontId="74" fillId="30" borderId="0" xfId="0" applyFont="1" applyFill="1" applyProtection="1">
      <protection locked="0"/>
    </xf>
    <xf numFmtId="0" fontId="76" fillId="0" borderId="0" xfId="0" applyFont="1" applyFill="1" applyProtection="1"/>
    <xf numFmtId="0" fontId="74" fillId="0" borderId="0" xfId="0" applyFont="1" applyAlignment="1" applyProtection="1">
      <alignment vertical="top"/>
    </xf>
    <xf numFmtId="0" fontId="74" fillId="0" borderId="0" xfId="0" applyFont="1" applyFill="1" applyAlignment="1" applyProtection="1">
      <alignment horizontal="center"/>
    </xf>
    <xf numFmtId="0" fontId="76" fillId="0" borderId="10" xfId="0" applyFont="1" applyBorder="1" applyAlignment="1" applyProtection="1">
      <alignment horizontal="center"/>
    </xf>
    <xf numFmtId="2" fontId="74" fillId="0" borderId="0" xfId="0" applyNumberFormat="1" applyFont="1" applyAlignment="1" applyProtection="1">
      <alignment horizontal="center"/>
    </xf>
    <xf numFmtId="0" fontId="95" fillId="0" borderId="0" xfId="0" applyFont="1" applyAlignment="1" applyProtection="1">
      <alignment horizontal="left"/>
      <protection locked="0"/>
    </xf>
    <xf numFmtId="0" fontId="95" fillId="46" borderId="0" xfId="0" applyFont="1" applyFill="1" applyAlignment="1" applyProtection="1">
      <alignment horizontal="left"/>
      <protection locked="0"/>
    </xf>
    <xf numFmtId="0" fontId="95" fillId="46" borderId="0" xfId="0" applyFont="1" applyFill="1" applyProtection="1">
      <protection locked="0"/>
    </xf>
    <xf numFmtId="0" fontId="74" fillId="46" borderId="0" xfId="0" applyFont="1" applyFill="1" applyAlignment="1" applyProtection="1">
      <alignment horizontal="center"/>
      <protection locked="0"/>
    </xf>
    <xf numFmtId="9" fontId="117" fillId="0" borderId="0" xfId="51" applyFont="1" applyAlignment="1" applyProtection="1">
      <alignment horizontal="left"/>
      <protection locked="0"/>
    </xf>
    <xf numFmtId="0" fontId="118" fillId="0" borderId="0" xfId="0" applyFont="1" applyFill="1" applyBorder="1" applyAlignment="1" applyProtection="1">
      <alignment horizontal="center"/>
      <protection locked="0"/>
    </xf>
    <xf numFmtId="0" fontId="118" fillId="0" borderId="0" xfId="0" applyFont="1" applyFill="1" applyBorder="1" applyAlignment="1" applyProtection="1">
      <alignment horizontal="left"/>
      <protection locked="0"/>
    </xf>
    <xf numFmtId="0" fontId="118" fillId="0" borderId="0" xfId="0" applyFont="1" applyProtection="1">
      <protection locked="0"/>
    </xf>
    <xf numFmtId="0" fontId="74" fillId="46" borderId="0" xfId="0" applyFont="1" applyFill="1" applyProtection="1"/>
    <xf numFmtId="0" fontId="94" fillId="0" borderId="0" xfId="0" applyFont="1" applyProtection="1"/>
    <xf numFmtId="0" fontId="93" fillId="35" borderId="0" xfId="0" applyFont="1" applyFill="1" applyProtection="1">
      <protection locked="0"/>
    </xf>
    <xf numFmtId="166" fontId="74" fillId="0" borderId="0" xfId="0" applyNumberFormat="1" applyFont="1" applyProtection="1">
      <protection locked="0"/>
    </xf>
    <xf numFmtId="165" fontId="74" fillId="0" borderId="0" xfId="0" applyNumberFormat="1" applyFont="1" applyProtection="1">
      <protection locked="0"/>
    </xf>
    <xf numFmtId="0" fontId="76" fillId="0" borderId="145" xfId="0" applyFont="1" applyBorder="1" applyAlignment="1" applyProtection="1">
      <alignment horizontal="centerContinuous"/>
      <protection locked="0"/>
    </xf>
    <xf numFmtId="0" fontId="74" fillId="0" borderId="0" xfId="0" applyFont="1" applyBorder="1" applyAlignment="1" applyProtection="1">
      <alignment horizontal="centerContinuous"/>
      <protection locked="0"/>
    </xf>
    <xf numFmtId="0" fontId="94" fillId="0" borderId="0" xfId="0" applyFont="1" applyFill="1" applyBorder="1" applyProtection="1">
      <protection locked="0"/>
    </xf>
    <xf numFmtId="0" fontId="76" fillId="25" borderId="10" xfId="0" applyFont="1" applyFill="1" applyBorder="1" applyProtection="1">
      <protection locked="0"/>
    </xf>
    <xf numFmtId="0" fontId="74" fillId="25" borderId="10" xfId="0" applyFont="1" applyFill="1" applyBorder="1" applyProtection="1">
      <protection locked="0"/>
    </xf>
    <xf numFmtId="0" fontId="74" fillId="0" borderId="0" xfId="0" applyFont="1" applyFill="1" applyAlignment="1" applyProtection="1">
      <alignment vertical="top"/>
    </xf>
    <xf numFmtId="0" fontId="119" fillId="0" borderId="0" xfId="0" applyFont="1" applyBorder="1" applyAlignment="1" applyProtection="1">
      <alignment horizontal="left"/>
    </xf>
    <xf numFmtId="166" fontId="74" fillId="0" borderId="39" xfId="0" applyNumberFormat="1" applyFont="1" applyFill="1" applyBorder="1" applyAlignment="1" applyProtection="1">
      <alignment horizontal="right"/>
    </xf>
    <xf numFmtId="166" fontId="74" fillId="53" borderId="10" xfId="0" applyNumberFormat="1" applyFont="1" applyFill="1" applyBorder="1" applyAlignment="1" applyProtection="1">
      <alignment horizontal="right"/>
    </xf>
    <xf numFmtId="0" fontId="76" fillId="35" borderId="0" xfId="0" applyFont="1" applyFill="1" applyProtection="1"/>
    <xf numFmtId="0" fontId="76" fillId="0" borderId="10" xfId="0" applyFont="1" applyFill="1" applyBorder="1" applyAlignment="1" applyProtection="1">
      <alignment horizontal="center" wrapText="1"/>
    </xf>
    <xf numFmtId="0" fontId="76" fillId="0" borderId="10" xfId="0" applyFont="1" applyFill="1" applyBorder="1" applyAlignment="1" applyProtection="1">
      <alignment wrapText="1"/>
    </xf>
    <xf numFmtId="0" fontId="97" fillId="0" borderId="10" xfId="0" applyFont="1" applyFill="1" applyBorder="1" applyAlignment="1" applyProtection="1">
      <alignment wrapText="1"/>
    </xf>
    <xf numFmtId="1" fontId="74" fillId="0" borderId="10" xfId="0" applyNumberFormat="1" applyFont="1" applyFill="1" applyBorder="1" applyProtection="1"/>
    <xf numFmtId="1" fontId="74" fillId="53" borderId="10" xfId="0" applyNumberFormat="1" applyFont="1" applyFill="1" applyBorder="1" applyProtection="1"/>
    <xf numFmtId="0" fontId="119" fillId="0" borderId="0" xfId="0" applyFont="1" applyProtection="1"/>
    <xf numFmtId="0" fontId="74" fillId="37" borderId="10" xfId="0" applyFont="1" applyFill="1" applyBorder="1" applyAlignment="1" applyProtection="1">
      <alignment horizontal="left" wrapText="1"/>
      <protection locked="0"/>
    </xf>
    <xf numFmtId="0" fontId="97" fillId="0" borderId="0" xfId="0" applyFont="1" applyProtection="1">
      <protection locked="0"/>
    </xf>
    <xf numFmtId="1" fontId="76" fillId="0" borderId="0" xfId="0" applyNumberFormat="1" applyFont="1" applyProtection="1">
      <protection locked="0"/>
    </xf>
    <xf numFmtId="1" fontId="76" fillId="0" borderId="0" xfId="0" applyNumberFormat="1" applyFont="1" applyAlignment="1" applyProtection="1">
      <alignment horizontal="left"/>
      <protection locked="0"/>
    </xf>
    <xf numFmtId="0" fontId="119" fillId="0" borderId="0" xfId="0" applyFont="1" applyProtection="1">
      <protection locked="0"/>
    </xf>
    <xf numFmtId="0" fontId="93" fillId="56" borderId="0" xfId="0" applyFont="1" applyFill="1" applyProtection="1">
      <protection locked="0"/>
    </xf>
    <xf numFmtId="0" fontId="93" fillId="0" borderId="0" xfId="0" applyFont="1" applyFill="1" applyProtection="1">
      <protection locked="0"/>
    </xf>
    <xf numFmtId="0" fontId="74" fillId="0" borderId="0" xfId="0" quotePrefix="1" applyFont="1" applyFill="1" applyBorder="1" applyProtection="1">
      <protection locked="0"/>
    </xf>
    <xf numFmtId="1" fontId="74" fillId="0" borderId="0" xfId="0" applyNumberFormat="1" applyFont="1" applyFill="1" applyBorder="1" applyProtection="1">
      <protection locked="0"/>
    </xf>
    <xf numFmtId="0" fontId="76" fillId="0" borderId="27" xfId="0" applyFont="1" applyBorder="1" applyAlignment="1" applyProtection="1">
      <alignment horizontal="right"/>
      <protection locked="0"/>
    </xf>
    <xf numFmtId="0" fontId="74" fillId="0" borderId="28" xfId="0" applyFont="1" applyBorder="1" applyAlignment="1" applyProtection="1">
      <alignment horizontal="center"/>
      <protection locked="0"/>
    </xf>
    <xf numFmtId="0" fontId="74" fillId="0" borderId="27" xfId="0" applyFont="1" applyBorder="1" applyAlignment="1" applyProtection="1">
      <alignment horizontal="right"/>
      <protection locked="0"/>
    </xf>
    <xf numFmtId="1" fontId="74" fillId="0" borderId="166" xfId="0" applyNumberFormat="1" applyFont="1" applyBorder="1" applyAlignment="1" applyProtection="1">
      <alignment horizontal="center"/>
      <protection locked="0"/>
    </xf>
    <xf numFmtId="0" fontId="117" fillId="0" borderId="28" xfId="0" applyFont="1" applyBorder="1" applyProtection="1">
      <protection locked="0"/>
    </xf>
    <xf numFmtId="0" fontId="96" fillId="0" borderId="0" xfId="0" applyFont="1" applyProtection="1">
      <protection locked="0"/>
    </xf>
    <xf numFmtId="0" fontId="74" fillId="0" borderId="0" xfId="0" quotePrefix="1" applyFont="1" applyProtection="1"/>
    <xf numFmtId="1" fontId="74" fillId="33" borderId="10" xfId="0" applyNumberFormat="1" applyFont="1" applyFill="1" applyBorder="1" applyProtection="1"/>
    <xf numFmtId="3" fontId="74" fillId="33" borderId="10" xfId="0" applyNumberFormat="1" applyFont="1" applyFill="1" applyBorder="1" applyProtection="1"/>
    <xf numFmtId="166" fontId="74" fillId="33" borderId="10" xfId="0" applyNumberFormat="1" applyFont="1" applyFill="1" applyBorder="1" applyProtection="1"/>
    <xf numFmtId="0" fontId="74" fillId="33" borderId="10" xfId="0" applyFont="1" applyFill="1" applyBorder="1" applyAlignment="1" applyProtection="1">
      <alignment wrapText="1"/>
    </xf>
    <xf numFmtId="0" fontId="74" fillId="33" borderId="10" xfId="0" applyFont="1" applyFill="1" applyBorder="1" applyAlignment="1" applyProtection="1"/>
    <xf numFmtId="0" fontId="117" fillId="0" borderId="28" xfId="0" applyFont="1" applyBorder="1" applyProtection="1"/>
    <xf numFmtId="3" fontId="74" fillId="35" borderId="10" xfId="0" applyNumberFormat="1" applyFont="1" applyFill="1" applyBorder="1" applyAlignment="1" applyProtection="1">
      <alignment horizontal="center"/>
    </xf>
    <xf numFmtId="0" fontId="117" fillId="0" borderId="32" xfId="0" applyFont="1" applyBorder="1" applyProtection="1"/>
    <xf numFmtId="0" fontId="74" fillId="33" borderId="168" xfId="0" applyFont="1" applyFill="1" applyBorder="1" applyProtection="1"/>
    <xf numFmtId="0" fontId="74" fillId="0" borderId="10" xfId="0" applyFont="1" applyFill="1" applyBorder="1" applyAlignment="1" applyProtection="1">
      <alignment horizontal="left"/>
    </xf>
    <xf numFmtId="0" fontId="74" fillId="0" borderId="10" xfId="0" applyFont="1" applyFill="1" applyBorder="1" applyAlignment="1" applyProtection="1">
      <alignment vertical="center"/>
    </xf>
    <xf numFmtId="1" fontId="74" fillId="53" borderId="39" xfId="0" applyNumberFormat="1" applyFont="1" applyFill="1" applyBorder="1" applyProtection="1"/>
    <xf numFmtId="0" fontId="74" fillId="53" borderId="39" xfId="0" applyFont="1" applyFill="1" applyBorder="1" applyProtection="1"/>
    <xf numFmtId="2" fontId="74" fillId="53" borderId="10" xfId="0" applyNumberFormat="1" applyFont="1" applyFill="1" applyBorder="1" applyAlignment="1" applyProtection="1">
      <alignment horizontal="right"/>
    </xf>
    <xf numFmtId="169" fontId="74" fillId="53" borderId="10" xfId="0" applyNumberFormat="1" applyFont="1" applyFill="1" applyBorder="1" applyAlignment="1" applyProtection="1">
      <alignment horizontal="right"/>
    </xf>
    <xf numFmtId="0" fontId="74" fillId="57" borderId="0" xfId="0" applyFont="1" applyFill="1" applyProtection="1">
      <protection locked="0"/>
    </xf>
    <xf numFmtId="0" fontId="74" fillId="49" borderId="0" xfId="0" applyFont="1" applyFill="1" applyProtection="1">
      <protection locked="0"/>
    </xf>
    <xf numFmtId="214" fontId="89" fillId="37" borderId="10" xfId="28" applyNumberFormat="1" applyFont="1" applyFill="1" applyBorder="1" applyProtection="1">
      <protection locked="0"/>
    </xf>
    <xf numFmtId="175" fontId="89" fillId="37" borderId="10" xfId="28" applyNumberFormat="1" applyFont="1" applyFill="1" applyBorder="1" applyProtection="1">
      <protection locked="0"/>
    </xf>
    <xf numFmtId="175" fontId="89" fillId="58" borderId="10" xfId="28" applyNumberFormat="1" applyFont="1" applyFill="1" applyBorder="1" applyProtection="1">
      <protection locked="0"/>
    </xf>
    <xf numFmtId="9" fontId="89" fillId="57" borderId="10" xfId="51" applyNumberFormat="1" applyFont="1" applyFill="1" applyBorder="1" applyProtection="1">
      <protection locked="0"/>
    </xf>
    <xf numFmtId="9" fontId="89" fillId="57" borderId="10" xfId="28" applyNumberFormat="1" applyFont="1" applyFill="1" applyBorder="1" applyProtection="1">
      <protection locked="0"/>
    </xf>
    <xf numFmtId="1" fontId="89" fillId="37" borderId="10" xfId="51" applyNumberFormat="1" applyFont="1" applyFill="1" applyBorder="1" applyProtection="1">
      <protection locked="0"/>
    </xf>
    <xf numFmtId="1" fontId="89" fillId="37" borderId="10" xfId="28" applyNumberFormat="1" applyFont="1" applyFill="1" applyBorder="1" applyProtection="1">
      <protection locked="0"/>
    </xf>
    <xf numFmtId="175" fontId="89" fillId="57" borderId="10" xfId="28" applyNumberFormat="1" applyFont="1" applyFill="1" applyBorder="1" applyProtection="1">
      <protection locked="0"/>
    </xf>
    <xf numFmtId="9" fontId="89" fillId="37" borderId="10" xfId="51" applyNumberFormat="1" applyFont="1" applyFill="1" applyBorder="1" applyProtection="1">
      <protection locked="0"/>
    </xf>
    <xf numFmtId="9" fontId="89" fillId="37" borderId="10" xfId="28" applyNumberFormat="1" applyFont="1" applyFill="1" applyBorder="1" applyProtection="1">
      <protection locked="0"/>
    </xf>
    <xf numFmtId="168" fontId="89" fillId="37" borderId="10" xfId="51" applyNumberFormat="1" applyFont="1" applyFill="1" applyBorder="1" applyProtection="1">
      <protection locked="0"/>
    </xf>
    <xf numFmtId="168" fontId="89" fillId="37" borderId="10" xfId="28" applyNumberFormat="1" applyFont="1" applyFill="1" applyBorder="1" applyProtection="1">
      <protection locked="0"/>
    </xf>
    <xf numFmtId="0" fontId="74" fillId="57" borderId="0" xfId="0" applyFont="1" applyFill="1" applyProtection="1"/>
    <xf numFmtId="0" fontId="90" fillId="33" borderId="10" xfId="0" applyFont="1" applyFill="1" applyBorder="1" applyProtection="1"/>
    <xf numFmtId="0" fontId="90" fillId="33" borderId="10" xfId="0" applyFont="1" applyFill="1" applyBorder="1" applyAlignment="1" applyProtection="1">
      <alignment horizontal="center" wrapText="1"/>
    </xf>
    <xf numFmtId="0" fontId="90" fillId="0" borderId="10" xfId="0" applyFont="1" applyBorder="1" applyProtection="1"/>
    <xf numFmtId="0" fontId="90" fillId="0" borderId="135" xfId="0" applyFont="1" applyBorder="1" applyProtection="1"/>
    <xf numFmtId="0" fontId="90" fillId="0" borderId="10" xfId="0" applyFont="1" applyFill="1" applyBorder="1" applyProtection="1"/>
    <xf numFmtId="2" fontId="74" fillId="0" borderId="135" xfId="0" applyNumberFormat="1" applyFont="1" applyFill="1" applyBorder="1" applyAlignment="1" applyProtection="1">
      <alignment horizontal="center"/>
    </xf>
    <xf numFmtId="175" fontId="89" fillId="0" borderId="10" xfId="28" applyNumberFormat="1" applyFont="1" applyFill="1" applyBorder="1" applyAlignment="1" applyProtection="1">
      <alignment horizontal="center"/>
    </xf>
    <xf numFmtId="215" fontId="89" fillId="24" borderId="10" xfId="28" applyNumberFormat="1" applyFont="1" applyFill="1" applyBorder="1" applyProtection="1"/>
    <xf numFmtId="176" fontId="89" fillId="24" borderId="10" xfId="28" applyNumberFormat="1" applyFont="1" applyFill="1" applyBorder="1" applyProtection="1"/>
    <xf numFmtId="216" fontId="89" fillId="24" borderId="10" xfId="28" applyNumberFormat="1" applyFont="1" applyFill="1" applyBorder="1" applyProtection="1"/>
    <xf numFmtId="0" fontId="92" fillId="0" borderId="10" xfId="0" applyFont="1" applyFill="1" applyBorder="1" applyAlignment="1" applyProtection="1">
      <alignment horizontal="center" wrapText="1"/>
    </xf>
    <xf numFmtId="214" fontId="89" fillId="0" borderId="168" xfId="28" applyNumberFormat="1" applyFont="1" applyFill="1" applyBorder="1" applyProtection="1"/>
    <xf numFmtId="214" fontId="89" fillId="0" borderId="163" xfId="28" applyNumberFormat="1" applyFont="1" applyFill="1" applyBorder="1" applyProtection="1"/>
    <xf numFmtId="43" fontId="74" fillId="0" borderId="75" xfId="0" applyNumberFormat="1" applyFont="1" applyBorder="1" applyProtection="1"/>
    <xf numFmtId="43" fontId="74" fillId="0" borderId="117" xfId="0" applyNumberFormat="1" applyFont="1" applyBorder="1" applyProtection="1"/>
    <xf numFmtId="168" fontId="89" fillId="24" borderId="10" xfId="28" applyNumberFormat="1" applyFont="1" applyFill="1" applyBorder="1" applyProtection="1"/>
    <xf numFmtId="0" fontId="45" fillId="0" borderId="0" xfId="0" applyFont="1" applyProtection="1"/>
    <xf numFmtId="0" fontId="41" fillId="0" borderId="0" xfId="0" applyFont="1" applyProtection="1"/>
    <xf numFmtId="0" fontId="132" fillId="0" borderId="0" xfId="0" applyFont="1" applyProtection="1"/>
    <xf numFmtId="0" fontId="41" fillId="0" borderId="0" xfId="0" applyFont="1" applyAlignment="1" applyProtection="1">
      <alignment wrapText="1"/>
    </xf>
    <xf numFmtId="0" fontId="131" fillId="0" borderId="0" xfId="694" applyFont="1" applyProtection="1"/>
    <xf numFmtId="0" fontId="126" fillId="0" borderId="0" xfId="0" applyFont="1" applyBorder="1" applyAlignment="1" applyProtection="1">
      <protection locked="0"/>
    </xf>
    <xf numFmtId="220" fontId="126" fillId="0" borderId="194" xfId="665" applyNumberFormat="1" applyFont="1" applyBorder="1" applyAlignment="1">
      <alignment horizontal="center"/>
    </xf>
    <xf numFmtId="0" fontId="126" fillId="0" borderId="195" xfId="61" applyFont="1" applyBorder="1" applyAlignment="1">
      <alignment horizontal="center"/>
    </xf>
    <xf numFmtId="0" fontId="125" fillId="0" borderId="196" xfId="61" applyFont="1" applyBorder="1" applyAlignment="1">
      <alignment horizontal="center"/>
    </xf>
    <xf numFmtId="0" fontId="125" fillId="0" borderId="197" xfId="61" applyFont="1" applyBorder="1" applyAlignment="1">
      <alignment horizontal="center"/>
    </xf>
    <xf numFmtId="0" fontId="125" fillId="0" borderId="198" xfId="61" applyFont="1" applyBorder="1" applyAlignment="1">
      <alignment horizontal="center"/>
    </xf>
    <xf numFmtId="0" fontId="125" fillId="0" borderId="199" xfId="61" applyFont="1" applyBorder="1" applyAlignment="1">
      <alignment horizontal="center"/>
    </xf>
    <xf numFmtId="174" fontId="74" fillId="0" borderId="201" xfId="643" applyNumberFormat="1" applyFont="1" applyFill="1" applyBorder="1" applyAlignment="1" applyProtection="1">
      <alignment horizontal="center" vertical="center" wrapText="1"/>
      <protection hidden="1"/>
    </xf>
    <xf numFmtId="174" fontId="74" fillId="0" borderId="202" xfId="643" applyNumberFormat="1" applyFont="1" applyFill="1" applyBorder="1" applyAlignment="1" applyProtection="1">
      <alignment horizontal="center" vertical="center" wrapText="1"/>
      <protection hidden="1"/>
    </xf>
    <xf numFmtId="174" fontId="133" fillId="0" borderId="203" xfId="643" applyNumberFormat="1" applyFont="1" applyFill="1" applyBorder="1" applyAlignment="1" applyProtection="1">
      <alignment horizontal="left" vertical="center" wrapText="1"/>
      <protection hidden="1"/>
    </xf>
    <xf numFmtId="174" fontId="133" fillId="0" borderId="201" xfId="643" applyNumberFormat="1" applyFont="1" applyFill="1" applyBorder="1" applyAlignment="1" applyProtection="1">
      <alignment horizontal="center" vertical="center" wrapText="1"/>
      <protection hidden="1"/>
    </xf>
    <xf numFmtId="174" fontId="74" fillId="35" borderId="202" xfId="187" applyNumberFormat="1" applyFont="1" applyFill="1" applyBorder="1" applyAlignment="1" applyProtection="1">
      <alignment horizontal="center"/>
      <protection hidden="1"/>
    </xf>
    <xf numFmtId="174" fontId="134" fillId="35" borderId="201" xfId="187" applyNumberFormat="1" applyFont="1" applyFill="1" applyBorder="1" applyAlignment="1" applyProtection="1">
      <alignment horizontal="left"/>
      <protection hidden="1"/>
    </xf>
    <xf numFmtId="0" fontId="74" fillId="0" borderId="202" xfId="0" applyFont="1" applyFill="1" applyBorder="1" applyAlignment="1" applyProtection="1">
      <protection locked="0"/>
    </xf>
    <xf numFmtId="0" fontId="74" fillId="0" borderId="202" xfId="0" applyFont="1" applyFill="1" applyBorder="1" applyAlignment="1" applyProtection="1">
      <alignment vertical="center" wrapText="1"/>
      <protection locked="0"/>
    </xf>
    <xf numFmtId="0" fontId="74" fillId="0" borderId="204" xfId="0" applyFont="1" applyFill="1" applyBorder="1" applyAlignment="1" applyProtection="1">
      <alignment vertical="center" wrapText="1"/>
      <protection locked="0"/>
    </xf>
    <xf numFmtId="0" fontId="74" fillId="0" borderId="205" xfId="0" applyFont="1" applyFill="1" applyBorder="1" applyAlignment="1" applyProtection="1">
      <alignment vertical="center" wrapText="1"/>
      <protection locked="0"/>
    </xf>
    <xf numFmtId="0" fontId="74" fillId="0" borderId="206" xfId="0" applyFont="1" applyFill="1" applyBorder="1" applyAlignment="1" applyProtection="1">
      <alignment vertical="center" wrapText="1"/>
      <protection locked="0"/>
    </xf>
    <xf numFmtId="174" fontId="74" fillId="33" borderId="207" xfId="643" applyNumberFormat="1" applyFont="1" applyFill="1" applyBorder="1" applyAlignment="1" applyProtection="1">
      <alignment horizontal="center" vertical="center" wrapText="1"/>
      <protection hidden="1"/>
    </xf>
    <xf numFmtId="174" fontId="74" fillId="33" borderId="208" xfId="643" applyNumberFormat="1" applyFont="1" applyFill="1" applyBorder="1" applyAlignment="1" applyProtection="1">
      <alignment horizontal="center" vertical="center" wrapText="1"/>
      <protection hidden="1"/>
    </xf>
    <xf numFmtId="174" fontId="74" fillId="33" borderId="209" xfId="643" applyNumberFormat="1" applyFont="1" applyFill="1" applyBorder="1" applyAlignment="1" applyProtection="1">
      <alignment horizontal="center" vertical="center" wrapText="1"/>
      <protection hidden="1"/>
    </xf>
    <xf numFmtId="174" fontId="134" fillId="35" borderId="200" xfId="61" applyNumberFormat="1" applyFont="1" applyFill="1" applyBorder="1" applyAlignment="1" applyProtection="1">
      <alignment horizontal="center" vertical="center"/>
    </xf>
    <xf numFmtId="0" fontId="133" fillId="0" borderId="0" xfId="0" applyFont="1" applyFill="1" applyBorder="1" applyAlignment="1" applyProtection="1"/>
    <xf numFmtId="0" fontId="133" fillId="0" borderId="203" xfId="0" applyFont="1" applyFill="1" applyBorder="1" applyAlignment="1" applyProtection="1"/>
    <xf numFmtId="220" fontId="133" fillId="0" borderId="200" xfId="665" applyNumberFormat="1" applyFont="1" applyFill="1" applyBorder="1" applyAlignment="1" applyProtection="1"/>
    <xf numFmtId="0" fontId="133" fillId="0" borderId="0" xfId="0" applyFont="1" applyFill="1" applyBorder="1" applyAlignment="1" applyProtection="1">
      <alignment vertical="center" wrapText="1"/>
    </xf>
    <xf numFmtId="0" fontId="133" fillId="0" borderId="201" xfId="0" applyFont="1" applyFill="1" applyBorder="1" applyAlignment="1" applyProtection="1"/>
    <xf numFmtId="0" fontId="134" fillId="0" borderId="200" xfId="0" applyFont="1" applyFill="1" applyBorder="1" applyAlignment="1" applyProtection="1">
      <alignment horizontal="center" vertical="center" wrapText="1"/>
    </xf>
    <xf numFmtId="3" fontId="133" fillId="0" borderId="200" xfId="0" applyNumberFormat="1" applyFont="1" applyFill="1" applyBorder="1" applyAlignment="1" applyProtection="1">
      <alignment vertical="center" wrapText="1"/>
    </xf>
    <xf numFmtId="0" fontId="133" fillId="0" borderId="203" xfId="0" applyFont="1" applyFill="1" applyBorder="1" applyAlignment="1" applyProtection="1">
      <alignment vertical="center" wrapText="1"/>
    </xf>
    <xf numFmtId="174" fontId="74" fillId="33" borderId="210" xfId="643" applyNumberFormat="1" applyFont="1" applyFill="1" applyBorder="1" applyAlignment="1" applyProtection="1">
      <alignment horizontal="center" vertical="center" wrapText="1"/>
      <protection hidden="1"/>
    </xf>
    <xf numFmtId="174" fontId="74" fillId="33" borderId="211" xfId="643" applyNumberFormat="1" applyFont="1" applyFill="1" applyBorder="1" applyAlignment="1" applyProtection="1">
      <alignment horizontal="center" vertical="center" wrapText="1"/>
      <protection hidden="1"/>
    </xf>
    <xf numFmtId="174" fontId="74" fillId="33" borderId="212" xfId="643" applyNumberFormat="1" applyFont="1" applyFill="1" applyBorder="1" applyAlignment="1" applyProtection="1">
      <alignment horizontal="center" vertical="center" wrapText="1"/>
      <protection hidden="1"/>
    </xf>
    <xf numFmtId="44" fontId="133" fillId="0" borderId="200" xfId="0" applyNumberFormat="1" applyFont="1" applyFill="1" applyBorder="1" applyAlignment="1" applyProtection="1">
      <alignment vertical="center" wrapText="1"/>
    </xf>
    <xf numFmtId="177" fontId="74" fillId="35" borderId="10" xfId="0" applyNumberFormat="1" applyFont="1" applyFill="1" applyBorder="1" applyAlignment="1" applyProtection="1">
      <alignment horizontal="center"/>
    </xf>
    <xf numFmtId="184" fontId="74" fillId="35" borderId="10" xfId="0" applyNumberFormat="1" applyFont="1" applyFill="1" applyBorder="1" applyAlignment="1" applyProtection="1">
      <alignment horizontal="center"/>
    </xf>
    <xf numFmtId="0" fontId="74" fillId="37" borderId="10" xfId="0" applyFont="1" applyFill="1" applyBorder="1" applyAlignment="1" applyProtection="1">
      <alignment horizontal="center"/>
      <protection locked="0"/>
    </xf>
    <xf numFmtId="167" fontId="74" fillId="61" borderId="10" xfId="0" applyNumberFormat="1" applyFont="1" applyFill="1" applyBorder="1" applyAlignment="1">
      <alignment horizontal="right"/>
    </xf>
    <xf numFmtId="0" fontId="50" fillId="0" borderId="0" xfId="47" applyFont="1"/>
    <xf numFmtId="3" fontId="74" fillId="0" borderId="10" xfId="0" applyNumberFormat="1" applyFont="1" applyFill="1" applyBorder="1" applyProtection="1">
      <protection locked="0"/>
    </xf>
    <xf numFmtId="14" fontId="41" fillId="0" borderId="0" xfId="0" applyNumberFormat="1" applyFont="1" applyProtection="1"/>
    <xf numFmtId="0" fontId="74" fillId="0" borderId="10" xfId="0" quotePrefix="1" applyFont="1" applyBorder="1" applyProtection="1">
      <protection locked="0"/>
    </xf>
    <xf numFmtId="0" fontId="74" fillId="30" borderId="14" xfId="0" applyFont="1" applyFill="1" applyBorder="1" applyAlignment="1" applyProtection="1">
      <alignment horizontal="justify" wrapText="1"/>
    </xf>
    <xf numFmtId="0" fontId="74" fillId="30" borderId="19" xfId="0" applyFont="1" applyFill="1" applyBorder="1" applyAlignment="1" applyProtection="1">
      <alignment horizontal="justify" wrapText="1"/>
    </xf>
    <xf numFmtId="0" fontId="74" fillId="37" borderId="27" xfId="0" applyFont="1" applyFill="1" applyBorder="1" applyAlignment="1" applyProtection="1">
      <alignment horizontal="left" wrapText="1"/>
    </xf>
    <xf numFmtId="0" fontId="74" fillId="37" borderId="28" xfId="0" applyFont="1" applyFill="1" applyBorder="1" applyAlignment="1" applyProtection="1">
      <alignment horizontal="left" wrapText="1"/>
    </xf>
    <xf numFmtId="0" fontId="74" fillId="30" borderId="17" xfId="0" applyFont="1" applyFill="1" applyBorder="1" applyAlignment="1" applyProtection="1">
      <alignment horizontal="left" wrapText="1"/>
    </xf>
    <xf numFmtId="0" fontId="74" fillId="30" borderId="21" xfId="0" applyFont="1" applyFill="1" applyBorder="1" applyAlignment="1" applyProtection="1">
      <alignment horizontal="left" wrapText="1"/>
    </xf>
    <xf numFmtId="0" fontId="74" fillId="35" borderId="59" xfId="662" applyFont="1" applyFill="1" applyBorder="1" applyAlignment="1" applyProtection="1">
      <alignment horizontal="center" vertical="center" wrapText="1"/>
    </xf>
    <xf numFmtId="0" fontId="74" fillId="35" borderId="39" xfId="662" applyFont="1" applyFill="1" applyBorder="1" applyAlignment="1" applyProtection="1">
      <alignment horizontal="center" vertical="center" wrapText="1"/>
    </xf>
    <xf numFmtId="0" fontId="41" fillId="0" borderId="0" xfId="0" applyFont="1" applyAlignment="1" applyProtection="1">
      <alignment horizontal="left" wrapText="1"/>
    </xf>
    <xf numFmtId="0" fontId="51" fillId="25" borderId="16" xfId="47" applyFont="1" applyFill="1" applyBorder="1" applyAlignment="1">
      <alignment horizontal="center"/>
    </xf>
    <xf numFmtId="0" fontId="51" fillId="25" borderId="20" xfId="47" applyFont="1" applyFill="1" applyBorder="1" applyAlignment="1">
      <alignment horizontal="center"/>
    </xf>
    <xf numFmtId="0" fontId="50" fillId="25" borderId="22" xfId="47" applyFont="1" applyFill="1" applyBorder="1" applyAlignment="1">
      <alignment horizontal="center"/>
    </xf>
    <xf numFmtId="0" fontId="50" fillId="25" borderId="38" xfId="47" applyFont="1" applyFill="1" applyBorder="1" applyAlignment="1">
      <alignment horizontal="center"/>
    </xf>
    <xf numFmtId="0" fontId="50" fillId="25" borderId="81" xfId="47" applyFont="1" applyFill="1" applyBorder="1" applyAlignment="1">
      <alignment horizontal="center"/>
    </xf>
    <xf numFmtId="0" fontId="50" fillId="25" borderId="64" xfId="47" applyFont="1" applyFill="1" applyBorder="1" applyAlignment="1">
      <alignment horizontal="center"/>
    </xf>
    <xf numFmtId="0" fontId="50" fillId="25" borderId="181" xfId="47" applyFont="1" applyFill="1" applyBorder="1" applyAlignment="1">
      <alignment horizontal="center"/>
    </xf>
    <xf numFmtId="0" fontId="51" fillId="25" borderId="29" xfId="47" applyFont="1" applyFill="1" applyBorder="1" applyAlignment="1">
      <alignment horizontal="center"/>
    </xf>
    <xf numFmtId="0" fontId="76" fillId="33" borderId="11" xfId="0" applyFont="1" applyFill="1" applyBorder="1" applyAlignment="1" applyProtection="1">
      <alignment horizontal="left"/>
    </xf>
    <xf numFmtId="0" fontId="76" fillId="33" borderId="166" xfId="0" applyFont="1" applyFill="1" applyBorder="1" applyAlignment="1" applyProtection="1">
      <alignment horizontal="left"/>
    </xf>
    <xf numFmtId="0" fontId="76" fillId="33" borderId="167" xfId="0" applyFont="1" applyFill="1" applyBorder="1" applyAlignment="1" applyProtection="1">
      <alignment horizontal="left"/>
    </xf>
    <xf numFmtId="8" fontId="74" fillId="37" borderId="10" xfId="0" applyNumberFormat="1" applyFont="1" applyFill="1" applyBorder="1" applyAlignment="1" applyProtection="1">
      <alignment horizontal="center"/>
      <protection locked="0"/>
    </xf>
    <xf numFmtId="183" fontId="74" fillId="37" borderId="10" xfId="0" applyNumberFormat="1" applyFont="1" applyFill="1" applyBorder="1" applyAlignment="1" applyProtection="1">
      <alignment horizontal="center"/>
      <protection locked="0"/>
    </xf>
    <xf numFmtId="0" fontId="74" fillId="37" borderId="150" xfId="0" applyFont="1" applyFill="1" applyBorder="1" applyAlignment="1" applyProtection="1">
      <alignment horizontal="center" vertical="center" wrapText="1"/>
      <protection locked="0"/>
    </xf>
    <xf numFmtId="0" fontId="74" fillId="37" borderId="139" xfId="0" applyFont="1" applyFill="1" applyBorder="1" applyAlignment="1" applyProtection="1">
      <alignment horizontal="center" vertical="center" wrapText="1"/>
      <protection locked="0"/>
    </xf>
    <xf numFmtId="0" fontId="74" fillId="37" borderId="39" xfId="0" applyFont="1" applyFill="1" applyBorder="1" applyAlignment="1" applyProtection="1">
      <alignment horizontal="center" vertical="center" wrapText="1"/>
      <protection locked="0"/>
    </xf>
    <xf numFmtId="0" fontId="74" fillId="37" borderId="160" xfId="0" applyFont="1" applyFill="1" applyBorder="1" applyAlignment="1" applyProtection="1">
      <alignment horizontal="center" vertical="center" wrapText="1"/>
      <protection locked="0"/>
    </xf>
    <xf numFmtId="0" fontId="74" fillId="37" borderId="59" xfId="0" applyFont="1" applyFill="1" applyBorder="1" applyAlignment="1" applyProtection="1">
      <alignment horizontal="center" vertical="center" wrapText="1"/>
      <protection locked="0"/>
    </xf>
    <xf numFmtId="0" fontId="93" fillId="0" borderId="0" xfId="0" applyFont="1" applyAlignment="1" applyProtection="1">
      <alignment horizontal="center" wrapText="1"/>
    </xf>
    <xf numFmtId="0" fontId="74" fillId="37" borderId="137" xfId="0" applyFont="1" applyFill="1" applyBorder="1" applyAlignment="1" applyProtection="1">
      <alignment horizontal="center" vertical="center" wrapText="1"/>
      <protection locked="0"/>
    </xf>
    <xf numFmtId="0" fontId="74" fillId="0" borderId="137" xfId="0" applyFont="1" applyBorder="1" applyAlignment="1" applyProtection="1">
      <alignment horizontal="center" vertical="center" wrapText="1"/>
    </xf>
    <xf numFmtId="0" fontId="74" fillId="0" borderId="39" xfId="0" applyFont="1" applyBorder="1" applyAlignment="1" applyProtection="1">
      <alignment horizontal="center" vertical="center" wrapText="1"/>
    </xf>
    <xf numFmtId="0" fontId="74" fillId="0" borderId="61" xfId="0" applyFont="1" applyBorder="1" applyAlignment="1" applyProtection="1">
      <alignment horizontal="center" vertical="center" wrapText="1"/>
    </xf>
    <xf numFmtId="0" fontId="74" fillId="37" borderId="61" xfId="0" applyFont="1" applyFill="1" applyBorder="1" applyAlignment="1" applyProtection="1">
      <alignment horizontal="center" vertical="center" wrapText="1"/>
      <protection locked="0"/>
    </xf>
    <xf numFmtId="0" fontId="74" fillId="47" borderId="150" xfId="0" applyFont="1" applyFill="1" applyBorder="1" applyAlignment="1" applyProtection="1">
      <alignment horizontal="center" vertical="center" wrapText="1"/>
    </xf>
    <xf numFmtId="0" fontId="74" fillId="47" borderId="39" xfId="0" applyFont="1" applyFill="1" applyBorder="1" applyAlignment="1" applyProtection="1">
      <alignment horizontal="center" vertical="center" wrapText="1"/>
    </xf>
    <xf numFmtId="0" fontId="74" fillId="48" borderId="150" xfId="0" applyFont="1" applyFill="1" applyBorder="1" applyAlignment="1" applyProtection="1">
      <alignment horizontal="center" vertical="center" wrapText="1"/>
    </xf>
    <xf numFmtId="0" fontId="74" fillId="48" borderId="39" xfId="0" applyFont="1" applyFill="1" applyBorder="1" applyAlignment="1" applyProtection="1">
      <alignment horizontal="center" vertical="center" wrapText="1"/>
    </xf>
    <xf numFmtId="0" fontId="74" fillId="37" borderId="59" xfId="0" applyNumberFormat="1" applyFont="1" applyFill="1" applyBorder="1" applyAlignment="1" applyProtection="1">
      <alignment horizontal="center" vertical="center" wrapText="1"/>
      <protection locked="0"/>
    </xf>
    <xf numFmtId="0" fontId="74" fillId="37" borderId="160" xfId="0" applyNumberFormat="1" applyFont="1" applyFill="1" applyBorder="1" applyAlignment="1" applyProtection="1">
      <alignment horizontal="center" vertical="center" wrapText="1"/>
      <protection locked="0"/>
    </xf>
    <xf numFmtId="0" fontId="74" fillId="37" borderId="10" xfId="0" applyFont="1" applyFill="1" applyBorder="1" applyAlignment="1" applyProtection="1">
      <alignment horizontal="center" vertical="center" wrapText="1"/>
      <protection locked="0"/>
    </xf>
    <xf numFmtId="0" fontId="93" fillId="0" borderId="0" xfId="0" applyFont="1" applyAlignment="1" applyProtection="1">
      <alignment horizontal="center" vertical="center" wrapText="1"/>
    </xf>
    <xf numFmtId="0" fontId="74" fillId="47" borderId="139" xfId="0" applyFont="1" applyFill="1" applyBorder="1" applyAlignment="1" applyProtection="1">
      <alignment horizontal="center" vertical="center" wrapText="1"/>
    </xf>
    <xf numFmtId="0" fontId="74" fillId="0" borderId="151" xfId="0" applyFont="1" applyBorder="1" applyAlignment="1" applyProtection="1">
      <alignment horizontal="center" vertical="center" wrapText="1"/>
    </xf>
    <xf numFmtId="0" fontId="74" fillId="0" borderId="145" xfId="0" applyFont="1" applyBorder="1" applyAlignment="1" applyProtection="1">
      <alignment horizontal="center" vertical="center" wrapText="1"/>
    </xf>
    <xf numFmtId="0" fontId="74" fillId="0" borderId="157" xfId="0" applyFont="1" applyBorder="1" applyAlignment="1" applyProtection="1">
      <alignment horizontal="center" vertical="center" wrapText="1"/>
    </xf>
    <xf numFmtId="0" fontId="76" fillId="33" borderId="15" xfId="0" applyFont="1" applyFill="1" applyBorder="1" applyAlignment="1" applyProtection="1">
      <alignment horizontal="center" wrapText="1"/>
    </xf>
    <xf numFmtId="0" fontId="76" fillId="33" borderId="30" xfId="0" applyFont="1" applyFill="1" applyBorder="1" applyAlignment="1" applyProtection="1">
      <alignment horizontal="center" wrapText="1"/>
    </xf>
    <xf numFmtId="0" fontId="76" fillId="33" borderId="31" xfId="0" applyFont="1" applyFill="1" applyBorder="1" applyAlignment="1" applyProtection="1">
      <alignment horizontal="center" wrapText="1"/>
    </xf>
    <xf numFmtId="0" fontId="76" fillId="33" borderId="19" xfId="0" applyFont="1" applyFill="1" applyBorder="1" applyAlignment="1" applyProtection="1">
      <alignment horizontal="center" wrapText="1"/>
    </xf>
    <xf numFmtId="0" fontId="76" fillId="33" borderId="28" xfId="0" applyFont="1" applyFill="1" applyBorder="1" applyAlignment="1" applyProtection="1">
      <alignment horizontal="center" wrapText="1"/>
    </xf>
    <xf numFmtId="0" fontId="76" fillId="33" borderId="21" xfId="0" applyFont="1" applyFill="1" applyBorder="1" applyAlignment="1" applyProtection="1">
      <alignment horizontal="center" wrapText="1"/>
    </xf>
    <xf numFmtId="0" fontId="74" fillId="0" borderId="27" xfId="0" applyFont="1" applyFill="1" applyBorder="1" applyAlignment="1" applyProtection="1">
      <alignment horizontal="left" vertical="top" wrapText="1"/>
    </xf>
    <xf numFmtId="0" fontId="74" fillId="0" borderId="55" xfId="0" applyFont="1" applyFill="1" applyBorder="1" applyAlignment="1" applyProtection="1">
      <alignment horizontal="left" vertical="top" wrapText="1"/>
    </xf>
    <xf numFmtId="3" fontId="74" fillId="35" borderId="10" xfId="0" applyNumberFormat="1" applyFont="1" applyFill="1" applyBorder="1" applyAlignment="1" applyProtection="1">
      <alignment horizontal="center"/>
    </xf>
    <xf numFmtId="0" fontId="74" fillId="35" borderId="10" xfId="0" applyFont="1" applyFill="1" applyBorder="1" applyAlignment="1" applyProtection="1">
      <alignment horizontal="center"/>
    </xf>
    <xf numFmtId="0" fontId="74" fillId="35" borderId="42" xfId="0" applyFont="1" applyFill="1" applyBorder="1" applyAlignment="1" applyProtection="1">
      <alignment horizontal="center"/>
    </xf>
    <xf numFmtId="0" fontId="74" fillId="0" borderId="146" xfId="0" applyFont="1" applyFill="1" applyBorder="1" applyAlignment="1" applyProtection="1">
      <alignment horizontal="left" vertical="top" wrapText="1"/>
    </xf>
    <xf numFmtId="166" fontId="74" fillId="0" borderId="11" xfId="0" applyNumberFormat="1" applyFont="1" applyBorder="1" applyAlignment="1" applyProtection="1">
      <alignment horizontal="center"/>
    </xf>
    <xf numFmtId="166" fontId="74" fillId="0" borderId="166" xfId="0" applyNumberFormat="1" applyFont="1" applyBorder="1" applyAlignment="1" applyProtection="1">
      <alignment horizontal="center"/>
    </xf>
    <xf numFmtId="166" fontId="74" fillId="0" borderId="71" xfId="0" applyNumberFormat="1" applyFont="1" applyBorder="1" applyAlignment="1" applyProtection="1">
      <alignment horizontal="center"/>
    </xf>
    <xf numFmtId="166" fontId="74" fillId="0" borderId="11" xfId="0" applyNumberFormat="1" applyFont="1" applyFill="1" applyBorder="1" applyAlignment="1" applyProtection="1">
      <alignment horizontal="center" vertical="top" wrapText="1"/>
    </xf>
    <xf numFmtId="166" fontId="74" fillId="0" borderId="166" xfId="0" applyNumberFormat="1" applyFont="1" applyFill="1" applyBorder="1" applyAlignment="1" applyProtection="1">
      <alignment horizontal="center" vertical="top" wrapText="1"/>
    </xf>
    <xf numFmtId="166" fontId="74" fillId="0" borderId="167" xfId="0" applyNumberFormat="1" applyFont="1" applyFill="1" applyBorder="1" applyAlignment="1" applyProtection="1">
      <alignment horizontal="center" vertical="top" wrapText="1"/>
    </xf>
    <xf numFmtId="3" fontId="74" fillId="0" borderId="11" xfId="0" applyNumberFormat="1" applyFont="1" applyFill="1" applyBorder="1" applyAlignment="1" applyProtection="1">
      <alignment horizontal="center" vertical="top" wrapText="1"/>
    </xf>
    <xf numFmtId="3" fontId="74" fillId="0" borderId="12" xfId="0" applyNumberFormat="1" applyFont="1" applyFill="1" applyBorder="1" applyAlignment="1" applyProtection="1">
      <alignment horizontal="center" vertical="top" wrapText="1"/>
    </xf>
    <xf numFmtId="3" fontId="74" fillId="0" borderId="13" xfId="0" applyNumberFormat="1" applyFont="1" applyFill="1" applyBorder="1" applyAlignment="1" applyProtection="1">
      <alignment horizontal="center" vertical="top" wrapText="1"/>
    </xf>
    <xf numFmtId="3" fontId="74" fillId="0" borderId="10" xfId="0" applyNumberFormat="1" applyFont="1" applyFill="1" applyBorder="1" applyAlignment="1" applyProtection="1">
      <alignment horizontal="center"/>
    </xf>
    <xf numFmtId="0" fontId="74" fillId="0" borderId="10" xfId="0" applyFont="1" applyFill="1" applyBorder="1" applyAlignment="1" applyProtection="1">
      <alignment horizontal="center"/>
    </xf>
    <xf numFmtId="0" fontId="74" fillId="0" borderId="42" xfId="0" applyFont="1" applyFill="1" applyBorder="1" applyAlignment="1" applyProtection="1">
      <alignment horizontal="center"/>
    </xf>
    <xf numFmtId="0" fontId="74" fillId="35" borderId="10" xfId="0" applyFont="1" applyFill="1" applyBorder="1" applyAlignment="1" applyProtection="1">
      <alignment horizontal="center" vertical="top" wrapText="1"/>
    </xf>
    <xf numFmtId="0" fontId="74" fillId="35" borderId="42" xfId="0" applyFont="1" applyFill="1" applyBorder="1" applyAlignment="1" applyProtection="1">
      <alignment horizontal="center" vertical="top" wrapText="1"/>
    </xf>
    <xf numFmtId="0" fontId="74" fillId="33" borderId="79" xfId="0" applyFont="1" applyFill="1" applyBorder="1" applyAlignment="1" applyProtection="1">
      <alignment horizontal="left" vertical="top" wrapText="1"/>
    </xf>
    <xf numFmtId="0" fontId="74" fillId="33" borderId="12" xfId="0" applyFont="1" applyFill="1" applyBorder="1" applyAlignment="1" applyProtection="1">
      <alignment horizontal="left" vertical="top" wrapText="1"/>
    </xf>
    <xf numFmtId="0" fontId="74" fillId="33" borderId="71" xfId="0" applyFont="1" applyFill="1" applyBorder="1" applyAlignment="1" applyProtection="1">
      <alignment horizontal="left" vertical="top" wrapText="1"/>
    </xf>
    <xf numFmtId="0" fontId="74" fillId="35" borderId="60" xfId="0" applyFont="1" applyFill="1" applyBorder="1" applyAlignment="1" applyProtection="1">
      <alignment horizontal="center" vertical="top" wrapText="1"/>
    </xf>
    <xf numFmtId="0" fontId="74" fillId="35" borderId="62" xfId="0" applyFont="1" applyFill="1" applyBorder="1" applyAlignment="1" applyProtection="1">
      <alignment horizontal="center" vertical="top" wrapText="1"/>
    </xf>
    <xf numFmtId="0" fontId="74" fillId="35" borderId="75" xfId="0" applyFont="1" applyFill="1" applyBorder="1" applyAlignment="1" applyProtection="1">
      <alignment horizontal="center" vertical="top" wrapText="1"/>
    </xf>
    <xf numFmtId="3" fontId="74" fillId="35" borderId="11" xfId="0" applyNumberFormat="1" applyFont="1" applyFill="1" applyBorder="1" applyAlignment="1" applyProtection="1">
      <alignment horizontal="center" vertical="top" wrapText="1"/>
    </xf>
    <xf numFmtId="3" fontId="74" fillId="35" borderId="12" xfId="0" applyNumberFormat="1" applyFont="1" applyFill="1" applyBorder="1" applyAlignment="1" applyProtection="1">
      <alignment horizontal="center" vertical="top" wrapText="1"/>
    </xf>
    <xf numFmtId="3" fontId="74" fillId="35" borderId="13" xfId="0" applyNumberFormat="1" applyFont="1" applyFill="1" applyBorder="1" applyAlignment="1" applyProtection="1">
      <alignment horizontal="center" vertical="top" wrapText="1"/>
    </xf>
    <xf numFmtId="0" fontId="74" fillId="0" borderId="0" xfId="0" applyFont="1" applyFill="1" applyBorder="1" applyAlignment="1" applyProtection="1">
      <alignment horizontal="left" vertical="top" wrapText="1"/>
    </xf>
    <xf numFmtId="0" fontId="74" fillId="0" borderId="11" xfId="0" applyFont="1" applyBorder="1" applyAlignment="1" applyProtection="1">
      <alignment horizontal="center" wrapText="1"/>
    </xf>
    <xf numFmtId="0" fontId="74" fillId="0" borderId="12" xfId="0" applyFont="1" applyBorder="1" applyAlignment="1" applyProtection="1">
      <alignment horizontal="center" wrapText="1"/>
    </xf>
    <xf numFmtId="0" fontId="74" fillId="0" borderId="13" xfId="0" applyFont="1" applyBorder="1" applyAlignment="1" applyProtection="1">
      <alignment horizontal="center" wrapText="1"/>
    </xf>
    <xf numFmtId="0" fontId="76" fillId="33" borderId="36" xfId="0" applyFont="1" applyFill="1" applyBorder="1" applyAlignment="1" applyProtection="1">
      <alignment horizontal="center" wrapText="1"/>
    </xf>
    <xf numFmtId="0" fontId="76" fillId="33" borderId="37" xfId="0" applyFont="1" applyFill="1" applyBorder="1" applyAlignment="1" applyProtection="1">
      <alignment horizontal="center" wrapText="1"/>
    </xf>
    <xf numFmtId="0" fontId="76" fillId="33" borderId="59" xfId="0" applyFont="1" applyFill="1" applyBorder="1" applyAlignment="1" applyProtection="1">
      <alignment horizontal="center" wrapText="1"/>
    </xf>
    <xf numFmtId="0" fontId="76" fillId="33" borderId="44" xfId="0" applyFont="1" applyFill="1" applyBorder="1" applyAlignment="1" applyProtection="1">
      <alignment horizontal="center" wrapText="1"/>
    </xf>
    <xf numFmtId="0" fontId="76" fillId="33" borderId="36" xfId="0" applyFont="1" applyFill="1" applyBorder="1" applyAlignment="1" applyProtection="1">
      <alignment horizontal="center"/>
    </xf>
    <xf numFmtId="0" fontId="74" fillId="33" borderId="79" xfId="0" applyFont="1" applyFill="1" applyBorder="1" applyAlignment="1" applyProtection="1">
      <alignment horizontal="left" wrapText="1"/>
    </xf>
    <xf numFmtId="0" fontId="74" fillId="33" borderId="12" xfId="0" applyFont="1" applyFill="1" applyBorder="1" applyAlignment="1" applyProtection="1">
      <alignment horizontal="left" wrapText="1"/>
    </xf>
    <xf numFmtId="0" fontId="74" fillId="33" borderId="71" xfId="0" applyFont="1" applyFill="1" applyBorder="1" applyAlignment="1" applyProtection="1">
      <alignment horizontal="left" wrapText="1"/>
    </xf>
    <xf numFmtId="1" fontId="74" fillId="35" borderId="54" xfId="0" applyNumberFormat="1" applyFont="1" applyFill="1" applyBorder="1" applyAlignment="1" applyProtection="1">
      <alignment horizontal="center" vertical="top" wrapText="1"/>
    </xf>
    <xf numFmtId="1" fontId="74" fillId="35" borderId="55" xfId="0" applyNumberFormat="1" applyFont="1" applyFill="1" applyBorder="1" applyAlignment="1" applyProtection="1">
      <alignment horizontal="center" vertical="top" wrapText="1"/>
    </xf>
    <xf numFmtId="9" fontId="74" fillId="0" borderId="163" xfId="51" applyFont="1" applyFill="1" applyBorder="1" applyAlignment="1" applyProtection="1">
      <alignment horizontal="center"/>
    </xf>
    <xf numFmtId="9" fontId="74" fillId="0" borderId="165" xfId="51" applyFont="1" applyFill="1" applyBorder="1" applyAlignment="1" applyProtection="1">
      <alignment horizontal="center"/>
    </xf>
    <xf numFmtId="9" fontId="74" fillId="0" borderId="164" xfId="51" applyNumberFormat="1" applyFont="1" applyFill="1" applyBorder="1" applyAlignment="1" applyProtection="1">
      <alignment horizontal="center"/>
    </xf>
    <xf numFmtId="9" fontId="74" fillId="0" borderId="75" xfId="51" applyNumberFormat="1" applyFont="1" applyFill="1" applyBorder="1" applyAlignment="1" applyProtection="1">
      <alignment horizontal="center"/>
    </xf>
    <xf numFmtId="9" fontId="74" fillId="0" borderId="164" xfId="51" applyFont="1" applyFill="1" applyBorder="1" applyAlignment="1" applyProtection="1">
      <alignment horizontal="center"/>
    </xf>
    <xf numFmtId="9" fontId="74" fillId="0" borderId="75" xfId="51" applyFont="1" applyFill="1" applyBorder="1" applyAlignment="1" applyProtection="1">
      <alignment horizontal="center"/>
    </xf>
    <xf numFmtId="1" fontId="74" fillId="0" borderId="76" xfId="0" applyNumberFormat="1" applyFont="1" applyFill="1" applyBorder="1" applyAlignment="1" applyProtection="1">
      <alignment horizontal="center" vertical="top" wrapText="1"/>
    </xf>
    <xf numFmtId="1" fontId="74" fillId="0" borderId="77" xfId="0" applyNumberFormat="1" applyFont="1" applyFill="1" applyBorder="1" applyAlignment="1" applyProtection="1">
      <alignment horizontal="center" vertical="top" wrapText="1"/>
    </xf>
    <xf numFmtId="0" fontId="87" fillId="0" borderId="27" xfId="0" applyFont="1" applyFill="1" applyBorder="1" applyAlignment="1" applyProtection="1">
      <alignment horizontal="left" vertical="top" wrapText="1"/>
    </xf>
    <xf numFmtId="0" fontId="87" fillId="0" borderId="55" xfId="0" applyFont="1" applyFill="1" applyBorder="1" applyAlignment="1" applyProtection="1">
      <alignment horizontal="left" vertical="top" wrapText="1"/>
    </xf>
    <xf numFmtId="0" fontId="74" fillId="0" borderId="11" xfId="0" applyFont="1" applyFill="1" applyBorder="1" applyAlignment="1" applyProtection="1">
      <alignment horizontal="center" vertical="top" wrapText="1"/>
    </xf>
    <xf numFmtId="0" fontId="74" fillId="0" borderId="12" xfId="0" applyFont="1" applyFill="1" applyBorder="1" applyAlignment="1" applyProtection="1">
      <alignment horizontal="center" vertical="top" wrapText="1"/>
    </xf>
    <xf numFmtId="0" fontId="74" fillId="0" borderId="13" xfId="0" applyFont="1" applyFill="1" applyBorder="1" applyAlignment="1" applyProtection="1">
      <alignment horizontal="center" vertical="top" wrapText="1"/>
    </xf>
    <xf numFmtId="167" fontId="74" fillId="0" borderId="27" xfId="0" applyNumberFormat="1" applyFont="1" applyFill="1" applyBorder="1" applyAlignment="1" applyProtection="1">
      <alignment horizontal="left" vertical="top" wrapText="1"/>
    </xf>
    <xf numFmtId="167" fontId="74" fillId="0" borderId="55" xfId="0" applyNumberFormat="1" applyFont="1" applyFill="1" applyBorder="1" applyAlignment="1" applyProtection="1">
      <alignment horizontal="left" vertical="top" wrapText="1"/>
    </xf>
    <xf numFmtId="212" fontId="74" fillId="35" borderId="11" xfId="0" applyNumberFormat="1" applyFont="1" applyFill="1" applyBorder="1" applyAlignment="1" applyProtection="1">
      <alignment horizontal="center" vertical="top" wrapText="1"/>
    </xf>
    <xf numFmtId="212" fontId="74" fillId="35" borderId="12" xfId="0" applyNumberFormat="1" applyFont="1" applyFill="1" applyBorder="1" applyAlignment="1" applyProtection="1">
      <alignment horizontal="center" vertical="top" wrapText="1"/>
    </xf>
    <xf numFmtId="212" fontId="74" fillId="35" borderId="13" xfId="0" applyNumberFormat="1" applyFont="1" applyFill="1" applyBorder="1" applyAlignment="1" applyProtection="1">
      <alignment horizontal="center" vertical="top" wrapText="1"/>
    </xf>
    <xf numFmtId="4" fontId="74" fillId="35" borderId="11" xfId="0" applyNumberFormat="1" applyFont="1" applyFill="1" applyBorder="1" applyAlignment="1" applyProtection="1">
      <alignment horizontal="center" vertical="top" wrapText="1"/>
    </xf>
    <xf numFmtId="4" fontId="74" fillId="35" borderId="12" xfId="0" applyNumberFormat="1" applyFont="1" applyFill="1" applyBorder="1" applyAlignment="1" applyProtection="1">
      <alignment horizontal="center" vertical="top" wrapText="1"/>
    </xf>
    <xf numFmtId="4" fontId="74" fillId="35" borderId="13" xfId="0" applyNumberFormat="1" applyFont="1" applyFill="1" applyBorder="1" applyAlignment="1" applyProtection="1">
      <alignment horizontal="center" vertical="top" wrapText="1"/>
    </xf>
    <xf numFmtId="0" fontId="74" fillId="35" borderId="11" xfId="0" applyFont="1" applyFill="1" applyBorder="1" applyAlignment="1" applyProtection="1">
      <alignment horizontal="center" vertical="top" wrapText="1"/>
    </xf>
    <xf numFmtId="0" fontId="74" fillId="35" borderId="12" xfId="0" applyFont="1" applyFill="1" applyBorder="1" applyAlignment="1" applyProtection="1">
      <alignment horizontal="center" vertical="top" wrapText="1"/>
    </xf>
    <xf numFmtId="0" fontId="74" fillId="35" borderId="13" xfId="0" applyFont="1" applyFill="1" applyBorder="1" applyAlignment="1" applyProtection="1">
      <alignment horizontal="center" vertical="top" wrapText="1"/>
    </xf>
    <xf numFmtId="166" fontId="74" fillId="35" borderId="10" xfId="0" applyNumberFormat="1" applyFont="1" applyFill="1" applyBorder="1" applyAlignment="1" applyProtection="1">
      <alignment horizontal="center" vertical="top" wrapText="1"/>
    </xf>
    <xf numFmtId="166" fontId="74" fillId="35" borderId="42" xfId="0" applyNumberFormat="1" applyFont="1" applyFill="1" applyBorder="1" applyAlignment="1" applyProtection="1">
      <alignment horizontal="center" vertical="top" wrapText="1"/>
    </xf>
    <xf numFmtId="2" fontId="74" fillId="0" borderId="10" xfId="0" applyNumberFormat="1" applyFont="1" applyFill="1" applyBorder="1" applyAlignment="1" applyProtection="1">
      <alignment horizontal="center"/>
    </xf>
    <xf numFmtId="2" fontId="74" fillId="0" borderId="42" xfId="0" applyNumberFormat="1" applyFont="1" applyFill="1" applyBorder="1" applyAlignment="1" applyProtection="1">
      <alignment horizontal="center"/>
    </xf>
    <xf numFmtId="0" fontId="74" fillId="0" borderId="80" xfId="0" applyFont="1" applyFill="1" applyBorder="1" applyAlignment="1" applyProtection="1">
      <alignment horizontal="left" vertical="top" wrapText="1"/>
    </xf>
    <xf numFmtId="0" fontId="74" fillId="0" borderId="57" xfId="0" applyFont="1" applyFill="1" applyBorder="1" applyAlignment="1" applyProtection="1">
      <alignment horizontal="left" vertical="top" wrapText="1"/>
    </xf>
    <xf numFmtId="9" fontId="76" fillId="0" borderId="11" xfId="0" applyNumberFormat="1" applyFont="1" applyBorder="1" applyAlignment="1" applyProtection="1">
      <alignment horizontal="center"/>
    </xf>
    <xf numFmtId="9" fontId="76" fillId="0" borderId="71" xfId="0" applyNumberFormat="1" applyFont="1" applyBorder="1" applyAlignment="1" applyProtection="1">
      <alignment horizontal="center"/>
    </xf>
    <xf numFmtId="9" fontId="74" fillId="0" borderId="11" xfId="0" applyNumberFormat="1" applyFont="1" applyBorder="1" applyAlignment="1" applyProtection="1">
      <alignment horizontal="center"/>
    </xf>
    <xf numFmtId="9" fontId="74" fillId="0" borderId="71" xfId="0" applyNumberFormat="1" applyFont="1" applyBorder="1" applyAlignment="1" applyProtection="1">
      <alignment horizontal="center"/>
    </xf>
    <xf numFmtId="9" fontId="74" fillId="37" borderId="163" xfId="51" applyFont="1" applyFill="1" applyBorder="1" applyAlignment="1" applyProtection="1">
      <alignment horizontal="center"/>
    </xf>
    <xf numFmtId="9" fontId="74" fillId="37" borderId="165" xfId="51" applyFont="1" applyFill="1" applyBorder="1" applyAlignment="1" applyProtection="1">
      <alignment horizontal="center"/>
    </xf>
    <xf numFmtId="9" fontId="74" fillId="37" borderId="164" xfId="51" applyNumberFormat="1" applyFont="1" applyFill="1" applyBorder="1" applyAlignment="1" applyProtection="1">
      <alignment horizontal="center"/>
    </xf>
    <xf numFmtId="9" fontId="74" fillId="37" borderId="75" xfId="51" applyNumberFormat="1" applyFont="1" applyFill="1" applyBorder="1" applyAlignment="1" applyProtection="1">
      <alignment horizontal="center"/>
    </xf>
    <xf numFmtId="9" fontId="74" fillId="37" borderId="163" xfId="51" applyFont="1" applyFill="1" applyBorder="1" applyAlignment="1" applyProtection="1">
      <alignment horizontal="center"/>
      <protection locked="0"/>
    </xf>
    <xf numFmtId="9" fontId="74" fillId="37" borderId="165" xfId="51" applyFont="1" applyFill="1" applyBorder="1" applyAlignment="1" applyProtection="1">
      <alignment horizontal="center"/>
      <protection locked="0"/>
    </xf>
    <xf numFmtId="9" fontId="74" fillId="37" borderId="164" xfId="51" applyNumberFormat="1" applyFont="1" applyFill="1" applyBorder="1" applyAlignment="1" applyProtection="1">
      <alignment horizontal="center"/>
      <protection locked="0"/>
    </xf>
    <xf numFmtId="9" fontId="74" fillId="37" borderId="75" xfId="51" applyNumberFormat="1" applyFont="1" applyFill="1" applyBorder="1" applyAlignment="1" applyProtection="1">
      <alignment horizontal="center"/>
      <protection locked="0"/>
    </xf>
    <xf numFmtId="9" fontId="92" fillId="0" borderId="11" xfId="0" applyNumberFormat="1" applyFont="1" applyBorder="1" applyAlignment="1" applyProtection="1">
      <alignment horizontal="center"/>
    </xf>
    <xf numFmtId="9" fontId="92" fillId="0" borderId="71" xfId="0" applyNumberFormat="1" applyFont="1" applyBorder="1" applyAlignment="1" applyProtection="1">
      <alignment horizontal="center"/>
    </xf>
    <xf numFmtId="9" fontId="74" fillId="0" borderId="10" xfId="0" applyNumberFormat="1" applyFont="1" applyBorder="1" applyAlignment="1" applyProtection="1">
      <alignment horizontal="center"/>
    </xf>
    <xf numFmtId="9" fontId="74" fillId="0" borderId="42" xfId="0" applyNumberFormat="1" applyFont="1" applyBorder="1" applyAlignment="1" applyProtection="1">
      <alignment horizontal="center"/>
    </xf>
    <xf numFmtId="1" fontId="74" fillId="0" borderId="54" xfId="0" applyNumberFormat="1" applyFont="1" applyFill="1" applyBorder="1" applyAlignment="1" applyProtection="1">
      <alignment horizontal="center" vertical="top" wrapText="1"/>
    </xf>
    <xf numFmtId="1" fontId="74" fillId="0" borderId="55" xfId="0" applyNumberFormat="1" applyFont="1" applyFill="1" applyBorder="1" applyAlignment="1" applyProtection="1">
      <alignment horizontal="center" vertical="top" wrapText="1"/>
    </xf>
    <xf numFmtId="9" fontId="74" fillId="0" borderId="11" xfId="51" applyFont="1" applyFill="1" applyBorder="1" applyAlignment="1" applyProtection="1">
      <alignment horizontal="center"/>
    </xf>
    <xf numFmtId="9" fontId="74" fillId="0" borderId="167" xfId="51" applyFont="1" applyFill="1" applyBorder="1" applyAlignment="1" applyProtection="1">
      <alignment horizontal="center"/>
    </xf>
    <xf numFmtId="0" fontId="87" fillId="0" borderId="17" xfId="0" applyFont="1" applyFill="1" applyBorder="1" applyAlignment="1" applyProtection="1">
      <alignment horizontal="left" vertical="top" wrapText="1"/>
    </xf>
    <xf numFmtId="0" fontId="87" fillId="0" borderId="77" xfId="0" applyFont="1" applyFill="1" applyBorder="1" applyAlignment="1" applyProtection="1">
      <alignment horizontal="left" vertical="top" wrapText="1"/>
    </xf>
    <xf numFmtId="0" fontId="74" fillId="37" borderId="56" xfId="0" applyFont="1" applyFill="1" applyBorder="1" applyAlignment="1" applyProtection="1">
      <alignment horizontal="center" vertical="top" wrapText="1"/>
      <protection locked="0"/>
    </xf>
    <xf numFmtId="0" fontId="74" fillId="37" borderId="58" xfId="0" applyFont="1" applyFill="1" applyBorder="1" applyAlignment="1" applyProtection="1">
      <alignment horizontal="center" vertical="top" wrapText="1"/>
      <protection locked="0"/>
    </xf>
    <xf numFmtId="1" fontId="74" fillId="0" borderId="56" xfId="0" applyNumberFormat="1" applyFont="1" applyFill="1" applyBorder="1" applyAlignment="1" applyProtection="1">
      <alignment horizontal="center" vertical="top" wrapText="1"/>
    </xf>
    <xf numFmtId="1" fontId="74" fillId="0" borderId="58" xfId="0" applyNumberFormat="1" applyFont="1" applyFill="1" applyBorder="1" applyAlignment="1" applyProtection="1">
      <alignment horizontal="center" vertical="top" wrapText="1"/>
    </xf>
    <xf numFmtId="1" fontId="74" fillId="0" borderId="0" xfId="0" applyNumberFormat="1" applyFont="1" applyFill="1" applyBorder="1" applyAlignment="1" applyProtection="1">
      <alignment horizontal="center" vertical="top" wrapText="1"/>
    </xf>
    <xf numFmtId="1" fontId="74" fillId="35" borderId="56" xfId="0" applyNumberFormat="1" applyFont="1" applyFill="1" applyBorder="1" applyAlignment="1" applyProtection="1">
      <alignment horizontal="center" vertical="top" wrapText="1"/>
    </xf>
    <xf numFmtId="1" fontId="74" fillId="35" borderId="58" xfId="0" applyNumberFormat="1" applyFont="1" applyFill="1" applyBorder="1" applyAlignment="1" applyProtection="1">
      <alignment horizontal="center" vertical="top" wrapText="1"/>
    </xf>
    <xf numFmtId="0" fontId="74" fillId="37" borderId="145" xfId="0" applyFont="1" applyFill="1" applyBorder="1" applyAlignment="1" applyProtection="1">
      <alignment horizontal="center" vertical="top" wrapText="1"/>
      <protection locked="0"/>
    </xf>
    <xf numFmtId="0" fontId="74" fillId="37" borderId="146" xfId="0" applyFont="1" applyFill="1" applyBorder="1" applyAlignment="1" applyProtection="1">
      <alignment horizontal="center" vertical="top" wrapText="1"/>
      <protection locked="0"/>
    </xf>
    <xf numFmtId="0" fontId="74" fillId="37" borderId="54" xfId="0" applyFont="1" applyFill="1" applyBorder="1" applyAlignment="1" applyProtection="1">
      <alignment horizontal="center" vertical="top" wrapText="1"/>
      <protection locked="0"/>
    </xf>
    <xf numFmtId="0" fontId="74" fillId="37" borderId="55" xfId="0" applyFont="1" applyFill="1" applyBorder="1" applyAlignment="1" applyProtection="1">
      <alignment horizontal="center" vertical="top" wrapText="1"/>
      <protection locked="0"/>
    </xf>
    <xf numFmtId="0" fontId="74" fillId="37" borderId="36" xfId="0" applyFont="1" applyFill="1" applyBorder="1" applyAlignment="1" applyProtection="1">
      <alignment horizontal="left"/>
      <protection locked="0"/>
    </xf>
    <xf numFmtId="17" fontId="74" fillId="35" borderId="10" xfId="0" applyNumberFormat="1" applyFont="1" applyFill="1" applyBorder="1" applyAlignment="1" applyProtection="1">
      <alignment horizontal="left"/>
    </xf>
    <xf numFmtId="0" fontId="74" fillId="35" borderId="10" xfId="0" applyFont="1" applyFill="1" applyBorder="1" applyAlignment="1" applyProtection="1">
      <alignment horizontal="left"/>
    </xf>
    <xf numFmtId="0" fontId="74" fillId="0" borderId="35" xfId="0" applyFont="1" applyFill="1" applyBorder="1" applyAlignment="1" applyProtection="1">
      <alignment horizontal="left"/>
    </xf>
    <xf numFmtId="0" fontId="74" fillId="0" borderId="36" xfId="0" applyFont="1" applyFill="1" applyBorder="1" applyAlignment="1" applyProtection="1">
      <alignment horizontal="left"/>
    </xf>
    <xf numFmtId="0" fontId="74" fillId="37" borderId="149" xfId="0" applyFont="1" applyFill="1" applyBorder="1" applyAlignment="1" applyProtection="1">
      <alignment horizontal="center"/>
      <protection locked="0"/>
    </xf>
    <xf numFmtId="0" fontId="74" fillId="33" borderId="81" xfId="0" applyFont="1" applyFill="1" applyBorder="1" applyAlignment="1" applyProtection="1">
      <alignment horizontal="center" vertical="center" wrapText="1"/>
    </xf>
    <xf numFmtId="0" fontId="74" fillId="33" borderId="64" xfId="0" applyFont="1" applyFill="1" applyBorder="1" applyAlignment="1" applyProtection="1">
      <alignment horizontal="center" vertical="center" wrapText="1"/>
    </xf>
    <xf numFmtId="0" fontId="74" fillId="33" borderId="82" xfId="0" applyFont="1" applyFill="1" applyBorder="1" applyAlignment="1" applyProtection="1">
      <alignment horizontal="center" vertical="center" wrapText="1"/>
    </xf>
    <xf numFmtId="0" fontId="74" fillId="37" borderId="149" xfId="0" applyFont="1" applyFill="1" applyBorder="1" applyAlignment="1" applyProtection="1">
      <alignment horizontal="center" vertical="top" wrapText="1"/>
      <protection locked="0"/>
    </xf>
    <xf numFmtId="0" fontId="74" fillId="0" borderId="41" xfId="0" applyFont="1" applyFill="1" applyBorder="1" applyAlignment="1" applyProtection="1">
      <alignment horizontal="left"/>
    </xf>
    <xf numFmtId="0" fontId="74" fillId="0" borderId="10" xfId="0" applyFont="1" applyFill="1" applyBorder="1" applyAlignment="1" applyProtection="1">
      <alignment horizontal="left"/>
    </xf>
    <xf numFmtId="0" fontId="74" fillId="0" borderId="58" xfId="0" applyFont="1" applyFill="1" applyBorder="1" applyAlignment="1" applyProtection="1">
      <alignment horizontal="left" vertical="top" wrapText="1"/>
    </xf>
    <xf numFmtId="0" fontId="74" fillId="35" borderId="36" xfId="0" applyFont="1" applyFill="1" applyBorder="1" applyAlignment="1" applyProtection="1">
      <alignment horizontal="left"/>
    </xf>
    <xf numFmtId="0" fontId="74" fillId="35" borderId="37" xfId="0" applyFont="1" applyFill="1" applyBorder="1" applyAlignment="1" applyProtection="1">
      <alignment horizontal="left"/>
    </xf>
    <xf numFmtId="0" fontId="74" fillId="35" borderId="11" xfId="0" applyFont="1" applyFill="1" applyBorder="1" applyAlignment="1" applyProtection="1">
      <alignment horizontal="left"/>
    </xf>
    <xf numFmtId="0" fontId="74" fillId="35" borderId="166" xfId="0" applyFont="1" applyFill="1" applyBorder="1" applyAlignment="1" applyProtection="1">
      <alignment horizontal="left"/>
    </xf>
    <xf numFmtId="0" fontId="74" fillId="35" borderId="71" xfId="0" applyFont="1" applyFill="1" applyBorder="1" applyAlignment="1" applyProtection="1">
      <alignment horizontal="left"/>
    </xf>
    <xf numFmtId="0" fontId="74" fillId="0" borderId="78" xfId="0" applyFont="1" applyFill="1" applyBorder="1" applyAlignment="1" applyProtection="1">
      <alignment horizontal="left" vertical="top" wrapText="1"/>
    </xf>
    <xf numFmtId="0" fontId="74" fillId="0" borderId="66" xfId="0" applyFont="1" applyFill="1" applyBorder="1" applyAlignment="1" applyProtection="1">
      <alignment horizontal="left" vertical="top" wrapText="1"/>
    </xf>
    <xf numFmtId="1" fontId="74" fillId="0" borderId="60" xfId="0" applyNumberFormat="1" applyFont="1" applyFill="1" applyBorder="1" applyAlignment="1" applyProtection="1">
      <alignment horizontal="center" vertical="top" wrapText="1"/>
    </xf>
    <xf numFmtId="1" fontId="74" fillId="0" borderId="66" xfId="0" applyNumberFormat="1" applyFont="1" applyFill="1" applyBorder="1" applyAlignment="1" applyProtection="1">
      <alignment horizontal="center" vertical="top" wrapText="1"/>
    </xf>
    <xf numFmtId="0" fontId="74" fillId="0" borderId="174" xfId="0" applyFont="1" applyFill="1" applyBorder="1" applyAlignment="1" applyProtection="1">
      <alignment horizontal="left"/>
    </xf>
    <xf numFmtId="0" fontId="74" fillId="0" borderId="168" xfId="0" applyFont="1" applyFill="1" applyBorder="1" applyAlignment="1" applyProtection="1">
      <alignment horizontal="left"/>
    </xf>
    <xf numFmtId="0" fontId="74" fillId="0" borderId="11" xfId="0" applyFont="1" applyFill="1" applyBorder="1" applyAlignment="1" applyProtection="1">
      <alignment horizontal="left"/>
    </xf>
    <xf numFmtId="0" fontId="74" fillId="0" borderId="167" xfId="0" applyFont="1" applyFill="1" applyBorder="1" applyAlignment="1" applyProtection="1">
      <alignment horizontal="left"/>
    </xf>
    <xf numFmtId="0" fontId="74" fillId="35" borderId="10" xfId="0" applyFont="1" applyFill="1" applyBorder="1" applyAlignment="1" applyProtection="1">
      <alignment horizontal="left" vertical="top" wrapText="1"/>
    </xf>
    <xf numFmtId="0" fontId="74" fillId="0" borderId="10" xfId="0" applyFont="1" applyFill="1" applyBorder="1" applyAlignment="1" applyProtection="1">
      <alignment horizontal="right" vertical="top" wrapText="1"/>
    </xf>
    <xf numFmtId="3" fontId="74" fillId="0" borderId="10" xfId="28" applyNumberFormat="1" applyFont="1" applyFill="1" applyBorder="1" applyAlignment="1" applyProtection="1">
      <alignment horizontal="center" vertical="top" wrapText="1"/>
    </xf>
    <xf numFmtId="3" fontId="74" fillId="0" borderId="42" xfId="28" applyNumberFormat="1" applyFont="1" applyFill="1" applyBorder="1" applyAlignment="1" applyProtection="1">
      <alignment horizontal="center" vertical="top" wrapText="1"/>
    </xf>
    <xf numFmtId="0" fontId="74" fillId="0" borderId="41" xfId="0" applyFont="1" applyFill="1" applyBorder="1" applyAlignment="1" applyProtection="1">
      <alignment horizontal="left" vertical="top" wrapText="1"/>
    </xf>
    <xf numFmtId="0" fontId="74" fillId="0" borderId="10" xfId="0" applyFont="1" applyFill="1" applyBorder="1" applyAlignment="1" applyProtection="1">
      <alignment horizontal="left" vertical="top" wrapText="1"/>
    </xf>
    <xf numFmtId="0" fontId="74" fillId="0" borderId="79" xfId="0" applyFont="1" applyFill="1" applyBorder="1" applyAlignment="1" applyProtection="1">
      <alignment horizontal="left" vertical="top" wrapText="1"/>
    </xf>
    <xf numFmtId="0" fontId="74" fillId="0" borderId="13" xfId="0" applyFont="1" applyFill="1" applyBorder="1" applyAlignment="1" applyProtection="1">
      <alignment horizontal="left" vertical="top" wrapText="1"/>
    </xf>
    <xf numFmtId="0" fontId="74" fillId="0" borderId="49" xfId="0" applyFont="1" applyFill="1" applyBorder="1" applyAlignment="1" applyProtection="1">
      <alignment horizontal="left"/>
    </xf>
    <xf numFmtId="0" fontId="74" fillId="0" borderId="47" xfId="0" applyFont="1" applyFill="1" applyBorder="1" applyAlignment="1" applyProtection="1">
      <alignment horizontal="left"/>
    </xf>
    <xf numFmtId="0" fontId="74" fillId="35" borderId="11" xfId="0" applyFont="1" applyFill="1" applyBorder="1" applyAlignment="1" applyProtection="1">
      <alignment horizontal="left" vertical="top" wrapText="1"/>
    </xf>
    <xf numFmtId="0" fontId="74" fillId="35" borderId="12" xfId="0" applyFont="1" applyFill="1" applyBorder="1" applyAlignment="1" applyProtection="1">
      <alignment horizontal="left" vertical="top" wrapText="1"/>
    </xf>
    <xf numFmtId="0" fontId="74" fillId="35" borderId="13" xfId="0" applyFont="1" applyFill="1" applyBorder="1" applyAlignment="1" applyProtection="1">
      <alignment horizontal="left" vertical="top" wrapText="1"/>
    </xf>
    <xf numFmtId="3" fontId="74" fillId="0" borderId="36" xfId="28" applyNumberFormat="1" applyFont="1" applyFill="1" applyBorder="1" applyAlignment="1" applyProtection="1">
      <alignment horizontal="center" vertical="top" wrapText="1"/>
    </xf>
    <xf numFmtId="3" fontId="74" fillId="0" borderId="37" xfId="28" applyNumberFormat="1" applyFont="1" applyFill="1" applyBorder="1" applyAlignment="1" applyProtection="1">
      <alignment horizontal="center" vertical="top" wrapText="1"/>
    </xf>
    <xf numFmtId="0" fontId="98" fillId="35" borderId="47" xfId="38" applyFont="1" applyFill="1" applyBorder="1" applyAlignment="1" applyProtection="1">
      <alignment horizontal="left"/>
    </xf>
    <xf numFmtId="0" fontId="74" fillId="35" borderId="47" xfId="0" applyFont="1" applyFill="1" applyBorder="1" applyAlignment="1" applyProtection="1">
      <alignment horizontal="left"/>
    </xf>
    <xf numFmtId="0" fontId="74" fillId="35" borderId="10" xfId="0" applyNumberFormat="1" applyFont="1" applyFill="1" applyBorder="1" applyAlignment="1" applyProtection="1">
      <alignment horizontal="left"/>
    </xf>
    <xf numFmtId="0" fontId="74" fillId="35" borderId="42" xfId="0" applyNumberFormat="1" applyFont="1" applyFill="1" applyBorder="1" applyAlignment="1" applyProtection="1">
      <alignment horizontal="left"/>
    </xf>
    <xf numFmtId="0" fontId="74" fillId="35" borderId="168" xfId="0" applyNumberFormat="1" applyFont="1" applyFill="1" applyBorder="1" applyAlignment="1" applyProtection="1">
      <alignment horizontal="left"/>
    </xf>
    <xf numFmtId="0" fontId="74" fillId="0" borderId="180" xfId="0" applyFont="1" applyFill="1" applyBorder="1" applyAlignment="1" applyProtection="1">
      <alignment horizontal="left"/>
    </xf>
    <xf numFmtId="0" fontId="74" fillId="0" borderId="53" xfId="0" applyFont="1" applyFill="1" applyBorder="1" applyAlignment="1" applyProtection="1">
      <alignment horizontal="left"/>
    </xf>
    <xf numFmtId="0" fontId="74" fillId="35" borderId="36" xfId="0" applyNumberFormat="1" applyFont="1" applyFill="1" applyBorder="1" applyAlignment="1" applyProtection="1">
      <alignment horizontal="left"/>
    </xf>
    <xf numFmtId="0" fontId="74" fillId="35" borderId="37" xfId="0" applyNumberFormat="1" applyFont="1" applyFill="1" applyBorder="1" applyAlignment="1" applyProtection="1">
      <alignment horizontal="left"/>
    </xf>
    <xf numFmtId="0" fontId="74" fillId="0" borderId="78" xfId="0" applyFont="1" applyBorder="1" applyAlignment="1" applyProtection="1">
      <alignment horizontal="center"/>
    </xf>
    <xf numFmtId="0" fontId="74" fillId="0" borderId="62" xfId="0" applyFont="1" applyBorder="1" applyAlignment="1" applyProtection="1">
      <alignment horizontal="center"/>
    </xf>
    <xf numFmtId="0" fontId="74" fillId="0" borderId="66" xfId="0" applyFont="1" applyBorder="1" applyAlignment="1" applyProtection="1">
      <alignment horizontal="center"/>
    </xf>
    <xf numFmtId="0" fontId="74" fillId="0" borderId="27" xfId="0" applyFont="1" applyBorder="1" applyAlignment="1" applyProtection="1">
      <alignment horizontal="center"/>
    </xf>
    <xf numFmtId="0" fontId="74" fillId="0" borderId="0" xfId="0" applyFont="1" applyBorder="1" applyAlignment="1" applyProtection="1">
      <alignment horizontal="center"/>
    </xf>
    <xf numFmtId="0" fontId="74" fillId="0" borderId="55" xfId="0" applyFont="1" applyBorder="1" applyAlignment="1" applyProtection="1">
      <alignment horizontal="center"/>
    </xf>
    <xf numFmtId="0" fontId="74" fillId="0" borderId="39" xfId="0" applyFont="1" applyFill="1" applyBorder="1" applyAlignment="1" applyProtection="1">
      <alignment horizontal="right" vertical="top" wrapText="1"/>
    </xf>
    <xf numFmtId="0" fontId="74" fillId="0" borderId="52" xfId="0" applyFont="1" applyFill="1" applyBorder="1" applyAlignment="1" applyProtection="1">
      <alignment horizontal="right" vertical="top" wrapText="1"/>
    </xf>
    <xf numFmtId="3" fontId="74" fillId="0" borderId="47" xfId="28" applyNumberFormat="1" applyFont="1" applyFill="1" applyBorder="1" applyAlignment="1" applyProtection="1">
      <alignment horizontal="center" vertical="top" wrapText="1"/>
    </xf>
    <xf numFmtId="3" fontId="74" fillId="0" borderId="50" xfId="28" applyNumberFormat="1" applyFont="1" applyFill="1" applyBorder="1" applyAlignment="1" applyProtection="1">
      <alignment horizontal="center" vertical="top" wrapText="1"/>
    </xf>
    <xf numFmtId="0" fontId="74" fillId="33" borderId="79" xfId="0" applyFont="1" applyFill="1" applyBorder="1" applyAlignment="1" applyProtection="1">
      <alignment horizontal="left" vertical="center" wrapText="1"/>
    </xf>
    <xf numFmtId="0" fontId="74" fillId="33" borderId="12" xfId="0" applyFont="1" applyFill="1" applyBorder="1" applyAlignment="1" applyProtection="1">
      <alignment horizontal="left" vertical="center" wrapText="1"/>
    </xf>
    <xf numFmtId="0" fontId="74" fillId="33" borderId="71" xfId="0" applyFont="1" applyFill="1" applyBorder="1" applyAlignment="1" applyProtection="1">
      <alignment horizontal="left" vertical="center" wrapText="1"/>
    </xf>
    <xf numFmtId="0" fontId="74" fillId="33" borderId="23" xfId="0" applyFont="1" applyFill="1" applyBorder="1" applyAlignment="1" applyProtection="1">
      <alignment horizontal="left" vertical="top" wrapText="1"/>
    </xf>
    <xf numFmtId="0" fontId="74" fillId="33" borderId="114" xfId="0" applyFont="1" applyFill="1" applyBorder="1" applyAlignment="1" applyProtection="1">
      <alignment horizontal="left" vertical="top" wrapText="1"/>
    </xf>
    <xf numFmtId="0" fontId="89" fillId="0" borderId="27" xfId="0" applyFont="1" applyFill="1" applyBorder="1" applyAlignment="1" applyProtection="1">
      <alignment horizontal="left"/>
    </xf>
    <xf numFmtId="0" fontId="89" fillId="0" borderId="0" xfId="0" applyFont="1" applyFill="1" applyBorder="1" applyAlignment="1" applyProtection="1">
      <alignment horizontal="left"/>
    </xf>
    <xf numFmtId="0" fontId="89" fillId="0" borderId="146" xfId="0" applyFont="1" applyFill="1" applyBorder="1" applyAlignment="1" applyProtection="1">
      <alignment horizontal="left"/>
    </xf>
    <xf numFmtId="0" fontId="74" fillId="0" borderId="49" xfId="0" applyFont="1" applyFill="1" applyBorder="1" applyAlignment="1" applyProtection="1">
      <alignment horizontal="left" vertical="top" wrapText="1"/>
    </xf>
    <xf numFmtId="0" fontId="74" fillId="0" borderId="47" xfId="0" applyFont="1" applyFill="1" applyBorder="1" applyAlignment="1" applyProtection="1">
      <alignment horizontal="left" vertical="top" wrapText="1"/>
    </xf>
    <xf numFmtId="0" fontId="89" fillId="0" borderId="14" xfId="0" applyFont="1" applyFill="1" applyBorder="1" applyAlignment="1" applyProtection="1">
      <alignment horizontal="left" vertical="top"/>
    </xf>
    <xf numFmtId="0" fontId="89" fillId="0" borderId="26" xfId="0" applyFont="1" applyFill="1" applyBorder="1" applyAlignment="1" applyProtection="1">
      <alignment horizontal="left" vertical="top"/>
    </xf>
    <xf numFmtId="0" fontId="89" fillId="0" borderId="74" xfId="0" applyFont="1" applyFill="1" applyBorder="1" applyAlignment="1" applyProtection="1">
      <alignment horizontal="left" vertical="top"/>
    </xf>
    <xf numFmtId="0" fontId="74" fillId="0" borderId="35" xfId="0" applyFont="1" applyFill="1" applyBorder="1" applyAlignment="1" applyProtection="1">
      <alignment horizontal="left" vertical="top" wrapText="1"/>
    </xf>
    <xf numFmtId="0" fontId="74" fillId="0" borderId="36" xfId="0" applyFont="1" applyFill="1" applyBorder="1" applyAlignment="1" applyProtection="1">
      <alignment horizontal="left" vertical="top" wrapText="1"/>
    </xf>
    <xf numFmtId="0" fontId="74" fillId="0" borderId="36" xfId="0" applyFont="1" applyBorder="1" applyAlignment="1" applyProtection="1">
      <alignment horizontal="center"/>
    </xf>
    <xf numFmtId="0" fontId="74" fillId="0" borderId="37" xfId="0" applyFont="1" applyBorder="1" applyAlignment="1" applyProtection="1">
      <alignment horizontal="center"/>
    </xf>
    <xf numFmtId="0" fontId="74" fillId="0" borderId="47" xfId="0" applyFont="1" applyFill="1" applyBorder="1" applyAlignment="1" applyProtection="1">
      <alignment horizontal="center"/>
    </xf>
    <xf numFmtId="0" fontId="74" fillId="0" borderId="50" xfId="0" applyFont="1" applyFill="1" applyBorder="1" applyAlignment="1" applyProtection="1">
      <alignment horizontal="center"/>
    </xf>
    <xf numFmtId="0" fontId="74" fillId="33" borderId="114" xfId="0" applyFont="1" applyFill="1" applyBorder="1" applyAlignment="1" applyProtection="1">
      <alignment horizontal="center" vertical="top" wrapText="1"/>
    </xf>
    <xf numFmtId="0" fontId="74" fillId="33" borderId="85" xfId="0" applyFont="1" applyFill="1" applyBorder="1" applyAlignment="1" applyProtection="1">
      <alignment horizontal="center" vertical="top" wrapText="1"/>
    </xf>
    <xf numFmtId="0" fontId="74" fillId="33" borderId="73" xfId="0" applyFont="1" applyFill="1" applyBorder="1" applyAlignment="1" applyProtection="1">
      <alignment horizontal="center" vertical="center" wrapText="1"/>
    </xf>
    <xf numFmtId="0" fontId="89" fillId="0" borderId="17" xfId="0" applyFont="1" applyFill="1" applyBorder="1" applyAlignment="1" applyProtection="1">
      <alignment horizontal="left"/>
    </xf>
    <xf numFmtId="0" fontId="89" fillId="0" borderId="32" xfId="0" applyFont="1" applyFill="1" applyBorder="1" applyAlignment="1" applyProtection="1">
      <alignment horizontal="left"/>
    </xf>
    <xf numFmtId="0" fontId="89" fillId="0" borderId="193" xfId="0" applyFont="1" applyFill="1" applyBorder="1" applyAlignment="1" applyProtection="1">
      <alignment horizontal="left"/>
    </xf>
    <xf numFmtId="0" fontId="74" fillId="37" borderId="177" xfId="0" applyFont="1" applyFill="1" applyBorder="1" applyAlignment="1" applyProtection="1">
      <alignment horizontal="center" wrapText="1"/>
      <protection locked="0"/>
    </xf>
    <xf numFmtId="0" fontId="74" fillId="37" borderId="179" xfId="0" applyFont="1" applyFill="1" applyBorder="1" applyAlignment="1" applyProtection="1">
      <alignment horizontal="center" wrapText="1"/>
      <protection locked="0"/>
    </xf>
    <xf numFmtId="0" fontId="74" fillId="37" borderId="175" xfId="0" applyFont="1" applyFill="1" applyBorder="1" applyAlignment="1" applyProtection="1">
      <alignment horizontal="center" wrapText="1"/>
      <protection locked="0"/>
    </xf>
    <xf numFmtId="0" fontId="74" fillId="37" borderId="54" xfId="0" applyFont="1" applyFill="1" applyBorder="1" applyAlignment="1" applyProtection="1">
      <alignment horizontal="center" wrapText="1"/>
      <protection locked="0"/>
    </xf>
    <xf numFmtId="0" fontId="74" fillId="37" borderId="0" xfId="0" applyFont="1" applyFill="1" applyBorder="1" applyAlignment="1" applyProtection="1">
      <alignment horizontal="center" wrapText="1"/>
      <protection locked="0"/>
    </xf>
    <xf numFmtId="0" fontId="74" fillId="37" borderId="28" xfId="0" applyFont="1" applyFill="1" applyBorder="1" applyAlignment="1" applyProtection="1">
      <alignment horizontal="center" wrapText="1"/>
      <protection locked="0"/>
    </xf>
    <xf numFmtId="0" fontId="74" fillId="37" borderId="76" xfId="0" applyFont="1" applyFill="1" applyBorder="1" applyAlignment="1" applyProtection="1">
      <alignment horizontal="center" wrapText="1"/>
      <protection locked="0"/>
    </xf>
    <xf numFmtId="0" fontId="74" fillId="37" borderId="32" xfId="0" applyFont="1" applyFill="1" applyBorder="1" applyAlignment="1" applyProtection="1">
      <alignment horizontal="center" wrapText="1"/>
      <protection locked="0"/>
    </xf>
    <xf numFmtId="0" fontId="74" fillId="37" borderId="21" xfId="0" applyFont="1" applyFill="1" applyBorder="1" applyAlignment="1" applyProtection="1">
      <alignment horizontal="center" wrapText="1"/>
      <protection locked="0"/>
    </xf>
    <xf numFmtId="0" fontId="74" fillId="33" borderId="87" xfId="0" applyFont="1" applyFill="1" applyBorder="1" applyAlignment="1" applyProtection="1">
      <alignment horizontal="center" vertical="center" wrapText="1"/>
    </xf>
    <xf numFmtId="4" fontId="74" fillId="35" borderId="10" xfId="0" applyNumberFormat="1" applyFont="1" applyFill="1" applyBorder="1" applyAlignment="1" applyProtection="1">
      <alignment horizontal="center"/>
    </xf>
    <xf numFmtId="4" fontId="74" fillId="35" borderId="42" xfId="0" applyNumberFormat="1" applyFont="1" applyFill="1" applyBorder="1" applyAlignment="1" applyProtection="1">
      <alignment horizontal="center"/>
    </xf>
    <xf numFmtId="166" fontId="74" fillId="0" borderId="12" xfId="0" applyNumberFormat="1" applyFont="1" applyBorder="1" applyAlignment="1" applyProtection="1">
      <alignment horizontal="center"/>
    </xf>
    <xf numFmtId="166" fontId="74" fillId="0" borderId="11" xfId="0" applyNumberFormat="1" applyFont="1" applyFill="1" applyBorder="1" applyAlignment="1" applyProtection="1">
      <alignment horizontal="center" wrapText="1"/>
    </xf>
    <xf numFmtId="166" fontId="74" fillId="0" borderId="12" xfId="0" applyNumberFormat="1" applyFont="1" applyFill="1" applyBorder="1" applyAlignment="1" applyProtection="1">
      <alignment horizontal="center" wrapText="1"/>
    </xf>
    <xf numFmtId="166" fontId="74" fillId="0" borderId="71" xfId="0" applyNumberFormat="1" applyFont="1" applyFill="1" applyBorder="1" applyAlignment="1" applyProtection="1">
      <alignment horizontal="center" wrapText="1"/>
    </xf>
    <xf numFmtId="166" fontId="74" fillId="0" borderId="12" xfId="0" applyNumberFormat="1" applyFont="1" applyFill="1" applyBorder="1" applyAlignment="1" applyProtection="1">
      <alignment horizontal="center" vertical="top" wrapText="1"/>
    </xf>
    <xf numFmtId="166" fontId="74" fillId="0" borderId="13" xfId="0" applyNumberFormat="1" applyFont="1" applyFill="1" applyBorder="1" applyAlignment="1" applyProtection="1">
      <alignment horizontal="center" vertical="top" wrapText="1"/>
    </xf>
    <xf numFmtId="166" fontId="74" fillId="0" borderId="10" xfId="0" applyNumberFormat="1" applyFont="1" applyBorder="1" applyAlignment="1" applyProtection="1">
      <alignment horizontal="center"/>
    </xf>
    <xf numFmtId="166" fontId="74" fillId="0" borderId="42" xfId="0" applyNumberFormat="1" applyFont="1" applyBorder="1" applyAlignment="1" applyProtection="1">
      <alignment horizontal="center"/>
    </xf>
    <xf numFmtId="0" fontId="74" fillId="0" borderId="27" xfId="0" applyFont="1" applyFill="1" applyBorder="1" applyAlignment="1" applyProtection="1">
      <alignment horizontal="left" vertical="center" wrapText="1"/>
    </xf>
    <xf numFmtId="0" fontId="74" fillId="0" borderId="146" xfId="0" applyFont="1" applyFill="1" applyBorder="1" applyAlignment="1" applyProtection="1">
      <alignment horizontal="left" vertical="center" wrapText="1"/>
    </xf>
    <xf numFmtId="9" fontId="74" fillId="35" borderId="10" xfId="0" applyNumberFormat="1" applyFont="1" applyFill="1" applyBorder="1" applyAlignment="1" applyProtection="1">
      <alignment horizontal="center"/>
    </xf>
    <xf numFmtId="9" fontId="74" fillId="35" borderId="11" xfId="0" applyNumberFormat="1" applyFont="1" applyFill="1" applyBorder="1" applyAlignment="1" applyProtection="1">
      <alignment horizontal="center" vertical="top" wrapText="1"/>
    </xf>
    <xf numFmtId="9" fontId="74" fillId="35" borderId="12" xfId="0" applyNumberFormat="1" applyFont="1" applyFill="1" applyBorder="1" applyAlignment="1" applyProtection="1">
      <alignment horizontal="center" vertical="top" wrapText="1"/>
    </xf>
    <xf numFmtId="9" fontId="74" fillId="35" borderId="13" xfId="0" applyNumberFormat="1" applyFont="1" applyFill="1" applyBorder="1" applyAlignment="1" applyProtection="1">
      <alignment horizontal="center" vertical="top" wrapText="1"/>
    </xf>
    <xf numFmtId="2" fontId="74" fillId="0" borderId="11" xfId="0" applyNumberFormat="1" applyFont="1" applyFill="1" applyBorder="1" applyAlignment="1" applyProtection="1">
      <alignment horizontal="center" vertical="top" wrapText="1"/>
    </xf>
    <xf numFmtId="2" fontId="74" fillId="0" borderId="12" xfId="0" applyNumberFormat="1" applyFont="1" applyFill="1" applyBorder="1" applyAlignment="1" applyProtection="1">
      <alignment horizontal="center" vertical="top" wrapText="1"/>
    </xf>
    <xf numFmtId="2" fontId="74" fillId="0" borderId="13" xfId="0" applyNumberFormat="1" applyFont="1" applyFill="1" applyBorder="1" applyAlignment="1" applyProtection="1">
      <alignment horizontal="center" vertical="top" wrapText="1"/>
    </xf>
    <xf numFmtId="3" fontId="74" fillId="35" borderId="42" xfId="0" applyNumberFormat="1" applyFont="1" applyFill="1" applyBorder="1" applyAlignment="1" applyProtection="1">
      <alignment horizontal="center"/>
    </xf>
    <xf numFmtId="166" fontId="74" fillId="0" borderId="13" xfId="0" applyNumberFormat="1" applyFont="1" applyFill="1" applyBorder="1" applyAlignment="1" applyProtection="1">
      <alignment horizontal="center" wrapText="1"/>
    </xf>
    <xf numFmtId="0" fontId="74" fillId="37" borderId="149" xfId="0" applyFont="1" applyFill="1" applyBorder="1" applyAlignment="1" applyProtection="1">
      <alignment horizontal="left" vertical="top" wrapText="1"/>
      <protection locked="0"/>
    </xf>
    <xf numFmtId="212" fontId="74" fillId="35" borderId="10" xfId="0" applyNumberFormat="1" applyFont="1" applyFill="1" applyBorder="1" applyAlignment="1" applyProtection="1">
      <alignment horizontal="center" vertical="top" wrapText="1"/>
    </xf>
    <xf numFmtId="212" fontId="74" fillId="35" borderId="42" xfId="0" applyNumberFormat="1" applyFont="1" applyFill="1" applyBorder="1" applyAlignment="1" applyProtection="1">
      <alignment horizontal="center" vertical="top" wrapText="1"/>
    </xf>
    <xf numFmtId="0" fontId="74" fillId="37" borderId="154" xfId="0" applyFont="1" applyFill="1" applyBorder="1" applyAlignment="1" applyProtection="1">
      <alignment horizontal="center" vertical="top" wrapText="1"/>
      <protection locked="0"/>
    </xf>
    <xf numFmtId="0" fontId="74" fillId="37" borderId="156" xfId="0" applyFont="1" applyFill="1" applyBorder="1" applyAlignment="1" applyProtection="1">
      <alignment horizontal="center" vertical="top" wrapText="1"/>
      <protection locked="0"/>
    </xf>
    <xf numFmtId="0" fontId="74" fillId="37" borderId="10" xfId="0" applyFont="1" applyFill="1" applyBorder="1" applyAlignment="1" applyProtection="1">
      <alignment horizontal="center" vertical="top" wrapText="1"/>
      <protection locked="0"/>
    </xf>
    <xf numFmtId="0" fontId="74" fillId="37" borderId="42" xfId="0" applyFont="1" applyFill="1" applyBorder="1" applyAlignment="1" applyProtection="1">
      <alignment horizontal="center" vertical="top" wrapText="1"/>
      <protection locked="0"/>
    </xf>
    <xf numFmtId="0" fontId="74" fillId="0" borderId="62" xfId="0" applyFont="1" applyFill="1" applyBorder="1" applyAlignment="1" applyProtection="1">
      <alignment horizontal="left" vertical="top" wrapText="1"/>
    </xf>
    <xf numFmtId="167" fontId="74" fillId="33" borderId="79" xfId="0" applyNumberFormat="1" applyFont="1" applyFill="1" applyBorder="1" applyAlignment="1" applyProtection="1">
      <alignment horizontal="left" vertical="top" wrapText="1"/>
    </xf>
    <xf numFmtId="167" fontId="74" fillId="33" borderId="12" xfId="0" applyNumberFormat="1" applyFont="1" applyFill="1" applyBorder="1" applyAlignment="1" applyProtection="1">
      <alignment horizontal="left" vertical="top" wrapText="1"/>
    </xf>
    <xf numFmtId="167" fontId="74" fillId="33" borderId="71" xfId="0" applyNumberFormat="1" applyFont="1" applyFill="1" applyBorder="1" applyAlignment="1" applyProtection="1">
      <alignment horizontal="left" vertical="top" wrapText="1"/>
    </xf>
    <xf numFmtId="0" fontId="74" fillId="35" borderId="24" xfId="0" applyNumberFormat="1" applyFont="1" applyFill="1" applyBorder="1" applyAlignment="1" applyProtection="1">
      <alignment horizontal="left"/>
    </xf>
    <xf numFmtId="0" fontId="74" fillId="35" borderId="29" xfId="0" applyNumberFormat="1" applyFont="1" applyFill="1" applyBorder="1" applyAlignment="1" applyProtection="1">
      <alignment horizontal="left"/>
    </xf>
    <xf numFmtId="0" fontId="74" fillId="0" borderId="79" xfId="0" applyFont="1" applyFill="1" applyBorder="1" applyAlignment="1" applyProtection="1">
      <alignment horizontal="left"/>
    </xf>
    <xf numFmtId="0" fontId="74" fillId="35" borderId="11" xfId="0" applyNumberFormat="1" applyFont="1" applyFill="1" applyBorder="1" applyAlignment="1" applyProtection="1">
      <alignment horizontal="left"/>
    </xf>
    <xf numFmtId="0" fontId="74" fillId="35" borderId="166" xfId="0" applyNumberFormat="1" applyFont="1" applyFill="1" applyBorder="1" applyAlignment="1" applyProtection="1">
      <alignment horizontal="left"/>
    </xf>
    <xf numFmtId="0" fontId="74" fillId="35" borderId="167" xfId="0" applyNumberFormat="1" applyFont="1" applyFill="1" applyBorder="1" applyAlignment="1" applyProtection="1">
      <alignment horizontal="left"/>
    </xf>
    <xf numFmtId="0" fontId="74" fillId="0" borderId="49" xfId="0" applyFont="1" applyBorder="1" applyProtection="1"/>
    <xf numFmtId="0" fontId="74" fillId="0" borderId="47" xfId="0" applyFont="1" applyBorder="1" applyProtection="1"/>
    <xf numFmtId="0" fontId="74" fillId="0" borderId="47" xfId="0" applyFont="1" applyBorder="1" applyAlignment="1" applyProtection="1">
      <alignment horizontal="left"/>
    </xf>
    <xf numFmtId="0" fontId="35" fillId="52" borderId="14" xfId="0" applyFont="1" applyFill="1" applyBorder="1" applyAlignment="1" applyProtection="1">
      <alignment horizontal="center" wrapText="1"/>
      <protection locked="0"/>
    </xf>
    <xf numFmtId="0" fontId="35" fillId="52" borderId="26" xfId="0" applyFont="1" applyFill="1" applyBorder="1" applyAlignment="1" applyProtection="1">
      <alignment horizontal="center"/>
      <protection locked="0"/>
    </xf>
    <xf numFmtId="0" fontId="31" fillId="52" borderId="19" xfId="0" applyFont="1" applyFill="1" applyBorder="1" applyAlignment="1" applyProtection="1">
      <protection locked="0"/>
    </xf>
    <xf numFmtId="0" fontId="35" fillId="52" borderId="17" xfId="0" applyFont="1" applyFill="1" applyBorder="1" applyAlignment="1" applyProtection="1">
      <alignment horizontal="center"/>
      <protection locked="0"/>
    </xf>
    <xf numFmtId="0" fontId="35" fillId="52" borderId="32" xfId="0" applyFont="1" applyFill="1" applyBorder="1" applyAlignment="1" applyProtection="1">
      <alignment horizontal="center"/>
      <protection locked="0"/>
    </xf>
    <xf numFmtId="0" fontId="31" fillId="52" borderId="21" xfId="0" applyFont="1" applyFill="1" applyBorder="1" applyAlignment="1" applyProtection="1">
      <protection locked="0"/>
    </xf>
    <xf numFmtId="0" fontId="74" fillId="33" borderId="16" xfId="0" applyFont="1" applyFill="1" applyBorder="1" applyAlignment="1" applyProtection="1">
      <alignment horizontal="center"/>
    </xf>
    <xf numFmtId="0" fontId="74" fillId="33" borderId="29" xfId="0" applyFont="1" applyFill="1" applyBorder="1" applyAlignment="1" applyProtection="1">
      <alignment horizontal="center"/>
    </xf>
    <xf numFmtId="0" fontId="74" fillId="33" borderId="20" xfId="0" applyFont="1" applyFill="1" applyBorder="1" applyAlignment="1" applyProtection="1">
      <alignment horizontal="center"/>
    </xf>
    <xf numFmtId="0" fontId="76" fillId="33" borderId="16" xfId="0" applyFont="1" applyFill="1" applyBorder="1" applyAlignment="1" applyProtection="1">
      <alignment horizontal="left"/>
    </xf>
    <xf numFmtId="0" fontId="76" fillId="33" borderId="29" xfId="0" applyFont="1" applyFill="1" applyBorder="1" applyAlignment="1" applyProtection="1">
      <alignment horizontal="left"/>
    </xf>
    <xf numFmtId="0" fontId="76" fillId="33" borderId="20" xfId="0" applyFont="1" applyFill="1" applyBorder="1" applyAlignment="1" applyProtection="1">
      <alignment horizontal="left"/>
    </xf>
    <xf numFmtId="0" fontId="76" fillId="33" borderId="16" xfId="0" applyFont="1" applyFill="1" applyBorder="1" applyAlignment="1" applyProtection="1">
      <alignment vertical="top" wrapText="1"/>
    </xf>
    <xf numFmtId="0" fontId="76" fillId="33" borderId="29" xfId="0" applyFont="1" applyFill="1" applyBorder="1" applyAlignment="1" applyProtection="1">
      <alignment vertical="top" wrapText="1"/>
    </xf>
    <xf numFmtId="0" fontId="76" fillId="33" borderId="20" xfId="0" applyFont="1" applyFill="1" applyBorder="1" applyAlignment="1" applyProtection="1">
      <alignment vertical="top" wrapText="1"/>
    </xf>
    <xf numFmtId="0" fontId="76" fillId="33" borderId="17" xfId="0" applyFont="1" applyFill="1" applyBorder="1" applyAlignment="1" applyProtection="1">
      <alignment horizontal="left"/>
    </xf>
    <xf numFmtId="0" fontId="76" fillId="33" borderId="32" xfId="0" applyFont="1" applyFill="1" applyBorder="1" applyAlignment="1" applyProtection="1">
      <alignment horizontal="left"/>
    </xf>
    <xf numFmtId="0" fontId="76" fillId="33" borderId="21" xfId="0" applyFont="1" applyFill="1" applyBorder="1" applyAlignment="1" applyProtection="1">
      <alignment horizontal="left"/>
    </xf>
    <xf numFmtId="0" fontId="74" fillId="0" borderId="81" xfId="0" applyFont="1" applyFill="1" applyBorder="1" applyAlignment="1" applyProtection="1">
      <alignment horizontal="left" vertical="top" wrapText="1"/>
    </xf>
    <xf numFmtId="0" fontId="74" fillId="0" borderId="82" xfId="0" applyFont="1" applyFill="1" applyBorder="1" applyAlignment="1" applyProtection="1">
      <alignment horizontal="left" vertical="top" wrapText="1"/>
    </xf>
    <xf numFmtId="0" fontId="74" fillId="0" borderId="11" xfId="0" applyFont="1" applyFill="1" applyBorder="1" applyAlignment="1" applyProtection="1">
      <alignment horizontal="left" vertical="top" wrapText="1"/>
    </xf>
    <xf numFmtId="0" fontId="76" fillId="33" borderId="157" xfId="0" applyFont="1" applyFill="1" applyBorder="1" applyAlignment="1" applyProtection="1">
      <alignment horizontal="left"/>
    </xf>
    <xf numFmtId="0" fontId="76" fillId="33" borderId="147" xfId="0" applyFont="1" applyFill="1" applyBorder="1" applyAlignment="1" applyProtection="1">
      <alignment horizontal="left"/>
    </xf>
    <xf numFmtId="0" fontId="76" fillId="33" borderId="176" xfId="0" applyFont="1" applyFill="1" applyBorder="1" applyAlignment="1" applyProtection="1">
      <alignment horizontal="left"/>
    </xf>
    <xf numFmtId="0" fontId="74" fillId="33" borderId="11" xfId="80" applyFont="1" applyFill="1" applyBorder="1" applyAlignment="1" applyProtection="1">
      <alignment horizontal="right"/>
    </xf>
    <xf numFmtId="0" fontId="74" fillId="33" borderId="12" xfId="80" applyFont="1" applyFill="1" applyBorder="1" applyAlignment="1" applyProtection="1">
      <alignment horizontal="right"/>
    </xf>
    <xf numFmtId="0" fontId="74" fillId="33" borderId="13" xfId="80" applyFont="1" applyFill="1" applyBorder="1" applyAlignment="1" applyProtection="1">
      <alignment horizontal="right"/>
    </xf>
    <xf numFmtId="0" fontId="76" fillId="35" borderId="11" xfId="80" applyFont="1" applyFill="1" applyBorder="1" applyAlignment="1" applyProtection="1">
      <alignment horizontal="right"/>
    </xf>
    <xf numFmtId="0" fontId="76" fillId="35" borderId="12" xfId="80" applyFont="1" applyFill="1" applyBorder="1" applyAlignment="1" applyProtection="1">
      <alignment horizontal="right"/>
    </xf>
    <xf numFmtId="0" fontId="76" fillId="35" borderId="13" xfId="80" applyFont="1" applyFill="1" applyBorder="1" applyAlignment="1" applyProtection="1">
      <alignment horizontal="right"/>
    </xf>
    <xf numFmtId="167" fontId="76" fillId="33" borderId="54" xfId="0" applyNumberFormat="1" applyFont="1" applyFill="1" applyBorder="1" applyAlignment="1" applyProtection="1">
      <alignment horizontal="center" vertical="center"/>
    </xf>
    <xf numFmtId="167" fontId="76" fillId="33" borderId="0" xfId="0" applyNumberFormat="1" applyFont="1" applyFill="1" applyBorder="1" applyAlignment="1" applyProtection="1">
      <alignment horizontal="center" vertical="center"/>
    </xf>
    <xf numFmtId="167" fontId="76" fillId="33" borderId="55" xfId="0" applyNumberFormat="1" applyFont="1" applyFill="1" applyBorder="1" applyAlignment="1" applyProtection="1">
      <alignment horizontal="center" vertical="center"/>
    </xf>
    <xf numFmtId="167" fontId="76" fillId="33" borderId="56" xfId="0" applyNumberFormat="1" applyFont="1" applyFill="1" applyBorder="1" applyAlignment="1" applyProtection="1">
      <alignment horizontal="center" vertical="center"/>
    </xf>
    <xf numFmtId="167" fontId="76" fillId="33" borderId="57" xfId="0" applyNumberFormat="1" applyFont="1" applyFill="1" applyBorder="1" applyAlignment="1" applyProtection="1">
      <alignment horizontal="center" vertical="center"/>
    </xf>
    <xf numFmtId="167" fontId="76" fillId="33" borderId="58" xfId="0" applyNumberFormat="1" applyFont="1" applyFill="1" applyBorder="1" applyAlignment="1" applyProtection="1">
      <alignment horizontal="center" vertical="center"/>
    </xf>
    <xf numFmtId="0" fontId="74" fillId="33" borderId="11" xfId="0" applyFont="1" applyFill="1" applyBorder="1" applyAlignment="1" applyProtection="1">
      <alignment horizontal="right"/>
    </xf>
    <xf numFmtId="0" fontId="74" fillId="33" borderId="12" xfId="0" applyFont="1" applyFill="1" applyBorder="1" applyAlignment="1" applyProtection="1">
      <alignment horizontal="right"/>
    </xf>
    <xf numFmtId="0" fontId="74" fillId="33" borderId="13" xfId="0" applyFont="1" applyFill="1" applyBorder="1" applyAlignment="1" applyProtection="1">
      <alignment horizontal="right"/>
    </xf>
    <xf numFmtId="0" fontId="76" fillId="33" borderId="113" xfId="0" applyFont="1" applyFill="1" applyBorder="1" applyAlignment="1" applyProtection="1">
      <alignment horizontal="center" wrapText="1"/>
    </xf>
    <xf numFmtId="0" fontId="76" fillId="33" borderId="128" xfId="0" applyFont="1" applyFill="1" applyBorder="1" applyAlignment="1" applyProtection="1">
      <alignment horizontal="center" wrapText="1"/>
    </xf>
    <xf numFmtId="0" fontId="76" fillId="33" borderId="81" xfId="0" applyFont="1" applyFill="1" applyBorder="1" applyAlignment="1" applyProtection="1">
      <alignment horizontal="center" vertical="top"/>
    </xf>
    <xf numFmtId="0" fontId="76" fillId="33" borderId="64" xfId="0" applyFont="1" applyFill="1" applyBorder="1" applyAlignment="1" applyProtection="1">
      <alignment horizontal="center" vertical="top"/>
    </xf>
    <xf numFmtId="0" fontId="76" fillId="33" borderId="73" xfId="0" applyFont="1" applyFill="1" applyBorder="1" applyAlignment="1" applyProtection="1">
      <alignment horizontal="center" vertical="top"/>
    </xf>
    <xf numFmtId="0" fontId="76" fillId="33" borderId="61" xfId="0" applyFont="1" applyFill="1" applyBorder="1" applyAlignment="1" applyProtection="1">
      <alignment horizontal="center" wrapText="1"/>
    </xf>
    <xf numFmtId="0" fontId="76" fillId="33" borderId="52" xfId="0" applyFont="1" applyFill="1" applyBorder="1" applyAlignment="1" applyProtection="1">
      <alignment horizontal="center" wrapText="1"/>
    </xf>
    <xf numFmtId="0" fontId="76" fillId="33" borderId="45" xfId="0" applyFont="1" applyFill="1" applyBorder="1" applyAlignment="1" applyProtection="1">
      <alignment horizontal="center" wrapText="1"/>
    </xf>
    <xf numFmtId="0" fontId="76" fillId="33" borderId="48" xfId="0" applyFont="1" applyFill="1" applyBorder="1" applyAlignment="1" applyProtection="1">
      <alignment horizontal="center" wrapText="1"/>
    </xf>
    <xf numFmtId="0" fontId="76" fillId="33" borderId="0" xfId="0" applyFont="1" applyFill="1" applyBorder="1" applyAlignment="1" applyProtection="1">
      <alignment horizontal="center" vertical="top" wrapText="1"/>
    </xf>
    <xf numFmtId="0" fontId="76" fillId="33" borderId="111" xfId="0" applyFont="1" applyFill="1" applyBorder="1" applyAlignment="1" applyProtection="1">
      <alignment horizontal="center" vertical="top" wrapText="1"/>
    </xf>
    <xf numFmtId="0" fontId="76" fillId="33" borderId="61" xfId="43" applyFont="1" applyFill="1" applyBorder="1" applyAlignment="1" applyProtection="1">
      <alignment horizontal="center" wrapText="1"/>
    </xf>
    <xf numFmtId="0" fontId="76" fillId="33" borderId="52" xfId="43" applyFont="1" applyFill="1" applyBorder="1" applyAlignment="1" applyProtection="1">
      <alignment horizontal="center" wrapText="1"/>
    </xf>
    <xf numFmtId="0" fontId="76" fillId="33" borderId="111" xfId="0" applyFont="1" applyFill="1" applyBorder="1" applyAlignment="1" applyProtection="1">
      <alignment horizontal="center" wrapText="1"/>
    </xf>
    <xf numFmtId="0" fontId="76" fillId="33" borderId="127" xfId="0" applyFont="1" applyFill="1" applyBorder="1" applyAlignment="1" applyProtection="1">
      <alignment horizontal="center" wrapText="1"/>
    </xf>
    <xf numFmtId="0" fontId="76" fillId="33" borderId="70" xfId="0" applyFont="1" applyFill="1" applyBorder="1" applyAlignment="1" applyProtection="1">
      <alignment horizontal="center" wrapText="1"/>
    </xf>
    <xf numFmtId="0" fontId="76" fillId="33" borderId="107" xfId="0" applyFont="1" applyFill="1" applyBorder="1" applyAlignment="1" applyProtection="1">
      <alignment horizontal="center" wrapText="1"/>
    </xf>
    <xf numFmtId="0" fontId="76" fillId="42" borderId="33" xfId="61" applyFont="1" applyFill="1" applyBorder="1" applyAlignment="1" applyProtection="1">
      <alignment horizontal="center" vertical="center" wrapText="1"/>
    </xf>
    <xf numFmtId="0" fontId="76" fillId="42" borderId="139" xfId="61" applyFont="1" applyFill="1" applyBorder="1" applyAlignment="1" applyProtection="1">
      <alignment horizontal="center" vertical="center" wrapText="1"/>
    </xf>
    <xf numFmtId="0" fontId="76" fillId="42" borderId="52" xfId="61" applyFont="1" applyFill="1" applyBorder="1" applyAlignment="1" applyProtection="1">
      <alignment horizontal="center" vertical="center" wrapText="1"/>
    </xf>
    <xf numFmtId="0" fontId="76" fillId="42" borderId="22" xfId="61" applyFont="1" applyFill="1" applyBorder="1" applyAlignment="1" applyProtection="1">
      <alignment horizontal="center" vertical="center" wrapText="1"/>
    </xf>
    <xf numFmtId="0" fontId="76" fillId="42" borderId="43" xfId="61" applyFont="1" applyFill="1" applyBorder="1" applyAlignment="1" applyProtection="1">
      <alignment horizontal="center" vertical="center" wrapText="1"/>
    </xf>
    <xf numFmtId="0" fontId="76" fillId="42" borderId="46" xfId="61" applyFont="1" applyFill="1" applyBorder="1" applyAlignment="1" applyProtection="1">
      <alignment horizontal="center" vertical="center" wrapText="1"/>
    </xf>
    <xf numFmtId="0" fontId="76" fillId="42" borderId="74" xfId="61" applyFont="1" applyFill="1" applyBorder="1" applyAlignment="1" applyProtection="1">
      <alignment horizontal="center" vertical="center" wrapText="1"/>
    </xf>
    <xf numFmtId="0" fontId="76" fillId="42" borderId="146" xfId="61" applyFont="1" applyFill="1" applyBorder="1" applyAlignment="1" applyProtection="1">
      <alignment horizontal="center" vertical="center" wrapText="1"/>
    </xf>
    <xf numFmtId="0" fontId="76" fillId="42" borderId="77" xfId="61" applyFont="1" applyFill="1" applyBorder="1" applyAlignment="1" applyProtection="1">
      <alignment horizontal="center" vertical="center" wrapText="1"/>
    </xf>
    <xf numFmtId="0" fontId="76" fillId="42" borderId="19" xfId="61" applyFont="1" applyFill="1" applyBorder="1" applyAlignment="1" applyProtection="1">
      <alignment horizontal="center" vertical="center" wrapText="1"/>
    </xf>
    <xf numFmtId="0" fontId="76" fillId="42" borderId="28" xfId="61" applyFont="1" applyFill="1" applyBorder="1" applyAlignment="1" applyProtection="1">
      <alignment horizontal="center" vertical="center" wrapText="1"/>
    </xf>
    <xf numFmtId="0" fontId="76" fillId="42" borderId="21" xfId="61" applyFont="1" applyFill="1" applyBorder="1" applyAlignment="1" applyProtection="1">
      <alignment horizontal="center" vertical="center" wrapText="1"/>
    </xf>
    <xf numFmtId="0" fontId="76" fillId="42" borderId="34" xfId="61" applyFont="1" applyFill="1" applyBorder="1" applyAlignment="1" applyProtection="1">
      <alignment horizontal="center" vertical="center" wrapText="1"/>
    </xf>
    <xf numFmtId="0" fontId="76" fillId="42" borderId="173" xfId="61" applyFont="1" applyFill="1" applyBorder="1" applyAlignment="1" applyProtection="1">
      <alignment horizontal="center" vertical="center" wrapText="1"/>
    </xf>
    <xf numFmtId="0" fontId="76" fillId="42" borderId="48" xfId="61" applyFont="1" applyFill="1" applyBorder="1" applyAlignment="1" applyProtection="1">
      <alignment horizontal="center" vertical="center" wrapText="1"/>
    </xf>
    <xf numFmtId="0" fontId="76" fillId="33" borderId="22" xfId="0" applyFont="1" applyFill="1" applyBorder="1" applyAlignment="1" applyProtection="1">
      <alignment horizontal="center" vertical="top" wrapText="1"/>
    </xf>
    <xf numFmtId="0" fontId="76" fillId="33" borderId="43" xfId="0" applyFont="1" applyFill="1" applyBorder="1" applyAlignment="1" applyProtection="1">
      <alignment horizontal="center" vertical="top" wrapText="1"/>
    </xf>
    <xf numFmtId="0" fontId="76" fillId="33" borderId="46" xfId="0" applyFont="1" applyFill="1" applyBorder="1" applyAlignment="1" applyProtection="1">
      <alignment horizontal="center" vertical="top" wrapText="1"/>
    </xf>
    <xf numFmtId="0" fontId="76" fillId="33" borderId="65" xfId="0" applyFont="1" applyFill="1" applyBorder="1" applyAlignment="1" applyProtection="1">
      <alignment horizontal="center" vertical="top" wrapText="1"/>
    </xf>
    <xf numFmtId="0" fontId="76" fillId="33" borderId="107" xfId="0" applyFont="1" applyFill="1" applyBorder="1" applyAlignment="1" applyProtection="1">
      <alignment horizontal="center" vertical="top" wrapText="1"/>
    </xf>
    <xf numFmtId="0" fontId="76" fillId="33" borderId="86" xfId="0" applyFont="1" applyFill="1" applyBorder="1" applyAlignment="1" applyProtection="1">
      <alignment horizontal="center" vertical="top" wrapText="1"/>
    </xf>
    <xf numFmtId="0" fontId="76" fillId="33" borderId="127" xfId="0" applyFont="1" applyFill="1" applyBorder="1" applyAlignment="1" applyProtection="1">
      <alignment horizontal="center" vertical="top" wrapText="1"/>
    </xf>
    <xf numFmtId="0" fontId="76" fillId="33" borderId="65" xfId="0" applyFont="1" applyFill="1" applyBorder="1" applyAlignment="1" applyProtection="1">
      <alignment horizontal="center" vertical="top"/>
    </xf>
    <xf numFmtId="0" fontId="76" fillId="33" borderId="107" xfId="0" applyFont="1" applyFill="1" applyBorder="1" applyAlignment="1" applyProtection="1">
      <alignment horizontal="center" vertical="top"/>
    </xf>
    <xf numFmtId="0" fontId="76" fillId="33" borderId="63" xfId="0" applyFont="1" applyFill="1" applyBorder="1" applyAlignment="1" applyProtection="1">
      <alignment horizontal="center" vertical="top"/>
    </xf>
    <xf numFmtId="0" fontId="76" fillId="33" borderId="125" xfId="0" applyFont="1" applyFill="1" applyBorder="1" applyAlignment="1" applyProtection="1">
      <alignment horizontal="center" vertical="top"/>
    </xf>
    <xf numFmtId="0" fontId="76" fillId="33" borderId="82" xfId="0" applyFont="1" applyFill="1" applyBorder="1" applyAlignment="1" applyProtection="1">
      <alignment horizontal="center" vertical="top"/>
    </xf>
    <xf numFmtId="0" fontId="76" fillId="33" borderId="126" xfId="0" applyFont="1" applyFill="1" applyBorder="1" applyAlignment="1" applyProtection="1">
      <alignment horizontal="center" vertical="top" wrapText="1"/>
    </xf>
    <xf numFmtId="0" fontId="76" fillId="33" borderId="33" xfId="0" applyFont="1" applyFill="1" applyBorder="1" applyAlignment="1" applyProtection="1">
      <alignment horizontal="center" vertical="top" wrapText="1"/>
    </xf>
    <xf numFmtId="0" fontId="76" fillId="33" borderId="61" xfId="0" applyFont="1" applyFill="1" applyBorder="1" applyAlignment="1" applyProtection="1">
      <alignment horizontal="center" vertical="top" wrapText="1"/>
    </xf>
    <xf numFmtId="0" fontId="76" fillId="42" borderId="45" xfId="61" applyFont="1" applyFill="1" applyBorder="1" applyAlignment="1" applyProtection="1">
      <alignment horizontal="center" vertical="center" wrapText="1"/>
    </xf>
    <xf numFmtId="0" fontId="76" fillId="42" borderId="14" xfId="61" applyFont="1" applyFill="1" applyBorder="1" applyAlignment="1">
      <alignment horizontal="center" vertical="center"/>
    </xf>
    <xf numFmtId="0" fontId="76" fillId="42" borderId="26" xfId="61" applyFont="1" applyFill="1" applyBorder="1" applyAlignment="1">
      <alignment horizontal="center" vertical="center"/>
    </xf>
    <xf numFmtId="0" fontId="76" fillId="42" borderId="19" xfId="61" applyFont="1" applyFill="1" applyBorder="1" applyAlignment="1">
      <alignment horizontal="center" vertical="center"/>
    </xf>
    <xf numFmtId="0" fontId="76" fillId="42" borderId="27" xfId="61" applyFont="1" applyFill="1" applyBorder="1" applyAlignment="1">
      <alignment horizontal="center" vertical="center"/>
    </xf>
    <xf numFmtId="0" fontId="76" fillId="42" borderId="0" xfId="61" applyFont="1" applyFill="1" applyBorder="1" applyAlignment="1">
      <alignment horizontal="center" vertical="center"/>
    </xf>
    <xf numFmtId="0" fontId="76" fillId="42" borderId="28" xfId="61" applyFont="1" applyFill="1" applyBorder="1" applyAlignment="1">
      <alignment horizontal="center" vertical="center"/>
    </xf>
    <xf numFmtId="0" fontId="76" fillId="42" borderId="17" xfId="61" applyFont="1" applyFill="1" applyBorder="1" applyAlignment="1">
      <alignment horizontal="center" vertical="center"/>
    </xf>
    <xf numFmtId="0" fontId="76" fillId="42" borderId="32" xfId="61" applyFont="1" applyFill="1" applyBorder="1" applyAlignment="1">
      <alignment horizontal="center" vertical="center"/>
    </xf>
    <xf numFmtId="0" fontId="76" fillId="42" borderId="21" xfId="61" applyFont="1" applyFill="1" applyBorder="1" applyAlignment="1">
      <alignment horizontal="center" vertical="center"/>
    </xf>
    <xf numFmtId="0" fontId="74" fillId="0" borderId="39" xfId="0" applyFont="1" applyBorder="1" applyAlignment="1" applyProtection="1">
      <alignment horizontal="left" wrapText="1"/>
      <protection locked="0"/>
    </xf>
    <xf numFmtId="0" fontId="74" fillId="0" borderId="47" xfId="0" applyFont="1" applyBorder="1" applyAlignment="1" applyProtection="1">
      <alignment horizontal="left" wrapText="1"/>
      <protection locked="0"/>
    </xf>
    <xf numFmtId="220" fontId="74" fillId="0" borderId="28" xfId="665" applyNumberFormat="1" applyFont="1" applyBorder="1" applyAlignment="1" applyProtection="1">
      <alignment horizontal="center"/>
    </xf>
    <xf numFmtId="220" fontId="74" fillId="0" borderId="21" xfId="665" applyNumberFormat="1" applyFont="1" applyBorder="1" applyAlignment="1" applyProtection="1">
      <alignment horizontal="center"/>
    </xf>
    <xf numFmtId="0" fontId="74" fillId="0" borderId="79" xfId="0" applyFont="1" applyFill="1" applyBorder="1" applyAlignment="1" applyProtection="1">
      <alignment horizontal="center"/>
      <protection locked="0"/>
    </xf>
    <xf numFmtId="0" fontId="74" fillId="0" borderId="167" xfId="0" applyFont="1" applyFill="1" applyBorder="1" applyAlignment="1" applyProtection="1">
      <alignment horizontal="center"/>
      <protection locked="0"/>
    </xf>
    <xf numFmtId="0" fontId="76" fillId="0" borderId="177" xfId="61" applyFont="1" applyBorder="1" applyAlignment="1">
      <alignment horizontal="center"/>
    </xf>
    <xf numFmtId="0" fontId="76" fillId="0" borderId="178" xfId="61" applyFont="1" applyBorder="1" applyAlignment="1">
      <alignment horizontal="center"/>
    </xf>
    <xf numFmtId="0" fontId="76" fillId="0" borderId="11" xfId="61" applyFont="1" applyFill="1" applyBorder="1" applyAlignment="1">
      <alignment horizontal="center"/>
    </xf>
    <xf numFmtId="0" fontId="76" fillId="0" borderId="71" xfId="61" applyFont="1" applyFill="1" applyBorder="1" applyAlignment="1">
      <alignment horizontal="center"/>
    </xf>
    <xf numFmtId="0" fontId="87" fillId="0" borderId="27" xfId="61" applyFont="1" applyBorder="1" applyAlignment="1">
      <alignment horizontal="left" wrapText="1"/>
    </xf>
    <xf numFmtId="0" fontId="87" fillId="0" borderId="0" xfId="61" applyFont="1" applyBorder="1" applyAlignment="1">
      <alignment horizontal="left" wrapText="1"/>
    </xf>
    <xf numFmtId="0" fontId="87" fillId="0" borderId="28" xfId="61" applyFont="1" applyBorder="1" applyAlignment="1">
      <alignment horizontal="left" wrapText="1"/>
    </xf>
    <xf numFmtId="0" fontId="76" fillId="0" borderId="174" xfId="0" applyFont="1" applyBorder="1" applyAlignment="1">
      <alignment horizontal="center" wrapText="1"/>
    </xf>
    <xf numFmtId="0" fontId="76" fillId="0" borderId="38" xfId="0" applyFont="1" applyBorder="1" applyAlignment="1">
      <alignment horizontal="center" wrapText="1"/>
    </xf>
    <xf numFmtId="0" fontId="76" fillId="0" borderId="168" xfId="0" applyFont="1" applyBorder="1" applyAlignment="1">
      <alignment horizontal="center" wrapText="1"/>
    </xf>
    <xf numFmtId="0" fontId="76" fillId="0" borderId="39" xfId="0" applyFont="1" applyBorder="1" applyAlignment="1">
      <alignment horizontal="center" wrapText="1"/>
    </xf>
    <xf numFmtId="0" fontId="76" fillId="0" borderId="27" xfId="61" applyFont="1" applyBorder="1" applyAlignment="1">
      <alignment horizontal="left" wrapText="1"/>
    </xf>
    <xf numFmtId="0" fontId="76" fillId="0" borderId="80" xfId="61" applyFont="1" applyBorder="1" applyAlignment="1">
      <alignment horizontal="left" wrapText="1"/>
    </xf>
    <xf numFmtId="174" fontId="118" fillId="46" borderId="201" xfId="643" applyNumberFormat="1" applyFont="1" applyFill="1" applyBorder="1" applyAlignment="1" applyProtection="1">
      <alignment horizontal="left" vertical="center" wrapText="1"/>
      <protection hidden="1"/>
    </xf>
    <xf numFmtId="174" fontId="118" fillId="46" borderId="0" xfId="643" applyNumberFormat="1" applyFont="1" applyFill="1" applyBorder="1" applyAlignment="1" applyProtection="1">
      <alignment horizontal="left" vertical="center" wrapText="1"/>
      <protection hidden="1"/>
    </xf>
    <xf numFmtId="174" fontId="118" fillId="46" borderId="202" xfId="643" applyNumberFormat="1" applyFont="1" applyFill="1" applyBorder="1" applyAlignment="1" applyProtection="1">
      <alignment horizontal="left" vertical="center" wrapText="1"/>
      <protection hidden="1"/>
    </xf>
    <xf numFmtId="0" fontId="76" fillId="0" borderId="160" xfId="0" applyFont="1" applyBorder="1" applyAlignment="1">
      <alignment horizontal="center" wrapText="1"/>
    </xf>
    <xf numFmtId="0" fontId="76" fillId="0" borderId="10" xfId="0" applyFont="1" applyFill="1" applyBorder="1" applyAlignment="1">
      <alignment horizontal="center" wrapText="1"/>
    </xf>
    <xf numFmtId="0" fontId="76" fillId="0" borderId="168" xfId="0" applyFont="1" applyBorder="1" applyAlignment="1" applyProtection="1">
      <alignment horizontal="center"/>
      <protection locked="0"/>
    </xf>
    <xf numFmtId="0" fontId="76" fillId="0" borderId="160" xfId="0" applyFont="1" applyBorder="1" applyAlignment="1" applyProtection="1">
      <alignment horizontal="center"/>
      <protection locked="0"/>
    </xf>
    <xf numFmtId="44" fontId="74" fillId="61" borderId="10" xfId="665" applyFont="1" applyFill="1" applyBorder="1" applyAlignment="1">
      <alignment horizontal="center" vertical="center"/>
    </xf>
    <xf numFmtId="44" fontId="74" fillId="61" borderId="168" xfId="665" applyFont="1" applyFill="1" applyBorder="1" applyAlignment="1">
      <alignment horizontal="center" vertical="center"/>
    </xf>
    <xf numFmtId="44" fontId="74" fillId="61" borderId="160" xfId="665" applyFont="1" applyFill="1" applyBorder="1" applyAlignment="1">
      <alignment horizontal="center" vertical="center"/>
    </xf>
    <xf numFmtId="0" fontId="76" fillId="0" borderId="145" xfId="61" applyFont="1" applyBorder="1" applyAlignment="1">
      <alignment horizontal="center"/>
    </xf>
    <xf numFmtId="0" fontId="76" fillId="0" borderId="55" xfId="61" applyFont="1" applyBorder="1" applyAlignment="1">
      <alignment horizontal="center"/>
    </xf>
    <xf numFmtId="0" fontId="76" fillId="0" borderId="175" xfId="61" applyFont="1" applyBorder="1" applyAlignment="1">
      <alignment horizontal="center"/>
    </xf>
    <xf numFmtId="0" fontId="76" fillId="0" borderId="157" xfId="61" applyFont="1" applyBorder="1" applyAlignment="1">
      <alignment horizontal="center"/>
    </xf>
    <xf numFmtId="0" fontId="76" fillId="0" borderId="176" xfId="61" applyFont="1" applyBorder="1" applyAlignment="1">
      <alignment horizontal="center"/>
    </xf>
    <xf numFmtId="0" fontId="74" fillId="43" borderId="10" xfId="0" applyFont="1" applyFill="1" applyBorder="1" applyAlignment="1">
      <alignment horizontal="left"/>
    </xf>
    <xf numFmtId="44" fontId="74" fillId="0" borderId="10" xfId="665" applyFont="1" applyBorder="1" applyAlignment="1">
      <alignment horizontal="center" vertical="center"/>
    </xf>
    <xf numFmtId="0" fontId="74" fillId="61" borderId="11" xfId="0" applyFont="1" applyFill="1" applyBorder="1" applyAlignment="1">
      <alignment horizontal="center"/>
    </xf>
    <xf numFmtId="0" fontId="74" fillId="61" borderId="167" xfId="0" applyFont="1" applyFill="1" applyBorder="1" applyAlignment="1">
      <alignment horizontal="center"/>
    </xf>
    <xf numFmtId="0" fontId="74" fillId="0" borderId="10" xfId="0" applyFont="1" applyFill="1" applyBorder="1" applyAlignment="1">
      <alignment horizontal="left"/>
    </xf>
    <xf numFmtId="0" fontId="76" fillId="35" borderId="16" xfId="46" applyFont="1" applyFill="1" applyBorder="1" applyAlignment="1" applyProtection="1">
      <alignment horizontal="center"/>
    </xf>
    <xf numFmtId="0" fontId="76" fillId="35" borderId="29" xfId="46" applyFont="1" applyFill="1" applyBorder="1" applyAlignment="1" applyProtection="1">
      <alignment horizontal="center"/>
    </xf>
    <xf numFmtId="0" fontId="89" fillId="33" borderId="81" xfId="46" applyFont="1" applyFill="1" applyBorder="1" applyAlignment="1" applyProtection="1">
      <alignment horizontal="center"/>
    </xf>
    <xf numFmtId="0" fontId="89" fillId="33" borderId="64" xfId="46" applyFont="1" applyFill="1" applyBorder="1" applyAlignment="1" applyProtection="1">
      <alignment horizontal="center"/>
    </xf>
    <xf numFmtId="0" fontId="89" fillId="33" borderId="82" xfId="46" applyFont="1" applyFill="1" applyBorder="1" applyAlignment="1" applyProtection="1">
      <alignment horizontal="center"/>
    </xf>
    <xf numFmtId="0" fontId="89" fillId="33" borderId="64" xfId="46" applyFont="1" applyFill="1" applyBorder="1" applyAlignment="1" applyProtection="1">
      <alignment horizontal="center"/>
      <protection locked="0"/>
    </xf>
    <xf numFmtId="0" fontId="89" fillId="33" borderId="82" xfId="46" applyFont="1" applyFill="1" applyBorder="1" applyAlignment="1" applyProtection="1">
      <alignment horizontal="center"/>
      <protection locked="0"/>
    </xf>
    <xf numFmtId="0" fontId="74" fillId="37" borderId="27" xfId="0" applyFont="1" applyFill="1" applyBorder="1" applyAlignment="1" applyProtection="1">
      <alignment horizontal="left" vertical="center" wrapText="1"/>
    </xf>
    <xf numFmtId="0" fontId="74" fillId="37" borderId="28" xfId="0" applyFont="1" applyFill="1" applyBorder="1" applyAlignment="1" applyProtection="1">
      <alignment horizontal="left" vertical="center" wrapText="1"/>
    </xf>
    <xf numFmtId="0" fontId="89" fillId="33" borderId="163" xfId="46" applyFont="1" applyFill="1" applyBorder="1" applyAlignment="1" applyProtection="1">
      <alignment horizontal="center"/>
    </xf>
    <xf numFmtId="0" fontId="89" fillId="33" borderId="165" xfId="46" applyFont="1" applyFill="1" applyBorder="1" applyAlignment="1" applyProtection="1">
      <alignment horizontal="center"/>
    </xf>
    <xf numFmtId="0" fontId="89" fillId="33" borderId="152" xfId="46" applyFont="1" applyFill="1" applyBorder="1" applyAlignment="1" applyProtection="1">
      <alignment horizontal="center"/>
    </xf>
    <xf numFmtId="0" fontId="89" fillId="33" borderId="10" xfId="46" applyFont="1" applyFill="1" applyBorder="1" applyAlignment="1" applyProtection="1">
      <alignment horizontal="center"/>
    </xf>
    <xf numFmtId="0" fontId="74" fillId="0" borderId="0" xfId="666" applyFont="1" applyFill="1" applyBorder="1" applyAlignment="1" applyProtection="1">
      <alignment horizontal="left" wrapText="1"/>
    </xf>
    <xf numFmtId="0" fontId="74" fillId="0" borderId="0" xfId="666" applyFont="1" applyFill="1" applyAlignment="1" applyProtection="1">
      <alignment horizontal="left" wrapText="1"/>
    </xf>
    <xf numFmtId="0" fontId="74" fillId="0" borderId="27" xfId="0" applyFont="1" applyBorder="1" applyAlignment="1" applyProtection="1">
      <alignment horizontal="left" wrapText="1"/>
    </xf>
    <xf numFmtId="0" fontId="74" fillId="0" borderId="0" xfId="0" applyFont="1" applyBorder="1" applyAlignment="1" applyProtection="1">
      <alignment horizontal="left" wrapText="1"/>
    </xf>
    <xf numFmtId="0" fontId="74" fillId="0" borderId="28" xfId="0" applyFont="1" applyBorder="1" applyAlignment="1" applyProtection="1">
      <alignment horizontal="left" wrapText="1"/>
    </xf>
    <xf numFmtId="0" fontId="76" fillId="33" borderId="11" xfId="0" applyFont="1" applyFill="1" applyBorder="1" applyAlignment="1" applyProtection="1">
      <alignment horizontal="left"/>
      <protection locked="0"/>
    </xf>
    <xf numFmtId="0" fontId="76" fillId="33" borderId="166" xfId="0" applyFont="1" applyFill="1" applyBorder="1" applyAlignment="1" applyProtection="1">
      <alignment horizontal="left"/>
      <protection locked="0"/>
    </xf>
    <xf numFmtId="0" fontId="76" fillId="33" borderId="167" xfId="0" applyFont="1" applyFill="1" applyBorder="1" applyAlignment="1" applyProtection="1">
      <alignment horizontal="left"/>
      <protection locked="0"/>
    </xf>
    <xf numFmtId="0" fontId="94" fillId="0" borderId="0" xfId="0" applyFont="1" applyAlignment="1" applyProtection="1">
      <alignment horizontal="center"/>
    </xf>
    <xf numFmtId="0" fontId="94" fillId="0" borderId="146" xfId="0" applyFont="1" applyBorder="1" applyAlignment="1" applyProtection="1">
      <alignment horizontal="center"/>
    </xf>
    <xf numFmtId="0" fontId="74" fillId="53" borderId="10" xfId="0" applyFont="1" applyFill="1" applyBorder="1" applyAlignment="1" applyProtection="1"/>
    <xf numFmtId="0" fontId="74" fillId="0" borderId="0" xfId="0" applyFont="1" applyAlignment="1" applyProtection="1">
      <alignment horizontal="left" wrapText="1"/>
    </xf>
    <xf numFmtId="0" fontId="74" fillId="0" borderId="0" xfId="0" applyFont="1" applyAlignment="1" applyProtection="1">
      <alignment horizontal="left" vertical="top" wrapText="1"/>
    </xf>
    <xf numFmtId="0" fontId="76" fillId="33" borderId="135" xfId="0" applyFont="1" applyFill="1" applyBorder="1" applyAlignment="1" applyProtection="1">
      <alignment horizontal="left"/>
    </xf>
    <xf numFmtId="0" fontId="74" fillId="0" borderId="10" xfId="0" applyFont="1" applyFill="1" applyBorder="1" applyAlignment="1" applyProtection="1"/>
    <xf numFmtId="0" fontId="74" fillId="0" borderId="135" xfId="0" applyFont="1" applyFill="1" applyBorder="1" applyAlignment="1" applyProtection="1"/>
    <xf numFmtId="0" fontId="76" fillId="0" borderId="10" xfId="0" applyFont="1" applyFill="1" applyBorder="1" applyAlignment="1" applyProtection="1">
      <alignment horizontal="center" wrapText="1"/>
    </xf>
    <xf numFmtId="0" fontId="117" fillId="35" borderId="0" xfId="0" applyFont="1" applyFill="1" applyBorder="1" applyAlignment="1" applyProtection="1">
      <alignment horizontal="left" wrapText="1"/>
    </xf>
    <xf numFmtId="2" fontId="74" fillId="53" borderId="11" xfId="0" applyNumberFormat="1" applyFont="1" applyFill="1" applyBorder="1" applyAlignment="1" applyProtection="1">
      <alignment horizontal="center" vertical="center"/>
    </xf>
    <xf numFmtId="2" fontId="74" fillId="53" borderId="167" xfId="0" applyNumberFormat="1" applyFont="1" applyFill="1" applyBorder="1" applyAlignment="1" applyProtection="1">
      <alignment horizontal="center" vertical="center"/>
    </xf>
    <xf numFmtId="2" fontId="74" fillId="53" borderId="11" xfId="0" applyNumberFormat="1" applyFont="1" applyFill="1" applyBorder="1" applyAlignment="1" applyProtection="1">
      <alignment horizontal="center"/>
    </xf>
    <xf numFmtId="2" fontId="74" fillId="53" borderId="167" xfId="0" applyNumberFormat="1" applyFont="1" applyFill="1" applyBorder="1" applyAlignment="1" applyProtection="1">
      <alignment horizontal="center"/>
    </xf>
    <xf numFmtId="0" fontId="74" fillId="53" borderId="11" xfId="0" applyFont="1" applyFill="1" applyBorder="1" applyAlignment="1" applyProtection="1">
      <alignment horizontal="center"/>
    </xf>
    <xf numFmtId="0" fontId="74" fillId="53" borderId="167" xfId="0" applyFont="1" applyFill="1" applyBorder="1" applyAlignment="1" applyProtection="1">
      <alignment horizontal="center"/>
    </xf>
    <xf numFmtId="0" fontId="74" fillId="37" borderId="10" xfId="0" applyFont="1" applyFill="1" applyBorder="1" applyAlignment="1" applyProtection="1">
      <alignment horizontal="center"/>
      <protection locked="0"/>
    </xf>
    <xf numFmtId="0" fontId="74" fillId="0" borderId="11" xfId="0" applyFont="1" applyFill="1" applyBorder="1" applyAlignment="1" applyProtection="1">
      <alignment horizontal="center"/>
    </xf>
    <xf numFmtId="0" fontId="74" fillId="0" borderId="167" xfId="0" applyFont="1" applyFill="1" applyBorder="1" applyAlignment="1" applyProtection="1">
      <alignment horizontal="center"/>
    </xf>
    <xf numFmtId="0" fontId="90" fillId="33" borderId="11" xfId="0" applyFont="1" applyFill="1" applyBorder="1" applyAlignment="1" applyProtection="1">
      <alignment horizontal="center"/>
    </xf>
    <xf numFmtId="0" fontId="90" fillId="33" borderId="166" xfId="0" applyFont="1" applyFill="1" applyBorder="1" applyAlignment="1" applyProtection="1">
      <alignment horizontal="center"/>
    </xf>
    <xf numFmtId="0" fontId="90" fillId="33" borderId="167" xfId="0" applyFont="1" applyFill="1" applyBorder="1" applyAlignment="1" applyProtection="1">
      <alignment horizontal="center"/>
    </xf>
    <xf numFmtId="0" fontId="90" fillId="62" borderId="11" xfId="0" applyFont="1" applyFill="1" applyBorder="1" applyAlignment="1" applyProtection="1">
      <alignment horizontal="center"/>
    </xf>
    <xf numFmtId="0" fontId="90" fillId="62" borderId="166" xfId="0" applyFont="1" applyFill="1" applyBorder="1" applyAlignment="1" applyProtection="1">
      <alignment horizontal="center"/>
    </xf>
    <xf numFmtId="0" fontId="90" fillId="62" borderId="71" xfId="0" applyFont="1" applyFill="1" applyBorder="1" applyAlignment="1" applyProtection="1">
      <alignment horizontal="center"/>
    </xf>
    <xf numFmtId="0" fontId="90" fillId="33" borderId="135" xfId="0" applyFont="1" applyFill="1" applyBorder="1" applyAlignment="1" applyProtection="1">
      <alignment horizontal="center"/>
    </xf>
    <xf numFmtId="0" fontId="100" fillId="26" borderId="15" xfId="0" applyFont="1" applyFill="1" applyBorder="1" applyAlignment="1">
      <alignment horizontal="center" wrapText="1"/>
    </xf>
    <xf numFmtId="0" fontId="100" fillId="26" borderId="30" xfId="0" applyFont="1" applyFill="1" applyBorder="1" applyAlignment="1">
      <alignment horizontal="center" wrapText="1"/>
    </xf>
    <xf numFmtId="0" fontId="74" fillId="0" borderId="0" xfId="0" applyFont="1" applyAlignment="1"/>
    <xf numFmtId="0" fontId="100" fillId="26" borderId="19" xfId="0" applyFont="1" applyFill="1" applyBorder="1" applyAlignment="1">
      <alignment horizontal="center" wrapText="1"/>
    </xf>
    <xf numFmtId="0" fontId="100" fillId="26" borderId="28" xfId="0" applyFont="1" applyFill="1" applyBorder="1" applyAlignment="1">
      <alignment horizontal="center" wrapText="1"/>
    </xf>
    <xf numFmtId="0" fontId="100" fillId="26" borderId="16" xfId="0" applyFont="1" applyFill="1" applyBorder="1" applyAlignment="1"/>
    <xf numFmtId="0" fontId="74" fillId="0" borderId="29" xfId="0" applyFont="1" applyBorder="1" applyAlignment="1"/>
    <xf numFmtId="0" fontId="74" fillId="0" borderId="84" xfId="0" applyFont="1" applyBorder="1" applyAlignment="1"/>
    <xf numFmtId="0" fontId="74" fillId="0" borderId="16" xfId="0" applyFont="1" applyBorder="1" applyAlignment="1"/>
    <xf numFmtId="0" fontId="100" fillId="26" borderId="83" xfId="0" applyFont="1" applyFill="1" applyBorder="1" applyAlignment="1">
      <alignment horizontal="center"/>
    </xf>
    <xf numFmtId="0" fontId="100" fillId="26" borderId="26" xfId="0" applyFont="1" applyFill="1" applyBorder="1" applyAlignment="1">
      <alignment horizontal="center"/>
    </xf>
    <xf numFmtId="0" fontId="100" fillId="26" borderId="74" xfId="0" applyFont="1" applyFill="1" applyBorder="1" applyAlignment="1">
      <alignment horizontal="center"/>
    </xf>
    <xf numFmtId="0" fontId="100" fillId="26" borderId="19" xfId="0" applyFont="1" applyFill="1" applyBorder="1" applyAlignment="1">
      <alignment horizontal="center"/>
    </xf>
    <xf numFmtId="3" fontId="40" fillId="24" borderId="88" xfId="0" applyNumberFormat="1" applyFont="1" applyFill="1" applyBorder="1" applyAlignment="1" applyProtection="1">
      <alignment horizontal="center"/>
      <protection hidden="1"/>
    </xf>
    <xf numFmtId="3" fontId="40" fillId="24" borderId="89" xfId="0" applyNumberFormat="1" applyFont="1" applyFill="1" applyBorder="1" applyAlignment="1" applyProtection="1">
      <alignment horizontal="center"/>
      <protection hidden="1"/>
    </xf>
    <xf numFmtId="2" fontId="40" fillId="24" borderId="88" xfId="0" applyNumberFormat="1" applyFont="1" applyFill="1" applyBorder="1" applyAlignment="1" applyProtection="1">
      <alignment horizontal="center"/>
      <protection hidden="1"/>
    </xf>
    <xf numFmtId="2" fontId="40" fillId="24" borderId="89" xfId="0" applyNumberFormat="1" applyFont="1" applyFill="1" applyBorder="1" applyAlignment="1" applyProtection="1">
      <alignment horizontal="center"/>
      <protection hidden="1"/>
    </xf>
    <xf numFmtId="167" fontId="40" fillId="24" borderId="88" xfId="0" applyNumberFormat="1" applyFont="1" applyFill="1" applyBorder="1" applyAlignment="1" applyProtection="1">
      <alignment horizontal="center"/>
      <protection hidden="1"/>
    </xf>
    <xf numFmtId="167" fontId="40" fillId="24" borderId="89" xfId="0" applyNumberFormat="1" applyFont="1" applyFill="1" applyBorder="1" applyAlignment="1" applyProtection="1">
      <alignment horizontal="center"/>
      <protection hidden="1"/>
    </xf>
    <xf numFmtId="1" fontId="40" fillId="24" borderId="94" xfId="0" applyNumberFormat="1" applyFont="1" applyFill="1" applyBorder="1" applyAlignment="1" applyProtection="1">
      <alignment horizontal="center"/>
      <protection hidden="1"/>
    </xf>
    <xf numFmtId="1" fontId="40" fillId="24" borderId="89" xfId="0" applyNumberFormat="1" applyFont="1" applyFill="1" applyBorder="1" applyAlignment="1" applyProtection="1">
      <alignment horizontal="center"/>
      <protection hidden="1"/>
    </xf>
    <xf numFmtId="0" fontId="44" fillId="25" borderId="25" xfId="0" applyFont="1" applyFill="1" applyBorder="1" applyAlignment="1" applyProtection="1">
      <alignment horizontal="center" wrapText="1"/>
    </xf>
    <xf numFmtId="0" fontId="44" fillId="25" borderId="25" xfId="0" applyFont="1" applyFill="1" applyBorder="1" applyAlignment="1" applyProtection="1">
      <alignment horizontal="center"/>
    </xf>
    <xf numFmtId="0" fontId="67" fillId="25" borderId="97" xfId="0" applyFont="1" applyFill="1" applyBorder="1" applyAlignment="1" applyProtection="1">
      <alignment horizontal="center"/>
    </xf>
    <xf numFmtId="0" fontId="67" fillId="25" borderId="96" xfId="0" applyFont="1" applyFill="1" applyBorder="1" applyAlignment="1" applyProtection="1">
      <alignment horizontal="center"/>
    </xf>
    <xf numFmtId="0" fontId="67" fillId="25" borderId="95" xfId="0" applyFont="1" applyFill="1" applyBorder="1" applyAlignment="1" applyProtection="1">
      <alignment horizontal="center"/>
    </xf>
    <xf numFmtId="0" fontId="57" fillId="25" borderId="93" xfId="0" applyFont="1" applyFill="1" applyBorder="1" applyAlignment="1" applyProtection="1">
      <alignment horizontal="center" vertical="center"/>
    </xf>
    <xf numFmtId="0" fontId="57" fillId="25" borderId="92" xfId="0" applyFont="1" applyFill="1" applyBorder="1" applyAlignment="1" applyProtection="1">
      <alignment horizontal="center" vertical="center"/>
    </xf>
    <xf numFmtId="0" fontId="57" fillId="25" borderId="91" xfId="0" applyFont="1" applyFill="1" applyBorder="1" applyAlignment="1" applyProtection="1">
      <alignment horizontal="center" vertical="center"/>
    </xf>
    <xf numFmtId="0" fontId="10" fillId="0" borderId="88" xfId="0" applyFont="1" applyFill="1" applyBorder="1" applyAlignment="1" applyProtection="1">
      <alignment horizontal="left" wrapText="1"/>
    </xf>
    <xf numFmtId="0" fontId="10" fillId="0" borderId="94" xfId="0" applyFont="1" applyFill="1" applyBorder="1" applyAlignment="1" applyProtection="1">
      <alignment horizontal="left" wrapText="1"/>
    </xf>
    <xf numFmtId="0" fontId="10" fillId="0" borderId="89" xfId="0" applyFont="1" applyFill="1" applyBorder="1" applyAlignment="1" applyProtection="1">
      <alignment horizontal="left" wrapText="1"/>
    </xf>
    <xf numFmtId="0" fontId="25" fillId="25" borderId="93" xfId="57" applyFont="1" applyFill="1" applyBorder="1" applyAlignment="1" applyProtection="1">
      <alignment horizontal="left" vertical="top"/>
      <protection hidden="1"/>
    </xf>
    <xf numFmtId="0" fontId="10" fillId="0" borderId="92" xfId="0" applyFont="1" applyBorder="1" applyAlignment="1" applyProtection="1">
      <alignment horizontal="left"/>
    </xf>
    <xf numFmtId="0" fontId="10" fillId="0" borderId="92" xfId="0" applyFont="1" applyBorder="1" applyAlignment="1" applyProtection="1"/>
    <xf numFmtId="0" fontId="10" fillId="0" borderId="91" xfId="0" applyFont="1" applyBorder="1" applyAlignment="1" applyProtection="1"/>
    <xf numFmtId="1" fontId="40" fillId="24" borderId="88" xfId="0" applyNumberFormat="1" applyFont="1" applyFill="1" applyBorder="1" applyAlignment="1" applyProtection="1">
      <alignment horizontal="center"/>
      <protection hidden="1"/>
    </xf>
    <xf numFmtId="0" fontId="25" fillId="25" borderId="0" xfId="0" applyFont="1" applyFill="1" applyBorder="1" applyAlignment="1" applyProtection="1">
      <alignment horizontal="center"/>
      <protection hidden="1"/>
    </xf>
    <xf numFmtId="1" fontId="25" fillId="25" borderId="0" xfId="0" applyNumberFormat="1" applyFont="1" applyFill="1" applyBorder="1" applyAlignment="1" applyProtection="1">
      <alignment horizontal="center"/>
      <protection hidden="1"/>
    </xf>
    <xf numFmtId="0" fontId="35" fillId="0" borderId="87" xfId="48" applyFont="1" applyBorder="1" applyAlignment="1">
      <alignment horizontal="center"/>
    </xf>
    <xf numFmtId="0" fontId="35" fillId="0" borderId="64" xfId="48" applyFont="1" applyBorder="1" applyAlignment="1">
      <alignment horizontal="center"/>
    </xf>
    <xf numFmtId="0" fontId="35" fillId="0" borderId="73" xfId="48" applyFont="1" applyBorder="1" applyAlignment="1">
      <alignment horizontal="center"/>
    </xf>
    <xf numFmtId="0" fontId="37" fillId="0" borderId="0" xfId="48" applyAlignment="1">
      <alignment horizontal="center"/>
    </xf>
    <xf numFmtId="0" fontId="46" fillId="0" borderId="64" xfId="48" applyFont="1" applyBorder="1" applyAlignment="1">
      <alignment horizontal="center"/>
    </xf>
    <xf numFmtId="0" fontId="46" fillId="0" borderId="73" xfId="48" applyFont="1" applyBorder="1" applyAlignment="1">
      <alignment horizontal="center"/>
    </xf>
    <xf numFmtId="0" fontId="47" fillId="0" borderId="16" xfId="48" applyFont="1" applyBorder="1" applyAlignment="1">
      <alignment horizontal="center"/>
    </xf>
    <xf numFmtId="0" fontId="47" fillId="0" borderId="29" xfId="48" applyFont="1" applyBorder="1" applyAlignment="1">
      <alignment horizontal="center"/>
    </xf>
    <xf numFmtId="0" fontId="47" fillId="0" borderId="20" xfId="48" applyFont="1" applyBorder="1" applyAlignment="1">
      <alignment horizontal="center"/>
    </xf>
    <xf numFmtId="1" fontId="42" fillId="0" borderId="11" xfId="44" applyNumberFormat="1" applyFont="1" applyBorder="1" applyAlignment="1">
      <alignment horizontal="center"/>
    </xf>
    <xf numFmtId="1" fontId="42" fillId="0" borderId="12" xfId="44" applyNumberFormat="1" applyFont="1" applyBorder="1" applyAlignment="1">
      <alignment horizontal="center"/>
    </xf>
    <xf numFmtId="1" fontId="42" fillId="0" borderId="13" xfId="44" applyNumberFormat="1" applyFont="1" applyBorder="1" applyAlignment="1">
      <alignment horizontal="center"/>
    </xf>
    <xf numFmtId="0" fontId="31" fillId="0" borderId="16" xfId="0" applyFont="1" applyBorder="1" applyAlignment="1">
      <alignment horizontal="center"/>
    </xf>
    <xf numFmtId="0" fontId="31" fillId="0" borderId="29" xfId="0" applyFont="1" applyBorder="1" applyAlignment="1">
      <alignment horizontal="center"/>
    </xf>
    <xf numFmtId="0" fontId="31" fillId="0" borderId="20" xfId="0" applyFont="1" applyBorder="1" applyAlignment="1">
      <alignment horizontal="center"/>
    </xf>
    <xf numFmtId="0" fontId="34" fillId="0" borderId="0" xfId="0" applyFont="1" applyAlignment="1">
      <alignment horizontal="center"/>
    </xf>
  </cellXfs>
  <cellStyles count="753">
    <cellStyle name="0.00%" xfId="629"/>
    <cellStyle name="20% - Accent1" xfId="1" builtinId="30" customBuiltin="1"/>
    <cellStyle name="20% - Accent1 10" xfId="457"/>
    <cellStyle name="20% - Accent1 11" xfId="501"/>
    <cellStyle name="20% - Accent1 12" xfId="545"/>
    <cellStyle name="20% - Accent1 13" xfId="589"/>
    <cellStyle name="20% - Accent1 2" xfId="101"/>
    <cellStyle name="20% - Accent1 3" xfId="149"/>
    <cellStyle name="20% - Accent1 4" xfId="193"/>
    <cellStyle name="20% - Accent1 5" xfId="237"/>
    <cellStyle name="20% - Accent1 6" xfId="281"/>
    <cellStyle name="20% - Accent1 7" xfId="325"/>
    <cellStyle name="20% - Accent1 8" xfId="369"/>
    <cellStyle name="20% - Accent1 9" xfId="413"/>
    <cellStyle name="20% - Accent2" xfId="2" builtinId="34" customBuiltin="1"/>
    <cellStyle name="20% - Accent2 10" xfId="456"/>
    <cellStyle name="20% - Accent2 11" xfId="500"/>
    <cellStyle name="20% - Accent2 12" xfId="544"/>
    <cellStyle name="20% - Accent2 13" xfId="588"/>
    <cellStyle name="20% - Accent2 2" xfId="102"/>
    <cellStyle name="20% - Accent2 3" xfId="148"/>
    <cellStyle name="20% - Accent2 4" xfId="192"/>
    <cellStyle name="20% - Accent2 5" xfId="236"/>
    <cellStyle name="20% - Accent2 6" xfId="280"/>
    <cellStyle name="20% - Accent2 7" xfId="324"/>
    <cellStyle name="20% - Accent2 8" xfId="368"/>
    <cellStyle name="20% - Accent2 9" xfId="412"/>
    <cellStyle name="20% - Accent3" xfId="3" builtinId="38" customBuiltin="1"/>
    <cellStyle name="20% - Accent3 10" xfId="455"/>
    <cellStyle name="20% - Accent3 11" xfId="499"/>
    <cellStyle name="20% - Accent3 12" xfId="543"/>
    <cellStyle name="20% - Accent3 13" xfId="587"/>
    <cellStyle name="20% - Accent3 2" xfId="103"/>
    <cellStyle name="20% - Accent3 3" xfId="147"/>
    <cellStyle name="20% - Accent3 4" xfId="191"/>
    <cellStyle name="20% - Accent3 5" xfId="235"/>
    <cellStyle name="20% - Accent3 6" xfId="279"/>
    <cellStyle name="20% - Accent3 7" xfId="323"/>
    <cellStyle name="20% - Accent3 8" xfId="367"/>
    <cellStyle name="20% - Accent3 9" xfId="411"/>
    <cellStyle name="20% - Accent4" xfId="4" builtinId="42" customBuiltin="1"/>
    <cellStyle name="20% - Accent4 10" xfId="454"/>
    <cellStyle name="20% - Accent4 11" xfId="498"/>
    <cellStyle name="20% - Accent4 12" xfId="542"/>
    <cellStyle name="20% - Accent4 13" xfId="586"/>
    <cellStyle name="20% - Accent4 2" xfId="104"/>
    <cellStyle name="20% - Accent4 3" xfId="146"/>
    <cellStyle name="20% - Accent4 4" xfId="190"/>
    <cellStyle name="20% - Accent4 5" xfId="234"/>
    <cellStyle name="20% - Accent4 6" xfId="278"/>
    <cellStyle name="20% - Accent4 7" xfId="322"/>
    <cellStyle name="20% - Accent4 8" xfId="366"/>
    <cellStyle name="20% - Accent4 9" xfId="410"/>
    <cellStyle name="20% - Accent5" xfId="5" builtinId="46" customBuiltin="1"/>
    <cellStyle name="20% - Accent5 10" xfId="453"/>
    <cellStyle name="20% - Accent5 11" xfId="497"/>
    <cellStyle name="20% - Accent5 12" xfId="541"/>
    <cellStyle name="20% - Accent5 13" xfId="585"/>
    <cellStyle name="20% - Accent5 2" xfId="105"/>
    <cellStyle name="20% - Accent5 3" xfId="145"/>
    <cellStyle name="20% - Accent5 4" xfId="189"/>
    <cellStyle name="20% - Accent5 5" xfId="233"/>
    <cellStyle name="20% - Accent5 6" xfId="277"/>
    <cellStyle name="20% - Accent5 7" xfId="321"/>
    <cellStyle name="20% - Accent5 8" xfId="365"/>
    <cellStyle name="20% - Accent5 9" xfId="409"/>
    <cellStyle name="20% - Accent6" xfId="6" builtinId="50" customBuiltin="1"/>
    <cellStyle name="20% - Accent6 10" xfId="452"/>
    <cellStyle name="20% - Accent6 11" xfId="496"/>
    <cellStyle name="20% - Accent6 12" xfId="540"/>
    <cellStyle name="20% - Accent6 13" xfId="584"/>
    <cellStyle name="20% - Accent6 2" xfId="106"/>
    <cellStyle name="20% - Accent6 3" xfId="144"/>
    <cellStyle name="20% - Accent6 4" xfId="188"/>
    <cellStyle name="20% - Accent6 5" xfId="232"/>
    <cellStyle name="20% - Accent6 6" xfId="276"/>
    <cellStyle name="20% - Accent6 7" xfId="320"/>
    <cellStyle name="20% - Accent6 8" xfId="364"/>
    <cellStyle name="20% - Accent6 9" xfId="408"/>
    <cellStyle name="40% - Accent1" xfId="7" builtinId="31" customBuiltin="1"/>
    <cellStyle name="40% - Accent1 10" xfId="416"/>
    <cellStyle name="40% - Accent1 11" xfId="460"/>
    <cellStyle name="40% - Accent1 12" xfId="504"/>
    <cellStyle name="40% - Accent1 13" xfId="548"/>
    <cellStyle name="40% - Accent1 2" xfId="107"/>
    <cellStyle name="40% - Accent1 3" xfId="100"/>
    <cellStyle name="40% - Accent1 4" xfId="152"/>
    <cellStyle name="40% - Accent1 5" xfId="196"/>
    <cellStyle name="40% - Accent1 6" xfId="240"/>
    <cellStyle name="40% - Accent1 7" xfId="284"/>
    <cellStyle name="40% - Accent1 8" xfId="328"/>
    <cellStyle name="40% - Accent1 9" xfId="372"/>
    <cellStyle name="40% - Accent2" xfId="8" builtinId="35" customBuiltin="1"/>
    <cellStyle name="40% - Accent2 10" xfId="447"/>
    <cellStyle name="40% - Accent2 11" xfId="491"/>
    <cellStyle name="40% - Accent2 12" xfId="535"/>
    <cellStyle name="40% - Accent2 13" xfId="579"/>
    <cellStyle name="40% - Accent2 2" xfId="108"/>
    <cellStyle name="40% - Accent2 3" xfId="139"/>
    <cellStyle name="40% - Accent2 4" xfId="183"/>
    <cellStyle name="40% - Accent2 5" xfId="227"/>
    <cellStyle name="40% - Accent2 6" xfId="271"/>
    <cellStyle name="40% - Accent2 7" xfId="315"/>
    <cellStyle name="40% - Accent2 8" xfId="359"/>
    <cellStyle name="40% - Accent2 9" xfId="403"/>
    <cellStyle name="40% - Accent3" xfId="9" builtinId="39" customBuiltin="1"/>
    <cellStyle name="40% - Accent3 10" xfId="446"/>
    <cellStyle name="40% - Accent3 11" xfId="490"/>
    <cellStyle name="40% - Accent3 12" xfId="534"/>
    <cellStyle name="40% - Accent3 13" xfId="578"/>
    <cellStyle name="40% - Accent3 2" xfId="109"/>
    <cellStyle name="40% - Accent3 3" xfId="138"/>
    <cellStyle name="40% - Accent3 4" xfId="182"/>
    <cellStyle name="40% - Accent3 5" xfId="226"/>
    <cellStyle name="40% - Accent3 6" xfId="270"/>
    <cellStyle name="40% - Accent3 7" xfId="314"/>
    <cellStyle name="40% - Accent3 8" xfId="358"/>
    <cellStyle name="40% - Accent3 9" xfId="402"/>
    <cellStyle name="40% - Accent4" xfId="10" builtinId="43" customBuiltin="1"/>
    <cellStyle name="40% - Accent4 10" xfId="445"/>
    <cellStyle name="40% - Accent4 11" xfId="489"/>
    <cellStyle name="40% - Accent4 12" xfId="533"/>
    <cellStyle name="40% - Accent4 13" xfId="577"/>
    <cellStyle name="40% - Accent4 2" xfId="110"/>
    <cellStyle name="40% - Accent4 3" xfId="137"/>
    <cellStyle name="40% - Accent4 4" xfId="181"/>
    <cellStyle name="40% - Accent4 5" xfId="225"/>
    <cellStyle name="40% - Accent4 6" xfId="269"/>
    <cellStyle name="40% - Accent4 7" xfId="313"/>
    <cellStyle name="40% - Accent4 8" xfId="357"/>
    <cellStyle name="40% - Accent4 9" xfId="401"/>
    <cellStyle name="40% - Accent5" xfId="11" builtinId="47" customBuiltin="1"/>
    <cellStyle name="40% - Accent5 10" xfId="438"/>
    <cellStyle name="40% - Accent5 11" xfId="482"/>
    <cellStyle name="40% - Accent5 12" xfId="526"/>
    <cellStyle name="40% - Accent5 13" xfId="570"/>
    <cellStyle name="40% - Accent5 2" xfId="111"/>
    <cellStyle name="40% - Accent5 3" xfId="130"/>
    <cellStyle name="40% - Accent5 4" xfId="174"/>
    <cellStyle name="40% - Accent5 5" xfId="218"/>
    <cellStyle name="40% - Accent5 6" xfId="262"/>
    <cellStyle name="40% - Accent5 7" xfId="306"/>
    <cellStyle name="40% - Accent5 8" xfId="350"/>
    <cellStyle name="40% - Accent5 9" xfId="394"/>
    <cellStyle name="40% - Accent6" xfId="12" builtinId="51" customBuiltin="1"/>
    <cellStyle name="40% - Accent6 10" xfId="436"/>
    <cellStyle name="40% - Accent6 11" xfId="480"/>
    <cellStyle name="40% - Accent6 12" xfId="524"/>
    <cellStyle name="40% - Accent6 13" xfId="568"/>
    <cellStyle name="40% - Accent6 2" xfId="112"/>
    <cellStyle name="40% - Accent6 3" xfId="128"/>
    <cellStyle name="40% - Accent6 4" xfId="172"/>
    <cellStyle name="40% - Accent6 5" xfId="216"/>
    <cellStyle name="40% - Accent6 6" xfId="260"/>
    <cellStyle name="40% - Accent6 7" xfId="304"/>
    <cellStyle name="40% - Accent6 8" xfId="348"/>
    <cellStyle name="40% - Accent6 9" xfId="392"/>
    <cellStyle name="60% - Accent1" xfId="13" builtinId="32" customBuiltin="1"/>
    <cellStyle name="60% - Accent1 10" xfId="465"/>
    <cellStyle name="60% - Accent1 11" xfId="509"/>
    <cellStyle name="60% - Accent1 12" xfId="553"/>
    <cellStyle name="60% - Accent1 13" xfId="596"/>
    <cellStyle name="60% - Accent1 2" xfId="113"/>
    <cellStyle name="60% - Accent1 3" xfId="157"/>
    <cellStyle name="60% - Accent1 4" xfId="201"/>
    <cellStyle name="60% - Accent1 5" xfId="245"/>
    <cellStyle name="60% - Accent1 6" xfId="289"/>
    <cellStyle name="60% - Accent1 7" xfId="333"/>
    <cellStyle name="60% - Accent1 8" xfId="377"/>
    <cellStyle name="60% - Accent1 9" xfId="421"/>
    <cellStyle name="60% - Accent2" xfId="14" builtinId="36" customBuiltin="1"/>
    <cellStyle name="60% - Accent2 10" xfId="466"/>
    <cellStyle name="60% - Accent2 11" xfId="510"/>
    <cellStyle name="60% - Accent2 12" xfId="554"/>
    <cellStyle name="60% - Accent2 13" xfId="597"/>
    <cellStyle name="60% - Accent2 2" xfId="114"/>
    <cellStyle name="60% - Accent2 3" xfId="158"/>
    <cellStyle name="60% - Accent2 4" xfId="202"/>
    <cellStyle name="60% - Accent2 5" xfId="246"/>
    <cellStyle name="60% - Accent2 6" xfId="290"/>
    <cellStyle name="60% - Accent2 7" xfId="334"/>
    <cellStyle name="60% - Accent2 8" xfId="378"/>
    <cellStyle name="60% - Accent2 9" xfId="422"/>
    <cellStyle name="60% - Accent3" xfId="15" builtinId="40" customBuiltin="1"/>
    <cellStyle name="60% - Accent3 10" xfId="467"/>
    <cellStyle name="60% - Accent3 11" xfId="511"/>
    <cellStyle name="60% - Accent3 12" xfId="555"/>
    <cellStyle name="60% - Accent3 13" xfId="598"/>
    <cellStyle name="60% - Accent3 2" xfId="115"/>
    <cellStyle name="60% - Accent3 3" xfId="159"/>
    <cellStyle name="60% - Accent3 4" xfId="203"/>
    <cellStyle name="60% - Accent3 5" xfId="247"/>
    <cellStyle name="60% - Accent3 6" xfId="291"/>
    <cellStyle name="60% - Accent3 7" xfId="335"/>
    <cellStyle name="60% - Accent3 8" xfId="379"/>
    <cellStyle name="60% - Accent3 9" xfId="423"/>
    <cellStyle name="60% - Accent4" xfId="16" builtinId="44" customBuiltin="1"/>
    <cellStyle name="60% - Accent4 10" xfId="468"/>
    <cellStyle name="60% - Accent4 11" xfId="512"/>
    <cellStyle name="60% - Accent4 12" xfId="556"/>
    <cellStyle name="60% - Accent4 13" xfId="599"/>
    <cellStyle name="60% - Accent4 2" xfId="116"/>
    <cellStyle name="60% - Accent4 3" xfId="160"/>
    <cellStyle name="60% - Accent4 4" xfId="204"/>
    <cellStyle name="60% - Accent4 5" xfId="248"/>
    <cellStyle name="60% - Accent4 6" xfId="292"/>
    <cellStyle name="60% - Accent4 7" xfId="336"/>
    <cellStyle name="60% - Accent4 8" xfId="380"/>
    <cellStyle name="60% - Accent4 9" xfId="424"/>
    <cellStyle name="60% - Accent5" xfId="17" builtinId="48" customBuiltin="1"/>
    <cellStyle name="60% - Accent5 10" xfId="469"/>
    <cellStyle name="60% - Accent5 11" xfId="513"/>
    <cellStyle name="60% - Accent5 12" xfId="557"/>
    <cellStyle name="60% - Accent5 13" xfId="600"/>
    <cellStyle name="60% - Accent5 2" xfId="117"/>
    <cellStyle name="60% - Accent5 3" xfId="161"/>
    <cellStyle name="60% - Accent5 4" xfId="205"/>
    <cellStyle name="60% - Accent5 5" xfId="249"/>
    <cellStyle name="60% - Accent5 6" xfId="293"/>
    <cellStyle name="60% - Accent5 7" xfId="337"/>
    <cellStyle name="60% - Accent5 8" xfId="381"/>
    <cellStyle name="60% - Accent5 9" xfId="425"/>
    <cellStyle name="60% - Accent6" xfId="18" builtinId="52" customBuiltin="1"/>
    <cellStyle name="60% - Accent6 10" xfId="470"/>
    <cellStyle name="60% - Accent6 11" xfId="514"/>
    <cellStyle name="60% - Accent6 12" xfId="558"/>
    <cellStyle name="60% - Accent6 13" xfId="601"/>
    <cellStyle name="60% - Accent6 2" xfId="118"/>
    <cellStyle name="60% - Accent6 3" xfId="162"/>
    <cellStyle name="60% - Accent6 4" xfId="206"/>
    <cellStyle name="60% - Accent6 5" xfId="250"/>
    <cellStyle name="60% - Accent6 6" xfId="294"/>
    <cellStyle name="60% - Accent6 7" xfId="338"/>
    <cellStyle name="60% - Accent6 8" xfId="382"/>
    <cellStyle name="60% - Accent6 9" xfId="426"/>
    <cellStyle name="Accent1" xfId="19" builtinId="29" customBuiltin="1"/>
    <cellStyle name="Accent1 10" xfId="471"/>
    <cellStyle name="Accent1 11" xfId="515"/>
    <cellStyle name="Accent1 12" xfId="559"/>
    <cellStyle name="Accent1 13" xfId="602"/>
    <cellStyle name="Accent1 14" xfId="747"/>
    <cellStyle name="Accent1 2" xfId="119"/>
    <cellStyle name="Accent1 3" xfId="163"/>
    <cellStyle name="Accent1 4" xfId="207"/>
    <cellStyle name="Accent1 5" xfId="251"/>
    <cellStyle name="Accent1 6" xfId="295"/>
    <cellStyle name="Accent1 7" xfId="339"/>
    <cellStyle name="Accent1 8" xfId="383"/>
    <cellStyle name="Accent1 9" xfId="427"/>
    <cellStyle name="Accent2" xfId="20" builtinId="33" customBuiltin="1"/>
    <cellStyle name="Accent2 10" xfId="472"/>
    <cellStyle name="Accent2 11" xfId="516"/>
    <cellStyle name="Accent2 12" xfId="560"/>
    <cellStyle name="Accent2 13" xfId="603"/>
    <cellStyle name="Accent2 2" xfId="120"/>
    <cellStyle name="Accent2 3" xfId="164"/>
    <cellStyle name="Accent2 4" xfId="208"/>
    <cellStyle name="Accent2 5" xfId="252"/>
    <cellStyle name="Accent2 6" xfId="296"/>
    <cellStyle name="Accent2 7" xfId="340"/>
    <cellStyle name="Accent2 8" xfId="384"/>
    <cellStyle name="Accent2 9" xfId="428"/>
    <cellStyle name="Accent3" xfId="21" builtinId="37" customBuiltin="1"/>
    <cellStyle name="Accent3 10" xfId="473"/>
    <cellStyle name="Accent3 11" xfId="517"/>
    <cellStyle name="Accent3 12" xfId="561"/>
    <cellStyle name="Accent3 13" xfId="604"/>
    <cellStyle name="Accent3 2" xfId="121"/>
    <cellStyle name="Accent3 3" xfId="165"/>
    <cellStyle name="Accent3 4" xfId="209"/>
    <cellStyle name="Accent3 5" xfId="253"/>
    <cellStyle name="Accent3 6" xfId="297"/>
    <cellStyle name="Accent3 7" xfId="341"/>
    <cellStyle name="Accent3 8" xfId="385"/>
    <cellStyle name="Accent3 9" xfId="429"/>
    <cellStyle name="Accent4" xfId="22" builtinId="41" customBuiltin="1"/>
    <cellStyle name="Accent4 10" xfId="474"/>
    <cellStyle name="Accent4 11" xfId="518"/>
    <cellStyle name="Accent4 12" xfId="562"/>
    <cellStyle name="Accent4 13" xfId="605"/>
    <cellStyle name="Accent4 2" xfId="122"/>
    <cellStyle name="Accent4 3" xfId="166"/>
    <cellStyle name="Accent4 4" xfId="210"/>
    <cellStyle name="Accent4 5" xfId="254"/>
    <cellStyle name="Accent4 6" xfId="298"/>
    <cellStyle name="Accent4 7" xfId="342"/>
    <cellStyle name="Accent4 8" xfId="386"/>
    <cellStyle name="Accent4 9" xfId="430"/>
    <cellStyle name="Accent5" xfId="23" builtinId="45" customBuiltin="1"/>
    <cellStyle name="Accent5 10" xfId="475"/>
    <cellStyle name="Accent5 11" xfId="519"/>
    <cellStyle name="Accent5 12" xfId="563"/>
    <cellStyle name="Accent5 13" xfId="606"/>
    <cellStyle name="Accent5 2" xfId="123"/>
    <cellStyle name="Accent5 3" xfId="167"/>
    <cellStyle name="Accent5 4" xfId="211"/>
    <cellStyle name="Accent5 5" xfId="255"/>
    <cellStyle name="Accent5 6" xfId="299"/>
    <cellStyle name="Accent5 7" xfId="343"/>
    <cellStyle name="Accent5 8" xfId="387"/>
    <cellStyle name="Accent5 9" xfId="431"/>
    <cellStyle name="Accent6" xfId="24" builtinId="49" customBuiltin="1"/>
    <cellStyle name="Accent6 10" xfId="476"/>
    <cellStyle name="Accent6 11" xfId="520"/>
    <cellStyle name="Accent6 12" xfId="564"/>
    <cellStyle name="Accent6 13" xfId="607"/>
    <cellStyle name="Accent6 2" xfId="124"/>
    <cellStyle name="Accent6 3" xfId="168"/>
    <cellStyle name="Accent6 4" xfId="212"/>
    <cellStyle name="Accent6 5" xfId="256"/>
    <cellStyle name="Accent6 6" xfId="300"/>
    <cellStyle name="Accent6 7" xfId="344"/>
    <cellStyle name="Accent6 8" xfId="388"/>
    <cellStyle name="Accent6 9" xfId="432"/>
    <cellStyle name="Bad" xfId="25" builtinId="27" customBuiltin="1"/>
    <cellStyle name="Bad 10" xfId="477"/>
    <cellStyle name="Bad 11" xfId="521"/>
    <cellStyle name="Bad 12" xfId="565"/>
    <cellStyle name="Bad 13" xfId="608"/>
    <cellStyle name="Bad 2" xfId="125"/>
    <cellStyle name="Bad 3" xfId="169"/>
    <cellStyle name="Bad 4" xfId="213"/>
    <cellStyle name="Bad 5" xfId="257"/>
    <cellStyle name="Bad 6" xfId="301"/>
    <cellStyle name="Bad 7" xfId="345"/>
    <cellStyle name="Bad 8" xfId="389"/>
    <cellStyle name="Bad 9" xfId="433"/>
    <cellStyle name="Blue Font" xfId="630"/>
    <cellStyle name="Blue, Bold" xfId="631"/>
    <cellStyle name="Bottom Border, Unlocked" xfId="632"/>
    <cellStyle name="Calculation" xfId="26" builtinId="22" customBuiltin="1"/>
    <cellStyle name="Calculation 10" xfId="478"/>
    <cellStyle name="Calculation 11" xfId="522"/>
    <cellStyle name="Calculation 12" xfId="566"/>
    <cellStyle name="Calculation 13" xfId="609"/>
    <cellStyle name="Calculation 14" xfId="748"/>
    <cellStyle name="Calculation 2" xfId="126"/>
    <cellStyle name="Calculation 3" xfId="170"/>
    <cellStyle name="Calculation 4" xfId="214"/>
    <cellStyle name="Calculation 5" xfId="258"/>
    <cellStyle name="Calculation 6" xfId="302"/>
    <cellStyle name="Calculation 7" xfId="346"/>
    <cellStyle name="Calculation 8" xfId="390"/>
    <cellStyle name="Calculation 9" xfId="434"/>
    <cellStyle name="Check Cell" xfId="27" builtinId="23" customBuiltin="1"/>
    <cellStyle name="Check Cell 10" xfId="479"/>
    <cellStyle name="Check Cell 11" xfId="523"/>
    <cellStyle name="Check Cell 12" xfId="567"/>
    <cellStyle name="Check Cell 13" xfId="610"/>
    <cellStyle name="Check Cell 2" xfId="127"/>
    <cellStyle name="Check Cell 3" xfId="171"/>
    <cellStyle name="Check Cell 4" xfId="215"/>
    <cellStyle name="Check Cell 5" xfId="259"/>
    <cellStyle name="Check Cell 6" xfId="303"/>
    <cellStyle name="Check Cell 7" xfId="347"/>
    <cellStyle name="Check Cell 8" xfId="391"/>
    <cellStyle name="Check Cell 9" xfId="435"/>
    <cellStyle name="Comma" xfId="28" builtinId="3"/>
    <cellStyle name="Comma 2" xfId="29"/>
    <cellStyle name="Comma 2 10" xfId="173"/>
    <cellStyle name="Comma 2 11" xfId="217"/>
    <cellStyle name="Comma 2 12" xfId="261"/>
    <cellStyle name="Comma 2 13" xfId="305"/>
    <cellStyle name="Comma 2 14" xfId="349"/>
    <cellStyle name="Comma 2 15" xfId="393"/>
    <cellStyle name="Comma 2 16" xfId="437"/>
    <cellStyle name="Comma 2 17" xfId="481"/>
    <cellStyle name="Comma 2 18" xfId="525"/>
    <cellStyle name="Comma 2 19" xfId="569"/>
    <cellStyle name="Comma 2 2" xfId="60"/>
    <cellStyle name="Comma 2 2 2" xfId="668"/>
    <cellStyle name="Comma 2 20" xfId="611"/>
    <cellStyle name="Comma 2 3" xfId="68"/>
    <cellStyle name="Comma 2 3 2" xfId="669"/>
    <cellStyle name="Comma 2 4" xfId="66"/>
    <cellStyle name="Comma 2 4 2" xfId="670"/>
    <cellStyle name="Comma 2 5" xfId="67"/>
    <cellStyle name="Comma 2 5 2" xfId="671"/>
    <cellStyle name="Comma 2 6" xfId="78"/>
    <cellStyle name="Comma 2 6 2" xfId="672"/>
    <cellStyle name="Comma 2 7" xfId="88"/>
    <cellStyle name="Comma 2 7 2" xfId="673"/>
    <cellStyle name="Comma 2 8" xfId="94"/>
    <cellStyle name="Comma 2 8 2" xfId="674"/>
    <cellStyle name="Comma 2 9" xfId="129"/>
    <cellStyle name="Comma 3" xfId="30"/>
    <cellStyle name="Comma 3 2" xfId="667"/>
    <cellStyle name="Comma 4" xfId="633"/>
    <cellStyle name="Comma 4 2" xfId="675"/>
    <cellStyle name="Comma 5" xfId="634"/>
    <cellStyle name="Currency" xfId="665" builtinId="4"/>
    <cellStyle name="Currency 2" xfId="31"/>
    <cellStyle name="Currency 2 2" xfId="635"/>
    <cellStyle name="Currency 2 2 2" xfId="676"/>
    <cellStyle name="Currency 2 3" xfId="677"/>
    <cellStyle name="Currency 3" xfId="636"/>
    <cellStyle name="Currency 3 2" xfId="678"/>
    <cellStyle name="Currency 4" xfId="637"/>
    <cellStyle name="Currency 4 2" xfId="679"/>
    <cellStyle name="Currency 5" xfId="664"/>
    <cellStyle name="Currency 6" xfId="745"/>
    <cellStyle name="DollarHideZero" xfId="638"/>
    <cellStyle name="DollarHideZero 2" xfId="639"/>
    <cellStyle name="DollarHideZero 2 2" xfId="680"/>
    <cellStyle name="DollarHideZero 3" xfId="681"/>
    <cellStyle name="Explanatory Text" xfId="32" builtinId="53" customBuiltin="1"/>
    <cellStyle name="Explanatory Text 10" xfId="483"/>
    <cellStyle name="Explanatory Text 11" xfId="527"/>
    <cellStyle name="Explanatory Text 12" xfId="571"/>
    <cellStyle name="Explanatory Text 13" xfId="612"/>
    <cellStyle name="Explanatory Text 2" xfId="131"/>
    <cellStyle name="Explanatory Text 3" xfId="175"/>
    <cellStyle name="Explanatory Text 4" xfId="219"/>
    <cellStyle name="Explanatory Text 5" xfId="263"/>
    <cellStyle name="Explanatory Text 6" xfId="307"/>
    <cellStyle name="Explanatory Text 7" xfId="351"/>
    <cellStyle name="Explanatory Text 8" xfId="395"/>
    <cellStyle name="Explanatory Text 9" xfId="439"/>
    <cellStyle name="Good" xfId="33" builtinId="26" customBuiltin="1"/>
    <cellStyle name="Good 10" xfId="484"/>
    <cellStyle name="Good 10 2" xfId="682"/>
    <cellStyle name="Good 11" xfId="528"/>
    <cellStyle name="Good 11 2" xfId="683"/>
    <cellStyle name="Good 12" xfId="572"/>
    <cellStyle name="Good 12 2" xfId="684"/>
    <cellStyle name="Good 13" xfId="613"/>
    <cellStyle name="Good 13 2" xfId="685"/>
    <cellStyle name="Good 2" xfId="132"/>
    <cellStyle name="Good 2 2" xfId="686"/>
    <cellStyle name="Good 3" xfId="176"/>
    <cellStyle name="Good 3 2" xfId="687"/>
    <cellStyle name="Good 4" xfId="220"/>
    <cellStyle name="Good 4 2" xfId="688"/>
    <cellStyle name="Good 5" xfId="264"/>
    <cellStyle name="Good 5 2" xfId="689"/>
    <cellStyle name="Good 6" xfId="308"/>
    <cellStyle name="Good 6 2" xfId="690"/>
    <cellStyle name="Good 7" xfId="352"/>
    <cellStyle name="Good 7 2" xfId="691"/>
    <cellStyle name="Good 8" xfId="396"/>
    <cellStyle name="Good 8 2" xfId="692"/>
    <cellStyle name="Good 9" xfId="440"/>
    <cellStyle name="Good 9 2" xfId="693"/>
    <cellStyle name="Heading 1" xfId="34" builtinId="16" customBuiltin="1"/>
    <cellStyle name="Heading 1 10" xfId="485"/>
    <cellStyle name="Heading 1 11" xfId="529"/>
    <cellStyle name="Heading 1 12" xfId="573"/>
    <cellStyle name="Heading 1 13" xfId="614"/>
    <cellStyle name="Heading 1 2" xfId="133"/>
    <cellStyle name="Heading 1 3" xfId="177"/>
    <cellStyle name="Heading 1 4" xfId="221"/>
    <cellStyle name="Heading 1 5" xfId="265"/>
    <cellStyle name="Heading 1 6" xfId="309"/>
    <cellStyle name="Heading 1 7" xfId="353"/>
    <cellStyle name="Heading 1 8" xfId="397"/>
    <cellStyle name="Heading 1 9" xfId="441"/>
    <cellStyle name="Heading 2" xfId="35" builtinId="17" customBuiltin="1"/>
    <cellStyle name="Heading 2 10" xfId="486"/>
    <cellStyle name="Heading 2 11" xfId="530"/>
    <cellStyle name="Heading 2 12" xfId="574"/>
    <cellStyle name="Heading 2 13" xfId="615"/>
    <cellStyle name="Heading 2 2" xfId="134"/>
    <cellStyle name="Heading 2 3" xfId="178"/>
    <cellStyle name="Heading 2 4" xfId="222"/>
    <cellStyle name="Heading 2 5" xfId="266"/>
    <cellStyle name="Heading 2 6" xfId="310"/>
    <cellStyle name="Heading 2 7" xfId="354"/>
    <cellStyle name="Heading 2 8" xfId="398"/>
    <cellStyle name="Heading 2 9" xfId="442"/>
    <cellStyle name="Heading 3" xfId="36" builtinId="18" customBuiltin="1"/>
    <cellStyle name="Heading 3 10" xfId="487"/>
    <cellStyle name="Heading 3 11" xfId="531"/>
    <cellStyle name="Heading 3 12" xfId="575"/>
    <cellStyle name="Heading 3 13" xfId="616"/>
    <cellStyle name="Heading 3 2" xfId="135"/>
    <cellStyle name="Heading 3 3" xfId="179"/>
    <cellStyle name="Heading 3 4" xfId="223"/>
    <cellStyle name="Heading 3 5" xfId="267"/>
    <cellStyle name="Heading 3 6" xfId="311"/>
    <cellStyle name="Heading 3 7" xfId="355"/>
    <cellStyle name="Heading 3 8" xfId="399"/>
    <cellStyle name="Heading 3 9" xfId="443"/>
    <cellStyle name="Heading 4" xfId="37" builtinId="19" customBuiltin="1"/>
    <cellStyle name="Heading 4 10" xfId="488"/>
    <cellStyle name="Heading 4 11" xfId="532"/>
    <cellStyle name="Heading 4 12" xfId="576"/>
    <cellStyle name="Heading 4 13" xfId="617"/>
    <cellStyle name="Heading 4 2" xfId="136"/>
    <cellStyle name="Heading 4 3" xfId="180"/>
    <cellStyle name="Heading 4 4" xfId="224"/>
    <cellStyle name="Heading 4 5" xfId="268"/>
    <cellStyle name="Heading 4 6" xfId="312"/>
    <cellStyle name="Heading 4 7" xfId="356"/>
    <cellStyle name="Heading 4 8" xfId="400"/>
    <cellStyle name="Heading 4 9" xfId="444"/>
    <cellStyle name="Hyperlink" xfId="38" builtinId="8"/>
    <cellStyle name="Hyperlink 2" xfId="640"/>
    <cellStyle name="Hyperlink 3" xfId="660"/>
    <cellStyle name="Hyperlink_MF ESTAR RECS Tool 2005-02-15" xfId="56"/>
    <cellStyle name="Hyperlink_Supporting FoxLeg" xfId="661"/>
    <cellStyle name="Hyperlink_TRG_FND1" xfId="57"/>
    <cellStyle name="Input" xfId="39" builtinId="20" customBuiltin="1"/>
    <cellStyle name="Input 10" xfId="492"/>
    <cellStyle name="Input 11" xfId="536"/>
    <cellStyle name="Input 12" xfId="580"/>
    <cellStyle name="Input 13" xfId="618"/>
    <cellStyle name="Input 14" xfId="749"/>
    <cellStyle name="Input 2" xfId="140"/>
    <cellStyle name="Input 3" xfId="184"/>
    <cellStyle name="Input 4" xfId="228"/>
    <cellStyle name="Input 5" xfId="272"/>
    <cellStyle name="Input 6" xfId="316"/>
    <cellStyle name="Input 7" xfId="360"/>
    <cellStyle name="Input 8" xfId="404"/>
    <cellStyle name="Input 9" xfId="448"/>
    <cellStyle name="Installed" xfId="641"/>
    <cellStyle name="Linked Cell" xfId="40" builtinId="24" customBuiltin="1"/>
    <cellStyle name="Linked Cell 10" xfId="493"/>
    <cellStyle name="Linked Cell 11" xfId="537"/>
    <cellStyle name="Linked Cell 12" xfId="581"/>
    <cellStyle name="Linked Cell 13" xfId="619"/>
    <cellStyle name="Linked Cell 2" xfId="141"/>
    <cellStyle name="Linked Cell 3" xfId="185"/>
    <cellStyle name="Linked Cell 4" xfId="229"/>
    <cellStyle name="Linked Cell 5" xfId="273"/>
    <cellStyle name="Linked Cell 6" xfId="317"/>
    <cellStyle name="Linked Cell 7" xfId="361"/>
    <cellStyle name="Linked Cell 8" xfId="405"/>
    <cellStyle name="Linked Cell 9" xfId="449"/>
    <cellStyle name="Neutral" xfId="41" builtinId="28" customBuiltin="1"/>
    <cellStyle name="Neutral 10" xfId="494"/>
    <cellStyle name="Neutral 11" xfId="538"/>
    <cellStyle name="Neutral 12" xfId="582"/>
    <cellStyle name="Neutral 13" xfId="620"/>
    <cellStyle name="Neutral 2" xfId="142"/>
    <cellStyle name="Neutral 3" xfId="186"/>
    <cellStyle name="Neutral 4" xfId="230"/>
    <cellStyle name="Neutral 5" xfId="274"/>
    <cellStyle name="Neutral 6" xfId="318"/>
    <cellStyle name="Neutral 7" xfId="362"/>
    <cellStyle name="Neutral 8" xfId="406"/>
    <cellStyle name="Neutral 9" xfId="450"/>
    <cellStyle name="Normal" xfId="0" builtinId="0"/>
    <cellStyle name="Normal 10" xfId="93"/>
    <cellStyle name="Normal 10 2" xfId="694"/>
    <cellStyle name="Normal 11" xfId="744"/>
    <cellStyle name="Normal 18" xfId="628"/>
    <cellStyle name="Normal 18 2" xfId="642"/>
    <cellStyle name="Normal 18 2 2" xfId="695"/>
    <cellStyle name="Normal 18 3" xfId="696"/>
    <cellStyle name="Normal 2" xfId="42"/>
    <cellStyle name="Normal 2 10" xfId="187"/>
    <cellStyle name="Normal 2 11" xfId="231"/>
    <cellStyle name="Normal 2 12" xfId="275"/>
    <cellStyle name="Normal 2 13" xfId="319"/>
    <cellStyle name="Normal 2 14" xfId="363"/>
    <cellStyle name="Normal 2 15" xfId="407"/>
    <cellStyle name="Normal 2 16" xfId="451"/>
    <cellStyle name="Normal 2 17" xfId="495"/>
    <cellStyle name="Normal 2 18" xfId="539"/>
    <cellStyle name="Normal 2 19" xfId="583"/>
    <cellStyle name="Normal 2 2" xfId="61"/>
    <cellStyle name="Normal 2 2 2" xfId="643"/>
    <cellStyle name="Normal 2 2 2 2" xfId="697"/>
    <cellStyle name="Normal 2 2 3" xfId="698"/>
    <cellStyle name="Normal 2 20" xfId="621"/>
    <cellStyle name="Normal 2 3" xfId="72"/>
    <cellStyle name="Normal 2 3 2" xfId="699"/>
    <cellStyle name="Normal 2 4" xfId="76"/>
    <cellStyle name="Normal 2 4 2" xfId="700"/>
    <cellStyle name="Normal 2 5" xfId="70"/>
    <cellStyle name="Normal 2 5 2" xfId="701"/>
    <cellStyle name="Normal 2 6" xfId="84"/>
    <cellStyle name="Normal 2 6 2" xfId="702"/>
    <cellStyle name="Normal 2 7" xfId="89"/>
    <cellStyle name="Normal 2 7 2" xfId="703"/>
    <cellStyle name="Normal 2 8" xfId="95"/>
    <cellStyle name="Normal 2 8 2" xfId="704"/>
    <cellStyle name="Normal 2 9" xfId="143"/>
    <cellStyle name="Normal 2_NC - Project Name - ERP Tables_rev0_SWA" xfId="43"/>
    <cellStyle name="Normal 2_NC - Project Name - ERP Tables_rev0_SWA 2" xfId="666"/>
    <cellStyle name="Normal 3" xfId="99"/>
    <cellStyle name="Normal 3 10" xfId="705"/>
    <cellStyle name="Normal 3 11" xfId="750"/>
    <cellStyle name="Normal 3 2" xfId="62"/>
    <cellStyle name="Normal 3 2 2" xfId="706"/>
    <cellStyle name="Normal 3 3" xfId="73"/>
    <cellStyle name="Normal 3 3 2" xfId="707"/>
    <cellStyle name="Normal 3 4" xfId="77"/>
    <cellStyle name="Normal 3 4 2" xfId="708"/>
    <cellStyle name="Normal 3 5" xfId="71"/>
    <cellStyle name="Normal 3 5 2" xfId="709"/>
    <cellStyle name="Normal 3 6" xfId="85"/>
    <cellStyle name="Normal 3 6 2" xfId="710"/>
    <cellStyle name="Normal 3 7" xfId="90"/>
    <cellStyle name="Normal 3 7 2" xfId="711"/>
    <cellStyle name="Normal 3 8" xfId="96"/>
    <cellStyle name="Normal 3 8 2" xfId="712"/>
    <cellStyle name="Normal 3 9" xfId="663"/>
    <cellStyle name="Normal 4" xfId="58"/>
    <cellStyle name="Normal 4 2" xfId="644"/>
    <cellStyle name="Normal 4 2 2" xfId="713"/>
    <cellStyle name="Normal 4 3" xfId="714"/>
    <cellStyle name="Normal 5" xfId="65"/>
    <cellStyle name="Normal 5 2" xfId="645"/>
    <cellStyle name="Normal 5 2 2" xfId="715"/>
    <cellStyle name="Normal 5 3" xfId="716"/>
    <cellStyle name="Normal 6" xfId="646"/>
    <cellStyle name="Normal 6 2" xfId="647"/>
    <cellStyle name="Normal 6 2 2" xfId="717"/>
    <cellStyle name="Normal 6 3" xfId="718"/>
    <cellStyle name="Normal 7" xfId="648"/>
    <cellStyle name="Normal 7 2" xfId="719"/>
    <cellStyle name="Normal 8" xfId="69"/>
    <cellStyle name="Normal 8 2" xfId="720"/>
    <cellStyle name="Normal 9" xfId="80"/>
    <cellStyle name="Normal 9 2" xfId="721"/>
    <cellStyle name="Normal_Alpha" xfId="44"/>
    <cellStyle name="Normal_ALPHA_5" xfId="45"/>
    <cellStyle name="Normal_Sheet1" xfId="59"/>
    <cellStyle name="Normal_Supporting FoxLeg" xfId="662"/>
    <cellStyle name="Normal_Supporting Info" xfId="46"/>
    <cellStyle name="Normal_WaterCalc 11 07 08" xfId="47"/>
    <cellStyle name="Normal_zip-tmy2" xfId="48"/>
    <cellStyle name="Note" xfId="49" builtinId="10" customBuiltin="1"/>
    <cellStyle name="Note 10" xfId="194"/>
    <cellStyle name="Note 11" xfId="238"/>
    <cellStyle name="Note 12" xfId="282"/>
    <cellStyle name="Note 13" xfId="326"/>
    <cellStyle name="Note 14" xfId="370"/>
    <cellStyle name="Note 15" xfId="414"/>
    <cellStyle name="Note 16" xfId="458"/>
    <cellStyle name="Note 17" xfId="502"/>
    <cellStyle name="Note 18" xfId="546"/>
    <cellStyle name="Note 19" xfId="590"/>
    <cellStyle name="Note 2" xfId="63"/>
    <cellStyle name="Note 2 2" xfId="722"/>
    <cellStyle name="Note 20" xfId="622"/>
    <cellStyle name="Note 3" xfId="74"/>
    <cellStyle name="Note 3 2" xfId="723"/>
    <cellStyle name="Note 4" xfId="79"/>
    <cellStyle name="Note 4 2" xfId="724"/>
    <cellStyle name="Note 5" xfId="82"/>
    <cellStyle name="Note 5 2" xfId="725"/>
    <cellStyle name="Note 6" xfId="86"/>
    <cellStyle name="Note 6 2" xfId="726"/>
    <cellStyle name="Note 7" xfId="91"/>
    <cellStyle name="Note 7 2" xfId="727"/>
    <cellStyle name="Note 8" xfId="97"/>
    <cellStyle name="Note 8 2" xfId="728"/>
    <cellStyle name="Note 9" xfId="150"/>
    <cellStyle name="NumberHideZero" xfId="649"/>
    <cellStyle name="NumberHideZero 2" xfId="650"/>
    <cellStyle name="NumberHideZero 2 2" xfId="729"/>
    <cellStyle name="NumberHideZero 2 3" xfId="730"/>
    <cellStyle name="NumberHideZero 3" xfId="731"/>
    <cellStyle name="NumberHideZero 4" xfId="732"/>
    <cellStyle name="Ordered" xfId="651"/>
    <cellStyle name="Output" xfId="50" builtinId="21" customBuiltin="1"/>
    <cellStyle name="Output 10" xfId="503"/>
    <cellStyle name="Output 11" xfId="547"/>
    <cellStyle name="Output 12" xfId="591"/>
    <cellStyle name="Output 13" xfId="623"/>
    <cellStyle name="Output 14" xfId="751"/>
    <cellStyle name="Output 2" xfId="151"/>
    <cellStyle name="Output 3" xfId="195"/>
    <cellStyle name="Output 4" xfId="239"/>
    <cellStyle name="Output 5" xfId="283"/>
    <cellStyle name="Output 6" xfId="327"/>
    <cellStyle name="Output 7" xfId="371"/>
    <cellStyle name="Output 8" xfId="415"/>
    <cellStyle name="Output 9" xfId="459"/>
    <cellStyle name="Percent" xfId="51" builtinId="5"/>
    <cellStyle name="Percent 2" xfId="52"/>
    <cellStyle name="Percent 2 10" xfId="197"/>
    <cellStyle name="Percent 2 11" xfId="241"/>
    <cellStyle name="Percent 2 12" xfId="285"/>
    <cellStyle name="Percent 2 13" xfId="329"/>
    <cellStyle name="Percent 2 14" xfId="373"/>
    <cellStyle name="Percent 2 15" xfId="417"/>
    <cellStyle name="Percent 2 16" xfId="461"/>
    <cellStyle name="Percent 2 17" xfId="505"/>
    <cellStyle name="Percent 2 18" xfId="549"/>
    <cellStyle name="Percent 2 19" xfId="592"/>
    <cellStyle name="Percent 2 2" xfId="64"/>
    <cellStyle name="Percent 2 2 2" xfId="733"/>
    <cellStyle name="Percent 2 20" xfId="624"/>
    <cellStyle name="Percent 2 3" xfId="75"/>
    <cellStyle name="Percent 2 3 2" xfId="734"/>
    <cellStyle name="Percent 2 4" xfId="81"/>
    <cellStyle name="Percent 2 4 2" xfId="735"/>
    <cellStyle name="Percent 2 5" xfId="83"/>
    <cellStyle name="Percent 2 5 2" xfId="736"/>
    <cellStyle name="Percent 2 6" xfId="87"/>
    <cellStyle name="Percent 2 6 2" xfId="737"/>
    <cellStyle name="Percent 2 7" xfId="92"/>
    <cellStyle name="Percent 2 7 2" xfId="738"/>
    <cellStyle name="Percent 2 8" xfId="98"/>
    <cellStyle name="Percent 2 8 2" xfId="739"/>
    <cellStyle name="Percent 2 9" xfId="153"/>
    <cellStyle name="Percent 3" xfId="652"/>
    <cellStyle name="Percent 3 2" xfId="740"/>
    <cellStyle name="Percent 4" xfId="653"/>
    <cellStyle name="Percent 4 2" xfId="741"/>
    <cellStyle name="Percent 5" xfId="654"/>
    <cellStyle name="Percent 6" xfId="746"/>
    <cellStyle name="Received" xfId="655"/>
    <cellStyle name="Red Font" xfId="656"/>
    <cellStyle name="Subtotal" xfId="657"/>
    <cellStyle name="Subtotal 2" xfId="742"/>
    <cellStyle name="Title" xfId="53" builtinId="15" customBuiltin="1"/>
    <cellStyle name="Title 10" xfId="506"/>
    <cellStyle name="Title 11" xfId="550"/>
    <cellStyle name="Title 12" xfId="593"/>
    <cellStyle name="Title 13" xfId="625"/>
    <cellStyle name="Title 2" xfId="154"/>
    <cellStyle name="Title 3" xfId="198"/>
    <cellStyle name="Title 4" xfId="242"/>
    <cellStyle name="Title 5" xfId="286"/>
    <cellStyle name="Title 6" xfId="330"/>
    <cellStyle name="Title 7" xfId="374"/>
    <cellStyle name="Title 8" xfId="418"/>
    <cellStyle name="Title 9" xfId="462"/>
    <cellStyle name="Top Border. Aqua" xfId="658"/>
    <cellStyle name="Top Border. Aqua 2" xfId="743"/>
    <cellStyle name="Total" xfId="54" builtinId="25" customBuiltin="1"/>
    <cellStyle name="Total 10" xfId="507"/>
    <cellStyle name="Total 11" xfId="551"/>
    <cellStyle name="Total 12" xfId="594"/>
    <cellStyle name="Total 13" xfId="626"/>
    <cellStyle name="Total 14" xfId="752"/>
    <cellStyle name="Total 2" xfId="155"/>
    <cellStyle name="Total 3" xfId="199"/>
    <cellStyle name="Total 4" xfId="243"/>
    <cellStyle name="Total 5" xfId="287"/>
    <cellStyle name="Total 6" xfId="331"/>
    <cellStyle name="Total 7" xfId="375"/>
    <cellStyle name="Total 8" xfId="419"/>
    <cellStyle name="Total 9" xfId="463"/>
    <cellStyle name="Unlocked" xfId="659"/>
    <cellStyle name="Warning Text" xfId="55" builtinId="11" customBuiltin="1"/>
    <cellStyle name="Warning Text 10" xfId="508"/>
    <cellStyle name="Warning Text 11" xfId="552"/>
    <cellStyle name="Warning Text 12" xfId="595"/>
    <cellStyle name="Warning Text 13" xfId="627"/>
    <cellStyle name="Warning Text 2" xfId="156"/>
    <cellStyle name="Warning Text 3" xfId="200"/>
    <cellStyle name="Warning Text 4" xfId="244"/>
    <cellStyle name="Warning Text 5" xfId="288"/>
    <cellStyle name="Warning Text 6" xfId="332"/>
    <cellStyle name="Warning Text 7" xfId="376"/>
    <cellStyle name="Warning Text 8" xfId="420"/>
    <cellStyle name="Warning Text 9" xfId="464"/>
  </cellStyles>
  <dxfs count="55">
    <dxf>
      <font>
        <color auto="1"/>
      </font>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ont>
        <condense val="0"/>
        <extend val="0"/>
        <color auto="1"/>
      </font>
      <fill>
        <patternFill>
          <bgColor rgb="FFFFFF99"/>
        </patternFill>
      </fill>
    </dxf>
    <dxf>
      <font>
        <condense val="0"/>
        <extend val="0"/>
        <color auto="1"/>
      </font>
      <fill>
        <patternFill>
          <bgColor rgb="FFFFFF99"/>
        </patternFill>
      </fill>
    </dxf>
    <dxf>
      <fill>
        <patternFill>
          <bgColor theme="5" tint="0.59996337778862885"/>
        </patternFill>
      </fill>
    </dxf>
    <dxf>
      <font>
        <color rgb="FF9C0006"/>
      </font>
      <fill>
        <patternFill>
          <bgColor rgb="FFFFC7CE"/>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right style="thin">
          <color theme="0"/>
        </right>
        <bottom style="thin">
          <color theme="0"/>
        </bottom>
        <vertical/>
        <horizontal/>
      </border>
    </dxf>
    <dxf>
      <font>
        <color theme="0"/>
      </font>
      <fill>
        <patternFill>
          <bgColor theme="0"/>
        </patternFill>
      </fill>
      <border>
        <right style="thin">
          <color theme="0"/>
        </right>
        <top style="thin">
          <color theme="0"/>
        </top>
        <bottom style="thin">
          <color auto="1"/>
        </bottom>
        <vertical/>
        <horizontal/>
      </border>
    </dxf>
    <dxf>
      <font>
        <color rgb="FFFF0000"/>
      </font>
    </dxf>
    <dxf>
      <fill>
        <patternFill>
          <bgColor rgb="FFFFFF00"/>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ont>
        <color rgb="FFFF0000"/>
      </font>
    </dxf>
    <dxf>
      <fill>
        <patternFill>
          <bgColor theme="8" tint="0.79998168889431442"/>
        </patternFill>
      </fill>
    </dxf>
    <dxf>
      <fill>
        <patternFill>
          <bgColor theme="8" tint="0.79998168889431442"/>
        </patternFill>
      </fill>
    </dxf>
    <dxf>
      <fill>
        <patternFill>
          <bgColor theme="8" tint="0.79998168889431442"/>
        </patternFill>
      </fill>
    </dxf>
    <dxf>
      <numFmt numFmtId="222" formatCode="#\ &quot;EER&quot;"/>
    </dxf>
    <dxf>
      <numFmt numFmtId="222" formatCode="#\ &quot;EER&quot;"/>
    </dxf>
    <dxf>
      <numFmt numFmtId="222" formatCode="#\ &quot;EER&quot;"/>
    </dxf>
    <dxf>
      <numFmt numFmtId="223" formatCode="##%\ &quot;AFUE&quot;"/>
    </dxf>
    <dxf>
      <numFmt numFmtId="198" formatCode="##%\ &quot;Et&quot;"/>
    </dxf>
    <dxf>
      <numFmt numFmtId="224" formatCode="##%\ &quot;Ec&quot;"/>
    </dxf>
    <dxf>
      <numFmt numFmtId="225" formatCode="#.0\ &quot;COP&quot;"/>
    </dxf>
    <dxf>
      <numFmt numFmtId="226" formatCode="#.0\ &quot;HSPF&quot;"/>
    </dxf>
    <dxf>
      <numFmt numFmtId="223" formatCode="##%\ &quot;AFUE&quot;"/>
    </dxf>
    <dxf>
      <numFmt numFmtId="198" formatCode="##%\ &quot;Et&quot;"/>
    </dxf>
    <dxf>
      <numFmt numFmtId="224" formatCode="##%\ &quot;Ec&quot;"/>
    </dxf>
    <dxf>
      <numFmt numFmtId="225" formatCode="#.0\ &quot;COP&quot;"/>
    </dxf>
    <dxf>
      <numFmt numFmtId="226" formatCode="#.0\ &quot;HSPF&quot;"/>
    </dxf>
    <dxf>
      <numFmt numFmtId="223" formatCode="##%\ &quot;AFUE&quot;"/>
    </dxf>
    <dxf>
      <numFmt numFmtId="198" formatCode="##%\ &quot;Et&quot;"/>
    </dxf>
    <dxf>
      <numFmt numFmtId="224" formatCode="##%\ &quot;Ec&quot;"/>
    </dxf>
    <dxf>
      <numFmt numFmtId="225" formatCode="#.0\ &quot;COP&quot;"/>
    </dxf>
    <dxf>
      <numFmt numFmtId="226" formatCode="#.0\ &quot;HSPF&quot;"/>
    </dxf>
    <dxf>
      <numFmt numFmtId="227" formatCode="0.#0\ &quot;EF&quot;"/>
    </dxf>
    <dxf>
      <fill>
        <patternFill patternType="lightDown">
          <fgColor theme="0"/>
          <bgColor theme="0" tint="-0.24994659260841701"/>
        </patternFill>
      </fill>
    </dxf>
    <dxf>
      <fill>
        <patternFill patternType="lightDown">
          <fgColor theme="0"/>
          <bgColor theme="0" tint="-0.24994659260841701"/>
        </patternFill>
      </fill>
    </dxf>
    <dxf>
      <fill>
        <patternFill patternType="darkDown">
          <fgColor theme="0"/>
          <bgColor theme="0" tint="-0.24994659260841701"/>
        </patternFill>
      </fill>
    </dxf>
    <dxf>
      <numFmt numFmtId="185" formatCode="###\ &quot;kWh/yr&quot;"/>
    </dxf>
  </dxfs>
  <tableStyles count="0" defaultTableStyle="TableStyleMedium9"/>
  <colors>
    <mruColors>
      <color rgb="FFFFFFCC"/>
      <color rgb="FFFFFF99"/>
      <color rgb="FFCCFFFF"/>
      <color rgb="FFCC6600"/>
      <color rgb="FFFFCC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ctrlProps/ctrlProp1.xml><?xml version="1.0" encoding="utf-8"?>
<formControlPr xmlns="http://schemas.microsoft.com/office/spreadsheetml/2009/9/main" objectType="Drop" dropLines="2" dropStyle="combo" dx="16" fmlaLink="'Side Calcs - Baseline'!$P$4" fmlaRange="'Side Calcs - Baseline'!$Q$6:$Q$7" sel="0" val="0"/>
</file>

<file path=xl/ctrlProps/ctrlProp2.xml><?xml version="1.0" encoding="utf-8"?>
<formControlPr xmlns="http://schemas.microsoft.com/office/spreadsheetml/2009/9/main" objectType="Drop" dropLines="2" dropStyle="combo" dx="16" fmlaLink="'Side Calcs - Baseline'!$T$4" fmlaRange="'Side Calcs - Baseline'!$U$6:$U$7" sel="0" val="0"/>
</file>

<file path=xl/ctrlProps/ctrlProp3.xml><?xml version="1.0" encoding="utf-8"?>
<formControlPr xmlns="http://schemas.microsoft.com/office/spreadsheetml/2009/9/main" objectType="Drop" dropLines="2" dropStyle="combo" dx="16" fmlaLink="'Side Calcs - Baseline'!$X$4" fmlaRange="'Side Calcs - Baseline'!$Y$6:$Y$7" sel="0" val="0"/>
</file>

<file path=xl/ctrlProps/ctrlProp4.xml><?xml version="1.0" encoding="utf-8"?>
<formControlPr xmlns="http://schemas.microsoft.com/office/spreadsheetml/2009/9/main" objectType="Drop" dropLines="2" dropStyle="combo" dx="16" fmlaLink="'Side Calcs - Proposed'!$P$4" fmlaRange="'Side Calcs - Proposed'!$Q$6:$Q$7" sel="0" val="0"/>
</file>

<file path=xl/ctrlProps/ctrlProp5.xml><?xml version="1.0" encoding="utf-8"?>
<formControlPr xmlns="http://schemas.microsoft.com/office/spreadsheetml/2009/9/main" objectType="Drop" dropLines="2" dropStyle="combo" dx="16" fmlaLink="'Side Calcs - Proposed'!$T$4" fmlaRange="'Side Calcs - Proposed'!$U$6:$U$7" sel="0" val="0"/>
</file>

<file path=xl/ctrlProps/ctrlProp6.xml><?xml version="1.0" encoding="utf-8"?>
<formControlPr xmlns="http://schemas.microsoft.com/office/spreadsheetml/2009/9/main" objectType="Drop" dropLines="2" dropStyle="combo" dx="16" fmlaLink="'Side Calcs - Proposed'!$X$4" fmlaRange="'Side Calcs - Proposed'!$Y$6:$Y$7" sel="0" val="0"/>
</file>

<file path=xl/drawings/drawing1.xml><?xml version="1.0" encoding="utf-8"?>
<xdr:wsDr xmlns:xdr="http://schemas.openxmlformats.org/drawingml/2006/spreadsheetDrawing" xmlns:a="http://schemas.openxmlformats.org/drawingml/2006/main">
  <xdr:twoCellAnchor>
    <xdr:from>
      <xdr:col>1</xdr:col>
      <xdr:colOff>114300</xdr:colOff>
      <xdr:row>4</xdr:row>
      <xdr:rowOff>47625</xdr:rowOff>
    </xdr:from>
    <xdr:to>
      <xdr:col>8</xdr:col>
      <xdr:colOff>800100</xdr:colOff>
      <xdr:row>8</xdr:row>
      <xdr:rowOff>0</xdr:rowOff>
    </xdr:to>
    <xdr:sp macro="" textlink="">
      <xdr:nvSpPr>
        <xdr:cNvPr id="2" name="Text Box 1"/>
        <xdr:cNvSpPr txBox="1">
          <a:spLocks noChangeArrowheads="1"/>
        </xdr:cNvSpPr>
      </xdr:nvSpPr>
      <xdr:spPr bwMode="auto">
        <a:xfrm>
          <a:off x="723900" y="1181100"/>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For definitions or help on the terms below, simply click-on any underlined text.  Click-on "Return" text to come back to this page.  To use this tool you will need to have previously calculated the building's annual energy consumption by fuel type.  Provide entries for your building below.</a:t>
          </a:r>
        </a:p>
      </xdr:txBody>
    </xdr:sp>
    <xdr:clientData/>
  </xdr:twoCellAnchor>
  <xdr:twoCellAnchor>
    <xdr:from>
      <xdr:col>1</xdr:col>
      <xdr:colOff>114300</xdr:colOff>
      <xdr:row>4</xdr:row>
      <xdr:rowOff>47625</xdr:rowOff>
    </xdr:from>
    <xdr:to>
      <xdr:col>8</xdr:col>
      <xdr:colOff>800100</xdr:colOff>
      <xdr:row>8</xdr:row>
      <xdr:rowOff>0</xdr:rowOff>
    </xdr:to>
    <xdr:sp macro="" textlink="">
      <xdr:nvSpPr>
        <xdr:cNvPr id="4" name="Text Box 1"/>
        <xdr:cNvSpPr txBox="1">
          <a:spLocks noChangeArrowheads="1"/>
        </xdr:cNvSpPr>
      </xdr:nvSpPr>
      <xdr:spPr bwMode="auto">
        <a:xfrm>
          <a:off x="723900" y="1181100"/>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To use this tool you will need to have previously calculated the building's annual energy consumption by fuel type.  Provide entries for your building below.</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4</xdr:col>
          <xdr:colOff>800100</xdr:colOff>
          <xdr:row>29</xdr:row>
          <xdr:rowOff>200025</xdr:rowOff>
        </xdr:to>
        <xdr:sp macro="" textlink="">
          <xdr:nvSpPr>
            <xdr:cNvPr id="7169" name="Drop Down 1" hidden="1">
              <a:extLst>
                <a:ext uri="{63B3BB69-23CF-44E3-9099-C40C66FF867C}">
                  <a14:compatExt spid="_x0000_s7169"/>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0</xdr:rowOff>
        </xdr:from>
        <xdr:to>
          <xdr:col>6</xdr:col>
          <xdr:colOff>85725</xdr:colOff>
          <xdr:row>29</xdr:row>
          <xdr:rowOff>200025</xdr:rowOff>
        </xdr:to>
        <xdr:sp macro="" textlink="">
          <xdr:nvSpPr>
            <xdr:cNvPr id="7170" name="Drop Down 2" hidden="1">
              <a:extLst>
                <a:ext uri="{63B3BB69-23CF-44E3-9099-C40C66FF867C}">
                  <a14:compatExt spid="_x0000_s7170"/>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0</xdr:rowOff>
        </xdr:from>
        <xdr:to>
          <xdr:col>6</xdr:col>
          <xdr:colOff>790575</xdr:colOff>
          <xdr:row>29</xdr:row>
          <xdr:rowOff>200025</xdr:rowOff>
        </xdr:to>
        <xdr:sp macro="" textlink="">
          <xdr:nvSpPr>
            <xdr:cNvPr id="7171" name="Drop Down 3" hidden="1">
              <a:extLst>
                <a:ext uri="{63B3BB69-23CF-44E3-9099-C40C66FF867C}">
                  <a14:compatExt spid="_x0000_s7171"/>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114300</xdr:colOff>
      <xdr:row>4</xdr:row>
      <xdr:rowOff>47625</xdr:rowOff>
    </xdr:from>
    <xdr:to>
      <xdr:col>8</xdr:col>
      <xdr:colOff>800100</xdr:colOff>
      <xdr:row>8</xdr:row>
      <xdr:rowOff>0</xdr:rowOff>
    </xdr:to>
    <xdr:sp macro="" textlink="">
      <xdr:nvSpPr>
        <xdr:cNvPr id="2" name="Text Box 1"/>
        <xdr:cNvSpPr txBox="1">
          <a:spLocks noChangeArrowheads="1"/>
        </xdr:cNvSpPr>
      </xdr:nvSpPr>
      <xdr:spPr bwMode="auto">
        <a:xfrm>
          <a:off x="723900" y="1019175"/>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For definitions or help on the terms below, simply click-on any underlined text.  Click-on "Return" text to come back to this page.  To use this tool you will need to have previously calculated the building's annual energy consumption by fuel type.  Provide entries for your building below.</a:t>
          </a:r>
        </a:p>
      </xdr:txBody>
    </xdr:sp>
    <xdr:clientData/>
  </xdr:twoCellAnchor>
  <xdr:twoCellAnchor>
    <xdr:from>
      <xdr:col>1</xdr:col>
      <xdr:colOff>114300</xdr:colOff>
      <xdr:row>4</xdr:row>
      <xdr:rowOff>47625</xdr:rowOff>
    </xdr:from>
    <xdr:to>
      <xdr:col>8</xdr:col>
      <xdr:colOff>800100</xdr:colOff>
      <xdr:row>8</xdr:row>
      <xdr:rowOff>0</xdr:rowOff>
    </xdr:to>
    <xdr:sp macro="" textlink="">
      <xdr:nvSpPr>
        <xdr:cNvPr id="4" name="Text Box 1"/>
        <xdr:cNvSpPr txBox="1">
          <a:spLocks noChangeArrowheads="1"/>
        </xdr:cNvSpPr>
      </xdr:nvSpPr>
      <xdr:spPr bwMode="auto">
        <a:xfrm>
          <a:off x="723900" y="1019175"/>
          <a:ext cx="4762500" cy="600075"/>
        </a:xfrm>
        <a:prstGeom prst="rect">
          <a:avLst/>
        </a:prstGeom>
        <a:solidFill>
          <a:srgbClr val="FFFF99"/>
        </a:solidFill>
        <a:ln w="9525">
          <a:noFill/>
          <a:miter lim="800000"/>
          <a:headEnd/>
          <a:tailEnd/>
        </a:ln>
        <a:effectLst/>
      </xdr:spPr>
      <xdr:txBody>
        <a:bodyPr vertOverflow="clip" wrap="square" lIns="27432" tIns="22860" rIns="0" bIns="0" anchor="t" upright="1"/>
        <a:lstStyle/>
        <a:p>
          <a:pPr algn="l" rtl="0">
            <a:defRPr sz="1000"/>
          </a:pPr>
          <a:r>
            <a:rPr lang="en-US" sz="1000" b="0" i="1" strike="noStrike">
              <a:solidFill>
                <a:srgbClr val="333399"/>
              </a:solidFill>
              <a:latin typeface="Arial"/>
              <a:cs typeface="Arial"/>
            </a:rPr>
            <a:t>The Multi-Family Building Design Assistant quantifies the projected performance of a user defined multi-family building relative to E</a:t>
          </a:r>
          <a:r>
            <a:rPr lang="en-US" sz="800" b="0" i="1" strike="noStrike">
              <a:solidFill>
                <a:srgbClr val="333399"/>
              </a:solidFill>
              <a:latin typeface="Arial"/>
              <a:cs typeface="Arial"/>
            </a:rPr>
            <a:t>NERGY</a:t>
          </a:r>
          <a:r>
            <a:rPr lang="en-US" sz="1000" b="0" i="1" strike="noStrike">
              <a:solidFill>
                <a:srgbClr val="333399"/>
              </a:solidFill>
              <a:latin typeface="Arial"/>
              <a:cs typeface="Arial"/>
            </a:rPr>
            <a:t> S</a:t>
          </a:r>
          <a:r>
            <a:rPr lang="en-US" sz="800" b="0" i="1" strike="noStrike">
              <a:solidFill>
                <a:srgbClr val="333399"/>
              </a:solidFill>
              <a:latin typeface="Arial"/>
              <a:cs typeface="Arial"/>
            </a:rPr>
            <a:t>TAR</a:t>
          </a:r>
          <a:r>
            <a:rPr lang="en-US" sz="1000" b="0" i="1" strike="noStrike">
              <a:solidFill>
                <a:srgbClr val="333399"/>
              </a:solidFill>
              <a:latin typeface="Arial"/>
              <a:cs typeface="Arial"/>
            </a:rPr>
            <a:t> where a score of 75 or greater denotes performance among the nation's top 25%.  To use this tool you will need to have previously calculated the building's annual energy consumption by fuel type.  Provide entries for your building below.</a:t>
          </a:r>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29</xdr:row>
          <xdr:rowOff>0</xdr:rowOff>
        </xdr:from>
        <xdr:to>
          <xdr:col>4</xdr:col>
          <xdr:colOff>800100</xdr:colOff>
          <xdr:row>29</xdr:row>
          <xdr:rowOff>200025</xdr:rowOff>
        </xdr:to>
        <xdr:sp macro="" textlink="">
          <xdr:nvSpPr>
            <xdr:cNvPr id="8193" name="Drop Down 1" hidden="1">
              <a:extLst>
                <a:ext uri="{63B3BB69-23CF-44E3-9099-C40C66FF867C}">
                  <a14:compatExt spid="_x0000_s8193"/>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29</xdr:row>
          <xdr:rowOff>0</xdr:rowOff>
        </xdr:from>
        <xdr:to>
          <xdr:col>6</xdr:col>
          <xdr:colOff>85725</xdr:colOff>
          <xdr:row>29</xdr:row>
          <xdr:rowOff>200025</xdr:rowOff>
        </xdr:to>
        <xdr:sp macro="" textlink="">
          <xdr:nvSpPr>
            <xdr:cNvPr id="8194" name="Drop Down 2" hidden="1">
              <a:extLst>
                <a:ext uri="{63B3BB69-23CF-44E3-9099-C40C66FF867C}">
                  <a14:compatExt spid="_x0000_s8194"/>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29</xdr:row>
          <xdr:rowOff>0</xdr:rowOff>
        </xdr:from>
        <xdr:to>
          <xdr:col>6</xdr:col>
          <xdr:colOff>790575</xdr:colOff>
          <xdr:row>29</xdr:row>
          <xdr:rowOff>200025</xdr:rowOff>
        </xdr:to>
        <xdr:sp macro="" textlink="">
          <xdr:nvSpPr>
            <xdr:cNvPr id="8195" name="Drop Down 3" hidden="1">
              <a:extLst>
                <a:ext uri="{63B3BB69-23CF-44E3-9099-C40C66FF867C}">
                  <a14:compatExt spid="_x0000_s8195"/>
                </a:ext>
              </a:extLst>
            </xdr:cNvPr>
            <xdr:cNvSpPr/>
          </xdr:nvSpPr>
          <xdr:spPr bwMode="auto">
            <a:xfrm>
              <a:off x="0" y="0"/>
              <a:ext cx="0" cy="0"/>
            </a:xfrm>
            <a:prstGeom prst="rect">
              <a:avLst/>
            </a:prstGeom>
            <a:noFill/>
            <a:ln w="1">
              <a:miter lim="800000"/>
              <a:headEnd/>
              <a:tailEnd/>
            </a:ln>
            <a:extLst>
              <a:ext uri="{909E8E84-426E-40DD-AFC4-6F175D3DCCD1}">
                <a14:hiddenFill>
                  <a:noFill/>
                </a14:hiddenFill>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8</xdr:col>
      <xdr:colOff>781050</xdr:colOff>
      <xdr:row>15</xdr:row>
      <xdr:rowOff>114300</xdr:rowOff>
    </xdr:from>
    <xdr:to>
      <xdr:col>10</xdr:col>
      <xdr:colOff>38100</xdr:colOff>
      <xdr:row>17</xdr:row>
      <xdr:rowOff>133350</xdr:rowOff>
    </xdr:to>
    <xdr:sp macro="" textlink="">
      <xdr:nvSpPr>
        <xdr:cNvPr id="34862"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34863"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34864"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34865"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34866"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34867"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34868"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34869"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34870"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twoCellAnchor>
    <xdr:from>
      <xdr:col>8</xdr:col>
      <xdr:colOff>781050</xdr:colOff>
      <xdr:row>15</xdr:row>
      <xdr:rowOff>114300</xdr:rowOff>
    </xdr:from>
    <xdr:to>
      <xdr:col>10</xdr:col>
      <xdr:colOff>38100</xdr:colOff>
      <xdr:row>17</xdr:row>
      <xdr:rowOff>133350</xdr:rowOff>
    </xdr:to>
    <xdr:sp macro="" textlink="">
      <xdr:nvSpPr>
        <xdr:cNvPr id="11"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12"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13"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14"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15"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16"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17"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18"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19"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781050</xdr:colOff>
      <xdr:row>15</xdr:row>
      <xdr:rowOff>114300</xdr:rowOff>
    </xdr:from>
    <xdr:to>
      <xdr:col>10</xdr:col>
      <xdr:colOff>38100</xdr:colOff>
      <xdr:row>17</xdr:row>
      <xdr:rowOff>133350</xdr:rowOff>
    </xdr:to>
    <xdr:sp macro="" textlink="">
      <xdr:nvSpPr>
        <xdr:cNvPr id="36903"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36904"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36905"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36906"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36907"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36908"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36909"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36910"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36911"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twoCellAnchor>
    <xdr:from>
      <xdr:col>8</xdr:col>
      <xdr:colOff>781050</xdr:colOff>
      <xdr:row>15</xdr:row>
      <xdr:rowOff>114300</xdr:rowOff>
    </xdr:from>
    <xdr:to>
      <xdr:col>10</xdr:col>
      <xdr:colOff>38100</xdr:colOff>
      <xdr:row>17</xdr:row>
      <xdr:rowOff>133350</xdr:rowOff>
    </xdr:to>
    <xdr:sp macro="" textlink="">
      <xdr:nvSpPr>
        <xdr:cNvPr id="11" name="Oval 1"/>
        <xdr:cNvSpPr>
          <a:spLocks noChangeArrowheads="1"/>
        </xdr:cNvSpPr>
      </xdr:nvSpPr>
      <xdr:spPr bwMode="auto">
        <a:xfrm>
          <a:off x="8791575" y="3629025"/>
          <a:ext cx="657225" cy="419100"/>
        </a:xfrm>
        <a:prstGeom prst="ellipse">
          <a:avLst/>
        </a:prstGeom>
        <a:noFill/>
        <a:ln w="38100">
          <a:solidFill>
            <a:srgbClr val="000000"/>
          </a:solidFill>
          <a:round/>
          <a:headEnd/>
          <a:tailEnd/>
        </a:ln>
      </xdr:spPr>
    </xdr:sp>
    <xdr:clientData/>
  </xdr:twoCellAnchor>
  <xdr:twoCellAnchor>
    <xdr:from>
      <xdr:col>9</xdr:col>
      <xdr:colOff>381000</xdr:colOff>
      <xdr:row>17</xdr:row>
      <xdr:rowOff>142875</xdr:rowOff>
    </xdr:from>
    <xdr:to>
      <xdr:col>10</xdr:col>
      <xdr:colOff>457200</xdr:colOff>
      <xdr:row>46</xdr:row>
      <xdr:rowOff>66675</xdr:rowOff>
    </xdr:to>
    <xdr:sp macro="" textlink="">
      <xdr:nvSpPr>
        <xdr:cNvPr id="12" name="Line 2"/>
        <xdr:cNvSpPr>
          <a:spLocks noChangeShapeType="1"/>
        </xdr:cNvSpPr>
      </xdr:nvSpPr>
      <xdr:spPr bwMode="auto">
        <a:xfrm flipH="1" flipV="1">
          <a:off x="9182100" y="4057650"/>
          <a:ext cx="685800" cy="4429125"/>
        </a:xfrm>
        <a:prstGeom prst="line">
          <a:avLst/>
        </a:prstGeom>
        <a:noFill/>
        <a:ln w="19050">
          <a:solidFill>
            <a:srgbClr val="000000"/>
          </a:solidFill>
          <a:round/>
          <a:headEnd type="triangle" w="med" len="med"/>
          <a:tailEnd/>
        </a:ln>
      </xdr:spPr>
    </xdr:sp>
    <xdr:clientData/>
  </xdr:twoCellAnchor>
  <xdr:twoCellAnchor>
    <xdr:from>
      <xdr:col>5</xdr:col>
      <xdr:colOff>714375</xdr:colOff>
      <xdr:row>36</xdr:row>
      <xdr:rowOff>9525</xdr:rowOff>
    </xdr:from>
    <xdr:to>
      <xdr:col>7</xdr:col>
      <xdr:colOff>66675</xdr:colOff>
      <xdr:row>40</xdr:row>
      <xdr:rowOff>66675</xdr:rowOff>
    </xdr:to>
    <xdr:sp macro="" textlink="">
      <xdr:nvSpPr>
        <xdr:cNvPr id="13" name="Oval 3"/>
        <xdr:cNvSpPr>
          <a:spLocks noChangeArrowheads="1"/>
        </xdr:cNvSpPr>
      </xdr:nvSpPr>
      <xdr:spPr bwMode="auto">
        <a:xfrm>
          <a:off x="6448425" y="6562725"/>
          <a:ext cx="1019175" cy="838200"/>
        </a:xfrm>
        <a:prstGeom prst="ellipse">
          <a:avLst/>
        </a:prstGeom>
        <a:noFill/>
        <a:ln w="38100">
          <a:solidFill>
            <a:srgbClr val="000000"/>
          </a:solidFill>
          <a:round/>
          <a:headEnd/>
          <a:tailEnd/>
        </a:ln>
      </xdr:spPr>
    </xdr:sp>
    <xdr:clientData/>
  </xdr:twoCellAnchor>
  <xdr:twoCellAnchor>
    <xdr:from>
      <xdr:col>6</xdr:col>
      <xdr:colOff>542925</xdr:colOff>
      <xdr:row>8</xdr:row>
      <xdr:rowOff>76200</xdr:rowOff>
    </xdr:from>
    <xdr:to>
      <xdr:col>9</xdr:col>
      <xdr:colOff>400050</xdr:colOff>
      <xdr:row>36</xdr:row>
      <xdr:rowOff>38100</xdr:rowOff>
    </xdr:to>
    <xdr:sp macro="" textlink="">
      <xdr:nvSpPr>
        <xdr:cNvPr id="14" name="Line 4"/>
        <xdr:cNvSpPr>
          <a:spLocks noChangeShapeType="1"/>
        </xdr:cNvSpPr>
      </xdr:nvSpPr>
      <xdr:spPr bwMode="auto">
        <a:xfrm flipV="1">
          <a:off x="7191375" y="1724025"/>
          <a:ext cx="2009775" cy="4867275"/>
        </a:xfrm>
        <a:prstGeom prst="line">
          <a:avLst/>
        </a:prstGeom>
        <a:noFill/>
        <a:ln w="9525">
          <a:solidFill>
            <a:srgbClr val="000000"/>
          </a:solidFill>
          <a:round/>
          <a:headEnd/>
          <a:tailEnd type="triangle" w="med" len="med"/>
        </a:ln>
      </xdr:spPr>
    </xdr:sp>
    <xdr:clientData/>
  </xdr:twoCellAnchor>
  <xdr:twoCellAnchor>
    <xdr:from>
      <xdr:col>3</xdr:col>
      <xdr:colOff>9525</xdr:colOff>
      <xdr:row>38</xdr:row>
      <xdr:rowOff>85725</xdr:rowOff>
    </xdr:from>
    <xdr:to>
      <xdr:col>3</xdr:col>
      <xdr:colOff>1209675</xdr:colOff>
      <xdr:row>45</xdr:row>
      <xdr:rowOff>85725</xdr:rowOff>
    </xdr:to>
    <xdr:sp macro="" textlink="">
      <xdr:nvSpPr>
        <xdr:cNvPr id="15" name="Oval 5"/>
        <xdr:cNvSpPr>
          <a:spLocks noChangeArrowheads="1"/>
        </xdr:cNvSpPr>
      </xdr:nvSpPr>
      <xdr:spPr bwMode="auto">
        <a:xfrm>
          <a:off x="3676650" y="7058025"/>
          <a:ext cx="1200150" cy="1276350"/>
        </a:xfrm>
        <a:prstGeom prst="ellipse">
          <a:avLst/>
        </a:prstGeom>
        <a:noFill/>
        <a:ln w="38100">
          <a:solidFill>
            <a:srgbClr val="000000"/>
          </a:solidFill>
          <a:round/>
          <a:headEnd/>
          <a:tailEnd/>
        </a:ln>
      </xdr:spPr>
    </xdr:sp>
    <xdr:clientData/>
  </xdr:twoCellAnchor>
  <xdr:twoCellAnchor>
    <xdr:from>
      <xdr:col>1</xdr:col>
      <xdr:colOff>76200</xdr:colOff>
      <xdr:row>7</xdr:row>
      <xdr:rowOff>28575</xdr:rowOff>
    </xdr:from>
    <xdr:to>
      <xdr:col>1</xdr:col>
      <xdr:colOff>1133475</xdr:colOff>
      <xdr:row>11</xdr:row>
      <xdr:rowOff>28575</xdr:rowOff>
    </xdr:to>
    <xdr:sp macro="" textlink="">
      <xdr:nvSpPr>
        <xdr:cNvPr id="16" name="Oval 6"/>
        <xdr:cNvSpPr>
          <a:spLocks noChangeArrowheads="1"/>
        </xdr:cNvSpPr>
      </xdr:nvSpPr>
      <xdr:spPr bwMode="auto">
        <a:xfrm>
          <a:off x="1495425" y="1419225"/>
          <a:ext cx="1057275" cy="857250"/>
        </a:xfrm>
        <a:prstGeom prst="ellipse">
          <a:avLst/>
        </a:prstGeom>
        <a:noFill/>
        <a:ln w="38100">
          <a:solidFill>
            <a:srgbClr val="000000"/>
          </a:solidFill>
          <a:round/>
          <a:headEnd/>
          <a:tailEnd/>
        </a:ln>
      </xdr:spPr>
    </xdr:sp>
    <xdr:clientData/>
  </xdr:twoCellAnchor>
  <xdr:twoCellAnchor>
    <xdr:from>
      <xdr:col>3</xdr:col>
      <xdr:colOff>952500</xdr:colOff>
      <xdr:row>13</xdr:row>
      <xdr:rowOff>66675</xdr:rowOff>
    </xdr:from>
    <xdr:to>
      <xdr:col>9</xdr:col>
      <xdr:colOff>352425</xdr:colOff>
      <xdr:row>38</xdr:row>
      <xdr:rowOff>95250</xdr:rowOff>
    </xdr:to>
    <xdr:sp macro="" textlink="">
      <xdr:nvSpPr>
        <xdr:cNvPr id="17" name="Line 7"/>
        <xdr:cNvSpPr>
          <a:spLocks noChangeShapeType="1"/>
        </xdr:cNvSpPr>
      </xdr:nvSpPr>
      <xdr:spPr bwMode="auto">
        <a:xfrm flipV="1">
          <a:off x="4619625" y="3181350"/>
          <a:ext cx="4533900" cy="3886200"/>
        </a:xfrm>
        <a:prstGeom prst="line">
          <a:avLst/>
        </a:prstGeom>
        <a:noFill/>
        <a:ln w="9525">
          <a:solidFill>
            <a:srgbClr val="000000"/>
          </a:solidFill>
          <a:round/>
          <a:headEnd/>
          <a:tailEnd type="triangle" w="med" len="med"/>
        </a:ln>
      </xdr:spPr>
    </xdr:sp>
    <xdr:clientData/>
  </xdr:twoCellAnchor>
  <xdr:twoCellAnchor>
    <xdr:from>
      <xdr:col>2</xdr:col>
      <xdr:colOff>28575</xdr:colOff>
      <xdr:row>9</xdr:row>
      <xdr:rowOff>171450</xdr:rowOff>
    </xdr:from>
    <xdr:to>
      <xdr:col>9</xdr:col>
      <xdr:colOff>266700</xdr:colOff>
      <xdr:row>12</xdr:row>
      <xdr:rowOff>523875</xdr:rowOff>
    </xdr:to>
    <xdr:sp macro="" textlink="">
      <xdr:nvSpPr>
        <xdr:cNvPr id="18" name="Line 8"/>
        <xdr:cNvSpPr>
          <a:spLocks noChangeShapeType="1"/>
        </xdr:cNvSpPr>
      </xdr:nvSpPr>
      <xdr:spPr bwMode="auto">
        <a:xfrm>
          <a:off x="2667000" y="2019300"/>
          <a:ext cx="6400800" cy="962025"/>
        </a:xfrm>
        <a:prstGeom prst="line">
          <a:avLst/>
        </a:prstGeom>
        <a:noFill/>
        <a:ln w="9525">
          <a:solidFill>
            <a:srgbClr val="000000"/>
          </a:solidFill>
          <a:round/>
          <a:headEnd/>
          <a:tailEnd type="triangle" w="med" len="med"/>
        </a:ln>
      </xdr:spPr>
    </xdr:sp>
    <xdr:clientData/>
  </xdr:twoCellAnchor>
  <xdr:twoCellAnchor>
    <xdr:from>
      <xdr:col>2</xdr:col>
      <xdr:colOff>828675</xdr:colOff>
      <xdr:row>46</xdr:row>
      <xdr:rowOff>66675</xdr:rowOff>
    </xdr:from>
    <xdr:to>
      <xdr:col>10</xdr:col>
      <xdr:colOff>447675</xdr:colOff>
      <xdr:row>50</xdr:row>
      <xdr:rowOff>85725</xdr:rowOff>
    </xdr:to>
    <xdr:sp macro="" textlink="">
      <xdr:nvSpPr>
        <xdr:cNvPr id="19" name="Line 9"/>
        <xdr:cNvSpPr>
          <a:spLocks noChangeShapeType="1"/>
        </xdr:cNvSpPr>
      </xdr:nvSpPr>
      <xdr:spPr bwMode="auto">
        <a:xfrm flipV="1">
          <a:off x="3467100" y="8486775"/>
          <a:ext cx="6391275" cy="857250"/>
        </a:xfrm>
        <a:prstGeom prst="line">
          <a:avLst/>
        </a:prstGeom>
        <a:noFill/>
        <a:ln w="19050">
          <a:solidFill>
            <a:srgbClr val="000000"/>
          </a:solidFill>
          <a:round/>
          <a:headEnd type="triangle" w="med" len="med"/>
          <a:tailE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MeasureQC%20Calc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ropDown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Sbeaulieu/Application%20Data/Microsoft/Excel/Copy%20of%20Benchmarking%20Tool%20%20-%20Final%20Draft%209-2-10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sureQC Calc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chmarking Instructions"/>
      <sheetName val="Table Instructions"/>
      <sheetName val="Benchmarking Tool"/>
      <sheetName val="Table 1 ERP Summary"/>
      <sheetName val="Avoided Costs"/>
      <sheetName val="Table 2 Detailed Measures"/>
      <sheetName val="Table 3 Gen'l Project Info"/>
      <sheetName val="Table 4 Required Measures"/>
      <sheetName val="Energy Use Variables"/>
      <sheetName val="Model QC"/>
      <sheetName val="Measure QC"/>
      <sheetName val="Paste TREAT .csv"/>
      <sheetName val="Paste eQUEST .csv"/>
      <sheetName val="QC Form"/>
      <sheetName val="50% Complete"/>
      <sheetName val="Substantial Completion"/>
      <sheetName val="MeasureQC Calcs"/>
      <sheetName val="Incentive Schedule"/>
      <sheetName val="DropDowns"/>
      <sheetName val="Equiv Unit Costs"/>
      <sheetName val="Color Legend"/>
      <sheetName val="Zip Code Finder"/>
      <sheetName val="Help"/>
      <sheetName val="DA Input"/>
      <sheetName val="Locator Map"/>
      <sheetName val="Side Calcs"/>
      <sheetName val="ZipCode Map"/>
      <sheetName val="Cities"/>
      <sheetName val="Side Calcs Yr 2"/>
      <sheetName val="Side Calcs Proj"/>
      <sheetName val="Worksheet - Desig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6">
          <cell r="A6" t="str">
            <v>Appliance - Clothes Washer</v>
          </cell>
        </row>
        <row r="56">
          <cell r="B56">
            <v>0</v>
          </cell>
        </row>
      </sheetData>
      <sheetData sheetId="17" refreshError="1"/>
      <sheetData sheetId="18" refreshError="1">
        <row r="3">
          <cell r="A3" t="str">
            <v>gas - firm</v>
          </cell>
          <cell r="C3" t="str">
            <v>yes</v>
          </cell>
        </row>
        <row r="4">
          <cell r="C4" t="str">
            <v>no</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8.bin"/><Relationship Id="rId1" Type="http://schemas.openxmlformats.org/officeDocument/2006/relationships/hyperlink" Target="http://www.epa.gov/buildings/labe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7.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6.xml"/><Relationship Id="rId2" Type="http://schemas.openxmlformats.org/officeDocument/2006/relationships/printerSettings" Target="../printerSettings/printerSettings29.bin"/><Relationship Id="rId1" Type="http://schemas.openxmlformats.org/officeDocument/2006/relationships/hyperlink" Target="http://www.epa.gov/buildings/label" TargetMode="External"/><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vmlDrawing" Target="../drawings/vmlDrawing8.v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C38"/>
  <sheetViews>
    <sheetView workbookViewId="0">
      <selection activeCell="C32" sqref="C32"/>
    </sheetView>
  </sheetViews>
  <sheetFormatPr defaultRowHeight="12.75"/>
  <cols>
    <col min="1" max="1" width="2.42578125" style="402" customWidth="1"/>
    <col min="2" max="2" width="29.42578125" style="402" bestFit="1" customWidth="1"/>
    <col min="3" max="3" width="43.42578125" style="402" bestFit="1" customWidth="1"/>
    <col min="4" max="16384" width="9.140625" style="402"/>
  </cols>
  <sheetData>
    <row r="2" spans="2:3" ht="15.75">
      <c r="B2" s="404" t="s">
        <v>2652</v>
      </c>
      <c r="C2" s="404">
        <f>'Reporting Summary'!I6</f>
        <v>0</v>
      </c>
    </row>
    <row r="3" spans="2:3" ht="15.75">
      <c r="B3" s="404" t="s">
        <v>2864</v>
      </c>
      <c r="C3" s="411">
        <f>C2</f>
        <v>0</v>
      </c>
    </row>
    <row r="4" spans="2:3" ht="15.75">
      <c r="B4" s="404" t="s">
        <v>2653</v>
      </c>
      <c r="C4" s="404" t="str">
        <f>UPPER(C2)</f>
        <v>0</v>
      </c>
    </row>
    <row r="5" spans="2:3" ht="15.75">
      <c r="B5" s="404" t="s">
        <v>2654</v>
      </c>
      <c r="C5" s="404">
        <f>'Reporting Summary'!D8</f>
        <v>0</v>
      </c>
    </row>
    <row r="6" spans="2:3" ht="15.75">
      <c r="B6" s="404" t="s">
        <v>2655</v>
      </c>
      <c r="C6" s="404" t="str">
        <f>'Reporting Summary'!D9</f>
        <v xml:space="preserve">, </v>
      </c>
    </row>
    <row r="7" spans="2:3" ht="15.75">
      <c r="B7" s="404" t="s">
        <v>2656</v>
      </c>
      <c r="C7" s="404">
        <f>'Reporting Summary'!I7</f>
        <v>0</v>
      </c>
    </row>
    <row r="8" spans="2:3" ht="15.75">
      <c r="B8" s="404" t="s">
        <v>2866</v>
      </c>
      <c r="C8" s="404" t="e">
        <f>#REF!</f>
        <v>#REF!</v>
      </c>
    </row>
    <row r="9" spans="2:3" ht="15.75">
      <c r="B9" s="404" t="s">
        <v>2867</v>
      </c>
      <c r="C9" s="404" t="e">
        <f>#REF!</f>
        <v>#REF!</v>
      </c>
    </row>
    <row r="10" spans="2:3" ht="15.75">
      <c r="B10" s="404" t="s">
        <v>2657</v>
      </c>
      <c r="C10" s="404">
        <f>'Reporting Summary'!I9</f>
        <v>0</v>
      </c>
    </row>
    <row r="11" spans="2:3" ht="15.75">
      <c r="B11" s="404" t="s">
        <v>2664</v>
      </c>
      <c r="C11" s="408">
        <f>'Basic Info'!C42</f>
        <v>0</v>
      </c>
    </row>
    <row r="12" spans="2:3" ht="15.75">
      <c r="B12" s="404" t="s">
        <v>2852</v>
      </c>
      <c r="C12" s="405">
        <f>'Reporting Summary'!D17</f>
        <v>0</v>
      </c>
    </row>
    <row r="13" spans="2:3" ht="15.75">
      <c r="B13" s="404" t="s">
        <v>2853</v>
      </c>
      <c r="C13" s="405">
        <f>'Basic Info'!C47</f>
        <v>0</v>
      </c>
    </row>
    <row r="14" spans="2:3" ht="15.75">
      <c r="B14" s="404" t="s">
        <v>2854</v>
      </c>
      <c r="C14" s="405">
        <f>'Basic Info'!C48</f>
        <v>0</v>
      </c>
    </row>
    <row r="15" spans="2:3" ht="15.75">
      <c r="B15" s="404" t="s">
        <v>2661</v>
      </c>
      <c r="C15" s="406">
        <f>'Basic Info'!C27</f>
        <v>0</v>
      </c>
    </row>
    <row r="16" spans="2:3" ht="15.75">
      <c r="B16" s="404" t="s">
        <v>2661</v>
      </c>
      <c r="C16" s="414">
        <f>C15</f>
        <v>0</v>
      </c>
    </row>
    <row r="17" spans="2:3" ht="15.75">
      <c r="B17" s="404" t="s">
        <v>2856</v>
      </c>
      <c r="C17" s="406">
        <f>'Basic Info'!C25</f>
        <v>0</v>
      </c>
    </row>
    <row r="18" spans="2:3" ht="15.75">
      <c r="B18" s="404" t="s">
        <v>2856</v>
      </c>
      <c r="C18" s="413">
        <f>C17</f>
        <v>0</v>
      </c>
    </row>
    <row r="19" spans="2:3" ht="15.75">
      <c r="B19" s="404" t="s">
        <v>2865</v>
      </c>
      <c r="C19" s="413">
        <f>'Basic Info'!C26</f>
        <v>0</v>
      </c>
    </row>
    <row r="20" spans="2:3" ht="15.75">
      <c r="B20" s="404" t="s">
        <v>2665</v>
      </c>
      <c r="C20" s="404" t="str">
        <f>'Reporting Summary'!I13</f>
        <v>ASHRAE 90.1-2007</v>
      </c>
    </row>
    <row r="21" spans="2:3" ht="15.75">
      <c r="B21" s="404" t="s">
        <v>2670</v>
      </c>
      <c r="C21" s="404">
        <f>'Reporting Summary'!I12</f>
        <v>0</v>
      </c>
    </row>
    <row r="22" spans="2:3" ht="15.75">
      <c r="B22" s="404" t="s">
        <v>2673</v>
      </c>
      <c r="C22" s="404">
        <f>'Reporting Summary'!D12</f>
        <v>0</v>
      </c>
    </row>
    <row r="23" spans="2:3" ht="15.75">
      <c r="B23" s="404" t="s">
        <v>2674</v>
      </c>
      <c r="C23" s="404">
        <f>'Reporting Summary'!D13</f>
        <v>0</v>
      </c>
    </row>
    <row r="24" spans="2:3" ht="15.75">
      <c r="B24" s="404" t="s">
        <v>2862</v>
      </c>
      <c r="C24" s="411">
        <f>C23</f>
        <v>0</v>
      </c>
    </row>
    <row r="25" spans="2:3" ht="15.75">
      <c r="B25" s="404" t="s">
        <v>2675</v>
      </c>
      <c r="C25" s="404">
        <f>'Reporting Summary'!D14</f>
        <v>0</v>
      </c>
    </row>
    <row r="26" spans="2:3" ht="15.75">
      <c r="B26" s="404" t="s">
        <v>2677</v>
      </c>
      <c r="C26" s="404">
        <f>'Reporting Summary'!D15</f>
        <v>0</v>
      </c>
    </row>
    <row r="27" spans="2:3" ht="15.75">
      <c r="B27" s="404" t="s">
        <v>2690</v>
      </c>
      <c r="C27" s="404">
        <f>'Basic Info'!C44</f>
        <v>0</v>
      </c>
    </row>
    <row r="28" spans="2:3" ht="15.75">
      <c r="B28" s="404" t="s">
        <v>2692</v>
      </c>
      <c r="C28" s="404">
        <f>'Basic Info'!C45</f>
        <v>0</v>
      </c>
    </row>
    <row r="29" spans="2:3" ht="15.75">
      <c r="B29" s="404" t="s">
        <v>2691</v>
      </c>
      <c r="C29" s="404">
        <f>'Basic Info'!C49</f>
        <v>0</v>
      </c>
    </row>
    <row r="30" spans="2:3" ht="15.75">
      <c r="B30" s="404" t="s">
        <v>2696</v>
      </c>
      <c r="C30" s="404">
        <f>'Basic Info'!C57</f>
        <v>0.19359999999999999</v>
      </c>
    </row>
    <row r="31" spans="2:3" ht="15.75">
      <c r="B31" s="404" t="s">
        <v>1473</v>
      </c>
      <c r="C31" s="410">
        <f>'Basic Info'!C58</f>
        <v>1.486</v>
      </c>
    </row>
    <row r="32" spans="2:3" ht="15.75">
      <c r="B32" s="404" t="s">
        <v>2658</v>
      </c>
      <c r="C32" s="404">
        <f>'Basic Info'!C41</f>
        <v>0</v>
      </c>
    </row>
    <row r="33" spans="2:3" ht="15.75">
      <c r="B33" s="404" t="s">
        <v>2848</v>
      </c>
      <c r="C33" s="404" t="str">
        <f>UPPER(C32)</f>
        <v>0</v>
      </c>
    </row>
    <row r="34" spans="2:3">
      <c r="B34" s="402" t="s">
        <v>2849</v>
      </c>
      <c r="C34" s="407">
        <f>'Basic Info'!C43</f>
        <v>0</v>
      </c>
    </row>
    <row r="35" spans="2:3" ht="15.75">
      <c r="B35" s="402" t="s">
        <v>2863</v>
      </c>
      <c r="C35" s="412">
        <f>C34</f>
        <v>0</v>
      </c>
    </row>
    <row r="36" spans="2:3">
      <c r="B36" s="402" t="s">
        <v>519</v>
      </c>
      <c r="C36" s="409">
        <f>SUM('Basic Info'!C4:C8)</f>
        <v>0</v>
      </c>
    </row>
    <row r="37" spans="2:3">
      <c r="B37" s="402" t="s">
        <v>2738</v>
      </c>
      <c r="C37" s="403">
        <f>'Basic Info'!C62</f>
        <v>0</v>
      </c>
    </row>
    <row r="38" spans="2:3" ht="15.75">
      <c r="B38" s="402" t="s">
        <v>2869</v>
      </c>
      <c r="C38" s="416">
        <f>C19-C18-C16</f>
        <v>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tabColor indexed="44"/>
  </sheetPr>
  <dimension ref="A1:O31"/>
  <sheetViews>
    <sheetView showGridLines="0" workbookViewId="0">
      <selection activeCell="B39" sqref="B39"/>
    </sheetView>
  </sheetViews>
  <sheetFormatPr defaultRowHeight="15"/>
  <cols>
    <col min="1" max="1" width="33.5703125" style="241" customWidth="1"/>
    <col min="2" max="2" width="20.28515625" style="241" customWidth="1"/>
    <col min="3" max="3" width="18.5703125" style="241" customWidth="1"/>
    <col min="4" max="4" width="17.42578125" style="241" customWidth="1"/>
    <col min="5" max="5" width="19.28515625" style="241" customWidth="1"/>
    <col min="6" max="7" width="17.140625" style="241" customWidth="1"/>
    <col min="8" max="8" width="4.5703125" style="241" customWidth="1"/>
    <col min="9" max="11" width="17.140625" style="241" customWidth="1"/>
    <col min="12" max="12" width="5.28515625" style="241" customWidth="1"/>
    <col min="13" max="15" width="17.140625" style="241" customWidth="1"/>
    <col min="16" max="16384" width="9.140625" style="241"/>
  </cols>
  <sheetData>
    <row r="1" spans="1:5" ht="15.75" thickBot="1">
      <c r="A1" s="1813" t="s">
        <v>873</v>
      </c>
      <c r="B1" s="1814"/>
    </row>
    <row r="2" spans="1:5">
      <c r="A2" s="242" t="s">
        <v>874</v>
      </c>
      <c r="B2" s="243" t="s">
        <v>875</v>
      </c>
    </row>
    <row r="3" spans="1:5">
      <c r="A3" s="244" t="s">
        <v>876</v>
      </c>
      <c r="B3" s="245">
        <v>1.6</v>
      </c>
    </row>
    <row r="4" spans="1:5">
      <c r="A4" s="244" t="s">
        <v>877</v>
      </c>
      <c r="B4" s="245">
        <v>1</v>
      </c>
    </row>
    <row r="5" spans="1:5">
      <c r="A5" s="244" t="s">
        <v>878</v>
      </c>
      <c r="B5" s="245">
        <f>'Water Savings'!D19</f>
        <v>2.2000000000000002</v>
      </c>
    </row>
    <row r="6" spans="1:5">
      <c r="A6" s="244" t="s">
        <v>879</v>
      </c>
      <c r="B6" s="245">
        <f>'Water Savings'!D20</f>
        <v>2.2000000000000002</v>
      </c>
    </row>
    <row r="7" spans="1:5" ht="15.75" thickBot="1">
      <c r="A7" s="246" t="s">
        <v>880</v>
      </c>
      <c r="B7" s="245">
        <f>'Water Savings'!D21</f>
        <v>2.2000000000000002</v>
      </c>
    </row>
    <row r="9" spans="1:5" ht="15.75" thickBot="1"/>
    <row r="10" spans="1:5" ht="15.75" thickBot="1">
      <c r="A10" s="1813" t="s">
        <v>881</v>
      </c>
      <c r="B10" s="1820"/>
      <c r="C10" s="1820"/>
      <c r="D10" s="1820"/>
      <c r="E10" s="1814"/>
    </row>
    <row r="11" spans="1:5">
      <c r="A11" s="1815" t="s">
        <v>882</v>
      </c>
      <c r="B11" s="1817" t="s">
        <v>883</v>
      </c>
      <c r="C11" s="1818"/>
      <c r="D11" s="1819"/>
      <c r="E11" s="994" t="s">
        <v>884</v>
      </c>
    </row>
    <row r="12" spans="1:5">
      <c r="A12" s="1816"/>
      <c r="B12" s="993" t="s">
        <v>3540</v>
      </c>
      <c r="C12" s="990" t="s">
        <v>3542</v>
      </c>
      <c r="D12" s="990" t="s">
        <v>3543</v>
      </c>
      <c r="E12" s="243"/>
    </row>
    <row r="13" spans="1:5">
      <c r="A13" s="247" t="s">
        <v>1197</v>
      </c>
      <c r="B13" s="248" t="s">
        <v>885</v>
      </c>
      <c r="C13" s="991"/>
      <c r="D13" s="991"/>
      <c r="E13" s="249">
        <v>5</v>
      </c>
    </row>
    <row r="14" spans="1:5" ht="15.75" thickBot="1">
      <c r="A14" s="999" t="s">
        <v>1198</v>
      </c>
      <c r="B14" s="1000" t="s">
        <v>885</v>
      </c>
      <c r="C14" s="1001"/>
      <c r="D14" s="1001"/>
      <c r="E14" s="1002" t="s">
        <v>885</v>
      </c>
    </row>
    <row r="15" spans="1:5" ht="16.5" thickTop="1" thickBot="1">
      <c r="A15" s="1003" t="s">
        <v>3901</v>
      </c>
      <c r="B15" s="1004">
        <v>12</v>
      </c>
      <c r="C15" s="1005">
        <v>25</v>
      </c>
      <c r="D15" s="1005">
        <v>44</v>
      </c>
      <c r="E15" s="1006"/>
    </row>
    <row r="16" spans="1:5" ht="15.75" thickTop="1">
      <c r="A16" s="995" t="s">
        <v>870</v>
      </c>
      <c r="B16" s="996">
        <v>150</v>
      </c>
      <c r="C16" s="997">
        <v>300</v>
      </c>
      <c r="D16" s="997">
        <v>600</v>
      </c>
      <c r="E16" s="998">
        <v>1</v>
      </c>
    </row>
    <row r="17" spans="1:15">
      <c r="A17" s="247" t="s">
        <v>871</v>
      </c>
      <c r="B17" s="248">
        <v>8</v>
      </c>
      <c r="C17" s="991">
        <v>15</v>
      </c>
      <c r="D17" s="991">
        <v>30</v>
      </c>
      <c r="E17" s="249">
        <v>5</v>
      </c>
    </row>
    <row r="18" spans="1:15" ht="15.75" thickBot="1">
      <c r="A18" s="250" t="s">
        <v>872</v>
      </c>
      <c r="B18" s="251">
        <v>30</v>
      </c>
      <c r="C18" s="992">
        <v>60</v>
      </c>
      <c r="D18" s="992">
        <v>80</v>
      </c>
      <c r="E18" s="252">
        <v>4</v>
      </c>
    </row>
    <row r="20" spans="1:15" ht="15.75" thickBot="1">
      <c r="E20" s="1800" t="s">
        <v>4092</v>
      </c>
      <c r="F20" s="1800"/>
      <c r="G20" s="1800"/>
      <c r="H20" s="1800"/>
      <c r="I20" s="1800" t="s">
        <v>4094</v>
      </c>
      <c r="J20" s="1800"/>
      <c r="K20" s="1800"/>
      <c r="L20" s="1800"/>
      <c r="M20" s="1800" t="s">
        <v>4095</v>
      </c>
    </row>
    <row r="21" spans="1:15" ht="15.75" thickBot="1">
      <c r="A21" s="479" t="s">
        <v>3844</v>
      </c>
      <c r="B21" s="883" t="s">
        <v>2685</v>
      </c>
      <c r="C21" s="884" t="s">
        <v>2684</v>
      </c>
      <c r="E21" s="479" t="s">
        <v>3844</v>
      </c>
      <c r="F21" s="883" t="s">
        <v>2685</v>
      </c>
      <c r="G21" s="884" t="s">
        <v>2684</v>
      </c>
      <c r="I21" s="479" t="s">
        <v>3844</v>
      </c>
      <c r="J21" s="883" t="s">
        <v>2685</v>
      </c>
      <c r="K21" s="884" t="s">
        <v>2684</v>
      </c>
      <c r="M21" s="479" t="s">
        <v>3844</v>
      </c>
      <c r="N21" s="883" t="s">
        <v>2685</v>
      </c>
      <c r="O21" s="884" t="s">
        <v>2684</v>
      </c>
    </row>
    <row r="22" spans="1:15" ht="15.75" thickBot="1">
      <c r="A22" s="497" t="s">
        <v>3757</v>
      </c>
      <c r="B22" s="882">
        <f>IF('Basic Info'!$C$40="V6.1",'Tables of Values'!F22,IF('Basic Info'!$C$40="V6.2",'Tables of Values'!J22,IF('Basic Info'!$C$40="V6.3",'Tables of Values'!N22,"")))</f>
        <v>250</v>
      </c>
      <c r="C22" s="882">
        <f>IF('Basic Info'!$C$40="V6.1",'Tables of Values'!G22,IF('Basic Info'!$C$40="V6.2",'Tables of Values'!K22,IF('Basic Info'!$C$40="V6.3",'Tables of Values'!O22,"")))</f>
        <v>175</v>
      </c>
      <c r="E22" s="497" t="s">
        <v>3757</v>
      </c>
      <c r="F22" s="882">
        <v>250</v>
      </c>
      <c r="G22" s="885">
        <v>175</v>
      </c>
      <c r="I22" s="497" t="s">
        <v>3757</v>
      </c>
      <c r="J22" s="882">
        <f>900/4</f>
        <v>225</v>
      </c>
      <c r="K22" s="885">
        <f>500/4</f>
        <v>125</v>
      </c>
      <c r="M22" s="497" t="s">
        <v>3757</v>
      </c>
      <c r="N22" s="882">
        <f>700/4</f>
        <v>175</v>
      </c>
      <c r="O22" s="885">
        <f>300/4</f>
        <v>75</v>
      </c>
    </row>
    <row r="23" spans="1:15" ht="15.75" thickBot="1">
      <c r="A23" s="497" t="s">
        <v>3758</v>
      </c>
      <c r="B23" s="882">
        <f>IF('Basic Info'!$C$40="V6.1",'Tables of Values'!F23,IF('Basic Info'!$C$40="V6.2",'Tables of Values'!J23,IF('Basic Info'!$C$40="V6.3",'Tables of Values'!N23,"")))</f>
        <v>250</v>
      </c>
      <c r="C23" s="882">
        <f>IF('Basic Info'!$C$40="V6.1",'Tables of Values'!G23,IF('Basic Info'!$C$40="V6.2",'Tables of Values'!K23,IF('Basic Info'!$C$40="V6.3",'Tables of Values'!O23,"")))</f>
        <v>175</v>
      </c>
      <c r="E23" s="497" t="s">
        <v>3758</v>
      </c>
      <c r="F23" s="882">
        <v>250</v>
      </c>
      <c r="G23" s="885">
        <v>175</v>
      </c>
      <c r="I23" s="497" t="s">
        <v>3758</v>
      </c>
      <c r="J23" s="882">
        <f>900/4</f>
        <v>225</v>
      </c>
      <c r="K23" s="885">
        <f>500/4</f>
        <v>125</v>
      </c>
      <c r="M23" s="497" t="s">
        <v>3758</v>
      </c>
      <c r="N23" s="882">
        <f>700/4</f>
        <v>175</v>
      </c>
      <c r="O23" s="885">
        <f>300/4</f>
        <v>75</v>
      </c>
    </row>
    <row r="24" spans="1:15" ht="15.75" thickBot="1">
      <c r="A24" s="497" t="s">
        <v>3759</v>
      </c>
      <c r="B24" s="882">
        <f>IF('Basic Info'!$C$40="V6.1",'Tables of Values'!F24,IF('Basic Info'!$C$40="V6.2",'Tables of Values'!J24,IF('Basic Info'!$C$40="V6.3",'Tables of Values'!N24,"")))</f>
        <v>500</v>
      </c>
      <c r="C24" s="882">
        <f>IF('Basic Info'!$C$40="V6.1",'Tables of Values'!G24,IF('Basic Info'!$C$40="V6.2",'Tables of Values'!K24,IF('Basic Info'!$C$40="V6.3",'Tables of Values'!O24,"")))</f>
        <v>350</v>
      </c>
      <c r="E24" s="497" t="s">
        <v>3759</v>
      </c>
      <c r="F24" s="882">
        <v>500</v>
      </c>
      <c r="G24" s="885">
        <v>350</v>
      </c>
      <c r="I24" s="497" t="s">
        <v>3759</v>
      </c>
      <c r="J24" s="882">
        <f>900/2</f>
        <v>450</v>
      </c>
      <c r="K24" s="885">
        <f>500/2</f>
        <v>250</v>
      </c>
      <c r="M24" s="497" t="s">
        <v>3759</v>
      </c>
      <c r="N24" s="882">
        <f>700/2</f>
        <v>350</v>
      </c>
      <c r="O24" s="885">
        <f>300/2</f>
        <v>150</v>
      </c>
    </row>
    <row r="25" spans="1:15" ht="15.75" thickBot="1">
      <c r="A25" s="497" t="s">
        <v>3760</v>
      </c>
      <c r="B25" s="882">
        <f>IF('Basic Info'!$C$40="V6.1",'Tables of Values'!F25,IF('Basic Info'!$C$40="V6.2",'Tables of Values'!J25,IF('Basic Info'!$C$40="V6.3",'Tables of Values'!N25,"")))</f>
        <v>1000</v>
      </c>
      <c r="C25" s="882">
        <f>IF('Basic Info'!$C$40="V6.1",'Tables of Values'!G25,IF('Basic Info'!$C$40="V6.2",'Tables of Values'!K25,IF('Basic Info'!$C$40="V6.3",'Tables of Values'!O25,"")))</f>
        <v>700</v>
      </c>
      <c r="E25" s="497" t="s">
        <v>3760</v>
      </c>
      <c r="F25" s="882">
        <f>SUM(F22:F24)</f>
        <v>1000</v>
      </c>
      <c r="G25" s="885">
        <f>SUM(G22:G24)</f>
        <v>700</v>
      </c>
      <c r="I25" s="497" t="s">
        <v>3760</v>
      </c>
      <c r="J25" s="882">
        <f>SUM(J22:J24)</f>
        <v>900</v>
      </c>
      <c r="K25" s="885">
        <f>SUM(K22:K24)</f>
        <v>500</v>
      </c>
      <c r="M25" s="497" t="s">
        <v>3760</v>
      </c>
      <c r="N25" s="882">
        <f>SUM(N22:N24)</f>
        <v>700</v>
      </c>
      <c r="O25" s="885">
        <f>SUM(O22:O24)</f>
        <v>300</v>
      </c>
    </row>
    <row r="26" spans="1:15" ht="15.75" thickBot="1"/>
    <row r="27" spans="1:15" ht="15.75" thickBot="1">
      <c r="A27" s="479" t="s">
        <v>3843</v>
      </c>
      <c r="B27" s="883" t="s">
        <v>2685</v>
      </c>
      <c r="C27" s="884" t="s">
        <v>2684</v>
      </c>
      <c r="E27" s="479" t="s">
        <v>3843</v>
      </c>
      <c r="F27" s="883" t="s">
        <v>2685</v>
      </c>
      <c r="G27" s="884" t="s">
        <v>2684</v>
      </c>
      <c r="I27" s="479" t="s">
        <v>3843</v>
      </c>
      <c r="J27" s="883" t="s">
        <v>2685</v>
      </c>
      <c r="K27" s="884" t="s">
        <v>2684</v>
      </c>
      <c r="M27" s="479" t="s">
        <v>3843</v>
      </c>
      <c r="N27" s="883" t="s">
        <v>2685</v>
      </c>
      <c r="O27" s="884" t="s">
        <v>2684</v>
      </c>
    </row>
    <row r="28" spans="1:15" ht="15.75" thickBot="1">
      <c r="A28" s="497" t="s">
        <v>3757</v>
      </c>
      <c r="B28" s="882">
        <f>IF('Basic Info'!$C$40="V6.1",'Tables of Values'!F28,IF('Basic Info'!$C$40="V6.2",'Tables of Values'!J28,IF('Basic Info'!$C$40="V6.3",'Tables of Values'!N28,"")))</f>
        <v>170</v>
      </c>
      <c r="C28" s="882">
        <f>IF('Basic Info'!$C$40="V6.1",'Tables of Values'!G28,IF('Basic Info'!$C$40="V6.2",'Tables of Values'!K28,IF('Basic Info'!$C$40="V6.3",'Tables of Values'!O28,"")))</f>
        <v>120</v>
      </c>
      <c r="E28" s="497" t="s">
        <v>3757</v>
      </c>
      <c r="F28" s="882">
        <v>170</v>
      </c>
      <c r="G28" s="885">
        <v>120</v>
      </c>
      <c r="I28" s="497" t="s">
        <v>3757</v>
      </c>
      <c r="J28" s="882">
        <f>900/6</f>
        <v>150</v>
      </c>
      <c r="K28" s="885">
        <v>75</v>
      </c>
      <c r="M28" s="497" t="s">
        <v>3757</v>
      </c>
      <c r="N28" s="882">
        <v>120</v>
      </c>
      <c r="O28" s="885">
        <f>300/6</f>
        <v>50</v>
      </c>
    </row>
    <row r="29" spans="1:15" ht="15.75" thickBot="1">
      <c r="A29" s="497" t="s">
        <v>3758</v>
      </c>
      <c r="B29" s="882">
        <f>IF('Basic Info'!$C$40="V6.1",'Tables of Values'!F29,IF('Basic Info'!$C$40="V6.2",'Tables of Values'!J29,IF('Basic Info'!$C$40="V6.3",'Tables of Values'!N29,"")))</f>
        <v>330</v>
      </c>
      <c r="C29" s="882">
        <f>IF('Basic Info'!$C$40="V6.1",'Tables of Values'!G29,IF('Basic Info'!$C$40="V6.2",'Tables of Values'!K29,IF('Basic Info'!$C$40="V6.3",'Tables of Values'!O29,"")))</f>
        <v>230</v>
      </c>
      <c r="E29" s="497" t="s">
        <v>3758</v>
      </c>
      <c r="F29" s="882">
        <v>330</v>
      </c>
      <c r="G29" s="885">
        <v>230</v>
      </c>
      <c r="I29" s="497" t="s">
        <v>3758</v>
      </c>
      <c r="J29" s="882">
        <f>900/3</f>
        <v>300</v>
      </c>
      <c r="K29" s="885">
        <v>175</v>
      </c>
      <c r="M29" s="497" t="s">
        <v>3758</v>
      </c>
      <c r="N29" s="882">
        <v>230</v>
      </c>
      <c r="O29" s="885">
        <f>300/3</f>
        <v>100</v>
      </c>
    </row>
    <row r="30" spans="1:15" ht="15.75" thickBot="1">
      <c r="A30" s="497" t="s">
        <v>3759</v>
      </c>
      <c r="B30" s="882">
        <f>IF('Basic Info'!$C$40="V6.1",'Tables of Values'!F30,IF('Basic Info'!$C$40="V6.2",'Tables of Values'!J30,IF('Basic Info'!$C$40="V6.3",'Tables of Values'!N30,"")))</f>
        <v>500</v>
      </c>
      <c r="C30" s="882">
        <f>IF('Basic Info'!$C$40="V6.1",'Tables of Values'!G30,IF('Basic Info'!$C$40="V6.2",'Tables of Values'!K30,IF('Basic Info'!$C$40="V6.3",'Tables of Values'!O30,"")))</f>
        <v>350</v>
      </c>
      <c r="E30" s="497" t="s">
        <v>3759</v>
      </c>
      <c r="F30" s="882">
        <v>500</v>
      </c>
      <c r="G30" s="885">
        <v>350</v>
      </c>
      <c r="I30" s="497" t="s">
        <v>3759</v>
      </c>
      <c r="J30" s="882">
        <f>900/2</f>
        <v>450</v>
      </c>
      <c r="K30" s="885">
        <f>500/2</f>
        <v>250</v>
      </c>
      <c r="M30" s="497" t="s">
        <v>3759</v>
      </c>
      <c r="N30" s="882">
        <f>700/2</f>
        <v>350</v>
      </c>
      <c r="O30" s="885">
        <f>300/2</f>
        <v>150</v>
      </c>
    </row>
    <row r="31" spans="1:15" ht="15.75" thickBot="1">
      <c r="A31" s="497" t="s">
        <v>3760</v>
      </c>
      <c r="B31" s="882">
        <f>IF('Basic Info'!$C$40="V6.1",'Tables of Values'!F31,IF('Basic Info'!$C$40="V6.2",'Tables of Values'!J31,IF('Basic Info'!$C$40="V6.3",'Tables of Values'!N31,"")))</f>
        <v>1000</v>
      </c>
      <c r="C31" s="882">
        <f>IF('Basic Info'!$C$40="V6.1",'Tables of Values'!G31,IF('Basic Info'!$C$40="V6.2",'Tables of Values'!K31,IF('Basic Info'!$C$40="V6.3",'Tables of Values'!O31,"")))</f>
        <v>700</v>
      </c>
      <c r="E31" s="497" t="s">
        <v>3760</v>
      </c>
      <c r="F31" s="882">
        <f>SUM(F28:F30)</f>
        <v>1000</v>
      </c>
      <c r="G31" s="885">
        <f>SUM(G28:G30)</f>
        <v>700</v>
      </c>
      <c r="I31" s="497" t="s">
        <v>3760</v>
      </c>
      <c r="J31" s="882">
        <f>SUM(J28:J30)</f>
        <v>900</v>
      </c>
      <c r="K31" s="885">
        <f>SUM(K28:K30)</f>
        <v>500</v>
      </c>
      <c r="M31" s="497" t="s">
        <v>3760</v>
      </c>
      <c r="N31" s="882">
        <f>SUM(N28:N30)</f>
        <v>700</v>
      </c>
      <c r="O31" s="885">
        <f>SUM(O28:O30)</f>
        <v>300</v>
      </c>
    </row>
  </sheetData>
  <mergeCells count="4">
    <mergeCell ref="A1:B1"/>
    <mergeCell ref="A11:A12"/>
    <mergeCell ref="B11:D11"/>
    <mergeCell ref="A10:E10"/>
  </mergeCells>
  <phoneticPr fontId="4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0" tint="-0.249977111117893"/>
    <pageSetUpPr fitToPage="1"/>
  </sheetPr>
  <dimension ref="A1:G90"/>
  <sheetViews>
    <sheetView showGridLines="0" zoomScaleNormal="100" workbookViewId="0">
      <selection activeCell="C5" sqref="C5"/>
    </sheetView>
  </sheetViews>
  <sheetFormatPr defaultRowHeight="12"/>
  <cols>
    <col min="1" max="1" width="3" style="1028" customWidth="1"/>
    <col min="2" max="2" width="35.42578125" style="1028" customWidth="1"/>
    <col min="3" max="3" width="19.42578125" style="1028" bestFit="1" customWidth="1"/>
    <col min="4" max="4" width="23.140625" style="1028" customWidth="1"/>
    <col min="5" max="5" width="32.5703125" style="1028" customWidth="1"/>
    <col min="6" max="6" width="41.85546875" style="1028" customWidth="1"/>
    <col min="7" max="7" width="33.42578125" style="1028" customWidth="1"/>
    <col min="8" max="8" width="9.140625" style="1028"/>
    <col min="9" max="10" width="9.140625" style="1028" customWidth="1"/>
    <col min="11" max="16384" width="9.140625" style="1028"/>
  </cols>
  <sheetData>
    <row r="1" spans="2:6" ht="18.75">
      <c r="B1" s="1053" t="s">
        <v>888</v>
      </c>
    </row>
    <row r="3" spans="2:6">
      <c r="B3" s="1054"/>
      <c r="C3" s="825" t="s">
        <v>3015</v>
      </c>
    </row>
    <row r="4" spans="2:6">
      <c r="B4" s="1055" t="s">
        <v>1256</v>
      </c>
      <c r="C4" s="523"/>
    </row>
    <row r="5" spans="2:6">
      <c r="B5" s="1055" t="s">
        <v>1257</v>
      </c>
      <c r="C5" s="523"/>
      <c r="F5" s="1030"/>
    </row>
    <row r="6" spans="2:6">
      <c r="B6" s="1055" t="s">
        <v>1258</v>
      </c>
      <c r="C6" s="523"/>
      <c r="F6" s="1031"/>
    </row>
    <row r="7" spans="2:6">
      <c r="B7" s="1055" t="s">
        <v>19</v>
      </c>
      <c r="C7" s="523"/>
      <c r="E7" s="1031"/>
    </row>
    <row r="8" spans="2:6">
      <c r="B8" s="1055" t="s">
        <v>20</v>
      </c>
      <c r="C8" s="523"/>
      <c r="E8" s="1031"/>
    </row>
    <row r="9" spans="2:6">
      <c r="C9" s="1028" t="s">
        <v>701</v>
      </c>
    </row>
    <row r="10" spans="2:6">
      <c r="B10" s="825" t="s">
        <v>1259</v>
      </c>
      <c r="C10" s="825" t="s">
        <v>21</v>
      </c>
      <c r="D10" s="825" t="s">
        <v>22</v>
      </c>
      <c r="E10" s="1032"/>
      <c r="F10" s="1033"/>
    </row>
    <row r="11" spans="2:6" ht="12.75" customHeight="1">
      <c r="B11" s="1056" t="s">
        <v>17</v>
      </c>
      <c r="C11" s="523"/>
      <c r="D11" s="523" t="s">
        <v>2651</v>
      </c>
      <c r="E11" s="1050" t="str">
        <f>IF(AND(C11&lt;&gt;0,D11="N/A"),Lookup!$A$4,"")</f>
        <v/>
      </c>
      <c r="F11" s="1051" t="str">
        <f>IF(D11="Unconditioned",Lookup!$A$2, "")</f>
        <v/>
      </c>
    </row>
    <row r="12" spans="2:6" ht="12.75" customHeight="1">
      <c r="B12" s="1056" t="s">
        <v>971</v>
      </c>
      <c r="C12" s="523"/>
      <c r="D12" s="523" t="s">
        <v>2651</v>
      </c>
      <c r="E12" s="1052" t="str">
        <f>IF(AND(C12&lt;&gt;0,D12="N/A"),Lookup!$A$4,"")</f>
        <v/>
      </c>
      <c r="F12" s="1051" t="str">
        <f>IF(D12="Unconditioned",Lookup!$A$2, "")</f>
        <v/>
      </c>
    </row>
    <row r="13" spans="2:6" ht="12.75" customHeight="1">
      <c r="B13" s="1056" t="s">
        <v>972</v>
      </c>
      <c r="C13" s="523"/>
      <c r="D13" s="523" t="s">
        <v>2651</v>
      </c>
      <c r="E13" s="1052" t="str">
        <f>IF(AND(C13&lt;&gt;0,D13="N/A"),Lookup!$A$4,"")</f>
        <v/>
      </c>
      <c r="F13" s="1051" t="str">
        <f>IF(D13="Unconditioned",Lookup!$A$2, "")</f>
        <v/>
      </c>
    </row>
    <row r="14" spans="2:6" ht="12.75" customHeight="1">
      <c r="B14" s="1056" t="s">
        <v>973</v>
      </c>
      <c r="C14" s="523"/>
      <c r="D14" s="523" t="s">
        <v>2651</v>
      </c>
      <c r="E14" s="1052" t="str">
        <f>IF(AND(C14&lt;&gt;0,D14="N/A"),Lookup!$A$4,"")</f>
        <v/>
      </c>
      <c r="F14" s="1051" t="str">
        <f>IF(D14="Unconditioned",Lookup!$A$2, "")</f>
        <v/>
      </c>
    </row>
    <row r="15" spans="2:6" ht="12.75" customHeight="1">
      <c r="B15" s="1056" t="s">
        <v>974</v>
      </c>
      <c r="C15" s="523"/>
      <c r="D15" s="523" t="s">
        <v>2651</v>
      </c>
      <c r="E15" s="1052" t="str">
        <f>IF(AND(C15&lt;&gt;0,D15="N/A"),Lookup!$A$4,"")</f>
        <v/>
      </c>
      <c r="F15" s="1051" t="str">
        <f>IF(D15="Unconditioned",Lookup!$A$2, "")</f>
        <v/>
      </c>
    </row>
    <row r="16" spans="2:6" ht="12.75" customHeight="1">
      <c r="B16" s="1056" t="s">
        <v>975</v>
      </c>
      <c r="C16" s="523"/>
      <c r="D16" s="523" t="s">
        <v>2651</v>
      </c>
      <c r="E16" s="1052" t="str">
        <f>IF(AND(C16&lt;&gt;0,D16="N/A"),Lookup!$A$4,"")</f>
        <v/>
      </c>
      <c r="F16" s="1051" t="str">
        <f>IF(D16="Unconditioned",Lookup!$A$2, "")</f>
        <v/>
      </c>
    </row>
    <row r="17" spans="1:7" ht="12.75" customHeight="1">
      <c r="B17" s="1056" t="s">
        <v>976</v>
      </c>
      <c r="C17" s="523"/>
      <c r="D17" s="523" t="s">
        <v>2651</v>
      </c>
      <c r="E17" s="1052" t="str">
        <f>IF(AND(C17&lt;&gt;0,D17="N/A"),Lookup!$A$4,"")</f>
        <v/>
      </c>
      <c r="F17" s="1051" t="str">
        <f>IF(D17="Unconditioned",Lookup!$A$2, "")</f>
        <v/>
      </c>
    </row>
    <row r="18" spans="1:7" ht="12.75" customHeight="1">
      <c r="B18" s="1056" t="s">
        <v>1196</v>
      </c>
      <c r="C18" s="523"/>
      <c r="D18" s="523" t="s">
        <v>2651</v>
      </c>
      <c r="E18" s="1052" t="str">
        <f>IF(AND(C18&lt;&gt;0,D18="N/A"),Lookup!$A$4,"")</f>
        <v/>
      </c>
      <c r="F18" s="1051" t="str">
        <f>IF(D18="Unconditioned",Lookup!$A$2, "")</f>
        <v/>
      </c>
    </row>
    <row r="19" spans="1:7" ht="12.75" customHeight="1">
      <c r="B19" s="1056" t="s">
        <v>1260</v>
      </c>
      <c r="C19" s="523"/>
      <c r="D19" s="523" t="s">
        <v>2651</v>
      </c>
      <c r="E19" s="1052" t="str">
        <f>IF(AND(C19&lt;&gt;0,D19="N/A"),Lookup!$A$4,"")</f>
        <v/>
      </c>
      <c r="F19" s="1051" t="str">
        <f>IF(D19="Unconditioned",Lookup!$A$2, "")</f>
        <v/>
      </c>
    </row>
    <row r="20" spans="1:7" ht="12.75" customHeight="1">
      <c r="B20" s="1056" t="s">
        <v>977</v>
      </c>
      <c r="C20" s="523"/>
      <c r="D20" s="523" t="s">
        <v>2651</v>
      </c>
      <c r="E20" s="1052" t="str">
        <f>IF(AND(C20&lt;&gt;0,D20="N/A"),Lookup!$A$4,"")</f>
        <v/>
      </c>
      <c r="F20" s="1051" t="str">
        <f>IF(D20="Unconditioned",Lookup!$A$2, "")</f>
        <v/>
      </c>
      <c r="G20" s="1035"/>
    </row>
    <row r="21" spans="1:7" ht="12.75" customHeight="1">
      <c r="B21" s="1056" t="s">
        <v>978</v>
      </c>
      <c r="C21" s="523"/>
      <c r="D21" s="523" t="s">
        <v>2651</v>
      </c>
      <c r="E21" s="1052" t="str">
        <f>IF(AND(C21&lt;&gt;0,D21="N/A"),Lookup!$A$4,"")</f>
        <v/>
      </c>
      <c r="F21" s="1051" t="str">
        <f>IF(D21="Unconditioned",Lookup!$A$2, "")</f>
        <v/>
      </c>
    </row>
    <row r="22" spans="1:7" ht="12.75" customHeight="1">
      <c r="B22" s="1056" t="s">
        <v>3703</v>
      </c>
      <c r="C22" s="523"/>
      <c r="D22" s="523" t="s">
        <v>2651</v>
      </c>
      <c r="E22" s="1052" t="str">
        <f>IF(AND(C22&lt;&gt;0,D22="N/A"),Lookup!$A$4,"")</f>
        <v/>
      </c>
      <c r="F22" s="1051" t="str">
        <f>IF(D22="Unconditioned",Lookup!$A$2, "")</f>
        <v/>
      </c>
    </row>
    <row r="23" spans="1:7" ht="12.75" customHeight="1">
      <c r="B23" s="1056" t="s">
        <v>3704</v>
      </c>
      <c r="C23" s="523"/>
      <c r="D23" s="523" t="s">
        <v>2651</v>
      </c>
      <c r="E23" s="1052" t="str">
        <f>IF(AND(C23&lt;&gt;0,D23="N/A"),Lookup!$A$4,"")</f>
        <v/>
      </c>
      <c r="F23" s="1051" t="str">
        <f>IF(D23="Unconditioned",Lookup!$A$2, "")</f>
        <v/>
      </c>
    </row>
    <row r="24" spans="1:7" ht="12.75" customHeight="1">
      <c r="B24" s="1056" t="s">
        <v>979</v>
      </c>
      <c r="C24" s="523"/>
      <c r="D24" s="523" t="s">
        <v>2651</v>
      </c>
      <c r="E24" s="1052" t="str">
        <f>IF(AND(C24&lt;&gt;0,D24="N/A"),Lookup!$A$4,"")</f>
        <v/>
      </c>
      <c r="F24" s="1051" t="str">
        <f>IF(OR(D24="Heated-Only",D24="Heated &amp; Cooled")=TRUE,Lookup!A3,"")</f>
        <v/>
      </c>
    </row>
    <row r="25" spans="1:7" ht="12.75" customHeight="1">
      <c r="A25" s="1033"/>
      <c r="B25" s="1056" t="s">
        <v>2572</v>
      </c>
      <c r="C25" s="523"/>
      <c r="D25" s="523" t="s">
        <v>2651</v>
      </c>
      <c r="E25" s="1052" t="str">
        <f>IF(AND(C25&lt;&gt;0,D25="N/A"),Lookup!$A$4,"")</f>
        <v/>
      </c>
      <c r="F25" s="1051" t="str">
        <f>IF(D25="Unconditioned",Lookup!$A$2, "")</f>
        <v/>
      </c>
    </row>
    <row r="26" spans="1:7">
      <c r="B26" s="1056" t="s">
        <v>2662</v>
      </c>
      <c r="C26" s="1057">
        <f>SUM(C11:C24)</f>
        <v>0</v>
      </c>
      <c r="D26" s="1036"/>
      <c r="E26" s="1033"/>
      <c r="F26" s="1033"/>
    </row>
    <row r="27" spans="1:7">
      <c r="B27" s="1056" t="s">
        <v>3690</v>
      </c>
      <c r="C27" s="1057">
        <f>'GHSF Calculator'!E18</f>
        <v>0</v>
      </c>
    </row>
    <row r="29" spans="1:7">
      <c r="B29" s="1055" t="s">
        <v>2256</v>
      </c>
      <c r="C29" s="529" t="s">
        <v>2651</v>
      </c>
    </row>
    <row r="31" spans="1:7">
      <c r="B31" s="1056" t="s">
        <v>2652</v>
      </c>
      <c r="C31" s="1824"/>
      <c r="D31" s="1824"/>
    </row>
    <row r="32" spans="1:7">
      <c r="B32" s="1056" t="s">
        <v>2788</v>
      </c>
      <c r="C32" s="1824"/>
      <c r="D32" s="1824"/>
    </row>
    <row r="33" spans="2:4">
      <c r="B33" s="1056" t="s">
        <v>2952</v>
      </c>
      <c r="C33" s="1824"/>
      <c r="D33" s="1824"/>
    </row>
    <row r="34" spans="2:4">
      <c r="B34" s="1056" t="s">
        <v>2953</v>
      </c>
      <c r="C34" s="1825"/>
      <c r="D34" s="1825"/>
    </row>
    <row r="35" spans="2:4">
      <c r="B35" s="1058" t="s">
        <v>3904</v>
      </c>
      <c r="C35" s="1824"/>
      <c r="D35" s="1824"/>
    </row>
    <row r="37" spans="2:4">
      <c r="B37" s="1056" t="s">
        <v>2789</v>
      </c>
      <c r="C37" s="1824"/>
      <c r="D37" s="1824"/>
    </row>
    <row r="38" spans="2:4">
      <c r="B38" s="1056" t="s">
        <v>3338</v>
      </c>
      <c r="C38" s="1824"/>
      <c r="D38" s="1824"/>
    </row>
    <row r="40" spans="2:4">
      <c r="B40" s="1055" t="s">
        <v>4091</v>
      </c>
      <c r="C40" s="1798" t="s">
        <v>4092</v>
      </c>
    </row>
    <row r="41" spans="2:4">
      <c r="B41" s="1055" t="s">
        <v>2658</v>
      </c>
      <c r="C41" s="529"/>
    </row>
    <row r="42" spans="2:4">
      <c r="B42" s="1055" t="s">
        <v>2664</v>
      </c>
      <c r="C42" s="529"/>
    </row>
    <row r="43" spans="2:4">
      <c r="B43" s="1055" t="s">
        <v>2849</v>
      </c>
      <c r="C43" s="530"/>
    </row>
    <row r="44" spans="2:4">
      <c r="B44" s="1056" t="s">
        <v>2689</v>
      </c>
      <c r="C44" s="529"/>
    </row>
    <row r="45" spans="2:4">
      <c r="B45" s="1056" t="s">
        <v>2682</v>
      </c>
      <c r="C45" s="529"/>
    </row>
    <row r="46" spans="2:4">
      <c r="B46" s="1056" t="s">
        <v>2850</v>
      </c>
      <c r="C46" s="529"/>
    </row>
    <row r="47" spans="2:4">
      <c r="B47" s="1056" t="s">
        <v>2851</v>
      </c>
      <c r="C47" s="529"/>
    </row>
    <row r="48" spans="2:4">
      <c r="B48" s="1056" t="s">
        <v>2855</v>
      </c>
      <c r="C48" s="529"/>
    </row>
    <row r="49" spans="2:3">
      <c r="B49" s="1056" t="s">
        <v>2790</v>
      </c>
      <c r="C49" s="529"/>
    </row>
    <row r="50" spans="2:3">
      <c r="B50" s="1056" t="s">
        <v>2791</v>
      </c>
      <c r="C50" s="529"/>
    </row>
    <row r="51" spans="2:3">
      <c r="B51" s="1056" t="s">
        <v>3334</v>
      </c>
      <c r="C51" s="529"/>
    </row>
    <row r="52" spans="2:3">
      <c r="B52" s="1056" t="s">
        <v>3335</v>
      </c>
      <c r="C52" s="529"/>
    </row>
    <row r="53" spans="2:3">
      <c r="B53" s="1056" t="s">
        <v>3336</v>
      </c>
      <c r="C53" s="529"/>
    </row>
    <row r="54" spans="2:3">
      <c r="B54" s="1056" t="s">
        <v>3337</v>
      </c>
      <c r="C54" s="529"/>
    </row>
    <row r="56" spans="2:3">
      <c r="B56" s="1056" t="s">
        <v>2779</v>
      </c>
      <c r="C56" s="529"/>
    </row>
    <row r="57" spans="2:3">
      <c r="B57" s="1056" t="s">
        <v>2697</v>
      </c>
      <c r="C57" s="1796">
        <v>0.19359999999999999</v>
      </c>
    </row>
    <row r="58" spans="2:3">
      <c r="B58" s="1056" t="s">
        <v>2698</v>
      </c>
      <c r="C58" s="1797">
        <v>1.486</v>
      </c>
    </row>
    <row r="59" spans="2:3">
      <c r="B59" s="1056" t="s">
        <v>2728</v>
      </c>
      <c r="C59" s="1025"/>
    </row>
    <row r="60" spans="2:3">
      <c r="B60" s="1056" t="s">
        <v>2729</v>
      </c>
      <c r="C60" s="1025"/>
    </row>
    <row r="61" spans="2:3">
      <c r="B61" s="1034" t="s">
        <v>2992</v>
      </c>
      <c r="C61" s="1025"/>
    </row>
    <row r="62" spans="2:3">
      <c r="B62" s="1056" t="s">
        <v>2908</v>
      </c>
      <c r="C62" s="1025"/>
    </row>
    <row r="63" spans="2:3">
      <c r="B63" s="1056" t="s">
        <v>2950</v>
      </c>
      <c r="C63" s="1025"/>
    </row>
    <row r="64" spans="2:3">
      <c r="B64" s="1056" t="s">
        <v>3241</v>
      </c>
      <c r="C64" s="1025"/>
    </row>
    <row r="66" spans="2:7">
      <c r="B66" s="1059" t="s">
        <v>2793</v>
      </c>
      <c r="C66" s="1062" t="s">
        <v>2794</v>
      </c>
      <c r="D66" s="1062" t="s">
        <v>2795</v>
      </c>
    </row>
    <row r="67" spans="2:7">
      <c r="B67" s="1060" t="s">
        <v>2796</v>
      </c>
      <c r="C67" s="530"/>
      <c r="D67" s="530"/>
    </row>
    <row r="68" spans="2:7">
      <c r="B68" s="1060" t="s">
        <v>2797</v>
      </c>
      <c r="C68" s="530"/>
      <c r="D68" s="530"/>
    </row>
    <row r="69" spans="2:7">
      <c r="B69" s="1061" t="s">
        <v>2798</v>
      </c>
      <c r="C69" s="1037"/>
      <c r="D69" s="1037"/>
    </row>
    <row r="70" spans="2:7">
      <c r="B70" s="1061" t="s">
        <v>2799</v>
      </c>
      <c r="C70" s="1037"/>
      <c r="D70" s="1037"/>
    </row>
    <row r="71" spans="2:7">
      <c r="B71" s="1061" t="s">
        <v>2800</v>
      </c>
      <c r="C71" s="1037"/>
      <c r="D71" s="1038"/>
    </row>
    <row r="74" spans="2:7">
      <c r="B74" s="1059" t="s">
        <v>2951</v>
      </c>
      <c r="C74" s="1064" t="s">
        <v>2678</v>
      </c>
      <c r="D74" s="1064" t="s">
        <v>2679</v>
      </c>
      <c r="E74" s="1064" t="s">
        <v>2792</v>
      </c>
      <c r="F74" s="1064" t="s">
        <v>2680</v>
      </c>
      <c r="G74" s="1064" t="s">
        <v>2681</v>
      </c>
    </row>
    <row r="75" spans="2:7">
      <c r="B75" s="1063" t="s">
        <v>3163</v>
      </c>
      <c r="C75" s="643"/>
      <c r="D75" s="643"/>
      <c r="E75" s="643"/>
      <c r="F75" s="1039"/>
      <c r="G75" s="643"/>
    </row>
    <row r="76" spans="2:7">
      <c r="B76" s="1063" t="s">
        <v>3339</v>
      </c>
      <c r="C76" s="643"/>
      <c r="D76" s="643"/>
      <c r="E76" s="643"/>
      <c r="F76" s="1039"/>
      <c r="G76" s="643"/>
    </row>
    <row r="78" spans="2:7">
      <c r="B78" s="1821" t="s">
        <v>3846</v>
      </c>
      <c r="C78" s="1822"/>
      <c r="D78" s="1822"/>
      <c r="E78" s="1822"/>
      <c r="F78" s="1822"/>
      <c r="G78" s="1823"/>
    </row>
    <row r="79" spans="2:7">
      <c r="B79" s="1040"/>
      <c r="C79" s="1041"/>
      <c r="D79" s="1041"/>
      <c r="E79" s="1041"/>
      <c r="F79" s="1041"/>
      <c r="G79" s="1042"/>
    </row>
    <row r="80" spans="2:7">
      <c r="B80" s="1043"/>
      <c r="C80" s="1044"/>
      <c r="D80" s="1044"/>
      <c r="E80" s="1044"/>
      <c r="F80" s="1044"/>
      <c r="G80" s="1045"/>
    </row>
    <row r="81" spans="2:7">
      <c r="B81" s="1046"/>
      <c r="C81" s="1044"/>
      <c r="D81" s="1044"/>
      <c r="E81" s="1044"/>
      <c r="F81" s="1044"/>
      <c r="G81" s="1045"/>
    </row>
    <row r="82" spans="2:7">
      <c r="B82" s="1046"/>
      <c r="C82" s="1044"/>
      <c r="D82" s="1044"/>
      <c r="E82" s="1044"/>
      <c r="F82" s="1044"/>
      <c r="G82" s="1045"/>
    </row>
    <row r="83" spans="2:7">
      <c r="B83" s="1047"/>
      <c r="C83" s="1048"/>
      <c r="D83" s="1048"/>
      <c r="E83" s="1048"/>
      <c r="F83" s="1048"/>
      <c r="G83" s="1049"/>
    </row>
    <row r="85" spans="2:7">
      <c r="B85" s="1821" t="s">
        <v>3845</v>
      </c>
      <c r="C85" s="1822"/>
      <c r="D85" s="1822"/>
      <c r="E85" s="1822"/>
      <c r="F85" s="1822"/>
      <c r="G85" s="1823"/>
    </row>
    <row r="86" spans="2:7">
      <c r="B86" s="1040"/>
      <c r="C86" s="1041"/>
      <c r="D86" s="1041"/>
      <c r="E86" s="1041"/>
      <c r="F86" s="1041"/>
      <c r="G86" s="1042"/>
    </row>
    <row r="87" spans="2:7">
      <c r="B87" s="1043"/>
      <c r="C87" s="1044"/>
      <c r="D87" s="1044"/>
      <c r="E87" s="1044"/>
      <c r="F87" s="1044"/>
      <c r="G87" s="1045"/>
    </row>
    <row r="88" spans="2:7">
      <c r="B88" s="1046"/>
      <c r="C88" s="1044"/>
      <c r="D88" s="1044"/>
      <c r="E88" s="1044"/>
      <c r="F88" s="1044"/>
      <c r="G88" s="1045"/>
    </row>
    <row r="89" spans="2:7">
      <c r="B89" s="1046"/>
      <c r="C89" s="1044"/>
      <c r="D89" s="1044"/>
      <c r="E89" s="1044"/>
      <c r="F89" s="1044"/>
      <c r="G89" s="1045"/>
    </row>
    <row r="90" spans="2:7">
      <c r="B90" s="1047"/>
      <c r="C90" s="1048"/>
      <c r="D90" s="1048"/>
      <c r="E90" s="1048"/>
      <c r="F90" s="1048"/>
      <c r="G90" s="1049"/>
    </row>
  </sheetData>
  <sheetProtection sheet="1" objects="1" scenarios="1" formatCells="0" insertRows="0"/>
  <mergeCells count="9">
    <mergeCell ref="B78:G78"/>
    <mergeCell ref="B85:G85"/>
    <mergeCell ref="C38:D38"/>
    <mergeCell ref="C31:D31"/>
    <mergeCell ref="C32:D32"/>
    <mergeCell ref="C33:D33"/>
    <mergeCell ref="C37:D37"/>
    <mergeCell ref="C34:D34"/>
    <mergeCell ref="C35:D35"/>
  </mergeCells>
  <phoneticPr fontId="32" type="noConversion"/>
  <dataValidations xWindow="464" yWindow="322" count="15">
    <dataValidation type="list" allowBlank="1" showInputMessage="1" showErrorMessage="1" sqref="C56">
      <formula1>"Please Select, 4, 5, 6"</formula1>
    </dataValidation>
    <dataValidation type="list" allowBlank="1" showInputMessage="1" showErrorMessage="1" sqref="C49:C50">
      <formula1>fuel</formula1>
    </dataValidation>
    <dataValidation type="list" allowBlank="1" showInputMessage="1" showErrorMessage="1" sqref="C54">
      <formula1>"Whole-building, unit-by-unit, mixed"</formula1>
    </dataValidation>
    <dataValidation type="list" allowBlank="1" showInputMessage="1" showErrorMessage="1" sqref="C62">
      <formula1>Utility</formula1>
    </dataValidation>
    <dataValidation type="list" allowBlank="1" showInputMessage="1" showErrorMessage="1" sqref="C63">
      <formula1>GasUtility</formula1>
    </dataValidation>
    <dataValidation type="list" allowBlank="1" showInputMessage="1" showErrorMessage="1" sqref="C45">
      <formula1>construction</formula1>
    </dataValidation>
    <dataValidation type="list" allowBlank="1" showInputMessage="1" showErrorMessage="1" sqref="C41">
      <formula1>Milestone</formula1>
    </dataValidation>
    <dataValidation type="list" allowBlank="1" showInputMessage="1" showErrorMessage="1" sqref="C42">
      <formula1>Rev</formula1>
    </dataValidation>
    <dataValidation type="list" allowBlank="1" showInputMessage="1" showErrorMessage="1" sqref="C44">
      <formula1>Income</formula1>
    </dataValidation>
    <dataValidation type="list" allowBlank="1" showInputMessage="1" showErrorMessage="1" sqref="C29">
      <formula1>Garage</formula1>
    </dataValidation>
    <dataValidation type="list" allowBlank="1" showInputMessage="1" showErrorMessage="1" sqref="D11:D25">
      <formula1>Condition</formula1>
    </dataValidation>
    <dataValidation type="list" allowBlank="1" showInputMessage="1" showErrorMessage="1" sqref="C64">
      <formula1>"Yes,No"</formula1>
    </dataValidation>
    <dataValidation type="list" allowBlank="1" showInputMessage="1" showErrorMessage="1" sqref="C52:C53">
      <formula1>"Whole-building, Unit-by-unit, Mixed, None installed"</formula1>
    </dataValidation>
    <dataValidation type="list" allowBlank="1" showInputMessage="1" showErrorMessage="1" sqref="C51">
      <formula1>"Whole-building, Unit-by-unit, Mixed"</formula1>
    </dataValidation>
    <dataValidation type="list" allowBlank="1" showInputMessage="1" showErrorMessage="1" sqref="C40">
      <formula1>"V6.1, V6.2, V6.3"</formula1>
    </dataValidation>
  </dataValidations>
  <printOptions gridLines="1"/>
  <pageMargins left="0.75" right="0.75" top="1" bottom="1" header="0.5" footer="0.5"/>
  <pageSetup scale="53" orientation="landscape" r:id="rId1"/>
  <headerFooter alignWithMargins="0"/>
  <cellWatches>
    <cellWatch r="C71"/>
  </cellWatches>
  <ignoredErrors>
    <ignoredError sqref="F24" formula="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0" tint="-0.249977111117893"/>
  </sheetPr>
  <dimension ref="A1:AB179"/>
  <sheetViews>
    <sheetView showGridLines="0" topLeftCell="A124" zoomScaleNormal="100" workbookViewId="0">
      <selection activeCell="D140" sqref="D140"/>
    </sheetView>
  </sheetViews>
  <sheetFormatPr defaultRowHeight="12"/>
  <cols>
    <col min="1" max="1" width="2.5703125" style="1065" customWidth="1"/>
    <col min="2" max="2" width="38.5703125" style="1065" customWidth="1"/>
    <col min="3" max="3" width="7.7109375" style="1068" customWidth="1"/>
    <col min="4" max="4" width="36.42578125" style="1065" customWidth="1"/>
    <col min="5" max="6" width="24.140625" style="1065" customWidth="1"/>
    <col min="7" max="7" width="22.7109375" style="1065" customWidth="1"/>
    <col min="8" max="8" width="11.42578125" style="1065" bestFit="1" customWidth="1"/>
    <col min="9" max="9" width="12.140625" style="1065" customWidth="1"/>
    <col min="10" max="10" width="13.28515625" style="1065" customWidth="1"/>
    <col min="11" max="11" width="10.85546875" style="1065" customWidth="1"/>
    <col min="12" max="24" width="9.140625" style="1065"/>
    <col min="25" max="28" width="9.140625" style="1065" customWidth="1"/>
    <col min="29" max="16384" width="9.140625" style="1065"/>
  </cols>
  <sheetData>
    <row r="1" spans="1:8" ht="18.75">
      <c r="A1" s="1196"/>
      <c r="B1" s="1197" t="s">
        <v>2991</v>
      </c>
      <c r="C1" s="1198"/>
      <c r="D1" s="1196"/>
      <c r="E1" s="1196"/>
      <c r="F1" s="1196"/>
      <c r="G1" s="1196"/>
    </row>
    <row r="2" spans="1:8" ht="13.5" customHeight="1">
      <c r="A2" s="1196"/>
      <c r="B2" s="1199"/>
      <c r="C2" s="1198"/>
      <c r="D2" s="1196"/>
      <c r="E2" s="1196"/>
      <c r="F2" s="1196"/>
      <c r="G2" s="1196"/>
    </row>
    <row r="3" spans="1:8" ht="13.5" customHeight="1">
      <c r="A3" s="1196"/>
      <c r="B3" s="1200" t="s">
        <v>3245</v>
      </c>
      <c r="C3" s="1198"/>
      <c r="D3" s="1196"/>
      <c r="E3" s="1196"/>
      <c r="F3" s="1196"/>
      <c r="G3" s="1196"/>
    </row>
    <row r="4" spans="1:8" ht="13.5" customHeight="1">
      <c r="A4" s="1196"/>
      <c r="B4" s="1200" t="s">
        <v>3246</v>
      </c>
      <c r="C4" s="1198"/>
      <c r="D4" s="1196"/>
      <c r="E4" s="1196"/>
      <c r="F4" s="1196"/>
      <c r="G4" s="1196"/>
    </row>
    <row r="5" spans="1:8" ht="13.5" customHeight="1">
      <c r="A5" s="1196"/>
      <c r="B5" s="1200" t="s">
        <v>3247</v>
      </c>
      <c r="C5" s="1198"/>
      <c r="D5" s="1196"/>
      <c r="E5" s="1196"/>
      <c r="F5" s="1196"/>
      <c r="G5" s="1196"/>
    </row>
    <row r="6" spans="1:8" ht="13.5" customHeight="1">
      <c r="A6" s="1196"/>
      <c r="B6" s="1200" t="s">
        <v>3244</v>
      </c>
      <c r="C6" s="1198"/>
      <c r="D6" s="1196"/>
      <c r="E6" s="1196"/>
      <c r="F6" s="1196"/>
      <c r="G6" s="1196"/>
    </row>
    <row r="7" spans="1:8" ht="13.5" customHeight="1">
      <c r="A7" s="1196"/>
      <c r="B7" s="1200" t="s">
        <v>3264</v>
      </c>
      <c r="C7" s="1198"/>
      <c r="D7" s="1196"/>
      <c r="E7" s="1196"/>
      <c r="F7" s="1196"/>
      <c r="G7" s="1196"/>
    </row>
    <row r="8" spans="1:8" ht="13.5" customHeight="1">
      <c r="A8" s="1196"/>
      <c r="B8" s="1201" t="s">
        <v>3263</v>
      </c>
      <c r="C8" s="1198"/>
      <c r="D8" s="1196"/>
      <c r="E8" s="1196"/>
      <c r="F8" s="1196"/>
      <c r="G8" s="1196"/>
    </row>
    <row r="9" spans="1:8" ht="13.5" customHeight="1">
      <c r="A9" s="1196"/>
      <c r="B9" s="1200"/>
      <c r="C9" s="1202"/>
      <c r="D9" s="1196"/>
      <c r="E9" s="1196"/>
      <c r="F9" s="1196"/>
      <c r="G9" s="1196"/>
    </row>
    <row r="10" spans="1:8" ht="24" customHeight="1">
      <c r="A10" s="1196"/>
      <c r="B10" s="1831" t="s">
        <v>3140</v>
      </c>
      <c r="C10" s="1831"/>
      <c r="D10" s="1831"/>
      <c r="E10" s="1831"/>
      <c r="F10" s="1831"/>
      <c r="G10" s="1831"/>
    </row>
    <row r="12" spans="1:8" ht="24">
      <c r="B12" s="1203" t="s">
        <v>2777</v>
      </c>
      <c r="C12" s="1207" t="s">
        <v>3134</v>
      </c>
      <c r="D12" s="1208" t="s">
        <v>3106</v>
      </c>
      <c r="E12" s="1209" t="s">
        <v>3122</v>
      </c>
      <c r="F12" s="1208" t="s">
        <v>3123</v>
      </c>
      <c r="G12" s="1209">
        <f>'Basic Info'!C41</f>
        <v>0</v>
      </c>
      <c r="H12" s="1069"/>
    </row>
    <row r="13" spans="1:8">
      <c r="B13" s="1204" t="s">
        <v>2742</v>
      </c>
      <c r="C13" s="1832"/>
      <c r="D13" s="1833" t="s">
        <v>3277</v>
      </c>
      <c r="E13" s="1070" t="s">
        <v>3139</v>
      </c>
      <c r="F13" s="1070" t="s">
        <v>3139</v>
      </c>
      <c r="G13" s="1071"/>
      <c r="H13" s="1072"/>
    </row>
    <row r="14" spans="1:8">
      <c r="B14" s="1205" t="s">
        <v>2743</v>
      </c>
      <c r="C14" s="1828"/>
      <c r="D14" s="1834"/>
      <c r="E14" s="1073"/>
      <c r="F14" s="1073"/>
      <c r="G14" s="1073"/>
      <c r="H14" s="1072"/>
    </row>
    <row r="15" spans="1:8">
      <c r="B15" s="1206" t="s">
        <v>3126</v>
      </c>
      <c r="C15" s="1832"/>
      <c r="D15" s="1833" t="s">
        <v>3278</v>
      </c>
      <c r="E15" s="1070" t="s">
        <v>3139</v>
      </c>
      <c r="F15" s="1070" t="s">
        <v>3139</v>
      </c>
      <c r="G15" s="1074"/>
      <c r="H15" s="1072"/>
    </row>
    <row r="16" spans="1:8">
      <c r="B16" s="1206" t="s">
        <v>3127</v>
      </c>
      <c r="C16" s="1828"/>
      <c r="D16" s="1834"/>
      <c r="E16" s="1075"/>
      <c r="F16" s="1075"/>
      <c r="G16" s="1075"/>
      <c r="H16" s="1072"/>
    </row>
    <row r="17" spans="2:8">
      <c r="B17" s="1205" t="s">
        <v>2744</v>
      </c>
      <c r="C17" s="1832"/>
      <c r="D17" s="1833" t="s">
        <v>3279</v>
      </c>
      <c r="E17" s="1070" t="s">
        <v>3139</v>
      </c>
      <c r="F17" s="1070" t="s">
        <v>3139</v>
      </c>
      <c r="G17" s="1071"/>
      <c r="H17" s="1072"/>
    </row>
    <row r="18" spans="2:8">
      <c r="B18" s="1205" t="s">
        <v>3124</v>
      </c>
      <c r="C18" s="1828"/>
      <c r="D18" s="1834"/>
      <c r="E18" s="1076"/>
      <c r="F18" s="1074"/>
      <c r="G18" s="1076"/>
      <c r="H18" s="1072"/>
    </row>
    <row r="19" spans="2:8">
      <c r="B19" s="1205" t="s">
        <v>3128</v>
      </c>
      <c r="C19" s="1832"/>
      <c r="D19" s="1833" t="s">
        <v>3280</v>
      </c>
      <c r="E19" s="1070" t="s">
        <v>3139</v>
      </c>
      <c r="F19" s="1070" t="s">
        <v>3139</v>
      </c>
      <c r="G19" s="1077"/>
      <c r="H19" s="1072"/>
    </row>
    <row r="20" spans="2:8">
      <c r="B20" s="1205" t="s">
        <v>3129</v>
      </c>
      <c r="C20" s="1828"/>
      <c r="D20" s="1834"/>
      <c r="E20" s="1073"/>
      <c r="F20" s="1075"/>
      <c r="G20" s="1073"/>
      <c r="H20" s="1072"/>
    </row>
    <row r="21" spans="2:8" ht="20.25" customHeight="1">
      <c r="B21" s="1205" t="s">
        <v>3147</v>
      </c>
      <c r="C21" s="1832"/>
      <c r="D21" s="1833" t="s">
        <v>3281</v>
      </c>
      <c r="E21" s="1070" t="s">
        <v>3139</v>
      </c>
      <c r="F21" s="1070" t="s">
        <v>3139</v>
      </c>
      <c r="G21" s="1071"/>
      <c r="H21" s="1072"/>
    </row>
    <row r="22" spans="2:8" ht="21" customHeight="1">
      <c r="B22" s="1205" t="s">
        <v>3148</v>
      </c>
      <c r="C22" s="1828"/>
      <c r="D22" s="1834"/>
      <c r="E22" s="1078"/>
      <c r="F22" s="1079"/>
      <c r="G22" s="1078"/>
      <c r="H22" s="1072"/>
    </row>
    <row r="23" spans="2:8">
      <c r="B23" s="1205" t="s">
        <v>3149</v>
      </c>
      <c r="C23" s="1826"/>
      <c r="D23" s="1833" t="s">
        <v>3282</v>
      </c>
      <c r="E23" s="1080" t="s">
        <v>3139</v>
      </c>
      <c r="F23" s="1081" t="s">
        <v>3139</v>
      </c>
      <c r="G23" s="1071"/>
      <c r="H23" s="1072"/>
    </row>
    <row r="24" spans="2:8">
      <c r="B24" s="1205" t="s">
        <v>3150</v>
      </c>
      <c r="C24" s="1828"/>
      <c r="D24" s="1834"/>
      <c r="E24" s="1078"/>
      <c r="F24" s="1079"/>
      <c r="G24" s="1078"/>
      <c r="H24" s="1072"/>
    </row>
    <row r="25" spans="2:8">
      <c r="B25" s="1205" t="s">
        <v>2842</v>
      </c>
      <c r="C25" s="1832"/>
      <c r="D25" s="1833" t="s">
        <v>3061</v>
      </c>
      <c r="E25" s="1070" t="s">
        <v>3139</v>
      </c>
      <c r="F25" s="685"/>
      <c r="G25" s="1071"/>
      <c r="H25" s="1072"/>
    </row>
    <row r="26" spans="2:8">
      <c r="B26" s="1205" t="s">
        <v>3125</v>
      </c>
      <c r="C26" s="1828"/>
      <c r="D26" s="1834"/>
      <c r="E26" s="1076"/>
      <c r="F26" s="688"/>
      <c r="G26" s="1076"/>
      <c r="H26" s="1072"/>
    </row>
    <row r="27" spans="2:8">
      <c r="B27" s="1205" t="s">
        <v>2781</v>
      </c>
      <c r="C27" s="1832"/>
      <c r="D27" s="1833" t="s">
        <v>3283</v>
      </c>
      <c r="E27" s="1070" t="s">
        <v>3139</v>
      </c>
      <c r="F27" s="688"/>
      <c r="G27" s="1071"/>
      <c r="H27" s="1072"/>
    </row>
    <row r="28" spans="2:8">
      <c r="B28" s="1205" t="s">
        <v>2782</v>
      </c>
      <c r="C28" s="1828"/>
      <c r="D28" s="1834"/>
      <c r="E28" s="1073"/>
      <c r="F28" s="688"/>
      <c r="G28" s="1073"/>
      <c r="H28" s="1072"/>
    </row>
    <row r="29" spans="2:8" ht="36">
      <c r="B29" s="1205" t="s">
        <v>2745</v>
      </c>
      <c r="C29" s="1264"/>
      <c r="D29" s="1210" t="s">
        <v>3130</v>
      </c>
      <c r="E29" s="1082"/>
      <c r="F29" s="688"/>
      <c r="G29" s="1082"/>
      <c r="H29" s="1083"/>
    </row>
    <row r="30" spans="2:8">
      <c r="B30" s="1205" t="s">
        <v>2746</v>
      </c>
      <c r="C30" s="1832"/>
      <c r="D30" s="1833" t="s">
        <v>3284</v>
      </c>
      <c r="E30" s="1071"/>
      <c r="F30" s="688"/>
      <c r="G30" s="1071"/>
      <c r="H30" s="1072"/>
    </row>
    <row r="31" spans="2:8">
      <c r="B31" s="1205" t="s">
        <v>2747</v>
      </c>
      <c r="C31" s="1836"/>
      <c r="D31" s="1835"/>
      <c r="E31" s="1070" t="s">
        <v>3139</v>
      </c>
      <c r="F31" s="686"/>
      <c r="G31" s="1071"/>
      <c r="H31" s="1072"/>
    </row>
    <row r="32" spans="2:8">
      <c r="B32" s="1205" t="s">
        <v>2748</v>
      </c>
      <c r="C32" s="1836"/>
      <c r="D32" s="1835"/>
      <c r="E32" s="1073"/>
      <c r="F32" s="686"/>
      <c r="G32" s="1073"/>
      <c r="H32" s="1072"/>
    </row>
    <row r="33" spans="2:8">
      <c r="B33" s="1205" t="s">
        <v>2749</v>
      </c>
      <c r="C33" s="1828"/>
      <c r="D33" s="1834"/>
      <c r="E33" s="1084"/>
      <c r="F33" s="688"/>
      <c r="G33" s="1084"/>
      <c r="H33" s="1072"/>
    </row>
    <row r="34" spans="2:8">
      <c r="B34" s="1205" t="s">
        <v>2750</v>
      </c>
      <c r="C34" s="1085"/>
      <c r="D34" s="1210" t="s">
        <v>3131</v>
      </c>
      <c r="E34" s="1071"/>
      <c r="F34" s="687"/>
      <c r="G34" s="1071"/>
      <c r="H34" s="1072"/>
    </row>
    <row r="35" spans="2:8">
      <c r="B35" s="1205" t="s">
        <v>2773</v>
      </c>
      <c r="C35" s="1832"/>
      <c r="D35" s="1833" t="s">
        <v>3285</v>
      </c>
      <c r="E35" s="1071"/>
      <c r="F35" s="1071"/>
      <c r="G35" s="1071"/>
      <c r="H35" s="1072"/>
    </row>
    <row r="36" spans="2:8">
      <c r="B36" s="1060" t="s">
        <v>2774</v>
      </c>
      <c r="C36" s="1828"/>
      <c r="D36" s="1834"/>
      <c r="E36" s="1073"/>
      <c r="F36" s="1075"/>
      <c r="G36" s="1073"/>
      <c r="H36" s="1072"/>
    </row>
    <row r="37" spans="2:8">
      <c r="B37" s="1086"/>
      <c r="C37" s="500"/>
      <c r="D37" s="1087"/>
      <c r="E37" s="1087"/>
      <c r="F37" s="1087"/>
      <c r="G37" s="1072"/>
    </row>
    <row r="38" spans="2:8">
      <c r="F38" s="1088"/>
    </row>
    <row r="39" spans="2:8">
      <c r="B39" s="1203" t="s">
        <v>2778</v>
      </c>
      <c r="C39" s="1212"/>
      <c r="D39" s="1208" t="s">
        <v>3106</v>
      </c>
      <c r="E39" s="1209" t="s">
        <v>812</v>
      </c>
      <c r="F39" s="1209">
        <f>G12</f>
        <v>0</v>
      </c>
      <c r="G39" s="1069"/>
    </row>
    <row r="40" spans="2:8">
      <c r="B40" s="1205" t="s">
        <v>3103</v>
      </c>
      <c r="C40" s="722"/>
      <c r="D40" s="1210" t="s">
        <v>3132</v>
      </c>
      <c r="E40" s="1089">
        <v>0.7</v>
      </c>
      <c r="F40" s="1090"/>
      <c r="G40" s="1091"/>
    </row>
    <row r="41" spans="2:8">
      <c r="B41" s="1205" t="s">
        <v>3320</v>
      </c>
      <c r="C41" s="1841"/>
      <c r="D41" s="1213" t="s">
        <v>3321</v>
      </c>
      <c r="E41" s="1089">
        <v>0.5</v>
      </c>
      <c r="F41" s="1090"/>
      <c r="G41" s="1091"/>
    </row>
    <row r="42" spans="2:8" ht="108">
      <c r="B42" s="1211" t="s">
        <v>3144</v>
      </c>
      <c r="C42" s="1842"/>
      <c r="D42" s="635" t="s">
        <v>3322</v>
      </c>
      <c r="E42" s="1092"/>
      <c r="F42" s="1093"/>
      <c r="G42" s="1091"/>
    </row>
    <row r="43" spans="2:8" ht="24">
      <c r="B43" s="1205" t="s">
        <v>2752</v>
      </c>
      <c r="C43" s="722"/>
      <c r="D43" s="1210" t="s">
        <v>3691</v>
      </c>
      <c r="E43" s="1070" t="s">
        <v>2651</v>
      </c>
      <c r="F43" s="1071"/>
      <c r="G43" s="1072"/>
    </row>
    <row r="44" spans="2:8">
      <c r="B44" s="1211" t="s">
        <v>3141</v>
      </c>
      <c r="C44" s="1094"/>
      <c r="D44" s="1214" t="s">
        <v>3146</v>
      </c>
      <c r="E44" s="1095"/>
      <c r="F44" s="1095"/>
      <c r="G44" s="1072"/>
    </row>
    <row r="45" spans="2:8">
      <c r="B45" s="1211" t="s">
        <v>3142</v>
      </c>
      <c r="C45" s="1094"/>
      <c r="D45" s="1210" t="s">
        <v>3143</v>
      </c>
      <c r="E45" s="1096"/>
      <c r="F45" s="1096"/>
      <c r="G45" s="1072"/>
    </row>
    <row r="46" spans="2:8">
      <c r="B46" s="1205" t="s">
        <v>2751</v>
      </c>
      <c r="C46" s="722"/>
      <c r="D46" s="1210" t="s">
        <v>3133</v>
      </c>
      <c r="E46" s="1097"/>
      <c r="F46" s="1097"/>
      <c r="G46" s="1098"/>
    </row>
    <row r="49" spans="2:11" ht="24">
      <c r="B49" s="1203" t="s">
        <v>2775</v>
      </c>
      <c r="C49" s="1212" t="s">
        <v>3134</v>
      </c>
      <c r="D49" s="1208" t="s">
        <v>3138</v>
      </c>
      <c r="E49" s="1209" t="s">
        <v>812</v>
      </c>
      <c r="F49" s="1209">
        <f>F39</f>
        <v>0</v>
      </c>
      <c r="G49" s="1209" t="s">
        <v>2717</v>
      </c>
      <c r="H49" s="1209" t="s">
        <v>2740</v>
      </c>
      <c r="I49" s="1209" t="s">
        <v>2741</v>
      </c>
      <c r="J49" s="1209" t="s">
        <v>2559</v>
      </c>
      <c r="K49" s="1216" t="s">
        <v>3098</v>
      </c>
    </row>
    <row r="50" spans="2:11">
      <c r="B50" s="1205" t="s">
        <v>2769</v>
      </c>
      <c r="C50" s="1099"/>
      <c r="D50" s="634" t="s">
        <v>3135</v>
      </c>
      <c r="E50" s="697">
        <v>529</v>
      </c>
      <c r="F50" s="697">
        <v>423</v>
      </c>
      <c r="G50" s="643"/>
      <c r="H50" s="639"/>
      <c r="I50" s="640"/>
      <c r="J50" s="670"/>
      <c r="K50" s="710"/>
    </row>
    <row r="51" spans="2:11">
      <c r="B51" s="1205" t="s">
        <v>2770</v>
      </c>
      <c r="C51" s="1832"/>
      <c r="D51" s="635" t="s">
        <v>3136</v>
      </c>
      <c r="E51" s="697">
        <v>206</v>
      </c>
      <c r="F51" s="697">
        <v>164</v>
      </c>
      <c r="G51" s="673"/>
      <c r="H51" s="641"/>
      <c r="I51" s="642"/>
      <c r="J51" s="671"/>
      <c r="K51" s="686"/>
    </row>
    <row r="52" spans="2:11">
      <c r="B52" s="1205" t="s">
        <v>3104</v>
      </c>
      <c r="C52" s="1828"/>
      <c r="D52" s="829" t="s">
        <v>3136</v>
      </c>
      <c r="E52" s="696">
        <v>1290</v>
      </c>
      <c r="F52" s="1218">
        <v>860</v>
      </c>
      <c r="G52" s="699"/>
      <c r="H52" s="700"/>
      <c r="I52" s="700"/>
      <c r="J52" s="700"/>
      <c r="K52" s="711"/>
    </row>
    <row r="53" spans="2:11">
      <c r="B53" s="1205" t="s">
        <v>2771</v>
      </c>
      <c r="C53" s="1832"/>
      <c r="D53" s="635" t="s">
        <v>3137</v>
      </c>
      <c r="E53" s="697">
        <f>IF(K53="Common Area",196,81)</f>
        <v>81</v>
      </c>
      <c r="F53" s="697">
        <f>IF(K53="Common Area",138,57)</f>
        <v>57</v>
      </c>
      <c r="G53" s="674"/>
      <c r="H53" s="641"/>
      <c r="I53" s="642"/>
      <c r="J53" s="675"/>
      <c r="K53" s="675"/>
    </row>
    <row r="54" spans="2:11">
      <c r="B54" s="1205" t="s">
        <v>3105</v>
      </c>
      <c r="C54" s="1828"/>
      <c r="D54" s="635" t="s">
        <v>3137</v>
      </c>
      <c r="E54" s="696">
        <f>IF(K53="Common Area",5903,2436)</f>
        <v>2436</v>
      </c>
      <c r="F54" s="696">
        <f>IF(K53="Common Area",2732,1127)</f>
        <v>1127</v>
      </c>
      <c r="G54" s="699"/>
      <c r="H54" s="700"/>
      <c r="I54" s="700"/>
      <c r="J54" s="707"/>
      <c r="K54" s="701"/>
    </row>
    <row r="55" spans="2:11" ht="24">
      <c r="B55" s="1205" t="s">
        <v>2772</v>
      </c>
      <c r="C55" s="673"/>
      <c r="D55" s="1217" t="s">
        <v>3108</v>
      </c>
      <c r="E55" s="636"/>
      <c r="F55" s="644"/>
      <c r="G55" s="675"/>
      <c r="H55" s="675"/>
      <c r="I55" s="677"/>
      <c r="J55" s="709"/>
      <c r="K55" s="702"/>
    </row>
    <row r="56" spans="2:11" ht="24">
      <c r="B56" s="1215" t="s">
        <v>3261</v>
      </c>
      <c r="C56" s="1837"/>
      <c r="D56" s="1217" t="s">
        <v>3107</v>
      </c>
      <c r="E56" s="636"/>
      <c r="F56" s="1217">
        <f>E56</f>
        <v>0</v>
      </c>
      <c r="G56" s="672"/>
      <c r="H56" s="703"/>
      <c r="I56" s="704"/>
      <c r="J56" s="708"/>
      <c r="K56" s="702"/>
    </row>
    <row r="57" spans="2:11" ht="24">
      <c r="B57" s="1215" t="s">
        <v>3262</v>
      </c>
      <c r="C57" s="1845"/>
      <c r="D57" s="1217" t="s">
        <v>3107</v>
      </c>
      <c r="E57" s="637"/>
      <c r="F57" s="695">
        <f>E57</f>
        <v>0</v>
      </c>
      <c r="G57" s="782"/>
      <c r="H57" s="781"/>
      <c r="I57" s="708"/>
      <c r="J57" s="708"/>
      <c r="K57" s="702"/>
    </row>
    <row r="58" spans="2:11">
      <c r="B58" s="645" t="s">
        <v>3295</v>
      </c>
      <c r="C58" s="1838"/>
      <c r="D58" s="695">
        <f>IF(B58="Electric Stove (kWh/yr)",604,45)</f>
        <v>45</v>
      </c>
      <c r="E58" s="694">
        <f>D58</f>
        <v>45</v>
      </c>
      <c r="F58" s="695">
        <f>E58</f>
        <v>45</v>
      </c>
      <c r="G58" s="672"/>
      <c r="H58" s="705"/>
      <c r="I58" s="706"/>
      <c r="J58" s="706"/>
      <c r="K58" s="702"/>
    </row>
    <row r="59" spans="2:11">
      <c r="B59" s="645" t="s">
        <v>2847</v>
      </c>
      <c r="C59" s="722"/>
      <c r="D59" s="697" t="s">
        <v>3109</v>
      </c>
      <c r="E59" s="638"/>
      <c r="F59" s="638"/>
      <c r="G59" s="676"/>
      <c r="H59" s="675"/>
      <c r="I59" s="675"/>
      <c r="J59" s="677"/>
      <c r="K59" s="686"/>
    </row>
    <row r="60" spans="2:11" ht="24">
      <c r="B60" s="1205" t="s">
        <v>3102</v>
      </c>
      <c r="C60" s="1264"/>
      <c r="D60" s="697" t="s">
        <v>3107</v>
      </c>
      <c r="E60" s="731"/>
      <c r="F60" s="1219">
        <f>E60</f>
        <v>0</v>
      </c>
      <c r="G60" s="1100"/>
      <c r="H60" s="704"/>
      <c r="I60" s="704"/>
      <c r="J60" s="704"/>
      <c r="K60" s="702"/>
    </row>
    <row r="61" spans="2:11">
      <c r="G61" s="1101"/>
      <c r="H61" s="1101"/>
      <c r="I61" s="1101"/>
      <c r="J61" s="1101"/>
      <c r="K61" s="1101"/>
    </row>
    <row r="62" spans="2:11" ht="27.75" customHeight="1">
      <c r="B62" s="1844" t="s">
        <v>3101</v>
      </c>
      <c r="C62" s="1844"/>
      <c r="D62" s="1844"/>
      <c r="E62" s="1844"/>
      <c r="F62" s="1844"/>
      <c r="G62" s="1844"/>
      <c r="H62" s="1844"/>
      <c r="I62" s="1844"/>
    </row>
    <row r="63" spans="2:11">
      <c r="B63" s="1102"/>
      <c r="C63" s="1102"/>
      <c r="D63" s="1102"/>
      <c r="E63" s="1102"/>
      <c r="F63" s="1102"/>
      <c r="G63" s="1102"/>
      <c r="H63" s="1102"/>
      <c r="I63" s="1102"/>
    </row>
    <row r="64" spans="2:11" ht="36">
      <c r="B64" s="1203" t="s">
        <v>2838</v>
      </c>
      <c r="C64" s="1212" t="s">
        <v>3134</v>
      </c>
      <c r="D64" s="1208" t="s">
        <v>3106</v>
      </c>
      <c r="E64" s="1209" t="s">
        <v>812</v>
      </c>
      <c r="F64" s="1209">
        <f>F49</f>
        <v>0</v>
      </c>
      <c r="G64" s="1209" t="s">
        <v>2740</v>
      </c>
      <c r="H64" s="1209" t="s">
        <v>2741</v>
      </c>
      <c r="I64" s="1209" t="s">
        <v>2559</v>
      </c>
      <c r="J64" s="1209" t="s">
        <v>2846</v>
      </c>
      <c r="K64" s="1209" t="s">
        <v>3180</v>
      </c>
    </row>
    <row r="65" spans="2:28">
      <c r="B65" s="1220" t="s">
        <v>2805</v>
      </c>
      <c r="C65" s="1826"/>
      <c r="D65" s="1103" t="s">
        <v>3172</v>
      </c>
      <c r="E65" s="1071"/>
      <c r="F65" s="1071"/>
      <c r="G65" s="639"/>
      <c r="H65" s="640"/>
      <c r="I65" s="670"/>
      <c r="J65" s="1071"/>
      <c r="K65" s="639"/>
    </row>
    <row r="66" spans="2:28" ht="36">
      <c r="B66" s="1220" t="s">
        <v>3176</v>
      </c>
      <c r="C66" s="1827"/>
      <c r="D66" s="1222" t="s">
        <v>3177</v>
      </c>
      <c r="E66" s="1104"/>
      <c r="F66" s="1104"/>
      <c r="G66" s="1105"/>
      <c r="H66" s="1105"/>
      <c r="I66" s="1105"/>
      <c r="J66" s="1106"/>
      <c r="K66" s="1107"/>
    </row>
    <row r="67" spans="2:28" ht="36">
      <c r="B67" s="1108" t="s">
        <v>3300</v>
      </c>
      <c r="C67" s="1827"/>
      <c r="D67" s="635" t="s">
        <v>3173</v>
      </c>
      <c r="E67" s="1109"/>
      <c r="F67" s="1109"/>
      <c r="G67" s="1110"/>
      <c r="H67" s="1106"/>
      <c r="I67" s="1106"/>
      <c r="J67" s="1106"/>
      <c r="K67" s="1107"/>
      <c r="Y67" s="1196" t="str">
        <f>LEFT(RIGHT(B67,LEN(B67)-SEARCH("(",B67,1)),LEN(RIGHT(B67,LEN(B67)-SEARCH("(",B67,1)))-1)</f>
        <v>AFUE</v>
      </c>
      <c r="Z67" s="1196" t="str">
        <f>IF(OR(Y67="Ec",Y67="Et",Y67="AFUE"),"% "&amp;Y67,Y67)</f>
        <v>% AFUE</v>
      </c>
      <c r="AA67" s="1196" t="str">
        <f>IF(OR(Y67="AFUE",Y67="Et",Y67="Ec"),100*E67&amp;Z67,E67&amp;" "&amp;Z67)</f>
        <v>0% AFUE</v>
      </c>
      <c r="AB67" s="1196" t="str">
        <f>IF(OR(Y67="AFUE",Y67="Et",Y67="Ec"),100*F67&amp;Z67,F67&amp;" "&amp;Z67)</f>
        <v>0% AFUE</v>
      </c>
    </row>
    <row r="68" spans="2:28" ht="84">
      <c r="B68" s="1221" t="s">
        <v>2831</v>
      </c>
      <c r="C68" s="1828"/>
      <c r="D68" s="1210" t="s">
        <v>3286</v>
      </c>
      <c r="E68" s="1111"/>
      <c r="F68" s="1111"/>
      <c r="G68" s="1112"/>
      <c r="H68" s="1112"/>
      <c r="I68" s="1112"/>
      <c r="J68" s="1112"/>
      <c r="K68" s="1113"/>
    </row>
    <row r="69" spans="2:28" ht="24">
      <c r="B69" s="1221" t="s">
        <v>2806</v>
      </c>
      <c r="C69" s="1826"/>
      <c r="D69" s="1210" t="s">
        <v>3174</v>
      </c>
      <c r="E69" s="1223" t="s">
        <v>2651</v>
      </c>
      <c r="F69" s="1071"/>
      <c r="G69" s="1114"/>
      <c r="H69" s="1115"/>
      <c r="I69" s="1115"/>
      <c r="J69" s="1071"/>
      <c r="K69" s="639"/>
    </row>
    <row r="70" spans="2:28">
      <c r="B70" s="1221" t="s">
        <v>3178</v>
      </c>
      <c r="C70" s="1827"/>
      <c r="D70" s="829" t="s">
        <v>2651</v>
      </c>
      <c r="E70" s="1223" t="s">
        <v>2651</v>
      </c>
      <c r="F70" s="1071"/>
      <c r="G70" s="1116"/>
      <c r="H70" s="1105"/>
      <c r="I70" s="1105"/>
      <c r="J70" s="1106"/>
      <c r="K70" s="1117"/>
    </row>
    <row r="71" spans="2:28">
      <c r="B71" s="1108" t="s">
        <v>3265</v>
      </c>
      <c r="C71" s="1827"/>
      <c r="D71" s="1210" t="s">
        <v>2651</v>
      </c>
      <c r="E71" s="1223" t="s">
        <v>2651</v>
      </c>
      <c r="F71" s="1109"/>
      <c r="G71" s="1106"/>
      <c r="H71" s="1106"/>
      <c r="I71" s="1106"/>
      <c r="J71" s="1106"/>
      <c r="K71" s="1107"/>
      <c r="Y71" s="1196" t="str">
        <f>LEFT(RIGHT(B71,LEN(B71)-SEARCH("(",B71,1)),LEN(RIGHT(B71,LEN(B71)-SEARCH("(",B71,1)))-1)</f>
        <v>Et</v>
      </c>
      <c r="Z71" s="1196" t="str">
        <f>IF(OR(Y71="Ec",Y71="Et",Y71="AFUE"),"% "&amp;Y71,Y71)</f>
        <v>% Et</v>
      </c>
      <c r="AA71" s="1196" t="str">
        <f>IF(E71="N/A","N/A",IF(OR(Y71="AFUE",Y71="Et",Y71="Ec"),100*E71&amp;Z71,E71&amp;" "&amp;Z71))</f>
        <v>N/A</v>
      </c>
      <c r="AB71" s="1196" t="str">
        <f>IF(F71="N/A","N/A",IF(OR(Y71="AFUE",Y71="Et",Y71="Ec"),100*F71&amp;Z71,F71&amp;" "&amp;Z71))</f>
        <v>0% Et</v>
      </c>
    </row>
    <row r="72" spans="2:28">
      <c r="B72" s="1221" t="s">
        <v>2832</v>
      </c>
      <c r="C72" s="1828"/>
      <c r="D72" s="1210" t="s">
        <v>2651</v>
      </c>
      <c r="E72" s="1224" t="s">
        <v>2651</v>
      </c>
      <c r="F72" s="1111"/>
      <c r="G72" s="1112"/>
      <c r="H72" s="1112"/>
      <c r="I72" s="1112"/>
      <c r="J72" s="1112"/>
      <c r="K72" s="1113"/>
    </row>
    <row r="73" spans="2:28">
      <c r="B73" s="1221" t="s">
        <v>2807</v>
      </c>
      <c r="C73" s="1826"/>
      <c r="D73" s="1210" t="s">
        <v>2651</v>
      </c>
      <c r="E73" s="1223" t="s">
        <v>2651</v>
      </c>
      <c r="F73" s="1071"/>
      <c r="G73" s="1118"/>
      <c r="H73" s="1071"/>
      <c r="I73" s="1071"/>
      <c r="J73" s="1071"/>
      <c r="K73" s="1119" t="s">
        <v>1483</v>
      </c>
    </row>
    <row r="74" spans="2:28">
      <c r="B74" s="1221" t="s">
        <v>3179</v>
      </c>
      <c r="C74" s="1827"/>
      <c r="D74" s="1214" t="s">
        <v>2651</v>
      </c>
      <c r="E74" s="1225" t="s">
        <v>2651</v>
      </c>
      <c r="F74" s="1104"/>
      <c r="G74" s="1116"/>
      <c r="H74" s="1105"/>
      <c r="I74" s="1105"/>
      <c r="J74" s="1106"/>
      <c r="K74" s="1117"/>
    </row>
    <row r="75" spans="2:28">
      <c r="B75" s="1108" t="s">
        <v>3175</v>
      </c>
      <c r="C75" s="1827"/>
      <c r="D75" s="1210" t="s">
        <v>2651</v>
      </c>
      <c r="E75" s="1223" t="s">
        <v>2651</v>
      </c>
      <c r="F75" s="1109"/>
      <c r="G75" s="1106"/>
      <c r="H75" s="1106"/>
      <c r="I75" s="1106"/>
      <c r="J75" s="1106"/>
      <c r="K75" s="1107"/>
      <c r="Y75" s="1196" t="str">
        <f>LEFT(RIGHT(B75,LEN(B75)-SEARCH("(",B75,1)),LEN(RIGHT(B75,LEN(B75)-SEARCH("(",B75,1)))-1)</f>
        <v>Et</v>
      </c>
      <c r="Z75" s="1196" t="str">
        <f>IF(OR(Y75="Ec",Y75="Et",Y75="AFUE"),"% "&amp;Y75,Y75)</f>
        <v>% Et</v>
      </c>
      <c r="AA75" s="1196" t="str">
        <f>IF(E75="N/A","N/A",IF(OR(Y75="AFUE",Y75="Et",Y75="Ec"),100*E75&amp;Z75,E75&amp;" "&amp;Z75))</f>
        <v>N/A</v>
      </c>
      <c r="AB75" s="1196" t="str">
        <f>IF(F75="N/A","N/A",IF(OR(Y75="AFUE",Y75="Et",Y75="Ec"),100*F75&amp;Z75,F75&amp;" "&amp;Z75))</f>
        <v>0% Et</v>
      </c>
    </row>
    <row r="76" spans="2:28">
      <c r="B76" s="1221" t="s">
        <v>2833</v>
      </c>
      <c r="C76" s="1828"/>
      <c r="D76" s="1210" t="s">
        <v>2651</v>
      </c>
      <c r="E76" s="1224" t="s">
        <v>2651</v>
      </c>
      <c r="F76" s="1111"/>
      <c r="G76" s="1112"/>
      <c r="H76" s="1112"/>
      <c r="I76" s="1112"/>
      <c r="J76" s="1112"/>
      <c r="K76" s="1113"/>
    </row>
    <row r="78" spans="2:28" ht="24.75" customHeight="1">
      <c r="B78" s="1844" t="s">
        <v>3696</v>
      </c>
      <c r="C78" s="1844"/>
      <c r="D78" s="1844"/>
      <c r="E78" s="1844"/>
      <c r="F78" s="1844"/>
      <c r="G78" s="1844"/>
      <c r="H78" s="1844"/>
      <c r="I78" s="1844"/>
      <c r="J78" s="1120"/>
    </row>
    <row r="80" spans="2:28" ht="24">
      <c r="B80" s="1226" t="s">
        <v>2839</v>
      </c>
      <c r="C80" s="1212" t="s">
        <v>3134</v>
      </c>
      <c r="D80" s="1208" t="s">
        <v>3106</v>
      </c>
      <c r="E80" s="1209" t="s">
        <v>812</v>
      </c>
      <c r="F80" s="1209">
        <f>F95</f>
        <v>0</v>
      </c>
      <c r="G80" s="1209" t="s">
        <v>2740</v>
      </c>
      <c r="H80" s="1209" t="s">
        <v>2741</v>
      </c>
      <c r="I80" s="1209" t="s">
        <v>2559</v>
      </c>
      <c r="J80" s="1209" t="s">
        <v>2846</v>
      </c>
    </row>
    <row r="81" spans="2:28" ht="24">
      <c r="B81" s="1221" t="s">
        <v>2835</v>
      </c>
      <c r="C81" s="1826"/>
      <c r="D81" s="635" t="s">
        <v>3073</v>
      </c>
      <c r="E81" s="1071"/>
      <c r="F81" s="1071"/>
      <c r="G81" s="639"/>
      <c r="H81" s="1121"/>
      <c r="I81" s="640"/>
      <c r="J81" s="1122"/>
    </row>
    <row r="82" spans="2:28">
      <c r="B82" s="1227" t="s">
        <v>3186</v>
      </c>
      <c r="C82" s="1827"/>
      <c r="D82" s="1228" t="s">
        <v>3238</v>
      </c>
      <c r="E82" s="1077"/>
      <c r="F82" s="1077"/>
      <c r="G82" s="1116"/>
      <c r="H82" s="1105"/>
      <c r="I82" s="1105"/>
      <c r="J82" s="1117"/>
    </row>
    <row r="83" spans="2:28" ht="24">
      <c r="B83" s="1108" t="s">
        <v>3171</v>
      </c>
      <c r="C83" s="1827"/>
      <c r="D83" s="635" t="s">
        <v>3073</v>
      </c>
      <c r="E83" s="1123"/>
      <c r="F83" s="1123"/>
      <c r="G83" s="1110"/>
      <c r="H83" s="1106"/>
      <c r="I83" s="1106"/>
      <c r="J83" s="1107"/>
      <c r="Z83" s="1196" t="str">
        <f>LEFT(RIGHT(B83,LEN(B83)-SEARCH("(",B83,1)),LEN(RIGHT(B83,LEN(B83)-SEARCH("(",B83,1)))-1)</f>
        <v>SEER</v>
      </c>
      <c r="AA83" s="1196" t="str">
        <f>IF(OR(Y83="AFUE",Y83="Et",Y83="Ec"),100*E83&amp;Z83,E83&amp;" "&amp;Z83)</f>
        <v xml:space="preserve"> SEER</v>
      </c>
      <c r="AB83" s="1196" t="str">
        <f>IF(OR(Y83="AFUE",Y83="Et",Y83="Ec"),100*F83&amp;Z83,F83&amp;" "&amp;Z83)</f>
        <v xml:space="preserve"> SEER</v>
      </c>
    </row>
    <row r="84" spans="2:28" ht="60">
      <c r="B84" s="1221" t="s">
        <v>2834</v>
      </c>
      <c r="C84" s="1828"/>
      <c r="D84" s="1210" t="s">
        <v>3188</v>
      </c>
      <c r="E84" s="1124"/>
      <c r="F84" s="1124"/>
      <c r="G84" s="1125"/>
      <c r="H84" s="1112"/>
      <c r="I84" s="1112"/>
      <c r="J84" s="1113"/>
    </row>
    <row r="85" spans="2:28">
      <c r="B85" s="1221" t="s">
        <v>2836</v>
      </c>
      <c r="C85" s="1826"/>
      <c r="D85" s="1223" t="s">
        <v>2651</v>
      </c>
      <c r="E85" s="1229" t="s">
        <v>2651</v>
      </c>
      <c r="F85" s="1071"/>
      <c r="G85" s="1126"/>
      <c r="H85" s="1127"/>
      <c r="I85" s="1128"/>
      <c r="J85" s="642"/>
    </row>
    <row r="86" spans="2:28">
      <c r="B86" s="1227" t="s">
        <v>3187</v>
      </c>
      <c r="C86" s="1827"/>
      <c r="D86" s="1229" t="s">
        <v>2651</v>
      </c>
      <c r="E86" s="1229" t="s">
        <v>2651</v>
      </c>
      <c r="F86" s="1077"/>
      <c r="G86" s="1100"/>
      <c r="H86" s="1129"/>
      <c r="I86" s="1129"/>
      <c r="J86" s="1130"/>
    </row>
    <row r="87" spans="2:28">
      <c r="B87" s="1108" t="s">
        <v>4072</v>
      </c>
      <c r="C87" s="1827"/>
      <c r="D87" s="1223" t="s">
        <v>2651</v>
      </c>
      <c r="E87" s="1229" t="s">
        <v>2651</v>
      </c>
      <c r="F87" s="1123"/>
      <c r="G87" s="1131"/>
      <c r="H87" s="1106"/>
      <c r="I87" s="1106"/>
      <c r="J87" s="1107"/>
      <c r="Z87" s="1196" t="str">
        <f>LEFT(RIGHT(B87,LEN(B87)-SEARCH("(",B87,1)),LEN(RIGHT(B87,LEN(B87)-SEARCH("(",B87,1)))-1)</f>
        <v>EER</v>
      </c>
      <c r="AA87" s="1196" t="str">
        <f>IF(OR(Y87="AFUE",Y87="Et",Y87="Ec"),100*E87&amp;Z87,E87&amp;" "&amp;Z87)</f>
        <v>N/A EER</v>
      </c>
      <c r="AB87" s="1196" t="str">
        <f>IF(OR(Y87="AFUE",Y87="Et",Y87="Ec"),100*F87&amp;Z87,F87&amp;" "&amp;Z87)</f>
        <v xml:space="preserve"> EER</v>
      </c>
    </row>
    <row r="88" spans="2:28">
      <c r="B88" s="1221" t="s">
        <v>2837</v>
      </c>
      <c r="C88" s="1828"/>
      <c r="D88" s="1223" t="s">
        <v>2651</v>
      </c>
      <c r="E88" s="1223" t="s">
        <v>2651</v>
      </c>
      <c r="F88" s="1124"/>
      <c r="G88" s="1125"/>
      <c r="H88" s="1132"/>
      <c r="I88" s="1132"/>
      <c r="J88" s="1133"/>
    </row>
    <row r="89" spans="2:28">
      <c r="B89" s="1221" t="s">
        <v>3692</v>
      </c>
      <c r="C89" s="1826"/>
      <c r="D89" s="1223" t="s">
        <v>2651</v>
      </c>
      <c r="E89" s="1223" t="s">
        <v>2651</v>
      </c>
      <c r="F89" s="1071"/>
      <c r="G89" s="1126"/>
      <c r="H89" s="1127"/>
      <c r="I89" s="1128"/>
      <c r="J89" s="642"/>
    </row>
    <row r="90" spans="2:28">
      <c r="B90" s="1227" t="s">
        <v>3693</v>
      </c>
      <c r="C90" s="1827"/>
      <c r="D90" s="1229" t="s">
        <v>2651</v>
      </c>
      <c r="E90" s="1229" t="s">
        <v>2651</v>
      </c>
      <c r="F90" s="1077"/>
      <c r="G90" s="1100"/>
      <c r="H90" s="1129"/>
      <c r="I90" s="1129"/>
      <c r="J90" s="1130"/>
    </row>
    <row r="91" spans="2:28">
      <c r="B91" s="1108" t="s">
        <v>4073</v>
      </c>
      <c r="C91" s="1827"/>
      <c r="D91" s="1223" t="s">
        <v>2651</v>
      </c>
      <c r="E91" s="1229" t="s">
        <v>2651</v>
      </c>
      <c r="F91" s="1123"/>
      <c r="G91" s="1131"/>
      <c r="H91" s="1106"/>
      <c r="I91" s="1106"/>
      <c r="J91" s="1107"/>
      <c r="Z91" s="1196" t="str">
        <f>LEFT(RIGHT(B91,LEN(B91)-SEARCH("(",B91,1)),LEN(RIGHT(B91,LEN(B91)-SEARCH("(",B91,1)))-1)</f>
        <v>EER</v>
      </c>
      <c r="AA91" s="1196" t="str">
        <f>IF(OR(Y91="AFUE",Y91="Et",Y91="Ec"),100*E91&amp;Z91,E91&amp;" "&amp;Z91)</f>
        <v>N/A EER</v>
      </c>
      <c r="AB91" s="1196" t="str">
        <f>IF(OR(Y91="AFUE",Y91="Et",Y91="Ec"),100*F91&amp;Z91,F91&amp;" "&amp;Z91)</f>
        <v xml:space="preserve"> EER</v>
      </c>
    </row>
    <row r="92" spans="2:28">
      <c r="B92" s="1221" t="s">
        <v>3694</v>
      </c>
      <c r="C92" s="1828"/>
      <c r="D92" s="1223" t="s">
        <v>2651</v>
      </c>
      <c r="E92" s="1223" t="s">
        <v>2651</v>
      </c>
      <c r="F92" s="1124"/>
      <c r="G92" s="1125"/>
      <c r="H92" s="1132"/>
      <c r="I92" s="1132"/>
      <c r="J92" s="1133"/>
    </row>
    <row r="95" spans="2:28" ht="24">
      <c r="B95" s="1203" t="s">
        <v>3183</v>
      </c>
      <c r="C95" s="1212" t="s">
        <v>3134</v>
      </c>
      <c r="D95" s="1208" t="s">
        <v>3106</v>
      </c>
      <c r="E95" s="1209" t="s">
        <v>812</v>
      </c>
      <c r="F95" s="1209">
        <f>F64</f>
        <v>0</v>
      </c>
      <c r="G95" s="1209" t="s">
        <v>2717</v>
      </c>
      <c r="H95" s="1209" t="s">
        <v>2740</v>
      </c>
      <c r="I95" s="1209" t="s">
        <v>2741</v>
      </c>
    </row>
    <row r="96" spans="2:28">
      <c r="B96" s="1221" t="s">
        <v>2757</v>
      </c>
      <c r="C96" s="1826"/>
      <c r="D96" s="1231" t="s">
        <v>3156</v>
      </c>
      <c r="E96" s="1237">
        <v>180</v>
      </c>
      <c r="F96" s="1134"/>
      <c r="G96" s="1135"/>
      <c r="H96" s="1136"/>
      <c r="I96" s="1137"/>
    </row>
    <row r="97" spans="2:9">
      <c r="B97" s="1221" t="s">
        <v>2758</v>
      </c>
      <c r="C97" s="1827"/>
      <c r="D97" s="1231" t="s">
        <v>3157</v>
      </c>
      <c r="E97" s="1237">
        <v>130</v>
      </c>
      <c r="F97" s="1134"/>
      <c r="G97" s="1138"/>
      <c r="H97" s="1139"/>
      <c r="I97" s="1140"/>
    </row>
    <row r="98" spans="2:9">
      <c r="B98" s="1221" t="s">
        <v>2830</v>
      </c>
      <c r="C98" s="1843"/>
      <c r="D98" s="1231" t="s">
        <v>2827</v>
      </c>
      <c r="E98" s="1223" t="s">
        <v>2827</v>
      </c>
      <c r="F98" s="1141"/>
      <c r="G98" s="1138"/>
      <c r="H98" s="1139"/>
      <c r="I98" s="1140"/>
    </row>
    <row r="99" spans="2:9" ht="24">
      <c r="B99" s="1227" t="s">
        <v>3190</v>
      </c>
      <c r="C99" s="1843"/>
      <c r="D99" s="1232" t="s">
        <v>3191</v>
      </c>
      <c r="E99" s="1232" t="s">
        <v>3191</v>
      </c>
      <c r="F99" s="1142"/>
      <c r="G99" s="1138"/>
      <c r="H99" s="1139"/>
      <c r="I99" s="1140"/>
    </row>
    <row r="100" spans="2:9">
      <c r="B100" s="1227" t="s">
        <v>3189</v>
      </c>
      <c r="C100" s="1263"/>
      <c r="D100" s="1232" t="s">
        <v>2785</v>
      </c>
      <c r="E100" s="1238" t="s">
        <v>2785</v>
      </c>
      <c r="F100" s="1143"/>
      <c r="G100" s="1138"/>
      <c r="H100" s="1139"/>
      <c r="I100" s="1140"/>
    </row>
    <row r="101" spans="2:9">
      <c r="B101" s="1221" t="s">
        <v>3289</v>
      </c>
      <c r="C101" s="1263"/>
      <c r="D101" s="1232" t="s">
        <v>3181</v>
      </c>
      <c r="E101" s="1232" t="s">
        <v>3181</v>
      </c>
      <c r="F101" s="1241" t="s">
        <v>3181</v>
      </c>
      <c r="G101" s="1138"/>
      <c r="H101" s="1139"/>
      <c r="I101" s="1140"/>
    </row>
    <row r="102" spans="2:9">
      <c r="B102" s="1221" t="s">
        <v>3294</v>
      </c>
      <c r="C102" s="1263"/>
      <c r="D102" s="1233" t="s">
        <v>3287</v>
      </c>
      <c r="E102" s="1233" t="s">
        <v>3287</v>
      </c>
      <c r="F102" s="1242" t="s">
        <v>3287</v>
      </c>
      <c r="G102" s="1144"/>
      <c r="H102" s="1139"/>
      <c r="I102" s="1140"/>
    </row>
    <row r="103" spans="2:9">
      <c r="B103" s="1221" t="s">
        <v>3292</v>
      </c>
      <c r="C103" s="1263"/>
      <c r="D103" s="1232" t="s">
        <v>3182</v>
      </c>
      <c r="E103" s="1232" t="s">
        <v>3182</v>
      </c>
      <c r="F103" s="1241" t="s">
        <v>3182</v>
      </c>
      <c r="G103" s="1138"/>
      <c r="H103" s="1139"/>
      <c r="I103" s="1140"/>
    </row>
    <row r="104" spans="2:9">
      <c r="B104" s="1221" t="s">
        <v>3290</v>
      </c>
      <c r="C104" s="1263"/>
      <c r="D104" s="1232" t="s">
        <v>3185</v>
      </c>
      <c r="E104" s="1232" t="s">
        <v>3185</v>
      </c>
      <c r="F104" s="1241" t="s">
        <v>3185</v>
      </c>
      <c r="G104" s="1138"/>
      <c r="H104" s="1139"/>
      <c r="I104" s="1140"/>
    </row>
    <row r="105" spans="2:9">
      <c r="B105" s="1221" t="s">
        <v>3293</v>
      </c>
      <c r="C105" s="1263"/>
      <c r="D105" s="1233" t="s">
        <v>3288</v>
      </c>
      <c r="E105" s="1233" t="s">
        <v>3288</v>
      </c>
      <c r="F105" s="1242" t="s">
        <v>3288</v>
      </c>
      <c r="G105" s="1144"/>
      <c r="H105" s="1139"/>
      <c r="I105" s="1140"/>
    </row>
    <row r="106" spans="2:9">
      <c r="B106" s="1221" t="s">
        <v>3291</v>
      </c>
      <c r="C106" s="1263"/>
      <c r="D106" s="1232" t="s">
        <v>3184</v>
      </c>
      <c r="E106" s="1232" t="s">
        <v>3184</v>
      </c>
      <c r="F106" s="1241" t="s">
        <v>3184</v>
      </c>
      <c r="G106" s="1138"/>
      <c r="H106" s="1139"/>
      <c r="I106" s="1140"/>
    </row>
    <row r="107" spans="2:9">
      <c r="B107" s="1230" t="s">
        <v>3153</v>
      </c>
      <c r="C107" s="1830"/>
      <c r="D107" s="1232" t="s">
        <v>1482</v>
      </c>
      <c r="E107" s="1225" t="s">
        <v>1482</v>
      </c>
      <c r="F107" s="1141"/>
      <c r="G107" s="1145"/>
      <c r="H107" s="1145"/>
      <c r="I107" s="1145"/>
    </row>
    <row r="108" spans="2:9">
      <c r="B108" s="1221" t="s">
        <v>2817</v>
      </c>
      <c r="C108" s="1827"/>
      <c r="D108" s="1231" t="s">
        <v>3154</v>
      </c>
      <c r="E108" s="1239">
        <v>19</v>
      </c>
      <c r="F108" s="1146"/>
      <c r="G108" s="1147"/>
      <c r="H108" s="1148"/>
      <c r="I108" s="1149"/>
    </row>
    <row r="109" spans="2:9">
      <c r="B109" s="1221" t="s">
        <v>2813</v>
      </c>
      <c r="C109" s="1829"/>
      <c r="D109" s="1234" t="s">
        <v>2666</v>
      </c>
      <c r="E109" s="1240" t="s">
        <v>2666</v>
      </c>
      <c r="F109" s="1150"/>
      <c r="G109" s="1147"/>
      <c r="H109" s="1148"/>
      <c r="I109" s="1149"/>
    </row>
    <row r="110" spans="2:9">
      <c r="B110" s="1221" t="s">
        <v>2755</v>
      </c>
      <c r="C110" s="1827"/>
      <c r="D110" s="1231" t="s">
        <v>2808</v>
      </c>
      <c r="E110" s="1223" t="s">
        <v>2808</v>
      </c>
      <c r="F110" s="1141"/>
      <c r="G110" s="1147"/>
      <c r="H110" s="1148"/>
      <c r="I110" s="1149"/>
    </row>
    <row r="111" spans="2:9" ht="24">
      <c r="B111" s="1221" t="s">
        <v>2756</v>
      </c>
      <c r="C111" s="1829"/>
      <c r="D111" s="1235" t="s">
        <v>3155</v>
      </c>
      <c r="E111" s="1151"/>
      <c r="F111" s="1152"/>
      <c r="G111" s="1147"/>
      <c r="H111" s="1148"/>
      <c r="I111" s="1149"/>
    </row>
    <row r="112" spans="2:9">
      <c r="B112" s="1227" t="s">
        <v>3194</v>
      </c>
      <c r="C112" s="1153"/>
      <c r="D112" s="1210"/>
      <c r="E112" s="1154"/>
      <c r="F112" s="1155"/>
      <c r="G112" s="1147"/>
      <c r="H112" s="1148"/>
      <c r="I112" s="1149"/>
    </row>
    <row r="113" spans="2:27">
      <c r="B113" s="1227" t="s">
        <v>3195</v>
      </c>
      <c r="C113" s="1153"/>
      <c r="D113" s="1236">
        <v>2.9999999999999997E-4</v>
      </c>
      <c r="E113" s="1243">
        <v>2.9999999999999997E-4</v>
      </c>
      <c r="F113" s="1156"/>
      <c r="G113" s="1147"/>
      <c r="H113" s="1148"/>
      <c r="I113" s="1149"/>
    </row>
    <row r="114" spans="2:27">
      <c r="B114" s="1221" t="s">
        <v>3192</v>
      </c>
      <c r="C114" s="1085"/>
      <c r="D114" s="1210" t="s">
        <v>2822</v>
      </c>
      <c r="E114" s="1223" t="s">
        <v>2822</v>
      </c>
      <c r="F114" s="1141"/>
      <c r="G114" s="1157"/>
      <c r="H114" s="1158"/>
      <c r="I114" s="1159"/>
      <c r="J114" s="1160"/>
    </row>
    <row r="115" spans="2:27">
      <c r="B115" s="1061" t="s">
        <v>3193</v>
      </c>
      <c r="C115" s="1085"/>
      <c r="D115" s="1236">
        <v>2.9999999999999997E-4</v>
      </c>
      <c r="E115" s="1243">
        <v>2.9999999999999997E-4</v>
      </c>
      <c r="F115" s="1156"/>
      <c r="G115" s="1161"/>
      <c r="H115" s="1158"/>
      <c r="I115" s="1159"/>
      <c r="J115" s="1160"/>
    </row>
    <row r="116" spans="2:27">
      <c r="D116" s="1196"/>
    </row>
    <row r="117" spans="2:27" ht="24">
      <c r="B117" s="1226" t="s">
        <v>2840</v>
      </c>
      <c r="C117" s="1212" t="s">
        <v>3134</v>
      </c>
      <c r="D117" s="1208" t="s">
        <v>3106</v>
      </c>
      <c r="E117" s="1209" t="s">
        <v>812</v>
      </c>
      <c r="F117" s="1209">
        <f>F80</f>
        <v>0</v>
      </c>
      <c r="G117" s="1209" t="s">
        <v>2740</v>
      </c>
      <c r="H117" s="1209" t="s">
        <v>2741</v>
      </c>
      <c r="I117" s="1203" t="s">
        <v>2559</v>
      </c>
      <c r="J117" s="1209" t="s">
        <v>3167</v>
      </c>
    </row>
    <row r="118" spans="2:27" ht="24">
      <c r="B118" s="1221" t="s">
        <v>2753</v>
      </c>
      <c r="C118" s="1832"/>
      <c r="D118" s="829" t="s">
        <v>3115</v>
      </c>
      <c r="E118" s="639"/>
      <c r="F118" s="639"/>
      <c r="G118" s="639"/>
      <c r="H118" s="640"/>
      <c r="I118" s="640"/>
      <c r="J118" s="640"/>
    </row>
    <row r="119" spans="2:27">
      <c r="B119" s="1108" t="s">
        <v>3166</v>
      </c>
      <c r="C119" s="1827"/>
      <c r="D119" s="697" t="s">
        <v>3168</v>
      </c>
      <c r="E119" s="1162"/>
      <c r="F119" s="1162"/>
      <c r="G119" s="1116"/>
      <c r="H119" s="1105"/>
      <c r="I119" s="1105"/>
      <c r="J119" s="1117"/>
      <c r="Z119" s="1196" t="str">
        <f>LEFT(RIGHT(B119,LEN(B119)-SEARCH("(",B119,1)),LEN(RIGHT(B119,LEN(B119)-SEARCH("(",B119,1)))-1)</f>
        <v>Et</v>
      </c>
      <c r="AA119" s="1196" t="str">
        <f>IF(OR(Z119="Ec",Z119="Et",Z119="AFUE"),"% "&amp;Z119,Z119)</f>
        <v>% Et</v>
      </c>
    </row>
    <row r="120" spans="2:27">
      <c r="B120" s="1244" t="s">
        <v>3121</v>
      </c>
      <c r="C120" s="1827"/>
      <c r="D120" s="829" t="s">
        <v>3117</v>
      </c>
      <c r="E120" s="1163"/>
      <c r="F120" s="1163"/>
      <c r="G120" s="1110"/>
      <c r="H120" s="1106"/>
      <c r="I120" s="1106"/>
      <c r="J120" s="1107"/>
    </row>
    <row r="121" spans="2:27">
      <c r="B121" s="1221" t="s">
        <v>2754</v>
      </c>
      <c r="C121" s="1827"/>
      <c r="D121" s="829" t="s">
        <v>3117</v>
      </c>
      <c r="E121" s="1164"/>
      <c r="F121" s="1165"/>
      <c r="G121" s="1110"/>
      <c r="H121" s="1106"/>
      <c r="I121" s="1106"/>
      <c r="J121" s="1107"/>
    </row>
    <row r="122" spans="2:27">
      <c r="B122" s="1221" t="s">
        <v>3110</v>
      </c>
      <c r="C122" s="1828"/>
      <c r="D122" s="829" t="s">
        <v>3117</v>
      </c>
      <c r="E122" s="1166"/>
      <c r="F122" s="1166"/>
      <c r="G122" s="1110"/>
      <c r="H122" s="1106"/>
      <c r="I122" s="1106"/>
      <c r="J122" s="1107"/>
    </row>
    <row r="123" spans="2:27">
      <c r="B123" s="1221" t="s">
        <v>2759</v>
      </c>
      <c r="C123" s="1085"/>
      <c r="D123" s="829" t="s">
        <v>3116</v>
      </c>
      <c r="E123" s="1247">
        <v>12.5</v>
      </c>
      <c r="F123" s="1167"/>
      <c r="G123" s="1110"/>
      <c r="H123" s="1106"/>
      <c r="I123" s="1106"/>
      <c r="J123" s="1107"/>
    </row>
    <row r="124" spans="2:27">
      <c r="B124" s="1230" t="s">
        <v>3158</v>
      </c>
      <c r="C124" s="1830"/>
      <c r="D124" s="1846" t="s">
        <v>3084</v>
      </c>
      <c r="E124" s="1225" t="str">
        <f>IF(F124="","",F124)</f>
        <v/>
      </c>
      <c r="F124" s="1104"/>
      <c r="G124" s="1168"/>
      <c r="H124" s="1168"/>
      <c r="I124" s="1106"/>
      <c r="J124" s="1107"/>
    </row>
    <row r="125" spans="2:27" ht="12.75" customHeight="1">
      <c r="B125" s="1230" t="s">
        <v>3162</v>
      </c>
      <c r="C125" s="1827"/>
      <c r="D125" s="1847"/>
      <c r="E125" s="1104"/>
      <c r="F125" s="1169"/>
      <c r="G125" s="1110"/>
      <c r="H125" s="1106"/>
      <c r="I125" s="1106"/>
      <c r="J125" s="1107"/>
    </row>
    <row r="126" spans="2:27">
      <c r="B126" s="1221" t="s">
        <v>3169</v>
      </c>
      <c r="C126" s="1827"/>
      <c r="D126" s="1847"/>
      <c r="E126" s="1170"/>
      <c r="F126" s="1171"/>
      <c r="G126" s="1110"/>
      <c r="H126" s="1106"/>
      <c r="I126" s="1106"/>
      <c r="J126" s="1107"/>
    </row>
    <row r="127" spans="2:27">
      <c r="B127" s="1221" t="s">
        <v>3159</v>
      </c>
      <c r="C127" s="1829"/>
      <c r="D127" s="1847"/>
      <c r="E127" s="1104"/>
      <c r="F127" s="639"/>
      <c r="G127" s="1110"/>
      <c r="H127" s="1106"/>
      <c r="I127" s="1106"/>
      <c r="J127" s="1107"/>
    </row>
    <row r="128" spans="2:27">
      <c r="B128" s="1221" t="s">
        <v>3160</v>
      </c>
      <c r="C128" s="1827"/>
      <c r="D128" s="1847"/>
      <c r="E128" s="1104"/>
      <c r="F128" s="1169"/>
      <c r="G128" s="1110"/>
      <c r="H128" s="1106"/>
      <c r="I128" s="1106"/>
      <c r="J128" s="1107"/>
    </row>
    <row r="129" spans="2:11">
      <c r="B129" s="1221" t="s">
        <v>3161</v>
      </c>
      <c r="C129" s="1829"/>
      <c r="D129" s="1848"/>
      <c r="E129" s="1172"/>
      <c r="F129" s="1172"/>
      <c r="G129" s="1110"/>
      <c r="H129" s="1106"/>
      <c r="I129" s="1106"/>
      <c r="J129" s="1107"/>
    </row>
    <row r="130" spans="2:11">
      <c r="B130" s="1221" t="s">
        <v>3111</v>
      </c>
      <c r="C130" s="1826"/>
      <c r="D130" s="829" t="s">
        <v>3118</v>
      </c>
      <c r="E130" s="1245">
        <v>2.5</v>
      </c>
      <c r="F130" s="1173"/>
      <c r="G130" s="1110"/>
      <c r="H130" s="1106"/>
      <c r="I130" s="1106"/>
      <c r="J130" s="1107"/>
    </row>
    <row r="131" spans="2:11">
      <c r="B131" s="1221" t="s">
        <v>3112</v>
      </c>
      <c r="C131" s="1827"/>
      <c r="D131" s="829" t="s">
        <v>3118</v>
      </c>
      <c r="E131" s="1245">
        <v>2.5</v>
      </c>
      <c r="F131" s="1173"/>
      <c r="G131" s="1110"/>
      <c r="H131" s="1106"/>
      <c r="I131" s="1106"/>
      <c r="J131" s="1107"/>
    </row>
    <row r="132" spans="2:11">
      <c r="B132" s="1221" t="s">
        <v>3113</v>
      </c>
      <c r="C132" s="1828"/>
      <c r="D132" s="829" t="s">
        <v>3118</v>
      </c>
      <c r="E132" s="1245">
        <v>2.5</v>
      </c>
      <c r="F132" s="1173"/>
      <c r="G132" s="1110"/>
      <c r="H132" s="1106"/>
      <c r="I132" s="1106"/>
      <c r="J132" s="1107"/>
    </row>
    <row r="133" spans="2:11">
      <c r="B133" s="1221" t="s">
        <v>3114</v>
      </c>
      <c r="C133" s="1837"/>
      <c r="D133" s="829" t="s">
        <v>3119</v>
      </c>
      <c r="E133" s="1246">
        <v>1.6</v>
      </c>
      <c r="F133" s="1174"/>
      <c r="G133" s="1110"/>
      <c r="H133" s="1106"/>
      <c r="I133" s="1106"/>
      <c r="J133" s="1107"/>
    </row>
    <row r="134" spans="2:11" ht="24">
      <c r="B134" s="1221" t="s">
        <v>3170</v>
      </c>
      <c r="C134" s="1838"/>
      <c r="D134" s="829" t="s">
        <v>3120</v>
      </c>
      <c r="E134" s="1175"/>
      <c r="F134" s="1175"/>
      <c r="G134" s="1125"/>
      <c r="H134" s="1112"/>
      <c r="I134" s="1112"/>
      <c r="J134" s="1113"/>
    </row>
    <row r="136" spans="2:11" ht="24">
      <c r="B136" s="1226" t="s">
        <v>2844</v>
      </c>
      <c r="C136" s="1212" t="s">
        <v>3134</v>
      </c>
      <c r="D136" s="1208" t="s">
        <v>3106</v>
      </c>
      <c r="E136" s="1209" t="s">
        <v>812</v>
      </c>
      <c r="F136" s="1209">
        <f>F117</f>
        <v>0</v>
      </c>
      <c r="G136" s="1209" t="s">
        <v>2717</v>
      </c>
      <c r="H136" s="1209" t="s">
        <v>2740</v>
      </c>
      <c r="I136" s="1209" t="s">
        <v>2741</v>
      </c>
      <c r="J136" s="1203" t="s">
        <v>2559</v>
      </c>
      <c r="K136" s="1203" t="s">
        <v>3167</v>
      </c>
    </row>
    <row r="137" spans="2:11" ht="36">
      <c r="B137" s="1244" t="s">
        <v>3205</v>
      </c>
      <c r="C137" s="1839"/>
      <c r="D137" s="635" t="s">
        <v>4058</v>
      </c>
      <c r="E137" s="1176"/>
      <c r="F137" s="1176"/>
      <c r="G137" s="639"/>
      <c r="H137" s="639"/>
      <c r="I137" s="640"/>
      <c r="J137" s="1177"/>
      <c r="K137" s="1071"/>
    </row>
    <row r="138" spans="2:11" ht="36">
      <c r="B138" s="1244" t="s">
        <v>3204</v>
      </c>
      <c r="C138" s="1840"/>
      <c r="D138" s="635" t="s">
        <v>4059</v>
      </c>
      <c r="E138" s="1176"/>
      <c r="F138" s="1176"/>
      <c r="G138" s="1071"/>
      <c r="H138" s="1071"/>
      <c r="I138" s="640"/>
      <c r="J138" s="1177"/>
      <c r="K138" s="1071"/>
    </row>
    <row r="139" spans="2:11">
      <c r="B139" s="1244" t="s">
        <v>3215</v>
      </c>
      <c r="C139" s="1085"/>
      <c r="D139" s="635" t="b">
        <f>IF(K137="Continuous","For continuously running fans: included in 0.003 W/CFM baseline allowance",IF(K137="Intermittent","For intermittent fans: Ceiling Exhaust - 1.2 CFM/W; Inline Exhaust - 2.3 CFM/W, based on SG 3.14.3"))</f>
        <v>0</v>
      </c>
      <c r="E139" s="1261" t="str">
        <f>IF(K137="Continuous","NA","")</f>
        <v/>
      </c>
      <c r="F139" s="1178"/>
      <c r="G139" s="1179"/>
      <c r="H139" s="1180"/>
      <c r="I139" s="1180"/>
      <c r="J139" s="1180"/>
      <c r="K139" s="1107"/>
    </row>
    <row r="140" spans="2:11" ht="36">
      <c r="B140" s="1244" t="s">
        <v>3214</v>
      </c>
      <c r="C140" s="1826"/>
      <c r="D140" s="1248" t="s">
        <v>3087</v>
      </c>
      <c r="E140" s="1176"/>
      <c r="F140" s="1176"/>
      <c r="G140" s="1071"/>
      <c r="H140" s="1106"/>
      <c r="I140" s="1106"/>
      <c r="J140" s="1106"/>
      <c r="K140" s="1107"/>
    </row>
    <row r="141" spans="2:11" ht="24">
      <c r="B141" s="1244" t="s">
        <v>3216</v>
      </c>
      <c r="C141" s="1827"/>
      <c r="D141" s="1248" t="s">
        <v>3962</v>
      </c>
      <c r="E141" s="1258" t="s">
        <v>206</v>
      </c>
      <c r="F141" s="1181"/>
      <c r="G141" s="1110"/>
      <c r="H141" s="1106"/>
      <c r="I141" s="1106"/>
      <c r="J141" s="1106"/>
      <c r="K141" s="1107"/>
    </row>
    <row r="142" spans="2:11" ht="24">
      <c r="B142" s="1244" t="s">
        <v>3217</v>
      </c>
      <c r="C142" s="1827"/>
      <c r="D142" s="1248" t="s">
        <v>3962</v>
      </c>
      <c r="E142" s="1256" t="s">
        <v>206</v>
      </c>
      <c r="F142" s="1182"/>
      <c r="G142" s="1110"/>
      <c r="H142" s="1106"/>
      <c r="I142" s="1106"/>
      <c r="J142" s="1106"/>
      <c r="K142" s="1107"/>
    </row>
    <row r="143" spans="2:11" ht="24">
      <c r="B143" s="1244" t="s">
        <v>3218</v>
      </c>
      <c r="C143" s="1828"/>
      <c r="D143" s="1248" t="s">
        <v>3962</v>
      </c>
      <c r="E143" s="1259" t="s">
        <v>206</v>
      </c>
      <c r="F143" s="1183"/>
      <c r="G143" s="1131"/>
      <c r="H143" s="1106"/>
      <c r="I143" s="1106"/>
      <c r="J143" s="1106"/>
      <c r="K143" s="1107"/>
    </row>
    <row r="144" spans="2:11">
      <c r="B144" s="1244" t="s">
        <v>3274</v>
      </c>
      <c r="C144" s="1262"/>
      <c r="D144" s="1249" t="s">
        <v>3273</v>
      </c>
      <c r="E144" s="1260" t="str">
        <f>IF(F144="","",F144)</f>
        <v/>
      </c>
      <c r="F144" s="1109"/>
      <c r="G144" s="1131"/>
      <c r="H144" s="1106"/>
      <c r="I144" s="1106"/>
      <c r="J144" s="1106"/>
      <c r="K144" s="1107"/>
    </row>
    <row r="145" spans="2:11" ht="36">
      <c r="B145" s="1244" t="s">
        <v>3206</v>
      </c>
      <c r="C145" s="1085"/>
      <c r="D145" s="635" t="s">
        <v>3087</v>
      </c>
      <c r="E145" s="1176"/>
      <c r="F145" s="1176"/>
      <c r="G145" s="1110"/>
      <c r="H145" s="1106"/>
      <c r="I145" s="1106"/>
      <c r="J145" s="1106"/>
      <c r="K145" s="1107"/>
    </row>
    <row r="146" spans="2:11" ht="24">
      <c r="B146" s="1244" t="s">
        <v>3963</v>
      </c>
      <c r="C146" s="1184"/>
      <c r="D146" s="635" t="s">
        <v>3964</v>
      </c>
      <c r="E146" s="1183"/>
      <c r="F146" s="1183"/>
      <c r="G146" s="1110"/>
      <c r="H146" s="1106"/>
      <c r="I146" s="1106"/>
      <c r="J146" s="1106"/>
      <c r="K146" s="1107"/>
    </row>
    <row r="147" spans="2:11">
      <c r="B147" s="1244" t="s">
        <v>3965</v>
      </c>
      <c r="C147" s="1827"/>
      <c r="D147" s="1248" t="s">
        <v>3211</v>
      </c>
      <c r="E147" s="1176"/>
      <c r="F147" s="1176"/>
      <c r="G147" s="1071"/>
      <c r="H147" s="1106"/>
      <c r="I147" s="1106"/>
      <c r="J147" s="1106"/>
      <c r="K147" s="1107"/>
    </row>
    <row r="148" spans="2:11" ht="24">
      <c r="B148" s="1244" t="s">
        <v>3966</v>
      </c>
      <c r="C148" s="1827"/>
      <c r="D148" s="1248" t="s">
        <v>3969</v>
      </c>
      <c r="E148" s="1255" t="s">
        <v>206</v>
      </c>
      <c r="F148" s="1185"/>
      <c r="G148" s="1110"/>
      <c r="H148" s="1106"/>
      <c r="I148" s="1106"/>
      <c r="J148" s="1106"/>
      <c r="K148" s="1107"/>
    </row>
    <row r="149" spans="2:11" ht="24">
      <c r="B149" s="1244" t="s">
        <v>3967</v>
      </c>
      <c r="C149" s="1827"/>
      <c r="D149" s="1248" t="s">
        <v>3970</v>
      </c>
      <c r="E149" s="1256" t="s">
        <v>206</v>
      </c>
      <c r="F149" s="1182"/>
      <c r="G149" s="1110"/>
      <c r="H149" s="1106"/>
      <c r="I149" s="1106"/>
      <c r="J149" s="1106"/>
      <c r="K149" s="1107"/>
    </row>
    <row r="150" spans="2:11" ht="24">
      <c r="B150" s="1244" t="s">
        <v>3968</v>
      </c>
      <c r="C150" s="1829"/>
      <c r="D150" s="1248" t="s">
        <v>3971</v>
      </c>
      <c r="E150" s="1257" t="s">
        <v>206</v>
      </c>
      <c r="F150" s="1186"/>
      <c r="G150" s="1110"/>
      <c r="H150" s="1106"/>
      <c r="I150" s="1106"/>
      <c r="J150" s="1106"/>
      <c r="K150" s="1107"/>
    </row>
    <row r="151" spans="2:11" ht="24">
      <c r="B151" s="1244" t="s">
        <v>3225</v>
      </c>
      <c r="C151" s="1826"/>
      <c r="D151" s="829" t="s">
        <v>3090</v>
      </c>
      <c r="E151" s="1187"/>
      <c r="F151" s="1187"/>
      <c r="G151" s="1110"/>
      <c r="H151" s="1106"/>
      <c r="I151" s="1106"/>
      <c r="J151" s="1106"/>
      <c r="K151" s="1107"/>
    </row>
    <row r="152" spans="2:11" ht="24">
      <c r="B152" s="1244" t="s">
        <v>3226</v>
      </c>
      <c r="C152" s="1829"/>
      <c r="D152" s="829" t="s">
        <v>3090</v>
      </c>
      <c r="E152" s="1176"/>
      <c r="F152" s="1176"/>
      <c r="G152" s="1110"/>
      <c r="H152" s="1106"/>
      <c r="I152" s="1106"/>
      <c r="J152" s="1106"/>
      <c r="K152" s="1107"/>
    </row>
    <row r="153" spans="2:11">
      <c r="B153" s="1244" t="s">
        <v>3986</v>
      </c>
      <c r="C153" s="1153"/>
      <c r="D153" s="1250" t="s">
        <v>3847</v>
      </c>
      <c r="E153" s="1188"/>
      <c r="F153" s="1189"/>
      <c r="G153" s="1110"/>
      <c r="H153" s="1106"/>
      <c r="I153" s="1106"/>
      <c r="J153" s="1106"/>
      <c r="K153" s="1107"/>
    </row>
    <row r="154" spans="2:11">
      <c r="B154" s="1244" t="s">
        <v>3985</v>
      </c>
      <c r="C154" s="1190"/>
      <c r="D154" s="1250" t="s">
        <v>2651</v>
      </c>
      <c r="E154" s="1188"/>
      <c r="F154" s="1189"/>
      <c r="G154" s="1110"/>
      <c r="H154" s="1106"/>
      <c r="I154" s="1106"/>
      <c r="J154" s="1106"/>
      <c r="K154" s="1107"/>
    </row>
    <row r="155" spans="2:11">
      <c r="B155" s="1221" t="s">
        <v>3227</v>
      </c>
      <c r="C155" s="1826"/>
      <c r="D155" s="1248" t="s">
        <v>3210</v>
      </c>
      <c r="E155" s="1191" t="s">
        <v>2651</v>
      </c>
      <c r="F155" s="1187"/>
      <c r="G155" s="1110"/>
      <c r="H155" s="1106"/>
      <c r="I155" s="1106"/>
      <c r="J155" s="1106"/>
      <c r="K155" s="1107"/>
    </row>
    <row r="156" spans="2:11">
      <c r="B156" s="1221" t="s">
        <v>3224</v>
      </c>
      <c r="C156" s="1829"/>
      <c r="D156" s="1248" t="s">
        <v>2651</v>
      </c>
      <c r="E156" s="1253" t="s">
        <v>2651</v>
      </c>
      <c r="F156" s="1082"/>
      <c r="G156" s="1110"/>
      <c r="H156" s="1106"/>
      <c r="I156" s="1106"/>
      <c r="J156" s="1106"/>
      <c r="K156" s="1107"/>
    </row>
    <row r="157" spans="2:11" ht="72">
      <c r="B157" s="1221" t="s">
        <v>3223</v>
      </c>
      <c r="C157" s="1830"/>
      <c r="D157" s="1248" t="s">
        <v>3972</v>
      </c>
      <c r="E157" s="1176"/>
      <c r="F157" s="1192"/>
      <c r="G157" s="1071"/>
      <c r="H157" s="1106"/>
      <c r="I157" s="1106"/>
      <c r="J157" s="1106"/>
      <c r="K157" s="1107"/>
    </row>
    <row r="158" spans="2:11" ht="36">
      <c r="B158" s="1221" t="s">
        <v>3219</v>
      </c>
      <c r="C158" s="1827"/>
      <c r="D158" s="1248" t="s">
        <v>3973</v>
      </c>
      <c r="E158" s="1185"/>
      <c r="F158" s="1185"/>
      <c r="G158" s="1110"/>
      <c r="H158" s="1106"/>
      <c r="I158" s="1106"/>
      <c r="J158" s="1106"/>
      <c r="K158" s="1107"/>
    </row>
    <row r="159" spans="2:11" ht="24">
      <c r="B159" s="1221" t="s">
        <v>3220</v>
      </c>
      <c r="C159" s="1827"/>
      <c r="D159" s="1248" t="s">
        <v>3213</v>
      </c>
      <c r="E159" s="1182"/>
      <c r="F159" s="1182"/>
      <c r="G159" s="1110"/>
      <c r="H159" s="1106"/>
      <c r="I159" s="1106"/>
      <c r="J159" s="1106"/>
      <c r="K159" s="1107"/>
    </row>
    <row r="160" spans="2:11" ht="24">
      <c r="B160" s="1252" t="s">
        <v>3237</v>
      </c>
      <c r="C160" s="1827"/>
      <c r="D160" s="1251" t="s">
        <v>3209</v>
      </c>
      <c r="E160" s="1183"/>
      <c r="F160" s="1183"/>
      <c r="G160" s="1110"/>
      <c r="H160" s="1106"/>
      <c r="I160" s="1106"/>
      <c r="J160" s="1106"/>
      <c r="K160" s="1107"/>
    </row>
    <row r="161" spans="2:11">
      <c r="B161" s="1252" t="s">
        <v>3221</v>
      </c>
      <c r="C161" s="1827"/>
      <c r="D161" s="1251" t="s">
        <v>3207</v>
      </c>
      <c r="E161" s="1191" t="s">
        <v>2651</v>
      </c>
      <c r="F161" s="1187"/>
      <c r="G161" s="1110"/>
      <c r="H161" s="1106"/>
      <c r="I161" s="1106"/>
      <c r="J161" s="1106"/>
      <c r="K161" s="1107"/>
    </row>
    <row r="162" spans="2:11" ht="24">
      <c r="B162" s="1252" t="s">
        <v>3222</v>
      </c>
      <c r="C162" s="1827"/>
      <c r="D162" s="1251" t="s">
        <v>3208</v>
      </c>
      <c r="E162" s="1254">
        <v>24</v>
      </c>
      <c r="F162" s="1193"/>
      <c r="G162" s="1110"/>
      <c r="H162" s="1106"/>
      <c r="I162" s="1106"/>
      <c r="J162" s="1106"/>
      <c r="K162" s="1107"/>
    </row>
    <row r="163" spans="2:11">
      <c r="B163" s="1252" t="s">
        <v>3228</v>
      </c>
      <c r="C163" s="1830"/>
      <c r="D163" s="1251" t="s">
        <v>3207</v>
      </c>
      <c r="E163" s="1191" t="s">
        <v>2651</v>
      </c>
      <c r="F163" s="1187"/>
      <c r="G163" s="1110"/>
      <c r="H163" s="1106"/>
      <c r="I163" s="1106"/>
      <c r="J163" s="1106"/>
      <c r="K163" s="1107"/>
    </row>
    <row r="164" spans="2:11" ht="24">
      <c r="B164" s="1252" t="s">
        <v>3229</v>
      </c>
      <c r="C164" s="1827"/>
      <c r="D164" s="1251" t="s">
        <v>3208</v>
      </c>
      <c r="E164" s="1193"/>
      <c r="F164" s="1193"/>
      <c r="G164" s="1110"/>
      <c r="H164" s="1106"/>
      <c r="I164" s="1106"/>
      <c r="J164" s="1106"/>
      <c r="K164" s="1107"/>
    </row>
    <row r="165" spans="2:11" ht="48">
      <c r="B165" s="1252" t="s">
        <v>3230</v>
      </c>
      <c r="C165" s="1829"/>
      <c r="D165" s="1251" t="s">
        <v>3212</v>
      </c>
      <c r="E165" s="1183"/>
      <c r="F165" s="1194"/>
      <c r="G165" s="1195"/>
      <c r="H165" s="1112"/>
      <c r="I165" s="1112"/>
      <c r="J165" s="1112"/>
      <c r="K165" s="1113"/>
    </row>
    <row r="167" spans="2:11" ht="24">
      <c r="B167" s="1226" t="s">
        <v>2739</v>
      </c>
      <c r="C167" s="1212" t="s">
        <v>3134</v>
      </c>
      <c r="D167" s="1208" t="s">
        <v>3106</v>
      </c>
      <c r="E167" s="1209" t="s">
        <v>812</v>
      </c>
      <c r="F167" s="1209">
        <f>F136</f>
        <v>0</v>
      </c>
    </row>
    <row r="168" spans="2:11">
      <c r="B168" s="1221" t="s">
        <v>3201</v>
      </c>
      <c r="C168" s="1085"/>
      <c r="D168" s="1210" t="s">
        <v>2651</v>
      </c>
      <c r="E168" s="1187"/>
      <c r="F168" s="1187"/>
    </row>
    <row r="169" spans="2:11">
      <c r="B169" s="1221" t="s">
        <v>3202</v>
      </c>
      <c r="C169" s="1085"/>
      <c r="D169" s="1210" t="s">
        <v>2651</v>
      </c>
      <c r="E169" s="1187"/>
      <c r="F169" s="1187"/>
    </row>
    <row r="170" spans="2:11">
      <c r="B170" s="1221" t="s">
        <v>3203</v>
      </c>
      <c r="C170" s="1085"/>
      <c r="D170" s="1210" t="s">
        <v>2651</v>
      </c>
      <c r="E170" s="1187"/>
      <c r="F170" s="1187"/>
    </row>
    <row r="171" spans="2:11">
      <c r="B171" s="1221" t="s">
        <v>2787</v>
      </c>
      <c r="C171" s="1837"/>
      <c r="D171" s="1210" t="s">
        <v>2651</v>
      </c>
      <c r="E171" s="1187"/>
      <c r="F171" s="1187"/>
    </row>
    <row r="172" spans="2:11">
      <c r="B172" s="1061" t="s">
        <v>2845</v>
      </c>
      <c r="C172" s="1838"/>
      <c r="D172" s="1210" t="s">
        <v>2651</v>
      </c>
      <c r="E172" s="1187"/>
      <c r="F172" s="1187"/>
    </row>
    <row r="174" spans="2:11">
      <c r="B174" s="1821" t="s">
        <v>3845</v>
      </c>
      <c r="C174" s="1822"/>
      <c r="D174" s="1822"/>
      <c r="E174" s="1822"/>
      <c r="F174" s="1822"/>
      <c r="G174" s="1823"/>
    </row>
    <row r="175" spans="2:11">
      <c r="B175" s="1040"/>
      <c r="C175" s="1041"/>
      <c r="D175" s="1041"/>
      <c r="E175" s="1041"/>
      <c r="F175" s="1041"/>
      <c r="G175" s="1042"/>
    </row>
    <row r="176" spans="2:11">
      <c r="B176" s="1043"/>
      <c r="C176" s="1044"/>
      <c r="D176" s="1044"/>
      <c r="E176" s="1044"/>
      <c r="F176" s="1044"/>
      <c r="G176" s="1045"/>
    </row>
    <row r="177" spans="2:7">
      <c r="B177" s="1046"/>
      <c r="C177" s="1044"/>
      <c r="D177" s="1044"/>
      <c r="E177" s="1044"/>
      <c r="F177" s="1044"/>
      <c r="G177" s="1045"/>
    </row>
    <row r="178" spans="2:7">
      <c r="B178" s="1046"/>
      <c r="C178" s="1044"/>
      <c r="D178" s="1044"/>
      <c r="E178" s="1044"/>
      <c r="F178" s="1044"/>
      <c r="G178" s="1045"/>
    </row>
    <row r="179" spans="2:7">
      <c r="B179" s="1047"/>
      <c r="C179" s="1048"/>
      <c r="D179" s="1048"/>
      <c r="E179" s="1048"/>
      <c r="F179" s="1048"/>
      <c r="G179" s="1049"/>
    </row>
  </sheetData>
  <sheetProtection sheet="1" objects="1" scenarios="1" formatCells="0" insertColumns="0" insertRows="0"/>
  <mergeCells count="52">
    <mergeCell ref="C128:C129"/>
    <mergeCell ref="C124:C127"/>
    <mergeCell ref="C41:C42"/>
    <mergeCell ref="C96:C97"/>
    <mergeCell ref="C98:C99"/>
    <mergeCell ref="B78:I78"/>
    <mergeCell ref="C53:C54"/>
    <mergeCell ref="C56:C58"/>
    <mergeCell ref="C65:C68"/>
    <mergeCell ref="C69:C72"/>
    <mergeCell ref="C73:C76"/>
    <mergeCell ref="D124:D129"/>
    <mergeCell ref="C81:C84"/>
    <mergeCell ref="C85:C88"/>
    <mergeCell ref="C118:C122"/>
    <mergeCell ref="B62:I62"/>
    <mergeCell ref="C133:C134"/>
    <mergeCell ref="C171:C172"/>
    <mergeCell ref="C130:C132"/>
    <mergeCell ref="C163:C165"/>
    <mergeCell ref="C147:C150"/>
    <mergeCell ref="C155:C156"/>
    <mergeCell ref="C151:C152"/>
    <mergeCell ref="C157:C162"/>
    <mergeCell ref="C140:C143"/>
    <mergeCell ref="C137:C138"/>
    <mergeCell ref="D21:D22"/>
    <mergeCell ref="C51:C52"/>
    <mergeCell ref="C35:C36"/>
    <mergeCell ref="D25:D26"/>
    <mergeCell ref="D27:D28"/>
    <mergeCell ref="D30:D33"/>
    <mergeCell ref="D35:D36"/>
    <mergeCell ref="C25:C26"/>
    <mergeCell ref="C27:C28"/>
    <mergeCell ref="C30:C33"/>
    <mergeCell ref="B174:G174"/>
    <mergeCell ref="C89:C92"/>
    <mergeCell ref="C110:C111"/>
    <mergeCell ref="C107:C109"/>
    <mergeCell ref="B10:G10"/>
    <mergeCell ref="C13:C14"/>
    <mergeCell ref="C15:C16"/>
    <mergeCell ref="C17:C18"/>
    <mergeCell ref="C19:C20"/>
    <mergeCell ref="D15:D16"/>
    <mergeCell ref="D17:D18"/>
    <mergeCell ref="D19:D20"/>
    <mergeCell ref="C21:C22"/>
    <mergeCell ref="D13:D14"/>
    <mergeCell ref="D23:D24"/>
    <mergeCell ref="C23:C24"/>
  </mergeCells>
  <conditionalFormatting sqref="D58:F58">
    <cfRule type="expression" dxfId="54" priority="32">
      <formula>$B$58="Electric Stove (kWh/yr)"</formula>
    </cfRule>
  </conditionalFormatting>
  <conditionalFormatting sqref="F108:F112">
    <cfRule type="expression" dxfId="53" priority="30">
      <formula>$F$107="No"</formula>
    </cfRule>
  </conditionalFormatting>
  <conditionalFormatting sqref="F126:F129">
    <cfRule type="expression" dxfId="52" priority="29">
      <formula>$F$107="No"</formula>
    </cfRule>
  </conditionalFormatting>
  <conditionalFormatting sqref="E125:F129">
    <cfRule type="expression" dxfId="51" priority="28">
      <formula>$F$124="No"</formula>
    </cfRule>
  </conditionalFormatting>
  <conditionalFormatting sqref="E119:F119">
    <cfRule type="expression" dxfId="50" priority="27">
      <formula>$B$119="DHW System Efficiency (EF)"</formula>
    </cfRule>
  </conditionalFormatting>
  <conditionalFormatting sqref="E67:F67">
    <cfRule type="expression" dxfId="49" priority="20">
      <formula>$B$67="Primary Heating System Efficiency (HSPF)"</formula>
    </cfRule>
    <cfRule type="expression" dxfId="48" priority="21">
      <formula>$B$67="Primary Heating System Efficiency (COP)"</formula>
    </cfRule>
    <cfRule type="expression" dxfId="47" priority="22">
      <formula>$B$67="Primary Heating System Efficiency (Ec)"</formula>
    </cfRule>
    <cfRule type="expression" dxfId="46" priority="23">
      <formula>$B$67="Primary Heating System Efficiency (Et)"</formula>
    </cfRule>
    <cfRule type="expression" dxfId="45" priority="24">
      <formula>$B$67="Primary Heating System Efficiency (AFUE)"</formula>
    </cfRule>
  </conditionalFormatting>
  <conditionalFormatting sqref="E75:F75">
    <cfRule type="expression" dxfId="44" priority="10">
      <formula>$B$75="Tertiary Heating System Efficiency (HSPF)"</formula>
    </cfRule>
    <cfRule type="expression" dxfId="43" priority="11">
      <formula>$B$75="Tertiary Heating System Efficiency (COP)"</formula>
    </cfRule>
    <cfRule type="expression" dxfId="42" priority="12">
      <formula>$B$75="Tertiary Heating System Efficiency (Ec)"</formula>
    </cfRule>
    <cfRule type="expression" dxfId="41" priority="13">
      <formula>$B$75="Tertiary Heating System Efficiency (Et)"</formula>
    </cfRule>
    <cfRule type="expression" dxfId="40" priority="14">
      <formula>$B$75="Tertiary Heating System Efficiency (AFUE)"</formula>
    </cfRule>
  </conditionalFormatting>
  <conditionalFormatting sqref="E71:F71">
    <cfRule type="expression" dxfId="39" priority="15">
      <formula>$B$71="Secondary Heating System Efficiency (HSPF)"</formula>
    </cfRule>
    <cfRule type="expression" dxfId="38" priority="16">
      <formula>$B$71="Secondary Heating System Efficiency (COP)"</formula>
    </cfRule>
    <cfRule type="expression" dxfId="37" priority="17">
      <formula>$B$71="Secondary Heating System Efficiency (Ec)"</formula>
    </cfRule>
    <cfRule type="expression" dxfId="36" priority="18">
      <formula>$B$71="Secondary Heating System Efficiency (Et)"</formula>
    </cfRule>
    <cfRule type="expression" dxfId="35" priority="19">
      <formula>$B$71="Secondary Heating System Efficiency (AFUE)"</formula>
    </cfRule>
  </conditionalFormatting>
  <conditionalFormatting sqref="E83:F83">
    <cfRule type="expression" dxfId="34" priority="8">
      <formula>$B$83="Primary Cooling System Efficiency (EER)"</formula>
    </cfRule>
  </conditionalFormatting>
  <conditionalFormatting sqref="F87">
    <cfRule type="expression" dxfId="33" priority="7">
      <formula>$B$87="Secondary Cooling System Efficiency (EER)"</formula>
    </cfRule>
  </conditionalFormatting>
  <conditionalFormatting sqref="F91">
    <cfRule type="expression" dxfId="32" priority="6">
      <formula>$B$91="Tertiary Cooling System Efficiency (EER)"</formula>
    </cfRule>
  </conditionalFormatting>
  <conditionalFormatting sqref="E139">
    <cfRule type="expression" dxfId="31" priority="1">
      <formula>$K$137="Intermittent"</formula>
    </cfRule>
  </conditionalFormatting>
  <dataValidations count="19">
    <dataValidation type="list" allowBlank="1" showInputMessage="1" showErrorMessage="1" sqref="I118 J53 J50:J51 J59 I81 I65:I66 I73:I74 I69:I70 I85:I86 J137:J138 I89:I90">
      <formula1>EStar</formula1>
    </dataValidation>
    <dataValidation type="list" allowBlank="1" showInputMessage="1" showErrorMessage="1" sqref="K137:K138">
      <formula1>"Continuous, Intermittent"</formula1>
    </dataValidation>
    <dataValidation type="list" allowBlank="1" showInputMessage="1" showErrorMessage="1" sqref="E127:F127 E109:F109">
      <formula1>PumpClass</formula1>
    </dataValidation>
    <dataValidation type="list" allowBlank="1" showInputMessage="1" showErrorMessage="1" sqref="E128:F128 E110:F110">
      <formula1>Pump</formula1>
    </dataValidation>
    <dataValidation type="list" allowBlank="1" showInputMessage="1" showErrorMessage="1" sqref="E107:F107 F124">
      <formula1>"Please select,Yes, No"</formula1>
    </dataValidation>
    <dataValidation type="list" allowBlank="1" showInputMessage="1" showErrorMessage="1" sqref="B119">
      <formula1>"DHW System Efficiency (EF), DHW System Efficiency (Et)"</formula1>
    </dataValidation>
    <dataValidation type="list" allowBlank="1" showInputMessage="1" showErrorMessage="1" sqref="J118">
      <formula1>"In-Unit, Central"</formula1>
    </dataValidation>
    <dataValidation type="list" allowBlank="1" showInputMessage="1" showErrorMessage="1" sqref="E114:F114 E112:F112">
      <formula1>FanControl</formula1>
    </dataValidation>
    <dataValidation type="list" allowBlank="1" showInputMessage="1" showErrorMessage="1" sqref="E98:F98">
      <formula1>HeatingControl</formula1>
    </dataValidation>
    <dataValidation type="list" allowBlank="1" showInputMessage="1" showErrorMessage="1" sqref="B83">
      <formula1>"Primary Cooling System Efficiency (EER), Primary Cooling System Efficiency (SEER)"</formula1>
    </dataValidation>
    <dataValidation type="list" allowBlank="1" showInputMessage="1" showErrorMessage="1" sqref="B87">
      <formula1>"Secondary Cooling System Efficiency (EER), Secondary Cooling System Efficiency (SEER)"</formula1>
    </dataValidation>
    <dataValidation type="list" allowBlank="1" showInputMessage="1" showErrorMessage="1" sqref="B67">
      <formula1>"Primary Heating System Efficiency (AFUE), , Primary Heating System Efficiency (COP), Primary Heating System Efficiency (Ec), Primary Heating System Efficiency (Et), Primary Heating System Efficiency (HSPF)"</formula1>
    </dataValidation>
    <dataValidation type="list" allowBlank="1" showInputMessage="1" showErrorMessage="1" sqref="B71">
      <formula1>"Secondary Heating System Efficiency (AFUE), Secondary Heating System Efficiency (COP), Secondary Heating System Efficiency (Ec), Secondary Heating System Efficiency (Et), Secondary Heating System Efficiency (HSPF)"</formula1>
    </dataValidation>
    <dataValidation type="list" allowBlank="1" showInputMessage="1" showErrorMessage="1" sqref="B75">
      <formula1>"Tertiary Heating System Efficiency (AFUE), Tertiary Heating System Efficiency (COP), Tertiary Heating System Efficiency (Ec), Tertiary Heating System Efficiency (Et), Tertiary Heating System Efficiency (HSPF)"</formula1>
    </dataValidation>
    <dataValidation type="list" allowBlank="1" showInputMessage="1" showErrorMessage="1" sqref="K65 K69 K73">
      <formula1>"Yes, No"</formula1>
    </dataValidation>
    <dataValidation type="list" allowBlank="1" showInputMessage="1" showErrorMessage="1" sqref="K53">
      <formula1>"Common Area,In-Unit"</formula1>
    </dataValidation>
    <dataValidation type="list" allowBlank="1" showInputMessage="1" showErrorMessage="1" sqref="B58">
      <formula1>"Please Select Type of Stove, Electric Stove (kWh/yr), Gas Stove (therm/yr)"</formula1>
    </dataValidation>
    <dataValidation type="whole" allowBlank="1" showInputMessage="1" showErrorMessage="1" sqref="C50:C51 C53:C60">
      <formula1>1</formula1>
      <formula2>50</formula2>
    </dataValidation>
    <dataValidation type="list" allowBlank="1" showInputMessage="1" showErrorMessage="1" sqref="B91">
      <formula1>"Tertiary Cooling System Efficiency (EER), Tertiary Cooling System Efficiency (SEER)"</formula1>
    </dataValidation>
  </dataValidations>
  <pageMargins left="0.7" right="0.7" top="0.75" bottom="0.75" header="0.3" footer="0.3"/>
  <pageSetup orientation="portrait" r:id="rId1"/>
  <ignoredErrors>
    <ignoredError sqref="F60 F56" unlockedFormula="1"/>
  </ignoredError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249977111117893"/>
    <pageSetUpPr fitToPage="1"/>
  </sheetPr>
  <dimension ref="A1:AM140"/>
  <sheetViews>
    <sheetView showGridLines="0" topLeftCell="A91" zoomScaleNormal="100" workbookViewId="0"/>
  </sheetViews>
  <sheetFormatPr defaultRowHeight="12"/>
  <cols>
    <col min="1" max="1" width="2" style="1028" customWidth="1"/>
    <col min="2" max="2" width="28.42578125" style="1028" customWidth="1"/>
    <col min="3" max="3" width="17.140625" style="1028" customWidth="1"/>
    <col min="4" max="4" width="15.7109375" style="1028" customWidth="1"/>
    <col min="5" max="5" width="16.42578125" style="1028" customWidth="1"/>
    <col min="6" max="6" width="9.42578125" style="1028" customWidth="1"/>
    <col min="7" max="7" width="15.7109375" style="1028" customWidth="1"/>
    <col min="8" max="8" width="15.140625" style="1028" customWidth="1"/>
    <col min="9" max="10" width="9.42578125" style="1028" customWidth="1"/>
    <col min="11" max="11" width="13" style="1028" customWidth="1"/>
    <col min="12" max="12" width="3.5703125" style="1028" customWidth="1"/>
    <col min="13" max="13" width="9.140625" style="1028"/>
    <col min="14" max="15" width="16" style="1028" customWidth="1"/>
    <col min="16" max="29" width="9.140625" style="1028"/>
    <col min="30" max="30" width="40.140625" style="1065" customWidth="1"/>
    <col min="31" max="31" width="47.85546875" style="1065" customWidth="1"/>
    <col min="32" max="35" width="9.140625" style="1028"/>
    <col min="36" max="39" width="9.140625" style="1028" customWidth="1"/>
    <col min="40" max="16384" width="9.140625" style="1028"/>
  </cols>
  <sheetData>
    <row r="1" spans="1:12" ht="19.5" thickBot="1">
      <c r="B1" s="1027"/>
    </row>
    <row r="2" spans="1:12">
      <c r="B2" s="2097" t="s">
        <v>3941</v>
      </c>
      <c r="C2" s="2098"/>
      <c r="D2" s="2098"/>
      <c r="E2" s="2098"/>
      <c r="F2" s="2098"/>
      <c r="G2" s="2098"/>
      <c r="H2" s="2098"/>
      <c r="I2" s="2098"/>
      <c r="J2" s="2098"/>
      <c r="K2" s="2098"/>
      <c r="L2" s="2099"/>
    </row>
    <row r="3" spans="1:12" ht="21" customHeight="1" thickBot="1">
      <c r="B3" s="2100"/>
      <c r="C3" s="2101"/>
      <c r="D3" s="2101"/>
      <c r="E3" s="2101"/>
      <c r="F3" s="2101"/>
      <c r="G3" s="2101"/>
      <c r="H3" s="2101"/>
      <c r="I3" s="2101"/>
      <c r="J3" s="2101"/>
      <c r="K3" s="2101"/>
      <c r="L3" s="2102"/>
    </row>
    <row r="4" spans="1:12" ht="12.75" thickBot="1">
      <c r="A4" s="1033"/>
    </row>
    <row r="5" spans="1:12" ht="12.75" thickBot="1">
      <c r="B5" s="2106" t="s">
        <v>2517</v>
      </c>
      <c r="C5" s="2107"/>
      <c r="D5" s="2107"/>
      <c r="E5" s="2107"/>
      <c r="F5" s="2107"/>
      <c r="G5" s="2107"/>
      <c r="H5" s="2107"/>
      <c r="I5" s="2107"/>
      <c r="J5" s="2107"/>
      <c r="K5" s="2107"/>
      <c r="L5" s="2108"/>
    </row>
    <row r="6" spans="1:12" ht="12.75" thickBot="1">
      <c r="B6" s="1964" t="s">
        <v>2518</v>
      </c>
      <c r="C6" s="1965"/>
      <c r="D6" s="1961"/>
      <c r="E6" s="1961"/>
      <c r="F6" s="1961"/>
      <c r="G6" s="1971" t="s">
        <v>2521</v>
      </c>
      <c r="H6" s="1972"/>
      <c r="I6" s="2088">
        <f>'Basic Info'!C31</f>
        <v>0</v>
      </c>
      <c r="J6" s="2089"/>
      <c r="K6" s="2089"/>
      <c r="L6" s="2089"/>
    </row>
    <row r="7" spans="1:12">
      <c r="B7" s="1971" t="s">
        <v>3037</v>
      </c>
      <c r="C7" s="1972"/>
      <c r="D7" s="1962" t="str">
        <f>IF('Basic Info'!C71="","",'Basic Info'!C71)</f>
        <v/>
      </c>
      <c r="E7" s="1963"/>
      <c r="F7" s="1963"/>
      <c r="G7" s="1965" t="s">
        <v>2519</v>
      </c>
      <c r="H7" s="1965"/>
      <c r="I7" s="1974">
        <f>'Basic Info'!C76</f>
        <v>0</v>
      </c>
      <c r="J7" s="1974"/>
      <c r="K7" s="1974"/>
      <c r="L7" s="1975"/>
    </row>
    <row r="8" spans="1:12">
      <c r="B8" s="2090" t="s">
        <v>2523</v>
      </c>
      <c r="C8" s="1986"/>
      <c r="D8" s="2091">
        <f>'Basic Info'!C32</f>
        <v>0</v>
      </c>
      <c r="E8" s="2092"/>
      <c r="F8" s="2093"/>
      <c r="G8" s="1985" t="s">
        <v>2520</v>
      </c>
      <c r="H8" s="1986"/>
      <c r="I8" s="1976">
        <f>'Basic Info'!D76</f>
        <v>0</v>
      </c>
      <c r="J8" s="1977"/>
      <c r="K8" s="1977"/>
      <c r="L8" s="1978"/>
    </row>
    <row r="9" spans="1:12">
      <c r="A9" s="1033"/>
      <c r="B9" s="1983" t="s">
        <v>3906</v>
      </c>
      <c r="C9" s="1984"/>
      <c r="D9" s="2006" t="str">
        <f>'Basic Info'!C33 &amp; ", " &amp; 'Basic Info'!C35</f>
        <v xml:space="preserve">, </v>
      </c>
      <c r="E9" s="2006"/>
      <c r="F9" s="2006"/>
      <c r="G9" s="1985" t="s">
        <v>2522</v>
      </c>
      <c r="H9" s="1986"/>
      <c r="I9" s="1976">
        <f>'Basic Info'!E76</f>
        <v>0</v>
      </c>
      <c r="J9" s="1977"/>
      <c r="K9" s="1977"/>
      <c r="L9" s="1978"/>
    </row>
    <row r="10" spans="1:12" ht="12.75" thickBot="1">
      <c r="A10" s="1033"/>
      <c r="B10" s="2094" t="s">
        <v>3905</v>
      </c>
      <c r="C10" s="2095"/>
      <c r="D10" s="2096">
        <f>'Basic Info'!C34</f>
        <v>0</v>
      </c>
      <c r="E10" s="2096"/>
      <c r="F10" s="2096"/>
      <c r="G10" s="2007" t="s">
        <v>2524</v>
      </c>
      <c r="H10" s="2008"/>
      <c r="I10" s="1976">
        <f>'Basic Info'!F76</f>
        <v>0</v>
      </c>
      <c r="J10" s="1977"/>
      <c r="K10" s="1977"/>
      <c r="L10" s="1978"/>
    </row>
    <row r="11" spans="1:12" ht="12.75" thickBot="1">
      <c r="B11" s="2106" t="s">
        <v>2525</v>
      </c>
      <c r="C11" s="2107"/>
      <c r="D11" s="2107"/>
      <c r="E11" s="2107"/>
      <c r="F11" s="2107"/>
      <c r="G11" s="2107"/>
      <c r="H11" s="2107"/>
      <c r="I11" s="2107"/>
      <c r="J11" s="2107"/>
      <c r="K11" s="2107"/>
      <c r="L11" s="2108"/>
    </row>
    <row r="12" spans="1:12">
      <c r="B12" s="1964" t="s">
        <v>2676</v>
      </c>
      <c r="C12" s="1965"/>
      <c r="D12" s="1974">
        <f>'Basic Info'!D75</f>
        <v>0</v>
      </c>
      <c r="E12" s="1974"/>
      <c r="F12" s="1974"/>
      <c r="G12" s="1965" t="s">
        <v>2671</v>
      </c>
      <c r="H12" s="1965"/>
      <c r="I12" s="2009">
        <f>'Basic Info'!C37</f>
        <v>0</v>
      </c>
      <c r="J12" s="2009"/>
      <c r="K12" s="2009"/>
      <c r="L12" s="2010"/>
    </row>
    <row r="13" spans="1:12">
      <c r="B13" s="1971" t="s">
        <v>2526</v>
      </c>
      <c r="C13" s="1972"/>
      <c r="D13" s="1963">
        <f>'Basic Info'!C75</f>
        <v>0</v>
      </c>
      <c r="E13" s="1963"/>
      <c r="F13" s="1963"/>
      <c r="G13" s="1972" t="s">
        <v>2527</v>
      </c>
      <c r="H13" s="1972"/>
      <c r="I13" s="2004" t="s">
        <v>2875</v>
      </c>
      <c r="J13" s="2004"/>
      <c r="K13" s="2004"/>
      <c r="L13" s="2005"/>
    </row>
    <row r="14" spans="1:12">
      <c r="B14" s="1971" t="s">
        <v>2522</v>
      </c>
      <c r="C14" s="1972"/>
      <c r="D14" s="1963">
        <f>'Basic Info'!E75</f>
        <v>0</v>
      </c>
      <c r="E14" s="1963"/>
      <c r="F14" s="1963"/>
      <c r="G14" s="1985" t="s">
        <v>3338</v>
      </c>
      <c r="H14" s="1986"/>
      <c r="I14" s="2004">
        <f>'Basic Info'!C38</f>
        <v>0</v>
      </c>
      <c r="J14" s="2004"/>
      <c r="K14" s="2004"/>
      <c r="L14" s="2005"/>
    </row>
    <row r="15" spans="1:12" ht="12.75" thickBot="1">
      <c r="A15" s="1033"/>
      <c r="B15" s="1995" t="s">
        <v>2524</v>
      </c>
      <c r="C15" s="1996"/>
      <c r="D15" s="2002">
        <f>'Basic Info'!F75</f>
        <v>0</v>
      </c>
      <c r="E15" s="2003"/>
      <c r="F15" s="2003"/>
      <c r="G15" s="1996" t="s">
        <v>3328</v>
      </c>
      <c r="H15" s="1996"/>
      <c r="I15" s="2004">
        <f>'Basic Info'!C56</f>
        <v>0</v>
      </c>
      <c r="J15" s="2004"/>
      <c r="K15" s="2004"/>
      <c r="L15" s="2005"/>
    </row>
    <row r="16" spans="1:12" ht="12.75" thickBot="1">
      <c r="A16" s="1033"/>
      <c r="B16" s="2106" t="s">
        <v>2528</v>
      </c>
      <c r="C16" s="2107"/>
      <c r="D16" s="2107"/>
      <c r="E16" s="2107"/>
      <c r="F16" s="2107"/>
      <c r="G16" s="2107"/>
      <c r="H16" s="2107"/>
      <c r="I16" s="2107"/>
      <c r="J16" s="2107"/>
      <c r="K16" s="2107"/>
      <c r="L16" s="2108"/>
    </row>
    <row r="17" spans="1:12">
      <c r="A17" s="1033"/>
      <c r="B17" s="1993" t="s">
        <v>2529</v>
      </c>
      <c r="C17" s="1994"/>
      <c r="D17" s="1997">
        <f>'Basic Info'!C46</f>
        <v>0</v>
      </c>
      <c r="E17" s="1998"/>
      <c r="F17" s="1999"/>
      <c r="G17" s="2115" t="s">
        <v>2994</v>
      </c>
      <c r="H17" s="2116"/>
      <c r="I17" s="2000">
        <f>'Basic Info'!C26</f>
        <v>0</v>
      </c>
      <c r="J17" s="2000"/>
      <c r="K17" s="2000"/>
      <c r="L17" s="2001"/>
    </row>
    <row r="18" spans="1:12">
      <c r="A18" s="1033"/>
      <c r="B18" s="1993" t="s">
        <v>2530</v>
      </c>
      <c r="C18" s="1994"/>
      <c r="D18" s="1997">
        <f>'Basic Info'!C49</f>
        <v>0</v>
      </c>
      <c r="E18" s="1998"/>
      <c r="F18" s="1999"/>
      <c r="G18" s="1988" t="s">
        <v>889</v>
      </c>
      <c r="H18" s="1988"/>
      <c r="I18" s="1989">
        <f>'Basic Info'!C11</f>
        <v>0</v>
      </c>
      <c r="J18" s="1989"/>
      <c r="K18" s="1989"/>
      <c r="L18" s="1990"/>
    </row>
    <row r="19" spans="1:12">
      <c r="A19" s="1033"/>
      <c r="B19" s="1993" t="s">
        <v>2532</v>
      </c>
      <c r="C19" s="1994"/>
      <c r="D19" s="1997">
        <f>'Basic Info'!C51</f>
        <v>0</v>
      </c>
      <c r="E19" s="1998"/>
      <c r="F19" s="1999"/>
      <c r="G19" s="1988" t="s">
        <v>2531</v>
      </c>
      <c r="H19" s="1988"/>
      <c r="I19" s="1989">
        <f>SUM('Basic Info'!C12:C21)</f>
        <v>0</v>
      </c>
      <c r="J19" s="1989"/>
      <c r="K19" s="1989"/>
      <c r="L19" s="1990"/>
    </row>
    <row r="20" spans="1:12">
      <c r="A20" s="1033"/>
      <c r="B20" s="1993" t="s">
        <v>2534</v>
      </c>
      <c r="C20" s="1994"/>
      <c r="D20" s="1997">
        <f>'Basic Info'!C52</f>
        <v>0</v>
      </c>
      <c r="E20" s="1998"/>
      <c r="F20" s="1999"/>
      <c r="G20" s="1988" t="s">
        <v>2533</v>
      </c>
      <c r="H20" s="1988"/>
      <c r="I20" s="1989">
        <f>'Basic Info'!C25</f>
        <v>0</v>
      </c>
      <c r="J20" s="1989"/>
      <c r="K20" s="1989"/>
      <c r="L20" s="1990"/>
    </row>
    <row r="21" spans="1:12" ht="12.75" customHeight="1">
      <c r="A21" s="1033"/>
      <c r="B21" s="1993" t="s">
        <v>2535</v>
      </c>
      <c r="C21" s="1994"/>
      <c r="D21" s="1997">
        <f>'Basic Info'!C53</f>
        <v>0</v>
      </c>
      <c r="E21" s="1998"/>
      <c r="F21" s="1999"/>
      <c r="G21" s="1988" t="s">
        <v>1261</v>
      </c>
      <c r="H21" s="1988"/>
      <c r="I21" s="1989">
        <f>'Basic Info'!C24</f>
        <v>0</v>
      </c>
      <c r="J21" s="1989"/>
      <c r="K21" s="1989"/>
      <c r="L21" s="1990"/>
    </row>
    <row r="22" spans="1:12" ht="12.75" customHeight="1">
      <c r="A22" s="1033"/>
      <c r="B22" s="1991" t="s">
        <v>2536</v>
      </c>
      <c r="C22" s="1992"/>
      <c r="D22" s="1987">
        <f>'Basic Info'!C54</f>
        <v>0</v>
      </c>
      <c r="E22" s="1987"/>
      <c r="F22" s="1987"/>
      <c r="G22" s="2117" t="s">
        <v>3329</v>
      </c>
      <c r="H22" s="1994"/>
      <c r="I22" s="1989">
        <f>'Basic Info'!C27</f>
        <v>0</v>
      </c>
      <c r="J22" s="1989"/>
      <c r="K22" s="1989"/>
      <c r="L22" s="1990"/>
    </row>
    <row r="23" spans="1:12" ht="12.75" customHeight="1">
      <c r="A23" s="1033"/>
      <c r="B23" s="1991" t="s">
        <v>2577</v>
      </c>
      <c r="C23" s="1992"/>
      <c r="D23" s="1987">
        <f>'Basic Info'!C51</f>
        <v>0</v>
      </c>
      <c r="E23" s="1987"/>
      <c r="F23" s="1987"/>
      <c r="G23" s="1988" t="s">
        <v>2537</v>
      </c>
      <c r="H23" s="1988"/>
      <c r="I23" s="1989">
        <f>SUMIF('Basic Info'!D11:D25, "Heated &amp; Cooled", 'Basic Info'!C11:C25)</f>
        <v>0</v>
      </c>
      <c r="J23" s="1989"/>
      <c r="K23" s="1989"/>
      <c r="L23" s="1990"/>
    </row>
    <row r="24" spans="1:12" ht="13.5" customHeight="1">
      <c r="A24" s="1033"/>
      <c r="B24" s="2011"/>
      <c r="C24" s="2012"/>
      <c r="D24" s="2012"/>
      <c r="E24" s="2012"/>
      <c r="F24" s="2013"/>
      <c r="G24" s="2017" t="s">
        <v>2538</v>
      </c>
      <c r="H24" s="2017"/>
      <c r="I24" s="1989">
        <f>SUMIF('Basic Info'!D11:D25, "Heated-Only", 'Basic Info'!C11:C25)</f>
        <v>0</v>
      </c>
      <c r="J24" s="1989"/>
      <c r="K24" s="1989"/>
      <c r="L24" s="1990"/>
    </row>
    <row r="25" spans="1:12" ht="12.75" thickBot="1">
      <c r="A25" s="1033"/>
      <c r="B25" s="2014"/>
      <c r="C25" s="2015"/>
      <c r="D25" s="2015"/>
      <c r="E25" s="2015"/>
      <c r="F25" s="2016"/>
      <c r="G25" s="2018" t="s">
        <v>2539</v>
      </c>
      <c r="H25" s="2018"/>
      <c r="I25" s="2019">
        <f>SUMIF('Basic Info'!D11:D25, "Cooled-Only", 'Basic Info'!C11:C25)</f>
        <v>0</v>
      </c>
      <c r="J25" s="2019"/>
      <c r="K25" s="2019"/>
      <c r="L25" s="2020"/>
    </row>
    <row r="26" spans="1:12" ht="12.75" thickBot="1">
      <c r="B26" s="2024" t="s">
        <v>2540</v>
      </c>
      <c r="C26" s="2025"/>
      <c r="D26" s="1276" t="s">
        <v>1256</v>
      </c>
      <c r="E26" s="1276" t="s">
        <v>2541</v>
      </c>
      <c r="F26" s="1276" t="s">
        <v>2542</v>
      </c>
      <c r="G26" s="1276" t="s">
        <v>2543</v>
      </c>
      <c r="H26" s="1276" t="s">
        <v>2544</v>
      </c>
      <c r="I26" s="2040" t="s">
        <v>1255</v>
      </c>
      <c r="J26" s="2040"/>
      <c r="K26" s="2040"/>
      <c r="L26" s="2041"/>
    </row>
    <row r="27" spans="1:12" ht="12.75" customHeight="1">
      <c r="A27" s="1033"/>
      <c r="B27" s="2034" t="s">
        <v>210</v>
      </c>
      <c r="C27" s="2035"/>
      <c r="D27" s="1277">
        <f>'Basic Info'!C4</f>
        <v>0</v>
      </c>
      <c r="E27" s="1277">
        <f>'Basic Info'!C5</f>
        <v>0</v>
      </c>
      <c r="F27" s="1277">
        <f>'Basic Info'!C6</f>
        <v>0</v>
      </c>
      <c r="G27" s="1277">
        <f>'Basic Info'!C7</f>
        <v>0</v>
      </c>
      <c r="H27" s="1277">
        <f>'Basic Info'!C8</f>
        <v>0</v>
      </c>
      <c r="I27" s="2036">
        <f>SUM(D27:H27)</f>
        <v>0</v>
      </c>
      <c r="J27" s="2036"/>
      <c r="K27" s="2036"/>
      <c r="L27" s="2037"/>
    </row>
    <row r="28" spans="1:12" ht="12.75" thickBot="1">
      <c r="A28" s="1033"/>
      <c r="B28" s="2029" t="s">
        <v>2995</v>
      </c>
      <c r="C28" s="2030"/>
      <c r="D28" s="546"/>
      <c r="E28" s="546"/>
      <c r="F28" s="546"/>
      <c r="G28" s="546"/>
      <c r="H28" s="546"/>
      <c r="I28" s="2038" t="e">
        <f>(D28*D27+E28*E27+F28*F27+G28*G27+H28*H27)/I27</f>
        <v>#DIV/0!</v>
      </c>
      <c r="J28" s="2038"/>
      <c r="K28" s="2038"/>
      <c r="L28" s="2039"/>
    </row>
    <row r="29" spans="1:12" ht="12.75" customHeight="1" thickBot="1">
      <c r="A29" s="1033"/>
      <c r="B29" s="2109" t="s">
        <v>3974</v>
      </c>
      <c r="C29" s="2110"/>
      <c r="D29" s="2110"/>
      <c r="E29" s="2110"/>
      <c r="F29" s="2110"/>
      <c r="G29" s="2110"/>
      <c r="H29" s="2110"/>
      <c r="I29" s="2110"/>
      <c r="J29" s="2110"/>
      <c r="K29" s="2110"/>
      <c r="L29" s="2111"/>
    </row>
    <row r="30" spans="1:12" ht="13.5" customHeight="1">
      <c r="A30" s="1033"/>
      <c r="B30" s="2031" t="s">
        <v>3942</v>
      </c>
      <c r="C30" s="2032"/>
      <c r="D30" s="2033"/>
      <c r="E30" s="1281">
        <f>I17-I21</f>
        <v>0</v>
      </c>
      <c r="F30" s="2118" t="s">
        <v>1205</v>
      </c>
      <c r="G30" s="2119"/>
      <c r="H30" s="2119"/>
      <c r="I30" s="2119"/>
      <c r="J30" s="2119"/>
      <c r="K30" s="2119"/>
      <c r="L30" s="2120"/>
    </row>
    <row r="31" spans="1:12" ht="12" customHeight="1">
      <c r="B31" s="2026" t="s">
        <v>18</v>
      </c>
      <c r="C31" s="2027"/>
      <c r="D31" s="2028"/>
      <c r="E31" s="1282">
        <f>'Basic Info'!C4+'Basic Info'!C5+2*'Basic Info'!C6+3*'Basic Info'!C7+4*'Basic Info'!C8</f>
        <v>0</v>
      </c>
      <c r="F31" s="2046" t="s">
        <v>3949</v>
      </c>
      <c r="G31" s="2047"/>
      <c r="H31" s="2047"/>
      <c r="I31" s="2047"/>
      <c r="J31" s="2047"/>
      <c r="K31" s="2047"/>
      <c r="L31" s="2048"/>
    </row>
    <row r="32" spans="1:12" ht="12" customHeight="1">
      <c r="B32" s="2026" t="s">
        <v>3943</v>
      </c>
      <c r="C32" s="2027"/>
      <c r="D32" s="2028"/>
      <c r="E32" s="828">
        <f>D17</f>
        <v>0</v>
      </c>
      <c r="F32" s="2049"/>
      <c r="G32" s="2050"/>
      <c r="H32" s="2050"/>
      <c r="I32" s="2050"/>
      <c r="J32" s="2050"/>
      <c r="K32" s="2050"/>
      <c r="L32" s="2051"/>
    </row>
    <row r="33" spans="1:39" ht="12" customHeight="1">
      <c r="B33" s="1278" t="s">
        <v>3946</v>
      </c>
      <c r="C33" s="1279"/>
      <c r="D33" s="1280"/>
      <c r="E33" s="828">
        <f>I27</f>
        <v>0</v>
      </c>
      <c r="F33" s="2049"/>
      <c r="G33" s="2050"/>
      <c r="H33" s="2050"/>
      <c r="I33" s="2050"/>
      <c r="J33" s="2050"/>
      <c r="K33" s="2050"/>
      <c r="L33" s="2051"/>
    </row>
    <row r="34" spans="1:39" ht="12" customHeight="1">
      <c r="B34" s="2026" t="s">
        <v>3944</v>
      </c>
      <c r="C34" s="2027"/>
      <c r="D34" s="2028"/>
      <c r="E34" s="529"/>
      <c r="F34" s="2049"/>
      <c r="G34" s="2050"/>
      <c r="H34" s="2050"/>
      <c r="I34" s="2050"/>
      <c r="J34" s="2050"/>
      <c r="K34" s="2050"/>
      <c r="L34" s="2051"/>
    </row>
    <row r="35" spans="1:39" ht="12" customHeight="1">
      <c r="B35" s="2026" t="s">
        <v>3945</v>
      </c>
      <c r="C35" s="2027"/>
      <c r="D35" s="2028"/>
      <c r="E35" s="529"/>
      <c r="F35" s="2049"/>
      <c r="G35" s="2050"/>
      <c r="H35" s="2050"/>
      <c r="I35" s="2050"/>
      <c r="J35" s="2050"/>
      <c r="K35" s="2050"/>
      <c r="L35" s="2051"/>
    </row>
    <row r="36" spans="1:39" ht="12" customHeight="1">
      <c r="B36" s="2026" t="s">
        <v>3947</v>
      </c>
      <c r="C36" s="2027"/>
      <c r="D36" s="2028"/>
      <c r="E36" s="1283">
        <f>G108</f>
        <v>0</v>
      </c>
      <c r="F36" s="2049"/>
      <c r="G36" s="2050"/>
      <c r="H36" s="2050"/>
      <c r="I36" s="2050"/>
      <c r="J36" s="2050"/>
      <c r="K36" s="2050"/>
      <c r="L36" s="2051"/>
    </row>
    <row r="37" spans="1:39" ht="12.75" customHeight="1" thickBot="1">
      <c r="A37" s="1033"/>
      <c r="B37" s="2043" t="s">
        <v>3948</v>
      </c>
      <c r="C37" s="2044"/>
      <c r="D37" s="2045"/>
      <c r="E37" s="1284">
        <f>G109+G110</f>
        <v>0</v>
      </c>
      <c r="F37" s="2052"/>
      <c r="G37" s="2053"/>
      <c r="H37" s="2053"/>
      <c r="I37" s="2053"/>
      <c r="J37" s="2053"/>
      <c r="K37" s="2053"/>
      <c r="L37" s="2054"/>
    </row>
    <row r="38" spans="1:39" ht="12.75" thickBot="1">
      <c r="A38" s="1033"/>
      <c r="B38" s="2106" t="s">
        <v>27</v>
      </c>
      <c r="C38" s="2107"/>
      <c r="D38" s="2107"/>
      <c r="E38" s="2107"/>
      <c r="F38" s="2107"/>
      <c r="G38" s="2107"/>
      <c r="H38" s="2107"/>
      <c r="I38" s="2107"/>
      <c r="J38" s="2107"/>
      <c r="K38" s="2107"/>
      <c r="L38" s="2108"/>
    </row>
    <row r="39" spans="1:39" ht="27" customHeight="1">
      <c r="B39" s="2055" t="s">
        <v>2545</v>
      </c>
      <c r="C39" s="1968"/>
      <c r="D39" s="1285" t="s">
        <v>2546</v>
      </c>
      <c r="E39" s="1967" t="s">
        <v>2547</v>
      </c>
      <c r="F39" s="1968"/>
      <c r="G39" s="1969"/>
      <c r="H39" s="1967" t="s">
        <v>2548</v>
      </c>
      <c r="I39" s="1968"/>
      <c r="J39" s="1968"/>
      <c r="K39" s="1968"/>
      <c r="L39" s="2042"/>
      <c r="AD39" s="1065" t="str">
        <f t="shared" ref="AD39:AD92" si="0">E41</f>
        <v xml:space="preserve">Per ASHRAE, </v>
      </c>
      <c r="AE39" s="1065" t="str">
        <f>H41</f>
        <v xml:space="preserve"> , </v>
      </c>
      <c r="AL39" s="1028" t="s">
        <v>2588</v>
      </c>
      <c r="AM39" s="1028" t="s">
        <v>2585</v>
      </c>
    </row>
    <row r="40" spans="1:39">
      <c r="B40" s="2021" t="s">
        <v>2549</v>
      </c>
      <c r="C40" s="2022"/>
      <c r="D40" s="2022"/>
      <c r="E40" s="2022"/>
      <c r="F40" s="2022"/>
      <c r="G40" s="2022"/>
      <c r="H40" s="2022"/>
      <c r="I40" s="2022"/>
      <c r="J40" s="2022"/>
      <c r="K40" s="2022"/>
      <c r="L40" s="2023"/>
      <c r="AD40" s="1065" t="str">
        <f t="shared" si="0"/>
        <v xml:space="preserve">Per ASHRAE, </v>
      </c>
      <c r="AE40" s="1065" t="str">
        <f t="shared" ref="AE40:AE112" si="1">H42</f>
        <v xml:space="preserve"> , </v>
      </c>
      <c r="AL40" s="1028" t="s">
        <v>2584</v>
      </c>
      <c r="AM40" s="1028" t="s">
        <v>1118</v>
      </c>
    </row>
    <row r="41" spans="1:39">
      <c r="B41" s="1855" t="s">
        <v>2780</v>
      </c>
      <c r="C41" s="1884"/>
      <c r="D41" s="828" t="s">
        <v>2551</v>
      </c>
      <c r="E41" s="1885" t="str">
        <f>CONCATENATE('Model Inputs'!E13,", ",'Model Inputs'!E14)</f>
        <v xml:space="preserve">Per ASHRAE, </v>
      </c>
      <c r="F41" s="1886"/>
      <c r="G41" s="1887"/>
      <c r="H41" s="1878" t="str">
        <f>CONCATENATE('Model Inputs'!G13," , ",'Model Inputs'!G14)</f>
        <v xml:space="preserve"> , </v>
      </c>
      <c r="I41" s="1879"/>
      <c r="J41" s="1879"/>
      <c r="K41" s="1879"/>
      <c r="L41" s="1880"/>
      <c r="AD41" s="1065" t="str">
        <f t="shared" si="0"/>
        <v xml:space="preserve">Per ASHRAE, </v>
      </c>
      <c r="AE41" s="1065" t="str">
        <f t="shared" si="1"/>
        <v xml:space="preserve"> , </v>
      </c>
    </row>
    <row r="42" spans="1:39">
      <c r="B42" s="1855" t="s">
        <v>2783</v>
      </c>
      <c r="C42" s="1856"/>
      <c r="D42" s="828" t="s">
        <v>3268</v>
      </c>
      <c r="E42" s="1885" t="str">
        <f>IF('Model Inputs'!G17="N/A","N/A",CONCATENATE('Model Inputs'!E17,", ",'Model Inputs'!E18))</f>
        <v xml:space="preserve">Per ASHRAE, </v>
      </c>
      <c r="F42" s="1886"/>
      <c r="G42" s="1887"/>
      <c r="H42" s="1878" t="str">
        <f>IF('Model Inputs'!G17="N/A","N/A",CONCATENATE('Model Inputs'!G17," , ",'Model Inputs'!G18))</f>
        <v xml:space="preserve"> , </v>
      </c>
      <c r="I42" s="1879"/>
      <c r="J42" s="1879"/>
      <c r="K42" s="1879"/>
      <c r="L42" s="1880"/>
      <c r="AD42" s="1065" t="str">
        <f t="shared" si="0"/>
        <v xml:space="preserve">Per ASHRAE, </v>
      </c>
      <c r="AE42" s="1065" t="str">
        <f t="shared" si="1"/>
        <v xml:space="preserve"> , </v>
      </c>
      <c r="AL42" s="1028" t="s">
        <v>2589</v>
      </c>
      <c r="AM42" s="1028" t="s">
        <v>2587</v>
      </c>
    </row>
    <row r="43" spans="1:39">
      <c r="B43" s="1855" t="s">
        <v>2784</v>
      </c>
      <c r="C43" s="1884"/>
      <c r="D43" s="828" t="s">
        <v>2551</v>
      </c>
      <c r="E43" s="1885" t="str">
        <f>IF('Model Inputs'!G19="N/A","N/A",CONCATENATE('Model Inputs'!E19,", ",'Model Inputs'!E20))</f>
        <v xml:space="preserve">Per ASHRAE, </v>
      </c>
      <c r="F43" s="1886"/>
      <c r="G43" s="1887"/>
      <c r="H43" s="1878" t="str">
        <f>IF('Model Inputs'!G19="N/A","N/A",CONCATENATE('Model Inputs'!G19," , ",'Model Inputs'!G20))</f>
        <v xml:space="preserve"> , </v>
      </c>
      <c r="I43" s="1879"/>
      <c r="J43" s="1879"/>
      <c r="K43" s="1879"/>
      <c r="L43" s="1880"/>
    </row>
    <row r="44" spans="1:39">
      <c r="B44" s="1855" t="s">
        <v>3269</v>
      </c>
      <c r="C44" s="1884"/>
      <c r="D44" s="828" t="s">
        <v>3266</v>
      </c>
      <c r="E44" s="1885" t="str">
        <f>IF('Model Inputs'!G21="N/A","N/A",CONCATENATE('Model Inputs'!E21,", ",'Model Inputs'!E22))</f>
        <v xml:space="preserve">Per ASHRAE, </v>
      </c>
      <c r="F44" s="1886"/>
      <c r="G44" s="1887"/>
      <c r="H44" s="1878" t="str">
        <f>IF('Model Inputs'!G21="N/A","N/A",CONCATENATE('Model Inputs'!G21," , ",'Model Inputs'!G22))</f>
        <v xml:space="preserve"> , </v>
      </c>
      <c r="I44" s="1879"/>
      <c r="J44" s="1879"/>
      <c r="K44" s="1879"/>
      <c r="L44" s="1880"/>
      <c r="AD44" s="1065" t="str">
        <f t="shared" si="0"/>
        <v xml:space="preserve">Per ASHRAE, </v>
      </c>
      <c r="AE44" s="1065" t="str">
        <f t="shared" si="1"/>
        <v xml:space="preserve"> , </v>
      </c>
      <c r="AL44" s="1028" t="s">
        <v>2587</v>
      </c>
    </row>
    <row r="45" spans="1:39">
      <c r="B45" s="2066" t="s">
        <v>3270</v>
      </c>
      <c r="C45" s="2067"/>
      <c r="D45" s="828" t="s">
        <v>3266</v>
      </c>
      <c r="E45" s="1885" t="str">
        <f>IF('Model Inputs'!G23="N/A","N/A",CONCATENATE('Model Inputs'!E23,", ",'Model Inputs'!E24))</f>
        <v xml:space="preserve">Per ASHRAE, </v>
      </c>
      <c r="F45" s="1886"/>
      <c r="G45" s="1887"/>
      <c r="H45" s="1878" t="str">
        <f>IF('Model Inputs'!G23="N/A","N/A",CONCATENATE('Model Inputs'!G23," , ",'Model Inputs'!G24))</f>
        <v xml:space="preserve"> , </v>
      </c>
      <c r="I45" s="1879"/>
      <c r="J45" s="1879"/>
      <c r="K45" s="1879"/>
      <c r="L45" s="1880"/>
      <c r="AD45" s="1065" t="str">
        <f t="shared" si="0"/>
        <v xml:space="preserve">Per ASHRAE, </v>
      </c>
      <c r="AE45" s="1065" t="str">
        <f t="shared" si="1"/>
        <v xml:space="preserve"> , </v>
      </c>
    </row>
    <row r="46" spans="1:39">
      <c r="B46" s="1286" t="s">
        <v>2843</v>
      </c>
      <c r="C46" s="1287"/>
      <c r="D46" s="828" t="s">
        <v>3268</v>
      </c>
      <c r="E46" s="1885" t="str">
        <f>IF('Model Inputs'!G25="N/A","N/A",CONCATENATE('Model Inputs'!E25,", ",'Model Inputs'!E26))</f>
        <v xml:space="preserve">Per ASHRAE, </v>
      </c>
      <c r="F46" s="1886"/>
      <c r="G46" s="1887"/>
      <c r="H46" s="1878" t="str">
        <f>IF('Model Inputs'!G25="N/A","N/A",CONCATENATE('Model Inputs'!G25," , ",'Model Inputs'!G26))</f>
        <v xml:space="preserve"> , </v>
      </c>
      <c r="I46" s="1879"/>
      <c r="J46" s="1879"/>
      <c r="K46" s="1879"/>
      <c r="L46" s="1880"/>
      <c r="AD46" s="1065">
        <f t="shared" si="0"/>
        <v>0</v>
      </c>
      <c r="AE46" s="1065">
        <f t="shared" si="1"/>
        <v>0</v>
      </c>
    </row>
    <row r="47" spans="1:39">
      <c r="B47" s="1286" t="s">
        <v>2781</v>
      </c>
      <c r="C47" s="1287"/>
      <c r="D47" s="828" t="s">
        <v>2551</v>
      </c>
      <c r="E47" s="1885" t="str">
        <f>CONCATENATE('Model Inputs'!E27,", ",'Model Inputs'!E28)</f>
        <v xml:space="preserve">Per ASHRAE, </v>
      </c>
      <c r="F47" s="1886"/>
      <c r="G47" s="1887"/>
      <c r="H47" s="1873" t="str">
        <f>CONCATENATE('Model Inputs'!G27," , ",'Model Inputs'!G28)</f>
        <v xml:space="preserve"> , </v>
      </c>
      <c r="I47" s="1873"/>
      <c r="J47" s="1873"/>
      <c r="K47" s="1873"/>
      <c r="L47" s="1874"/>
      <c r="AD47" s="1065" t="str">
        <f t="shared" si="0"/>
        <v xml:space="preserve">, Per ASHRAE, </v>
      </c>
      <c r="AE47" s="1065" t="str">
        <f t="shared" si="1"/>
        <v xml:space="preserve"> ,  , </v>
      </c>
    </row>
    <row r="48" spans="1:39">
      <c r="B48" s="1855" t="s">
        <v>3330</v>
      </c>
      <c r="C48" s="1884"/>
      <c r="D48" s="828" t="s">
        <v>3267</v>
      </c>
      <c r="E48" s="2069">
        <f>'Model Inputs'!E29</f>
        <v>0</v>
      </c>
      <c r="F48" s="2070"/>
      <c r="G48" s="2071"/>
      <c r="H48" s="2068">
        <f>'Model Inputs'!G29</f>
        <v>0</v>
      </c>
      <c r="I48" s="1858"/>
      <c r="J48" s="1858"/>
      <c r="K48" s="1858"/>
      <c r="L48" s="1859"/>
      <c r="AD48" s="1065">
        <f t="shared" si="0"/>
        <v>0</v>
      </c>
      <c r="AE48" s="1065">
        <f t="shared" si="1"/>
        <v>0</v>
      </c>
    </row>
    <row r="49" spans="1:31">
      <c r="B49" s="1855" t="s">
        <v>3041</v>
      </c>
      <c r="C49" s="1884"/>
      <c r="D49" s="828" t="s">
        <v>2551</v>
      </c>
      <c r="E49" s="1881" t="str">
        <f>CONCATENATE('Model Inputs'!E30,", ", 'Model Inputs'!E31,", ",'Model Inputs'!E32)</f>
        <v xml:space="preserve">, Per ASHRAE, </v>
      </c>
      <c r="F49" s="1882"/>
      <c r="G49" s="1883"/>
      <c r="H49" s="1858" t="str">
        <f>CONCATENATE('Model Inputs'!G30," , ", 'Model Inputs'!G31," , ",'Model Inputs'!G32)</f>
        <v xml:space="preserve"> ,  , </v>
      </c>
      <c r="I49" s="1858"/>
      <c r="J49" s="1858"/>
      <c r="K49" s="1858"/>
      <c r="L49" s="1859"/>
      <c r="AD49" s="1065">
        <f t="shared" si="0"/>
        <v>0</v>
      </c>
      <c r="AE49" s="1065">
        <f t="shared" si="1"/>
        <v>0</v>
      </c>
    </row>
    <row r="50" spans="1:31">
      <c r="A50" s="1033"/>
      <c r="B50" s="1855" t="s">
        <v>3040</v>
      </c>
      <c r="C50" s="1884"/>
      <c r="D50" s="828" t="s">
        <v>2552</v>
      </c>
      <c r="E50" s="1916">
        <f>'Model Inputs'!E33</f>
        <v>0</v>
      </c>
      <c r="F50" s="1917"/>
      <c r="G50" s="1918"/>
      <c r="H50" s="2056">
        <f>'Model Inputs'!G33</f>
        <v>0</v>
      </c>
      <c r="I50" s="2056"/>
      <c r="J50" s="2056"/>
      <c r="K50" s="2056"/>
      <c r="L50" s="2057"/>
      <c r="AD50" s="1065" t="str">
        <f t="shared" si="0"/>
        <v xml:space="preserve">, </v>
      </c>
      <c r="AE50" s="1065" t="str">
        <f t="shared" si="1"/>
        <v xml:space="preserve"> , </v>
      </c>
    </row>
    <row r="51" spans="1:31">
      <c r="A51" s="1033"/>
      <c r="B51" s="1855" t="s">
        <v>2553</v>
      </c>
      <c r="C51" s="1884"/>
      <c r="D51" s="828"/>
      <c r="E51" s="1881">
        <f>'Model Inputs'!E34</f>
        <v>0</v>
      </c>
      <c r="F51" s="1882"/>
      <c r="G51" s="1883"/>
      <c r="H51" s="1857">
        <f>'Model Inputs'!G34</f>
        <v>0</v>
      </c>
      <c r="I51" s="1858"/>
      <c r="J51" s="1858"/>
      <c r="K51" s="1858"/>
      <c r="L51" s="1859"/>
      <c r="AD51" s="1065">
        <f t="shared" si="0"/>
        <v>0</v>
      </c>
      <c r="AE51" s="1065">
        <f t="shared" si="1"/>
        <v>0</v>
      </c>
    </row>
    <row r="52" spans="1:31" ht="12.75" customHeight="1">
      <c r="A52" s="1033"/>
      <c r="B52" s="1286" t="s">
        <v>2786</v>
      </c>
      <c r="C52" s="1287"/>
      <c r="D52" s="828" t="s">
        <v>2551</v>
      </c>
      <c r="E52" s="1881" t="str">
        <f>CONCATENATE('Model Inputs'!E35,", ",'Model Inputs'!E36)</f>
        <v xml:space="preserve">, </v>
      </c>
      <c r="F52" s="1882"/>
      <c r="G52" s="1883"/>
      <c r="H52" s="1857" t="str">
        <f>CONCATENATE('Model Inputs'!G35," , ",'Model Inputs'!G36)</f>
        <v xml:space="preserve"> , </v>
      </c>
      <c r="I52" s="1857"/>
      <c r="J52" s="1857"/>
      <c r="K52" s="1857"/>
      <c r="L52" s="2075"/>
      <c r="AD52" s="1065">
        <f t="shared" si="0"/>
        <v>0.7</v>
      </c>
      <c r="AE52" s="1065">
        <f t="shared" si="1"/>
        <v>0</v>
      </c>
    </row>
    <row r="53" spans="1:31" ht="12.75" customHeight="1">
      <c r="A53" s="1033"/>
      <c r="B53" s="1875" t="s">
        <v>2554</v>
      </c>
      <c r="C53" s="1876"/>
      <c r="D53" s="1876"/>
      <c r="E53" s="1876"/>
      <c r="F53" s="1876"/>
      <c r="G53" s="1876"/>
      <c r="H53" s="1876"/>
      <c r="I53" s="1876"/>
      <c r="J53" s="1876"/>
      <c r="K53" s="1876"/>
      <c r="L53" s="1877"/>
    </row>
    <row r="54" spans="1:31" ht="12.75" customHeight="1">
      <c r="A54" s="1033"/>
      <c r="B54" s="1855" t="s">
        <v>2555</v>
      </c>
      <c r="C54" s="1856"/>
      <c r="D54" s="828" t="s">
        <v>2993</v>
      </c>
      <c r="E54" s="1864">
        <f>'Model Inputs'!E40</f>
        <v>0.7</v>
      </c>
      <c r="F54" s="2062"/>
      <c r="G54" s="2063"/>
      <c r="H54" s="1861">
        <f>'Model Inputs'!F40</f>
        <v>0</v>
      </c>
      <c r="I54" s="2058"/>
      <c r="J54" s="2058"/>
      <c r="K54" s="2058"/>
      <c r="L54" s="1863"/>
      <c r="AD54" s="1065" t="e">
        <f t="shared" si="0"/>
        <v>#DIV/0!</v>
      </c>
      <c r="AE54" s="1065" t="e">
        <f t="shared" si="1"/>
        <v>#DIV/0!</v>
      </c>
    </row>
    <row r="55" spans="1:31" ht="12.75" customHeight="1">
      <c r="A55" s="1033"/>
      <c r="B55" s="1855" t="s">
        <v>3323</v>
      </c>
      <c r="C55" s="1856"/>
      <c r="D55" s="828" t="s">
        <v>2993</v>
      </c>
      <c r="E55" s="1864">
        <f>'Model Inputs'!E41</f>
        <v>0.5</v>
      </c>
      <c r="F55" s="2062"/>
      <c r="G55" s="2063"/>
      <c r="H55" s="1861">
        <f>'Model Inputs'!F41</f>
        <v>0</v>
      </c>
      <c r="I55" s="2058"/>
      <c r="J55" s="2058"/>
      <c r="K55" s="2058"/>
      <c r="L55" s="1863"/>
      <c r="AD55" s="1065">
        <f t="shared" si="0"/>
        <v>0</v>
      </c>
      <c r="AE55" s="1065">
        <f t="shared" si="1"/>
        <v>0</v>
      </c>
    </row>
    <row r="56" spans="1:31" ht="12.75" customHeight="1">
      <c r="A56" s="1033"/>
      <c r="B56" s="1855" t="s">
        <v>3950</v>
      </c>
      <c r="C56" s="1860"/>
      <c r="D56" s="828" t="s">
        <v>2993</v>
      </c>
      <c r="E56" s="2059" t="e">
        <f>'Interior Lighting'!N27/'Interior Lighting'!S27</f>
        <v>#DIV/0!</v>
      </c>
      <c r="F56" s="2060"/>
      <c r="G56" s="2076"/>
      <c r="H56" s="2059" t="e">
        <f>'Interior Lighting'!J27/'Interior Lighting'!S27</f>
        <v>#DIV/0!</v>
      </c>
      <c r="I56" s="2060"/>
      <c r="J56" s="2060"/>
      <c r="K56" s="2060"/>
      <c r="L56" s="2061"/>
      <c r="M56" s="1265" t="str">
        <f>IF('Interior Lighting'!S27=0,"",IF(H56&gt;1.2*E56, "Total specified lighting power for the combined common spaces is exceeding ASHRAE allowances by more than 20%. This is not permitted.", ""))</f>
        <v/>
      </c>
      <c r="AD56" s="1065" t="str">
        <f>E59</f>
        <v>N/A</v>
      </c>
      <c r="AE56" s="1065">
        <f>H59</f>
        <v>0</v>
      </c>
    </row>
    <row r="57" spans="1:31" ht="12.75" customHeight="1">
      <c r="A57" s="1033"/>
      <c r="B57" s="1855" t="s">
        <v>3951</v>
      </c>
      <c r="C57" s="1856"/>
      <c r="D57" s="828" t="s">
        <v>887</v>
      </c>
      <c r="E57" s="1864">
        <f>'Model Inputs'!E46*1000</f>
        <v>0</v>
      </c>
      <c r="F57" s="2062"/>
      <c r="G57" s="2063"/>
      <c r="H57" s="2064">
        <f>'Model Inputs'!F46*1000</f>
        <v>0</v>
      </c>
      <c r="I57" s="2064"/>
      <c r="J57" s="2064"/>
      <c r="K57" s="2064"/>
      <c r="L57" s="2065"/>
      <c r="AD57" s="1065" t="str">
        <f>E60</f>
        <v>N/A</v>
      </c>
      <c r="AE57" s="1065" t="str">
        <f>H60</f>
        <v>N/A</v>
      </c>
    </row>
    <row r="58" spans="1:31" ht="12.75" customHeight="1">
      <c r="A58" s="1033"/>
      <c r="B58" s="1855" t="s">
        <v>3952</v>
      </c>
      <c r="C58" s="1860"/>
      <c r="D58" s="828" t="s">
        <v>887</v>
      </c>
      <c r="E58" s="1864">
        <f>'Exterior Lighting'!E25</f>
        <v>0</v>
      </c>
      <c r="F58" s="1865"/>
      <c r="G58" s="1866"/>
      <c r="H58" s="1861">
        <f>'Exterior Lighting'!F25</f>
        <v>0</v>
      </c>
      <c r="I58" s="1862"/>
      <c r="J58" s="1862"/>
      <c r="K58" s="1862"/>
      <c r="L58" s="1863"/>
    </row>
    <row r="59" spans="1:31">
      <c r="A59" s="1033"/>
      <c r="B59" s="1855" t="s">
        <v>2557</v>
      </c>
      <c r="C59" s="1884"/>
      <c r="D59" s="828"/>
      <c r="E59" s="1867" t="str">
        <f>'Model Inputs'!E43</f>
        <v>N/A</v>
      </c>
      <c r="F59" s="1868"/>
      <c r="G59" s="1869"/>
      <c r="H59" s="1870">
        <f>'Model Inputs'!F43</f>
        <v>0</v>
      </c>
      <c r="I59" s="1871"/>
      <c r="J59" s="1871"/>
      <c r="K59" s="1871"/>
      <c r="L59" s="1872"/>
      <c r="AD59" s="1065" t="str">
        <f t="shared" si="0"/>
        <v>N/A</v>
      </c>
      <c r="AE59" s="1065" t="str">
        <f t="shared" si="1"/>
        <v>N/A</v>
      </c>
    </row>
    <row r="60" spans="1:31">
      <c r="A60" s="1033"/>
      <c r="B60" s="1855" t="s">
        <v>2558</v>
      </c>
      <c r="C60" s="1856"/>
      <c r="D60" s="828" t="s">
        <v>3326</v>
      </c>
      <c r="E60" s="1919" t="str">
        <f>IF('Model Inputs'!G50=0,"N/A","Non-ENERGY STAR")</f>
        <v>N/A</v>
      </c>
      <c r="F60" s="1920"/>
      <c r="G60" s="1921"/>
      <c r="H60" s="1857" t="str">
        <f>IF('Model Inputs'!G50=0,"N/A",'Model Inputs'!J50)</f>
        <v>N/A</v>
      </c>
      <c r="I60" s="1858"/>
      <c r="J60" s="1858"/>
      <c r="K60" s="1858"/>
      <c r="L60" s="1859"/>
      <c r="AD60" s="1065" t="str">
        <f t="shared" si="0"/>
        <v>N/A</v>
      </c>
      <c r="AE60" s="1065" t="str">
        <f t="shared" si="1"/>
        <v>N/A</v>
      </c>
    </row>
    <row r="61" spans="1:31">
      <c r="A61" s="1033"/>
      <c r="B61" s="1855" t="s">
        <v>2560</v>
      </c>
      <c r="C61" s="1856"/>
      <c r="D61" s="828" t="s">
        <v>3326</v>
      </c>
      <c r="E61" s="1919" t="str">
        <f>IF('Model Inputs'!G51=0,"N/A","Non-ENERGY STAR")</f>
        <v>N/A</v>
      </c>
      <c r="F61" s="1920"/>
      <c r="G61" s="1921"/>
      <c r="H61" s="1857" t="str">
        <f>IF('Model Inputs'!G51=0,"N/A",'Model Inputs'!J51)</f>
        <v>N/A</v>
      </c>
      <c r="I61" s="1858"/>
      <c r="J61" s="1858"/>
      <c r="K61" s="1858"/>
      <c r="L61" s="1859"/>
      <c r="AD61" s="1065">
        <f t="shared" si="0"/>
        <v>0</v>
      </c>
      <c r="AE61" s="1065">
        <f t="shared" si="1"/>
        <v>0</v>
      </c>
    </row>
    <row r="62" spans="1:31">
      <c r="A62" s="1033"/>
      <c r="B62" s="1855" t="s">
        <v>3046</v>
      </c>
      <c r="C62" s="1856"/>
      <c r="D62" s="828" t="s">
        <v>3326</v>
      </c>
      <c r="E62" s="1919" t="str">
        <f>IF('Model Inputs'!G53=0,"N/A","Non-ENERGY STAR")</f>
        <v>N/A</v>
      </c>
      <c r="F62" s="1920"/>
      <c r="G62" s="1921"/>
      <c r="H62" s="1857" t="str">
        <f>IF('Model Inputs'!G53=0,"N/A",'Model Inputs'!J53)</f>
        <v>N/A</v>
      </c>
      <c r="I62" s="1858"/>
      <c r="J62" s="1858"/>
      <c r="K62" s="1858"/>
      <c r="L62" s="1859"/>
      <c r="AD62" s="1065">
        <f t="shared" si="0"/>
        <v>0</v>
      </c>
      <c r="AE62" s="1065">
        <f t="shared" si="1"/>
        <v>0</v>
      </c>
    </row>
    <row r="63" spans="1:31" ht="13.5" customHeight="1">
      <c r="A63" s="1033"/>
      <c r="B63" s="1875" t="s">
        <v>3038</v>
      </c>
      <c r="C63" s="1876"/>
      <c r="D63" s="1876"/>
      <c r="E63" s="1876"/>
      <c r="F63" s="1876"/>
      <c r="G63" s="1876"/>
      <c r="H63" s="1876"/>
      <c r="I63" s="1876"/>
      <c r="J63" s="1876"/>
      <c r="K63" s="1876"/>
      <c r="L63" s="1877"/>
      <c r="AD63" s="1065" t="str">
        <f t="shared" si="0"/>
        <v>Supply, 0 CFM</v>
      </c>
      <c r="AE63" s="1065" t="str">
        <f t="shared" si="1"/>
        <v>Supply, 0 CFM</v>
      </c>
    </row>
    <row r="64" spans="1:31" ht="12.75" customHeight="1">
      <c r="A64" s="1033"/>
      <c r="B64" s="1855" t="s">
        <v>2561</v>
      </c>
      <c r="C64" s="1884"/>
      <c r="D64" s="828"/>
      <c r="E64" s="1867">
        <f>'Model Inputs'!E65</f>
        <v>0</v>
      </c>
      <c r="F64" s="1868"/>
      <c r="G64" s="1869"/>
      <c r="H64" s="1870">
        <f>'Model Inputs'!F65</f>
        <v>0</v>
      </c>
      <c r="I64" s="1871"/>
      <c r="J64" s="1871"/>
      <c r="K64" s="1871"/>
      <c r="L64" s="1872"/>
    </row>
    <row r="65" spans="1:31" ht="12.75" customHeight="1">
      <c r="A65" s="1033"/>
      <c r="B65" s="1855" t="s">
        <v>3953</v>
      </c>
      <c r="C65" s="1856"/>
      <c r="D65" s="828" t="s">
        <v>3954</v>
      </c>
      <c r="E65" s="1873" t="str">
        <f>"Supply, "&amp;('Model Inputs'!E145+'Model Inputs'!E147)&amp;" CFM"</f>
        <v>Supply, 0 CFM</v>
      </c>
      <c r="F65" s="1873"/>
      <c r="G65" s="1873"/>
      <c r="H65" s="1873" t="str">
        <f>"Supply, "&amp;('Model Inputs'!F145+'Model Inputs'!F147)&amp;" CFM"</f>
        <v>Supply, 0 CFM</v>
      </c>
      <c r="I65" s="1873"/>
      <c r="J65" s="1873"/>
      <c r="K65" s="1873"/>
      <c r="L65" s="1874"/>
      <c r="AD65" s="1065" t="str">
        <f>E69</f>
        <v>0% AFUE</v>
      </c>
      <c r="AE65" s="1065" t="str">
        <f>H69</f>
        <v>0% AFUE</v>
      </c>
    </row>
    <row r="66" spans="1:31">
      <c r="A66" s="1033"/>
      <c r="B66" s="1855" t="s">
        <v>3955</v>
      </c>
      <c r="C66" s="1856"/>
      <c r="D66" s="828" t="s">
        <v>3956</v>
      </c>
      <c r="E66" s="1867" t="str">
        <f>IF('Model Inputs'!K137="","",'Model Inputs'!K137&amp;", "&amp;'Model Inputs'!E137&amp;" CFM, "&amp;'Model Inputs'!E139&amp;" CFM/W")</f>
        <v/>
      </c>
      <c r="F66" s="1868"/>
      <c r="G66" s="1869"/>
      <c r="H66" s="1870" t="str">
        <f>IF('Model Inputs'!K138="","",'Model Inputs'!K138&amp;", "&amp;'Model Inputs'!F137&amp;" CFM, "&amp;'Model Inputs'!F139&amp;" CFM/W")</f>
        <v/>
      </c>
      <c r="I66" s="1871"/>
      <c r="J66" s="1871"/>
      <c r="K66" s="1871"/>
      <c r="L66" s="1872"/>
    </row>
    <row r="67" spans="1:31">
      <c r="A67" s="1033"/>
      <c r="B67" s="1855" t="s">
        <v>3957</v>
      </c>
      <c r="C67" s="1856"/>
      <c r="D67" s="828" t="s">
        <v>3956</v>
      </c>
      <c r="E67" s="1867" t="str">
        <f>IF('Model Inputs'!K138="","",'Model Inputs'!K138&amp;", "&amp;'Model Inputs'!E138&amp;" CFM, "&amp;'Model Inputs'!E139&amp;" CFM/W")</f>
        <v/>
      </c>
      <c r="F67" s="1868"/>
      <c r="G67" s="1869"/>
      <c r="H67" s="1870" t="str">
        <f>IF('Model Inputs'!K138="","",'Model Inputs'!K138&amp;", "&amp;'Model Inputs'!F138&amp;" CFM, "&amp;'Model Inputs'!F139&amp;" CFM/W")</f>
        <v/>
      </c>
      <c r="I67" s="1871"/>
      <c r="J67" s="1871"/>
      <c r="K67" s="1871"/>
      <c r="L67" s="1872"/>
    </row>
    <row r="68" spans="1:31" ht="13.5">
      <c r="A68" s="1033"/>
      <c r="B68" s="1855" t="s">
        <v>3325</v>
      </c>
      <c r="C68" s="1856"/>
      <c r="D68" s="828" t="s">
        <v>3324</v>
      </c>
      <c r="E68" s="2072" t="str">
        <f>IF('Model Inputs'!E145="","",'Model Inputs'!E145/'Basic Info'!C15)</f>
        <v/>
      </c>
      <c r="F68" s="2073"/>
      <c r="G68" s="2074"/>
      <c r="H68" s="1924" t="str">
        <f>IF('Model Inputs'!F145="","",'Model Inputs'!F145/'Basic Info'!C15)</f>
        <v/>
      </c>
      <c r="I68" s="1924"/>
      <c r="J68" s="1924"/>
      <c r="K68" s="1924"/>
      <c r="L68" s="1925"/>
      <c r="AD68" s="1065" t="str">
        <f t="shared" si="0"/>
        <v xml:space="preserve"> SEER</v>
      </c>
      <c r="AE68" s="1065" t="str">
        <f t="shared" si="1"/>
        <v xml:space="preserve"> SEER</v>
      </c>
    </row>
    <row r="69" spans="1:31">
      <c r="A69" s="1033"/>
      <c r="B69" s="1855" t="s">
        <v>2824</v>
      </c>
      <c r="C69" s="1856"/>
      <c r="D69" s="828" t="s">
        <v>4074</v>
      </c>
      <c r="E69" s="1881" t="str">
        <f>'Model Inputs'!AA67</f>
        <v>0% AFUE</v>
      </c>
      <c r="F69" s="1882"/>
      <c r="G69" s="1883"/>
      <c r="H69" s="1857" t="str">
        <f>'Model Inputs'!AB67</f>
        <v>0% AFUE</v>
      </c>
      <c r="I69" s="1858"/>
      <c r="J69" s="1858"/>
      <c r="K69" s="1858"/>
      <c r="L69" s="1859"/>
      <c r="AD69" s="1065">
        <f t="shared" si="0"/>
        <v>2.9999999999999997E-4</v>
      </c>
      <c r="AE69" s="1065">
        <f t="shared" si="1"/>
        <v>0</v>
      </c>
    </row>
    <row r="70" spans="1:31">
      <c r="A70" s="1033"/>
      <c r="B70" s="1855" t="s">
        <v>2823</v>
      </c>
      <c r="C70" s="1856"/>
      <c r="D70" s="828" t="s">
        <v>2562</v>
      </c>
      <c r="E70" s="1881" t="str">
        <f>'Model Inputs'!AA83</f>
        <v xml:space="preserve"> SEER</v>
      </c>
      <c r="F70" s="1882"/>
      <c r="G70" s="1883"/>
      <c r="H70" s="1857" t="str">
        <f>'Model Inputs'!AB83</f>
        <v xml:space="preserve"> SEER</v>
      </c>
      <c r="I70" s="1858"/>
      <c r="J70" s="1858"/>
      <c r="K70" s="1858"/>
      <c r="L70" s="1859"/>
      <c r="AD70" s="1065">
        <f t="shared" si="0"/>
        <v>0</v>
      </c>
      <c r="AE70" s="1065">
        <f t="shared" si="1"/>
        <v>0</v>
      </c>
    </row>
    <row r="71" spans="1:31">
      <c r="A71" s="1033"/>
      <c r="B71" s="1911" t="s">
        <v>2563</v>
      </c>
      <c r="C71" s="1912"/>
      <c r="D71" s="1288" t="s">
        <v>3271</v>
      </c>
      <c r="E71" s="1913">
        <f>'Model Inputs'!E113</f>
        <v>2.9999999999999997E-4</v>
      </c>
      <c r="F71" s="1914"/>
      <c r="G71" s="1915"/>
      <c r="H71" s="2078">
        <f>'Model Inputs'!F115</f>
        <v>0</v>
      </c>
      <c r="I71" s="2078"/>
      <c r="J71" s="2078"/>
      <c r="K71" s="2078"/>
      <c r="L71" s="2079"/>
      <c r="AD71" s="1065">
        <f t="shared" si="0"/>
        <v>0</v>
      </c>
      <c r="AE71" s="1065">
        <f t="shared" si="1"/>
        <v>0</v>
      </c>
    </row>
    <row r="72" spans="1:31">
      <c r="B72" s="2085" t="s">
        <v>2564</v>
      </c>
      <c r="C72" s="2086"/>
      <c r="D72" s="2086"/>
      <c r="E72" s="2086"/>
      <c r="F72" s="2086"/>
      <c r="G72" s="2086"/>
      <c r="H72" s="2086"/>
      <c r="I72" s="2086"/>
      <c r="J72" s="2086"/>
      <c r="K72" s="2086"/>
      <c r="L72" s="2087"/>
      <c r="AD72" s="1065" t="str">
        <f t="shared" si="0"/>
        <v>2.5 @ 80 psi</v>
      </c>
      <c r="AE72" s="1065">
        <f t="shared" si="1"/>
        <v>0</v>
      </c>
    </row>
    <row r="73" spans="1:31">
      <c r="B73" s="1855" t="s">
        <v>2586</v>
      </c>
      <c r="C73" s="1884"/>
      <c r="D73" s="828" t="s">
        <v>4075</v>
      </c>
      <c r="E73" s="1916">
        <f>'Model Inputs'!E119</f>
        <v>0</v>
      </c>
      <c r="F73" s="1917"/>
      <c r="G73" s="1918"/>
      <c r="H73" s="2056">
        <f>'Model Inputs'!F119</f>
        <v>0</v>
      </c>
      <c r="I73" s="2056"/>
      <c r="J73" s="2056"/>
      <c r="K73" s="2056"/>
      <c r="L73" s="2057"/>
    </row>
    <row r="74" spans="1:31">
      <c r="B74" s="1855" t="s">
        <v>872</v>
      </c>
      <c r="C74" s="1856"/>
      <c r="D74" s="828" t="s">
        <v>211</v>
      </c>
      <c r="E74" s="1908" t="s">
        <v>3327</v>
      </c>
      <c r="F74" s="1909"/>
      <c r="G74" s="1910"/>
      <c r="H74" s="1922">
        <f>'Model Inputs'!F131</f>
        <v>0</v>
      </c>
      <c r="I74" s="1922"/>
      <c r="J74" s="1922"/>
      <c r="K74" s="1922"/>
      <c r="L74" s="1923"/>
      <c r="AD74" s="1065" t="str">
        <f t="shared" si="0"/>
        <v>2.5 @ 80 psi</v>
      </c>
      <c r="AE74" s="1065">
        <f t="shared" si="1"/>
        <v>0</v>
      </c>
    </row>
    <row r="75" spans="1:31">
      <c r="B75" s="1855" t="s">
        <v>3164</v>
      </c>
      <c r="C75" s="1860"/>
      <c r="D75" s="1289" t="s">
        <v>211</v>
      </c>
      <c r="E75" s="1908" t="s">
        <v>3327</v>
      </c>
      <c r="F75" s="1909"/>
      <c r="G75" s="1910"/>
      <c r="H75" s="1922">
        <f>'Model Inputs'!F132</f>
        <v>0</v>
      </c>
      <c r="I75" s="1922"/>
      <c r="J75" s="1922"/>
      <c r="K75" s="1922"/>
      <c r="L75" s="1923"/>
      <c r="AD75" s="1065">
        <f t="shared" si="0"/>
        <v>0</v>
      </c>
      <c r="AE75" s="1065">
        <f t="shared" si="1"/>
        <v>0</v>
      </c>
    </row>
    <row r="76" spans="1:31" ht="12" customHeight="1">
      <c r="B76" s="1855" t="s">
        <v>870</v>
      </c>
      <c r="C76" s="1856"/>
      <c r="D76" s="828" t="s">
        <v>211</v>
      </c>
      <c r="E76" s="1908" t="s">
        <v>3327</v>
      </c>
      <c r="F76" s="1909"/>
      <c r="G76" s="1910"/>
      <c r="H76" s="1922">
        <f>'Model Inputs'!F130</f>
        <v>0</v>
      </c>
      <c r="I76" s="1922"/>
      <c r="J76" s="1922"/>
      <c r="K76" s="1922"/>
      <c r="L76" s="1923"/>
      <c r="AD76" s="1065">
        <f t="shared" si="0"/>
        <v>0</v>
      </c>
      <c r="AE76" s="1065">
        <f t="shared" si="1"/>
        <v>0</v>
      </c>
    </row>
    <row r="77" spans="1:31">
      <c r="B77" s="1926" t="s">
        <v>2565</v>
      </c>
      <c r="C77" s="1973"/>
      <c r="D77" s="828" t="s">
        <v>2566</v>
      </c>
      <c r="E77" s="1919">
        <v>0</v>
      </c>
      <c r="F77" s="1920"/>
      <c r="G77" s="1921"/>
      <c r="H77" s="2082"/>
      <c r="I77" s="2082"/>
      <c r="J77" s="2082"/>
      <c r="K77" s="2082"/>
      <c r="L77" s="2083"/>
      <c r="AD77" s="1065">
        <f t="shared" si="0"/>
        <v>0</v>
      </c>
      <c r="AE77" s="1065">
        <f t="shared" si="1"/>
        <v>0</v>
      </c>
    </row>
    <row r="78" spans="1:31">
      <c r="B78" s="1875" t="s">
        <v>2567</v>
      </c>
      <c r="C78" s="1876"/>
      <c r="D78" s="1876"/>
      <c r="E78" s="1876"/>
      <c r="F78" s="1876"/>
      <c r="G78" s="1876"/>
      <c r="H78" s="1876"/>
      <c r="I78" s="1876"/>
      <c r="J78" s="1876"/>
      <c r="K78" s="1876"/>
      <c r="L78" s="1877"/>
      <c r="AD78" s="1065">
        <f t="shared" si="0"/>
        <v>0</v>
      </c>
      <c r="AE78" s="1065">
        <f t="shared" si="1"/>
        <v>0</v>
      </c>
    </row>
    <row r="79" spans="1:31">
      <c r="B79" s="1979" t="s">
        <v>2568</v>
      </c>
      <c r="C79" s="2084"/>
      <c r="D79" s="828"/>
      <c r="E79" s="1881">
        <f>'Model Inputs'!E171</f>
        <v>0</v>
      </c>
      <c r="F79" s="1882"/>
      <c r="G79" s="1883"/>
      <c r="H79" s="1857">
        <f>'Model Inputs'!F171</f>
        <v>0</v>
      </c>
      <c r="I79" s="1858"/>
      <c r="J79" s="1858"/>
      <c r="K79" s="1858"/>
      <c r="L79" s="1859"/>
      <c r="AD79" s="1065">
        <f t="shared" si="0"/>
        <v>0</v>
      </c>
      <c r="AE79" s="1065">
        <f t="shared" si="1"/>
        <v>0</v>
      </c>
    </row>
    <row r="80" spans="1:31">
      <c r="A80" s="1033"/>
      <c r="B80" s="1855" t="s">
        <v>2569</v>
      </c>
      <c r="C80" s="1884"/>
      <c r="D80" s="828" t="s">
        <v>140</v>
      </c>
      <c r="E80" s="1881">
        <f>'Model Inputs'!E172</f>
        <v>0</v>
      </c>
      <c r="F80" s="1882"/>
      <c r="G80" s="1883"/>
      <c r="H80" s="1857">
        <f>'Model Inputs'!F172</f>
        <v>0</v>
      </c>
      <c r="I80" s="1858"/>
      <c r="J80" s="1858"/>
      <c r="K80" s="1858"/>
      <c r="L80" s="1859"/>
      <c r="AD80" s="1065">
        <f t="shared" si="0"/>
        <v>0</v>
      </c>
      <c r="AE80" s="1065">
        <f t="shared" si="1"/>
        <v>0</v>
      </c>
    </row>
    <row r="81" spans="1:31">
      <c r="B81" s="1875" t="s">
        <v>3165</v>
      </c>
      <c r="C81" s="1876"/>
      <c r="D81" s="1876"/>
      <c r="E81" s="1876"/>
      <c r="F81" s="1876"/>
      <c r="G81" s="1876"/>
      <c r="H81" s="1876"/>
      <c r="I81" s="1876"/>
      <c r="J81" s="1876"/>
      <c r="K81" s="1876"/>
      <c r="L81" s="1877"/>
      <c r="AD81" s="1065">
        <f t="shared" si="0"/>
        <v>0</v>
      </c>
      <c r="AE81" s="1065">
        <f t="shared" si="1"/>
        <v>0</v>
      </c>
    </row>
    <row r="82" spans="1:31">
      <c r="B82" s="2077"/>
      <c r="C82" s="2077"/>
      <c r="D82" s="1266"/>
      <c r="E82" s="1970"/>
      <c r="F82" s="1970"/>
      <c r="G82" s="1970"/>
      <c r="H82" s="1966"/>
      <c r="I82" s="1966"/>
      <c r="J82" s="1966"/>
      <c r="K82" s="1966"/>
      <c r="L82" s="1966"/>
      <c r="AD82" s="1065">
        <f t="shared" si="0"/>
        <v>0</v>
      </c>
      <c r="AE82" s="1065">
        <f t="shared" si="1"/>
        <v>0</v>
      </c>
    </row>
    <row r="83" spans="1:31">
      <c r="A83" s="1033"/>
      <c r="B83" s="2080"/>
      <c r="C83" s="2081"/>
      <c r="D83" s="1266"/>
      <c r="E83" s="1970"/>
      <c r="F83" s="1970"/>
      <c r="G83" s="1970"/>
      <c r="H83" s="1966"/>
      <c r="I83" s="1966"/>
      <c r="J83" s="1966"/>
      <c r="K83" s="1966"/>
      <c r="L83" s="1966"/>
      <c r="AD83" s="1065">
        <f t="shared" si="0"/>
        <v>0</v>
      </c>
      <c r="AE83" s="1065">
        <f t="shared" si="1"/>
        <v>0</v>
      </c>
    </row>
    <row r="84" spans="1:31" ht="24">
      <c r="A84" s="1033"/>
      <c r="B84" s="2077"/>
      <c r="C84" s="2077"/>
      <c r="D84" s="1266"/>
      <c r="E84" s="1970"/>
      <c r="F84" s="1970"/>
      <c r="G84" s="1970"/>
      <c r="H84" s="1966"/>
      <c r="I84" s="1966"/>
      <c r="J84" s="1966"/>
      <c r="K84" s="1966"/>
      <c r="L84" s="1966"/>
      <c r="AD84" s="1065" t="str">
        <f t="shared" si="0"/>
        <v xml:space="preserve">Baseline 
Annual Consumption </v>
      </c>
      <c r="AE84" s="1065">
        <f t="shared" si="1"/>
        <v>0</v>
      </c>
    </row>
    <row r="85" spans="1:31" ht="12.75" thickBot="1">
      <c r="B85" s="2112" t="s">
        <v>28</v>
      </c>
      <c r="C85" s="2113"/>
      <c r="D85" s="2113"/>
      <c r="E85" s="2113"/>
      <c r="F85" s="2113"/>
      <c r="G85" s="2113"/>
      <c r="H85" s="2113"/>
      <c r="I85" s="2113"/>
      <c r="J85" s="2113"/>
      <c r="K85" s="2113"/>
      <c r="L85" s="2114"/>
      <c r="AD85" s="1065">
        <f t="shared" si="0"/>
        <v>0</v>
      </c>
      <c r="AE85" s="1065">
        <f t="shared" si="1"/>
        <v>0</v>
      </c>
    </row>
    <row r="86" spans="1:31" ht="36.75" customHeight="1">
      <c r="B86" s="2055" t="s">
        <v>2570</v>
      </c>
      <c r="C86" s="1969"/>
      <c r="D86" s="1285" t="s">
        <v>519</v>
      </c>
      <c r="E86" s="1967" t="s">
        <v>3</v>
      </c>
      <c r="F86" s="1968"/>
      <c r="G86" s="1967" t="s">
        <v>4</v>
      </c>
      <c r="H86" s="1969"/>
      <c r="I86" s="1967" t="s">
        <v>3332</v>
      </c>
      <c r="J86" s="1969"/>
      <c r="K86" s="1968" t="s">
        <v>3331</v>
      </c>
      <c r="L86" s="2042"/>
      <c r="AD86" s="1065" t="e">
        <f t="shared" si="0"/>
        <v>#DIV/0!</v>
      </c>
      <c r="AE86" s="1065">
        <f t="shared" si="1"/>
        <v>0</v>
      </c>
    </row>
    <row r="87" spans="1:31">
      <c r="B87" s="1893" t="s">
        <v>5</v>
      </c>
      <c r="C87" s="1894"/>
      <c r="D87" s="1894"/>
      <c r="E87" s="1894"/>
      <c r="F87" s="1894"/>
      <c r="G87" s="1894"/>
      <c r="H87" s="1894"/>
      <c r="I87" s="1894"/>
      <c r="J87" s="1894"/>
      <c r="K87" s="1894"/>
      <c r="L87" s="1895"/>
      <c r="AD87" s="1065" t="e">
        <f t="shared" si="0"/>
        <v>#DIV/0!</v>
      </c>
      <c r="AE87" s="1065">
        <f t="shared" ref="AE87:AE92" si="2">H89</f>
        <v>0</v>
      </c>
    </row>
    <row r="88" spans="1:31">
      <c r="B88" s="1979" t="s">
        <v>6</v>
      </c>
      <c r="C88" s="1980"/>
      <c r="D88" s="1290" t="s">
        <v>139</v>
      </c>
      <c r="E88" s="1981" t="e">
        <f>'Results from eQUEST'!T19</f>
        <v>#DIV/0!</v>
      </c>
      <c r="F88" s="1982"/>
      <c r="G88" s="1981">
        <f>'Results from eQUEST'!T22</f>
        <v>0</v>
      </c>
      <c r="H88" s="1982"/>
      <c r="I88" s="1898" t="e">
        <f>IF(E88&gt;0, (E88-G88)/E88, "NA")</f>
        <v>#DIV/0!</v>
      </c>
      <c r="J88" s="1899"/>
      <c r="K88" s="1902" t="e">
        <f t="shared" ref="K88:K97" si="3">$C$112*(E88-G88)/$E$125</f>
        <v>#DIV/0!</v>
      </c>
      <c r="L88" s="1903"/>
      <c r="AD88" s="1065" t="e">
        <f t="shared" si="0"/>
        <v>#DIV/0!</v>
      </c>
      <c r="AE88" s="1065">
        <f t="shared" si="2"/>
        <v>0</v>
      </c>
    </row>
    <row r="89" spans="1:31">
      <c r="B89" s="1855" t="s">
        <v>7</v>
      </c>
      <c r="C89" s="1856"/>
      <c r="D89" s="1291" t="s">
        <v>139</v>
      </c>
      <c r="E89" s="1954" t="e">
        <f>'Results from eQUEST'!P19+'Results from eQUEST'!V19</f>
        <v>#DIV/0!</v>
      </c>
      <c r="F89" s="1945"/>
      <c r="G89" s="1944">
        <f>'Results from eQUEST'!P22+'Results from eQUEST'!V22</f>
        <v>0</v>
      </c>
      <c r="H89" s="1945"/>
      <c r="I89" s="1898" t="e">
        <f t="shared" ref="I89:I97" si="4">IF(E89&gt;0, (E89-G89)/E89, "NA")</f>
        <v>#DIV/0!</v>
      </c>
      <c r="J89" s="1899"/>
      <c r="K89" s="1902" t="e">
        <f t="shared" si="3"/>
        <v>#DIV/0!</v>
      </c>
      <c r="L89" s="1903"/>
      <c r="AD89" s="1065" t="e">
        <f t="shared" si="0"/>
        <v>#DIV/0!</v>
      </c>
      <c r="AE89" s="1065">
        <f t="shared" si="2"/>
        <v>0</v>
      </c>
    </row>
    <row r="90" spans="1:31">
      <c r="B90" s="1855" t="s">
        <v>8</v>
      </c>
      <c r="C90" s="1856"/>
      <c r="D90" s="1291" t="s">
        <v>139</v>
      </c>
      <c r="E90" s="1954" t="e">
        <f>'Results from eQUEST'!Q19+'Results from eQUEST'!R19</f>
        <v>#DIV/0!</v>
      </c>
      <c r="F90" s="1945"/>
      <c r="G90" s="1944">
        <f>'Results from eQUEST'!Q22+'Results from eQUEST'!R22</f>
        <v>0</v>
      </c>
      <c r="H90" s="1945"/>
      <c r="I90" s="1898" t="e">
        <f t="shared" si="4"/>
        <v>#DIV/0!</v>
      </c>
      <c r="J90" s="1899"/>
      <c r="K90" s="1902" t="e">
        <f t="shared" si="3"/>
        <v>#DIV/0!</v>
      </c>
      <c r="L90" s="1903"/>
      <c r="AD90" s="1065" t="e">
        <f t="shared" si="0"/>
        <v>#DIV/0!</v>
      </c>
      <c r="AE90" s="1065">
        <f t="shared" si="2"/>
        <v>0</v>
      </c>
    </row>
    <row r="91" spans="1:31">
      <c r="B91" s="1855" t="s">
        <v>9</v>
      </c>
      <c r="C91" s="1856"/>
      <c r="D91" s="1291" t="s">
        <v>139</v>
      </c>
      <c r="E91" s="1954" t="e">
        <f>'Results from eQUEST'!W19</f>
        <v>#DIV/0!</v>
      </c>
      <c r="F91" s="1945"/>
      <c r="G91" s="1944">
        <f>'Results from eQUEST'!W22</f>
        <v>0</v>
      </c>
      <c r="H91" s="1945"/>
      <c r="I91" s="1898" t="e">
        <f t="shared" si="4"/>
        <v>#DIV/0!</v>
      </c>
      <c r="J91" s="1899"/>
      <c r="K91" s="1902" t="e">
        <f t="shared" si="3"/>
        <v>#DIV/0!</v>
      </c>
      <c r="L91" s="1903"/>
      <c r="AD91" s="1065" t="str">
        <f t="shared" si="0"/>
        <v>0</v>
      </c>
      <c r="AE91" s="1065">
        <f t="shared" si="2"/>
        <v>0</v>
      </c>
    </row>
    <row r="92" spans="1:31">
      <c r="B92" s="1855" t="s">
        <v>10</v>
      </c>
      <c r="C92" s="1856"/>
      <c r="D92" s="1291" t="s">
        <v>139</v>
      </c>
      <c r="E92" s="1896" t="e">
        <f>'Results from eQUEST'!M19+'Results from eQUEST'!N19</f>
        <v>#DIV/0!</v>
      </c>
      <c r="F92" s="1897"/>
      <c r="G92" s="1896">
        <f>'Results from eQUEST'!M22+'Results from eQUEST'!N22</f>
        <v>0</v>
      </c>
      <c r="H92" s="1897"/>
      <c r="I92" s="1898" t="e">
        <f t="shared" si="4"/>
        <v>#DIV/0!</v>
      </c>
      <c r="J92" s="1899"/>
      <c r="K92" s="1902" t="e">
        <f t="shared" si="3"/>
        <v>#DIV/0!</v>
      </c>
      <c r="L92" s="1903"/>
      <c r="AD92" s="1065" t="e">
        <f t="shared" si="0"/>
        <v>#DIV/0!</v>
      </c>
      <c r="AE92" s="1065">
        <f t="shared" si="2"/>
        <v>0</v>
      </c>
    </row>
    <row r="93" spans="1:31">
      <c r="B93" s="1855" t="s">
        <v>2556</v>
      </c>
      <c r="C93" s="1856"/>
      <c r="D93" s="1291" t="s">
        <v>139</v>
      </c>
      <c r="E93" s="1954" t="str">
        <f>IF('Results from eQUEST'!M15="","0",E57*12*365/1000)</f>
        <v>0</v>
      </c>
      <c r="F93" s="1945"/>
      <c r="G93" s="1944" t="str">
        <f>IF('Results from eQUEST'!M15="","0",H57*12*365/1000)</f>
        <v>0</v>
      </c>
      <c r="H93" s="1945"/>
      <c r="I93" s="1898" t="e">
        <f t="shared" si="4"/>
        <v>#DIV/0!</v>
      </c>
      <c r="J93" s="1899"/>
      <c r="K93" s="1902" t="e">
        <f t="shared" si="3"/>
        <v>#DIV/0!</v>
      </c>
      <c r="L93" s="1903"/>
    </row>
    <row r="94" spans="1:31">
      <c r="B94" s="1855" t="s">
        <v>520</v>
      </c>
      <c r="C94" s="1856"/>
      <c r="D94" s="1291" t="s">
        <v>139</v>
      </c>
      <c r="E94" s="1954" t="e">
        <f>'Results from eQUEST'!$O$19+'Results from eQUEST'!$U$19-E97</f>
        <v>#DIV/0!</v>
      </c>
      <c r="F94" s="1945"/>
      <c r="G94" s="1944">
        <f>'Results from eQUEST'!$O$22+'Results from eQUEST'!$U$22-G97</f>
        <v>0</v>
      </c>
      <c r="H94" s="1945"/>
      <c r="I94" s="1898" t="e">
        <f t="shared" si="4"/>
        <v>#DIV/0!</v>
      </c>
      <c r="J94" s="1899"/>
      <c r="K94" s="1902" t="e">
        <f t="shared" si="3"/>
        <v>#DIV/0!</v>
      </c>
      <c r="L94" s="1903"/>
      <c r="AD94" s="1065" t="e">
        <f t="shared" ref="AD94:AD99" si="5">E96</f>
        <v>#DIV/0!</v>
      </c>
      <c r="AE94" s="1065">
        <f t="shared" ref="AE94:AE99" si="6">H96</f>
        <v>0</v>
      </c>
    </row>
    <row r="95" spans="1:31">
      <c r="B95" s="1855" t="s">
        <v>3333</v>
      </c>
      <c r="C95" s="1860"/>
      <c r="D95" s="1291" t="s">
        <v>139</v>
      </c>
      <c r="E95" s="1944" t="e">
        <f>'Results from eQUEST'!S19</f>
        <v>#DIV/0!</v>
      </c>
      <c r="F95" s="1945"/>
      <c r="G95" s="1944">
        <f>'Results from eQUEST'!S22</f>
        <v>0</v>
      </c>
      <c r="H95" s="1945"/>
      <c r="I95" s="1898" t="e">
        <f t="shared" si="4"/>
        <v>#DIV/0!</v>
      </c>
      <c r="J95" s="1899"/>
      <c r="K95" s="1902" t="e">
        <f t="shared" si="3"/>
        <v>#DIV/0!</v>
      </c>
      <c r="L95" s="1903"/>
      <c r="AD95" s="1065">
        <f t="shared" si="5"/>
        <v>0</v>
      </c>
      <c r="AE95" s="1065">
        <f t="shared" si="6"/>
        <v>0</v>
      </c>
    </row>
    <row r="96" spans="1:31">
      <c r="B96" s="1855" t="s">
        <v>3039</v>
      </c>
      <c r="C96" s="1856"/>
      <c r="D96" s="1291" t="s">
        <v>139</v>
      </c>
      <c r="E96" s="1954" t="e">
        <f>'Results from eQUEST'!X19-E93</f>
        <v>#DIV/0!</v>
      </c>
      <c r="F96" s="1945"/>
      <c r="G96" s="1944">
        <f>'Results from eQUEST'!X22-G93</f>
        <v>0</v>
      </c>
      <c r="H96" s="1945"/>
      <c r="I96" s="1898" t="e">
        <f t="shared" si="4"/>
        <v>#DIV/0!</v>
      </c>
      <c r="J96" s="1899"/>
      <c r="K96" s="1902" t="e">
        <f t="shared" si="3"/>
        <v>#DIV/0!</v>
      </c>
      <c r="L96" s="1903"/>
      <c r="AD96" s="1065">
        <f t="shared" si="5"/>
        <v>0</v>
      </c>
      <c r="AE96" s="1065">
        <f t="shared" si="6"/>
        <v>0</v>
      </c>
    </row>
    <row r="97" spans="1:31">
      <c r="B97" s="1926" t="s">
        <v>12</v>
      </c>
      <c r="C97" s="1973"/>
      <c r="D97" s="1292" t="s">
        <v>139</v>
      </c>
      <c r="E97" s="1955">
        <f>1.05*'Basic Info'!C11+0.7*('Basic Info'!C12+'Basic Info'!C13+'Basic Info'!C15+'Basic Info'!C16+'Basic Info'!C17+'Basic Info'!C20+'Basic Info'!C21)+4.9*'Basic Info'!C18+1.6*('Basic Info'!C14+'Basic Info'!C19+'Basic Info'!C22+'Basic Info'!C23)</f>
        <v>0</v>
      </c>
      <c r="F97" s="1956"/>
      <c r="G97" s="1952">
        <f>E97</f>
        <v>0</v>
      </c>
      <c r="H97" s="1953"/>
      <c r="I97" s="1946" t="str">
        <f t="shared" si="4"/>
        <v>NA</v>
      </c>
      <c r="J97" s="1947"/>
      <c r="K97" s="1902" t="e">
        <f t="shared" si="3"/>
        <v>#DIV/0!</v>
      </c>
      <c r="L97" s="1903"/>
      <c r="AD97" s="1065" t="e">
        <f t="shared" si="5"/>
        <v>#DIV/0!</v>
      </c>
      <c r="AE97" s="1065">
        <f t="shared" si="6"/>
        <v>0</v>
      </c>
    </row>
    <row r="98" spans="1:31">
      <c r="B98" s="1893" t="s">
        <v>13</v>
      </c>
      <c r="C98" s="1894"/>
      <c r="D98" s="1894"/>
      <c r="E98" s="1894"/>
      <c r="F98" s="1894"/>
      <c r="G98" s="1894"/>
      <c r="H98" s="1894"/>
      <c r="I98" s="1894"/>
      <c r="J98" s="1894"/>
      <c r="K98" s="1894"/>
      <c r="L98" s="1895"/>
      <c r="AD98" s="1065" t="e">
        <f t="shared" si="5"/>
        <v>#DIV/0!</v>
      </c>
      <c r="AE98" s="1065">
        <f t="shared" si="6"/>
        <v>0</v>
      </c>
    </row>
    <row r="99" spans="1:31">
      <c r="B99" s="1855" t="s">
        <v>7</v>
      </c>
      <c r="C99" s="1856"/>
      <c r="D99" s="1291" t="s">
        <v>2</v>
      </c>
      <c r="E99" s="1944" t="e">
        <f>'Results from eQUEST'!$BB$19*100000/1000000+'Results from eQUEST'!$BH$19*100000/1000000-E104</f>
        <v>#DIV/0!</v>
      </c>
      <c r="F99" s="1945"/>
      <c r="G99" s="1944">
        <f>'Results from eQUEST'!$BB$22*100000/1000000+'Results from eQUEST'!$BH$22*100000/1000000-G104</f>
        <v>0</v>
      </c>
      <c r="H99" s="1945"/>
      <c r="I99" s="1898" t="e">
        <f>IF(E99&gt;0, (E99-G99)/E99, "NA")</f>
        <v>#DIV/0!</v>
      </c>
      <c r="J99" s="1899"/>
      <c r="K99" s="1900" t="e">
        <f>$C$113*(E99-G99)*10/$E$125</f>
        <v>#DIV/0!</v>
      </c>
      <c r="L99" s="1901"/>
      <c r="AD99" s="1065" t="e">
        <f t="shared" si="5"/>
        <v>#DIV/0!</v>
      </c>
      <c r="AE99" s="1065">
        <f t="shared" si="6"/>
        <v>0</v>
      </c>
    </row>
    <row r="100" spans="1:31">
      <c r="B100" s="1855" t="s">
        <v>9</v>
      </c>
      <c r="C100" s="1884"/>
      <c r="D100" s="1291" t="s">
        <v>2</v>
      </c>
      <c r="E100" s="1944" t="e">
        <f>'Results from eQUEST'!$BI$19*100000/1000000-E105</f>
        <v>#DIV/0!</v>
      </c>
      <c r="F100" s="1945"/>
      <c r="G100" s="1944">
        <f>'Results from eQUEST'!$BI$22*100000/1000000-G105</f>
        <v>0</v>
      </c>
      <c r="H100" s="1945"/>
      <c r="I100" s="1898" t="e">
        <f>IF(E100&gt;0, (E100-G100)/E100, "NA")</f>
        <v>#DIV/0!</v>
      </c>
      <c r="J100" s="1899"/>
      <c r="K100" s="1900" t="e">
        <f>$C$113*(E100-G100)*10/$E$125</f>
        <v>#DIV/0!</v>
      </c>
      <c r="L100" s="1901"/>
    </row>
    <row r="101" spans="1:31">
      <c r="B101" s="1855" t="s">
        <v>520</v>
      </c>
      <c r="C101" s="1884"/>
      <c r="D101" s="1291" t="s">
        <v>2</v>
      </c>
      <c r="E101" s="1944" t="e">
        <f>'Results from eQUEST'!$BA$19*100000/1000000</f>
        <v>#DIV/0!</v>
      </c>
      <c r="F101" s="1945"/>
      <c r="G101" s="1944">
        <f>'Results from eQUEST'!$BA$22*100000/1000000</f>
        <v>0</v>
      </c>
      <c r="H101" s="1945"/>
      <c r="I101" s="1898" t="e">
        <f>IF(E101&gt;0, (E101-G101)/E101, "NA")</f>
        <v>#DIV/0!</v>
      </c>
      <c r="J101" s="1899"/>
      <c r="K101" s="1900" t="e">
        <f>$C$113*(E101-G101)*10/$E$125</f>
        <v>#DIV/0!</v>
      </c>
      <c r="L101" s="1901"/>
      <c r="AD101" s="1065">
        <f t="shared" ref="AD101:AD112" si="7">E103</f>
        <v>0</v>
      </c>
      <c r="AE101" s="1065">
        <f>H103</f>
        <v>0</v>
      </c>
    </row>
    <row r="102" spans="1:31">
      <c r="B102" s="1926" t="s">
        <v>11</v>
      </c>
      <c r="C102" s="1927"/>
      <c r="D102" s="1293" t="s">
        <v>2</v>
      </c>
      <c r="E102" s="1952" t="e">
        <f>('Results from eQUEST'!BK19)*100000/1000000-'Reporting Summary'!E99:F99-'Reporting Summary'!E100:F100-'Reporting Summary'!E101:F101</f>
        <v>#DIV/0!</v>
      </c>
      <c r="F102" s="1953"/>
      <c r="G102" s="1952">
        <f>('Results from eQUEST'!BK22)*100000/1000000-'Reporting Summary'!G99:H99-'Reporting Summary'!G100:H100-'Reporting Summary'!G101:H101</f>
        <v>0</v>
      </c>
      <c r="H102" s="1953"/>
      <c r="I102" s="1898" t="e">
        <f>IF(E102&gt;0.001, (E102-G102)/E102, "NA")</f>
        <v>#DIV/0!</v>
      </c>
      <c r="J102" s="1899"/>
      <c r="K102" s="1900" t="e">
        <f>$C$113*(E102-G102)*10/$E$125</f>
        <v>#DIV/0!</v>
      </c>
      <c r="L102" s="1901"/>
      <c r="AD102" s="1065">
        <f t="shared" si="7"/>
        <v>0</v>
      </c>
      <c r="AE102" s="1065">
        <f>H104</f>
        <v>0</v>
      </c>
    </row>
    <row r="103" spans="1:31">
      <c r="B103" s="1893" t="s">
        <v>14</v>
      </c>
      <c r="C103" s="1894"/>
      <c r="D103" s="1894"/>
      <c r="E103" s="1894"/>
      <c r="F103" s="1894"/>
      <c r="G103" s="1894"/>
      <c r="H103" s="1894"/>
      <c r="I103" s="1894"/>
      <c r="J103" s="1894"/>
      <c r="K103" s="1894"/>
      <c r="L103" s="1895"/>
      <c r="AD103" s="1065">
        <f t="shared" si="7"/>
        <v>0</v>
      </c>
      <c r="AE103" s="1065">
        <f>H105</f>
        <v>0</v>
      </c>
    </row>
    <row r="104" spans="1:31">
      <c r="B104" s="1855" t="s">
        <v>7</v>
      </c>
      <c r="C104" s="1856"/>
      <c r="D104" s="1291" t="s">
        <v>2</v>
      </c>
      <c r="E104" s="1959"/>
      <c r="F104" s="1960"/>
      <c r="G104" s="1959"/>
      <c r="H104" s="1960"/>
      <c r="I104" s="1936"/>
      <c r="J104" s="1937"/>
      <c r="K104" s="1938"/>
      <c r="L104" s="1939"/>
      <c r="AD104" s="1065">
        <f>E107</f>
        <v>0</v>
      </c>
      <c r="AE104" s="1065">
        <f>H107</f>
        <v>0</v>
      </c>
    </row>
    <row r="105" spans="1:31">
      <c r="B105" s="1855" t="s">
        <v>9</v>
      </c>
      <c r="C105" s="1884"/>
      <c r="D105" s="1291" t="s">
        <v>2</v>
      </c>
      <c r="E105" s="1957"/>
      <c r="F105" s="1958"/>
      <c r="G105" s="1957"/>
      <c r="H105" s="1958"/>
      <c r="I105" s="1936"/>
      <c r="J105" s="1937"/>
      <c r="K105" s="1938"/>
      <c r="L105" s="1939"/>
      <c r="AD105" s="1065" t="e">
        <f>E108</f>
        <v>#DIV/0!</v>
      </c>
      <c r="AE105" s="1065">
        <f>H108</f>
        <v>0</v>
      </c>
    </row>
    <row r="106" spans="1:31">
      <c r="B106" s="1926" t="s">
        <v>11</v>
      </c>
      <c r="C106" s="1927"/>
      <c r="D106" s="1293" t="s">
        <v>2</v>
      </c>
      <c r="E106" s="1950"/>
      <c r="F106" s="1951"/>
      <c r="G106" s="1950"/>
      <c r="H106" s="1951"/>
      <c r="I106" s="1936"/>
      <c r="J106" s="1937"/>
      <c r="K106" s="1938"/>
      <c r="L106" s="1939"/>
    </row>
    <row r="107" spans="1:31">
      <c r="B107" s="1893" t="s">
        <v>15</v>
      </c>
      <c r="C107" s="1894"/>
      <c r="D107" s="1894"/>
      <c r="E107" s="1894"/>
      <c r="F107" s="1894"/>
      <c r="G107" s="1894"/>
      <c r="H107" s="1894"/>
      <c r="I107" s="1894"/>
      <c r="J107" s="1894"/>
      <c r="K107" s="1894"/>
      <c r="L107" s="1895"/>
      <c r="AD107" s="1065" t="e">
        <f t="shared" si="7"/>
        <v>#DIV/0!</v>
      </c>
      <c r="AE107" s="1065">
        <f t="shared" si="1"/>
        <v>0</v>
      </c>
    </row>
    <row r="108" spans="1:31">
      <c r="B108" s="1906" t="s">
        <v>5</v>
      </c>
      <c r="C108" s="1907"/>
      <c r="D108" s="1291" t="s">
        <v>139</v>
      </c>
      <c r="E108" s="1944" t="e">
        <f>SUM(E88:F97)</f>
        <v>#DIV/0!</v>
      </c>
      <c r="F108" s="1945"/>
      <c r="G108" s="1944">
        <f>SUM(G88:H97)</f>
        <v>0</v>
      </c>
      <c r="H108" s="1945"/>
      <c r="I108" s="1898" t="e">
        <f>IF(E108&gt;0, (E108-G108)/E108, "NA")</f>
        <v>#DIV/0!</v>
      </c>
      <c r="J108" s="1899"/>
      <c r="K108" s="1900" t="e">
        <f>$C$112*(E108-G108)/$E$125</f>
        <v>#DIV/0!</v>
      </c>
      <c r="L108" s="1901"/>
      <c r="AD108" s="1065">
        <f t="shared" si="7"/>
        <v>0</v>
      </c>
      <c r="AE108" s="1065">
        <f t="shared" si="1"/>
        <v>0</v>
      </c>
    </row>
    <row r="109" spans="1:31">
      <c r="A109" s="1033"/>
      <c r="B109" s="1906" t="s">
        <v>13</v>
      </c>
      <c r="C109" s="1907"/>
      <c r="D109" s="1291" t="s">
        <v>2</v>
      </c>
      <c r="E109" s="1944" t="e">
        <f>SUM(E99:F102)</f>
        <v>#DIV/0!</v>
      </c>
      <c r="F109" s="1945"/>
      <c r="G109" s="1944">
        <f>SUM(G99:H102)</f>
        <v>0</v>
      </c>
      <c r="H109" s="1945"/>
      <c r="I109" s="1898" t="e">
        <f>IF(E109&gt;0, (E109-G109)/E109, "NA")</f>
        <v>#DIV/0!</v>
      </c>
      <c r="J109" s="1899"/>
      <c r="K109" s="1900" t="e">
        <f>$C$113*(E109-G109)*10/$E$125</f>
        <v>#DIV/0!</v>
      </c>
      <c r="L109" s="1901"/>
      <c r="AD109" s="1065">
        <f t="shared" si="7"/>
        <v>0</v>
      </c>
      <c r="AE109" s="1065">
        <f t="shared" si="1"/>
        <v>0</v>
      </c>
    </row>
    <row r="110" spans="1:31" ht="12.75" thickBot="1">
      <c r="A110" s="1033"/>
      <c r="B110" s="1948" t="s">
        <v>16</v>
      </c>
      <c r="C110" s="1949"/>
      <c r="D110" s="1294" t="s">
        <v>2</v>
      </c>
      <c r="E110" s="1904">
        <f>SUM(E104:F105)</f>
        <v>0</v>
      </c>
      <c r="F110" s="1905"/>
      <c r="G110" s="1904">
        <f>SUM(G104:H105)</f>
        <v>0</v>
      </c>
      <c r="H110" s="1905"/>
      <c r="I110" s="1932" t="str">
        <f>IF(E110&gt;0, (E110-G110)/E110, "NA")</f>
        <v>NA</v>
      </c>
      <c r="J110" s="1933"/>
      <c r="K110" s="1934"/>
      <c r="L110" s="1935"/>
      <c r="AD110" s="1065">
        <f t="shared" si="7"/>
        <v>0</v>
      </c>
      <c r="AE110" s="1065">
        <f t="shared" si="1"/>
        <v>0</v>
      </c>
    </row>
    <row r="111" spans="1:31" ht="12.75" thickBot="1">
      <c r="A111" s="1033"/>
      <c r="B111" s="2106" t="s">
        <v>29</v>
      </c>
      <c r="C111" s="2107"/>
      <c r="D111" s="2107"/>
      <c r="E111" s="2107"/>
      <c r="F111" s="2107"/>
      <c r="G111" s="2107"/>
      <c r="H111" s="2107"/>
      <c r="I111" s="2107"/>
      <c r="J111" s="2107"/>
      <c r="K111" s="2107"/>
      <c r="L111" s="2108"/>
      <c r="AD111" s="1065">
        <f t="shared" si="7"/>
        <v>0</v>
      </c>
      <c r="AE111" s="1065">
        <f t="shared" si="1"/>
        <v>0</v>
      </c>
    </row>
    <row r="112" spans="1:31">
      <c r="A112" s="1033"/>
      <c r="B112" s="1295" t="s">
        <v>1474</v>
      </c>
      <c r="C112" s="1298">
        <f>'Simulation Summary'!C17</f>
        <v>0.19359999999999999</v>
      </c>
      <c r="D112" s="1300" t="s">
        <v>1475</v>
      </c>
      <c r="E112" s="834"/>
      <c r="F112" s="834"/>
      <c r="G112" s="834"/>
      <c r="H112" s="834"/>
      <c r="I112" s="834"/>
      <c r="J112" s="834"/>
      <c r="K112" s="834"/>
      <c r="L112" s="1267"/>
      <c r="AD112" s="1065">
        <f t="shared" si="7"/>
        <v>0</v>
      </c>
      <c r="AE112" s="1065">
        <f t="shared" si="1"/>
        <v>0</v>
      </c>
    </row>
    <row r="113" spans="1:31">
      <c r="A113" s="1033"/>
      <c r="B113" s="1296" t="s">
        <v>1263</v>
      </c>
      <c r="C113" s="1299">
        <f>'Simulation Summary'!C18</f>
        <v>1.486</v>
      </c>
      <c r="D113" s="1301" t="s">
        <v>1476</v>
      </c>
      <c r="E113" s="834"/>
      <c r="F113" s="834"/>
      <c r="G113" s="834"/>
      <c r="H113" s="834"/>
      <c r="I113" s="834"/>
      <c r="J113" s="834"/>
      <c r="K113" s="834"/>
      <c r="L113" s="1267"/>
      <c r="AD113" s="1065">
        <f t="shared" ref="AD113:AD133" si="8">E115</f>
        <v>0</v>
      </c>
      <c r="AE113" s="1065">
        <f t="shared" ref="AE113:AE133" si="9">H115</f>
        <v>0</v>
      </c>
    </row>
    <row r="114" spans="1:31" ht="12.75" thickBot="1">
      <c r="A114" s="1033"/>
      <c r="B114" s="1297" t="s">
        <v>2571</v>
      </c>
      <c r="C114" s="1268"/>
      <c r="D114" s="1302" t="s">
        <v>0</v>
      </c>
      <c r="E114" s="834"/>
      <c r="F114" s="834"/>
      <c r="G114" s="834"/>
      <c r="H114" s="834"/>
      <c r="I114" s="834"/>
      <c r="J114" s="834"/>
      <c r="K114" s="834"/>
      <c r="L114" s="1267"/>
      <c r="AD114" s="1065">
        <f t="shared" si="8"/>
        <v>0</v>
      </c>
      <c r="AE114" s="1065">
        <f t="shared" si="9"/>
        <v>0</v>
      </c>
    </row>
    <row r="115" spans="1:31" ht="13.5" customHeight="1" thickBot="1">
      <c r="A115" s="1033"/>
      <c r="B115" s="2106" t="s">
        <v>30</v>
      </c>
      <c r="C115" s="2107"/>
      <c r="D115" s="2107"/>
      <c r="E115" s="2107"/>
      <c r="F115" s="2107"/>
      <c r="G115" s="2107"/>
      <c r="H115" s="2107"/>
      <c r="I115" s="2107"/>
      <c r="J115" s="2107"/>
      <c r="K115" s="2107"/>
      <c r="L115" s="2108"/>
      <c r="M115" s="1033"/>
      <c r="N115" s="1849" t="s">
        <v>4063</v>
      </c>
      <c r="O115" s="1852" t="s">
        <v>4062</v>
      </c>
      <c r="AD115" s="1065" t="str">
        <f t="shared" si="8"/>
        <v>Cost, $</v>
      </c>
      <c r="AE115" s="1065" t="str">
        <f t="shared" si="9"/>
        <v>Electricity, Btu</v>
      </c>
    </row>
    <row r="116" spans="1:31" ht="13.5" customHeight="1">
      <c r="A116" s="1033"/>
      <c r="B116" s="1303"/>
      <c r="C116" s="1892" t="s">
        <v>980</v>
      </c>
      <c r="D116" s="1892"/>
      <c r="E116" s="1892"/>
      <c r="F116" s="1304"/>
      <c r="G116" s="1892" t="s">
        <v>981</v>
      </c>
      <c r="H116" s="1892"/>
      <c r="I116" s="1892"/>
      <c r="J116" s="1888" t="s">
        <v>1479</v>
      </c>
      <c r="K116" s="1888" t="s">
        <v>1480</v>
      </c>
      <c r="L116" s="1889"/>
      <c r="M116" s="1033"/>
      <c r="N116" s="1850"/>
      <c r="O116" s="1853"/>
      <c r="AD116" s="1065" t="e">
        <f t="shared" si="8"/>
        <v>#DIV/0!</v>
      </c>
      <c r="AE116" s="1065">
        <f t="shared" si="9"/>
        <v>0</v>
      </c>
    </row>
    <row r="117" spans="1:31" ht="12" customHeight="1" thickBot="1">
      <c r="A117" s="1033"/>
      <c r="B117" s="1305"/>
      <c r="C117" s="1306" t="s">
        <v>1</v>
      </c>
      <c r="D117" s="1306" t="s">
        <v>1481</v>
      </c>
      <c r="E117" s="1306" t="s">
        <v>1484</v>
      </c>
      <c r="F117" s="1062"/>
      <c r="G117" s="1306" t="s">
        <v>1</v>
      </c>
      <c r="H117" s="1306" t="s">
        <v>1481</v>
      </c>
      <c r="I117" s="1306" t="s">
        <v>1484</v>
      </c>
      <c r="J117" s="1890"/>
      <c r="K117" s="1890"/>
      <c r="L117" s="1891"/>
      <c r="N117" s="1851"/>
      <c r="O117" s="1854"/>
      <c r="AD117" s="1065" t="e">
        <f t="shared" si="8"/>
        <v>#DIV/0!</v>
      </c>
      <c r="AE117" s="1065">
        <f t="shared" si="9"/>
        <v>0</v>
      </c>
    </row>
    <row r="118" spans="1:31">
      <c r="A118" s="1033"/>
      <c r="B118" s="1307" t="s">
        <v>1485</v>
      </c>
      <c r="C118" s="1308" t="e">
        <f>100000*SUMIF('Results from eQUEST'!$AY$8:$BJ$8, B118, 'Results from eQUEST'!$AY$19:$BJ$19)</f>
        <v>#DIV/0!</v>
      </c>
      <c r="D118" s="1308" t="e">
        <f>3412*SUMIF('Results from eQUEST'!$M$8:$X$8,B118, 'Results from eQUEST'!$M$19:$X$19)</f>
        <v>#DIV/0!</v>
      </c>
      <c r="E118" s="1309" t="e">
        <f>C118/100000*$C$113+D118/3412*$C$112</f>
        <v>#DIV/0!</v>
      </c>
      <c r="F118" s="1310"/>
      <c r="G118" s="1308">
        <f>100000*SUMIF('Results from eQUEST'!$AY$8:$BJ$8, B118, 'Results from eQUEST'!$AY$22:$BJ$22)</f>
        <v>0</v>
      </c>
      <c r="H118" s="1308">
        <f>3412*SUMIF('Results from eQUEST'!$M$8:$X$8,B118, 'Results from eQUEST'!$M$22:$X$22)</f>
        <v>0</v>
      </c>
      <c r="I118" s="1309">
        <f>G118/100000*$C$113+H118/3412*$C$112</f>
        <v>0</v>
      </c>
      <c r="J118" s="1311" t="e">
        <f>IF(SUM(C118:D118)=0,0,(SUM(C118:D118)-SUM(G118:H118))/SUM(C118:D118))</f>
        <v>#DIV/0!</v>
      </c>
      <c r="K118" s="1942" t="e">
        <f>IF(E118=0,0,(E118-I118)/E118)</f>
        <v>#DIV/0!</v>
      </c>
      <c r="L118" s="1943"/>
      <c r="M118" s="1033"/>
      <c r="N118" s="1318" t="e">
        <f>K118/$K$125</f>
        <v>#DIV/0!</v>
      </c>
      <c r="O118" s="1319" t="e">
        <f>(E118-I118)/($E$125-$I$125)*100</f>
        <v>#DIV/0!</v>
      </c>
      <c r="AD118" s="1065" t="e">
        <f t="shared" si="8"/>
        <v>#DIV/0!</v>
      </c>
      <c r="AE118" s="1065">
        <f t="shared" si="9"/>
        <v>0</v>
      </c>
    </row>
    <row r="119" spans="1:31">
      <c r="A119" s="1033"/>
      <c r="B119" s="1307" t="s">
        <v>1486</v>
      </c>
      <c r="C119" s="1308" t="e">
        <f>100000*SUMIF('Results from eQUEST'!$AY$8:$BJ$8, B119, 'Results from eQUEST'!$AY$19:$BJ$19)</f>
        <v>#DIV/0!</v>
      </c>
      <c r="D119" s="1308" t="e">
        <f>3412*SUMIF('Results from eQUEST'!$M$8:$X$8,B119, 'Results from eQUEST'!$M$19:$X$19)</f>
        <v>#DIV/0!</v>
      </c>
      <c r="E119" s="1309" t="e">
        <f t="shared" ref="E119:E126" si="10">C119/100000*$C$113+D119/3412*$C$112</f>
        <v>#DIV/0!</v>
      </c>
      <c r="F119" s="1310"/>
      <c r="G119" s="1308">
        <f>100000*SUMIF('Results from eQUEST'!$AY$8:$BJ$8, B119, 'Results from eQUEST'!$AY$22:$BJ$22)</f>
        <v>0</v>
      </c>
      <c r="H119" s="1308">
        <f>3412*SUMIF('Results from eQUEST'!$M$8:$X$8,B119, 'Results from eQUEST'!$M$22:$X$22)</f>
        <v>0</v>
      </c>
      <c r="I119" s="1309">
        <f t="shared" ref="I119:I126" si="11">G119/100000*$C$113+H119/3412*$C$112</f>
        <v>0</v>
      </c>
      <c r="J119" s="1311" t="e">
        <f t="shared" ref="J119:J125" si="12">IF(SUM(C119:D119)=0,0,(SUM(C119:D119)-SUM(G119:H119))/SUM(C119:D119))</f>
        <v>#DIV/0!</v>
      </c>
      <c r="K119" s="1930" t="e">
        <f t="shared" ref="K119:K125" si="13">IF(E119=0,0,(E119-I119)/E119)</f>
        <v>#DIV/0!</v>
      </c>
      <c r="L119" s="1931"/>
      <c r="M119" s="1033"/>
      <c r="N119" s="1318" t="e">
        <f t="shared" ref="N119:N124" si="14">K119/$K$125</f>
        <v>#DIV/0!</v>
      </c>
      <c r="O119" s="1320" t="e">
        <f t="shared" ref="O119:O124" si="15">(E119-I119)/($E$125-$I$125)*100</f>
        <v>#DIV/0!</v>
      </c>
      <c r="AD119" s="1065" t="e">
        <f t="shared" si="8"/>
        <v>#DIV/0!</v>
      </c>
      <c r="AE119" s="1065">
        <f t="shared" si="9"/>
        <v>0</v>
      </c>
    </row>
    <row r="120" spans="1:31">
      <c r="A120" s="1033"/>
      <c r="B120" s="1307" t="s">
        <v>1487</v>
      </c>
      <c r="C120" s="1308" t="e">
        <f>100000*SUMIF('Results from eQUEST'!$AY$8:$BJ$8, B120, 'Results from eQUEST'!$AY$19:$BJ$19)</f>
        <v>#DIV/0!</v>
      </c>
      <c r="D120" s="1308" t="e">
        <f>3412*SUMIF('Results from eQUEST'!$M$8:$X$8,B120, 'Results from eQUEST'!$M$19:$X$19)</f>
        <v>#DIV/0!</v>
      </c>
      <c r="E120" s="1309" t="e">
        <f t="shared" si="10"/>
        <v>#DIV/0!</v>
      </c>
      <c r="F120" s="1310"/>
      <c r="G120" s="1308">
        <f>100000*SUMIF('Results from eQUEST'!$AY$8:$BJ$8, B120, 'Results from eQUEST'!$AY$22:$BJ$22)</f>
        <v>0</v>
      </c>
      <c r="H120" s="1308">
        <f>3412*SUMIF('Results from eQUEST'!$M$8:$X$8,B120, 'Results from eQUEST'!$M$22:$X$22)</f>
        <v>0</v>
      </c>
      <c r="I120" s="1309">
        <f t="shared" si="11"/>
        <v>0</v>
      </c>
      <c r="J120" s="1311" t="e">
        <f t="shared" si="12"/>
        <v>#DIV/0!</v>
      </c>
      <c r="K120" s="1930" t="e">
        <f t="shared" si="13"/>
        <v>#DIV/0!</v>
      </c>
      <c r="L120" s="1931"/>
      <c r="M120" s="1033"/>
      <c r="N120" s="1318" t="e">
        <f t="shared" si="14"/>
        <v>#DIV/0!</v>
      </c>
      <c r="O120" s="1320" t="e">
        <f t="shared" si="15"/>
        <v>#DIV/0!</v>
      </c>
      <c r="AD120" s="1065" t="e">
        <f t="shared" si="8"/>
        <v>#DIV/0!</v>
      </c>
      <c r="AE120" s="1065">
        <f t="shared" si="9"/>
        <v>0</v>
      </c>
    </row>
    <row r="121" spans="1:31">
      <c r="A121" s="1033"/>
      <c r="B121" s="1307" t="s">
        <v>1488</v>
      </c>
      <c r="C121" s="1308" t="e">
        <f>100000*SUMIF('Results from eQUEST'!$AY$8:$BJ$8, B121, 'Results from eQUEST'!$AY$19:$BJ$19)</f>
        <v>#DIV/0!</v>
      </c>
      <c r="D121" s="1308" t="e">
        <f>3412*SUMIF('Results from eQUEST'!$M$8:$X$8,B121, 'Results from eQUEST'!$M$19:$X$19)</f>
        <v>#DIV/0!</v>
      </c>
      <c r="E121" s="1309" t="e">
        <f t="shared" si="10"/>
        <v>#DIV/0!</v>
      </c>
      <c r="F121" s="1310"/>
      <c r="G121" s="1308">
        <f>100000*SUMIF('Results from eQUEST'!$AY$8:$BJ$8, B121, 'Results from eQUEST'!$AY$22:$BJ$22)</f>
        <v>0</v>
      </c>
      <c r="H121" s="1308">
        <f>3412*SUMIF('Results from eQUEST'!$M$8:$X$8,B121, 'Results from eQUEST'!$M$22:$X$22)</f>
        <v>0</v>
      </c>
      <c r="I121" s="1309">
        <f t="shared" si="11"/>
        <v>0</v>
      </c>
      <c r="J121" s="1311" t="e">
        <f t="shared" si="12"/>
        <v>#DIV/0!</v>
      </c>
      <c r="K121" s="1930" t="e">
        <f t="shared" si="13"/>
        <v>#DIV/0!</v>
      </c>
      <c r="L121" s="1931"/>
      <c r="M121" s="1033"/>
      <c r="N121" s="1318" t="e">
        <f t="shared" si="14"/>
        <v>#DIV/0!</v>
      </c>
      <c r="O121" s="1320" t="e">
        <f t="shared" si="15"/>
        <v>#DIV/0!</v>
      </c>
    </row>
    <row r="122" spans="1:31">
      <c r="A122" s="1033"/>
      <c r="B122" s="1307" t="s">
        <v>1489</v>
      </c>
      <c r="C122" s="1308" t="e">
        <f>100000*SUMIF('Results from eQUEST'!$AY$8:$BJ$8, B122, 'Results from eQUEST'!$AY$19:$BJ$19)</f>
        <v>#DIV/0!</v>
      </c>
      <c r="D122" s="1308" t="e">
        <f>3412*SUMIF('Results from eQUEST'!$M$8:$X$8,B122, 'Results from eQUEST'!$M$19:$X$19)</f>
        <v>#DIV/0!</v>
      </c>
      <c r="E122" s="1309" t="e">
        <f t="shared" si="10"/>
        <v>#DIV/0!</v>
      </c>
      <c r="F122" s="1310"/>
      <c r="G122" s="1308">
        <f>100000*SUMIF('Results from eQUEST'!$AY$8:$BJ$8, B122, 'Results from eQUEST'!$AY$22:$BJ$22)</f>
        <v>0</v>
      </c>
      <c r="H122" s="1308">
        <f>3412*SUMIF('Results from eQUEST'!$M$8:$X$8,B122, 'Results from eQUEST'!$M$22:$X$22)</f>
        <v>0</v>
      </c>
      <c r="I122" s="1309">
        <f t="shared" si="11"/>
        <v>0</v>
      </c>
      <c r="J122" s="1311" t="e">
        <f t="shared" si="12"/>
        <v>#DIV/0!</v>
      </c>
      <c r="K122" s="1930" t="e">
        <f t="shared" si="13"/>
        <v>#DIV/0!</v>
      </c>
      <c r="L122" s="1931"/>
      <c r="M122" s="1033"/>
      <c r="N122" s="1318" t="e">
        <f t="shared" si="14"/>
        <v>#DIV/0!</v>
      </c>
      <c r="O122" s="1320" t="e">
        <f t="shared" si="15"/>
        <v>#DIV/0!</v>
      </c>
      <c r="AD122" s="1065" t="e">
        <f>#REF!</f>
        <v>#REF!</v>
      </c>
      <c r="AE122" s="1065" t="e">
        <f>#REF!</f>
        <v>#REF!</v>
      </c>
    </row>
    <row r="123" spans="1:31">
      <c r="A123" s="1033"/>
      <c r="B123" s="1307" t="s">
        <v>3719</v>
      </c>
      <c r="C123" s="1308" t="e">
        <f>100000*SUMIF('Results from eQUEST'!$AY$8:$BJ$8, B123, 'Results from eQUEST'!$AY$19:$BJ$19)</f>
        <v>#DIV/0!</v>
      </c>
      <c r="D123" s="1308" t="e">
        <f>3412*SUMIF('Results from eQUEST'!$M$8:$X$8,B123, 'Results from eQUEST'!$M$19:$X$19)</f>
        <v>#DIV/0!</v>
      </c>
      <c r="E123" s="1309" t="e">
        <f t="shared" ref="E123:E124" si="16">C123/100000*$C$113+D123/3412*$C$112</f>
        <v>#DIV/0!</v>
      </c>
      <c r="F123" s="1310"/>
      <c r="G123" s="1308">
        <f>100000*SUMIF('Results from eQUEST'!$AY$8:$BJ$8, B123, 'Results from eQUEST'!$AY$22:$BJ$22)</f>
        <v>0</v>
      </c>
      <c r="H123" s="1308">
        <f>3412*SUMIF('Results from eQUEST'!$M$8:$X$8,B123, 'Results from eQUEST'!$M$22:$X$22)</f>
        <v>0</v>
      </c>
      <c r="I123" s="1309">
        <f t="shared" ref="I123:I124" si="17">G123/100000*$C$113+H123/3412*$C$112</f>
        <v>0</v>
      </c>
      <c r="J123" s="1311" t="e">
        <f t="shared" ref="J123:J124" si="18">IF(SUM(C123:D123)=0,0,(SUM(C123:D123)-SUM(G123:H123))/SUM(C123:D123))</f>
        <v>#DIV/0!</v>
      </c>
      <c r="K123" s="1930" t="e">
        <f t="shared" ref="K123:K124" si="19">IF(E123=0,0,(E123-I123)/E123)</f>
        <v>#DIV/0!</v>
      </c>
      <c r="L123" s="1931"/>
      <c r="M123" s="1033"/>
      <c r="N123" s="1318" t="e">
        <f t="shared" si="14"/>
        <v>#DIV/0!</v>
      </c>
      <c r="O123" s="1320" t="e">
        <f t="shared" si="15"/>
        <v>#DIV/0!</v>
      </c>
      <c r="AD123" s="1065" t="e">
        <f>E125</f>
        <v>#DIV/0!</v>
      </c>
      <c r="AE123" s="1065">
        <f>H125</f>
        <v>0</v>
      </c>
    </row>
    <row r="124" spans="1:31" ht="12.75" thickBot="1">
      <c r="A124" s="1033"/>
      <c r="B124" s="1307" t="s">
        <v>3720</v>
      </c>
      <c r="C124" s="1308" t="e">
        <f>100000*SUMIF('Results from eQUEST'!$AY$8:$BJ$8, B124, 'Results from eQUEST'!$AY$19:$BJ$19)</f>
        <v>#DIV/0!</v>
      </c>
      <c r="D124" s="1308" t="e">
        <f>3412*SUMIF('Results from eQUEST'!$M$8:$X$8,B124, 'Results from eQUEST'!$M$19:$X$19)</f>
        <v>#DIV/0!</v>
      </c>
      <c r="E124" s="1309" t="e">
        <f t="shared" si="16"/>
        <v>#DIV/0!</v>
      </c>
      <c r="F124" s="1312"/>
      <c r="G124" s="1308">
        <f>100000*SUMIF('Results from eQUEST'!$AY$8:$BJ$8, B124, 'Results from eQUEST'!$AY$22:$BJ$22)</f>
        <v>0</v>
      </c>
      <c r="H124" s="1308">
        <f>3412*SUMIF('Results from eQUEST'!$M$8:$X$8,B124, 'Results from eQUEST'!$M$22:$X$22)</f>
        <v>0</v>
      </c>
      <c r="I124" s="1309">
        <f t="shared" si="17"/>
        <v>0</v>
      </c>
      <c r="J124" s="1311" t="e">
        <f t="shared" si="18"/>
        <v>#DIV/0!</v>
      </c>
      <c r="K124" s="1930" t="e">
        <f t="shared" si="19"/>
        <v>#DIV/0!</v>
      </c>
      <c r="L124" s="1931"/>
      <c r="M124" s="1033"/>
      <c r="N124" s="1321" t="e">
        <f t="shared" si="14"/>
        <v>#DIV/0!</v>
      </c>
      <c r="O124" s="1322" t="e">
        <f t="shared" si="15"/>
        <v>#DIV/0!</v>
      </c>
    </row>
    <row r="125" spans="1:31" ht="12.75" thickBot="1">
      <c r="A125" s="1033"/>
      <c r="B125" s="1313" t="s">
        <v>3340</v>
      </c>
      <c r="C125" s="1308" t="e">
        <f>SUM(C118:C124)</f>
        <v>#DIV/0!</v>
      </c>
      <c r="D125" s="1308" t="e">
        <f>SUM(D118:D124)</f>
        <v>#DIV/0!</v>
      </c>
      <c r="E125" s="1309" t="e">
        <f>SUM(E118:E124)</f>
        <v>#DIV/0!</v>
      </c>
      <c r="F125" s="1314"/>
      <c r="G125" s="1308">
        <f>SUM(G118:G124)</f>
        <v>0</v>
      </c>
      <c r="H125" s="1308">
        <f>SUM(H118:H124)</f>
        <v>0</v>
      </c>
      <c r="I125" s="1309">
        <f>SUM(I118:I124)</f>
        <v>0</v>
      </c>
      <c r="J125" s="1311" t="e">
        <f t="shared" si="12"/>
        <v>#DIV/0!</v>
      </c>
      <c r="K125" s="1940" t="e">
        <f t="shared" si="13"/>
        <v>#DIV/0!</v>
      </c>
      <c r="L125" s="1941"/>
      <c r="M125" s="1033"/>
      <c r="N125" s="1323" t="e">
        <f>SUM(N118:N124)</f>
        <v>#DIV/0!</v>
      </c>
      <c r="O125" s="1324" t="e">
        <f>SUM(O118:O124)</f>
        <v>#DIV/0!</v>
      </c>
      <c r="AD125" s="1065">
        <f>E129</f>
        <v>0</v>
      </c>
      <c r="AE125" s="1065">
        <f>H129</f>
        <v>0</v>
      </c>
    </row>
    <row r="126" spans="1:31">
      <c r="A126" s="1033"/>
      <c r="B126" s="1307" t="s">
        <v>3341</v>
      </c>
      <c r="C126" s="1315">
        <v>0</v>
      </c>
      <c r="D126" s="1315">
        <v>0</v>
      </c>
      <c r="E126" s="1309">
        <f t="shared" si="10"/>
        <v>0</v>
      </c>
      <c r="F126" s="1314"/>
      <c r="G126" s="793"/>
      <c r="H126" s="793"/>
      <c r="I126" s="1309">
        <f t="shared" si="11"/>
        <v>0</v>
      </c>
      <c r="J126" s="1311">
        <f t="shared" ref="J126:J127" si="20">IF(SUM(C126:D126)=0,0,(SUM(C126:D126)-SUM(G126:H126))/SUM(C126:D126))</f>
        <v>0</v>
      </c>
      <c r="K126" s="1930">
        <f>IF(E126=0,0,(E126-I126)/E126)</f>
        <v>0</v>
      </c>
      <c r="L126" s="1931"/>
      <c r="M126" s="1033"/>
    </row>
    <row r="127" spans="1:31" ht="12.75" thickBot="1">
      <c r="A127" s="1033"/>
      <c r="B127" s="1316" t="s">
        <v>3342</v>
      </c>
      <c r="C127" s="1308" t="e">
        <f>C125</f>
        <v>#DIV/0!</v>
      </c>
      <c r="D127" s="1308" t="e">
        <f>D125</f>
        <v>#DIV/0!</v>
      </c>
      <c r="E127" s="1309" t="e">
        <f>E125</f>
        <v>#DIV/0!</v>
      </c>
      <c r="F127" s="1317"/>
      <c r="G127" s="1308">
        <f>G126+G125</f>
        <v>0</v>
      </c>
      <c r="H127" s="1308">
        <f>H126+H125</f>
        <v>0</v>
      </c>
      <c r="I127" s="1309">
        <f>I126+I125</f>
        <v>0</v>
      </c>
      <c r="J127" s="1311" t="e">
        <f t="shared" si="20"/>
        <v>#DIV/0!</v>
      </c>
      <c r="K127" s="1928" t="e">
        <f t="shared" ref="K127" si="21">IF(E127=0,0,(E127-I127)/E127)</f>
        <v>#DIV/0!</v>
      </c>
      <c r="L127" s="1929"/>
      <c r="M127" s="1033"/>
    </row>
    <row r="128" spans="1:31" ht="12.75" thickBot="1">
      <c r="A128" s="1033"/>
      <c r="B128" s="2106" t="s">
        <v>31</v>
      </c>
      <c r="C128" s="2107"/>
      <c r="D128" s="2107"/>
      <c r="E128" s="2107"/>
      <c r="F128" s="2107"/>
      <c r="G128" s="2107"/>
      <c r="H128" s="2107"/>
      <c r="I128" s="2107"/>
      <c r="J128" s="2107"/>
      <c r="K128" s="2107"/>
      <c r="L128" s="2108"/>
      <c r="AD128" s="1065">
        <f t="shared" si="8"/>
        <v>0</v>
      </c>
      <c r="AE128" s="1065">
        <f t="shared" si="9"/>
        <v>0</v>
      </c>
    </row>
    <row r="129" spans="1:31">
      <c r="A129" s="1033"/>
      <c r="B129" s="1325"/>
      <c r="C129" s="1326" t="s">
        <v>980</v>
      </c>
      <c r="D129" s="1327" t="s">
        <v>981</v>
      </c>
      <c r="E129" s="1269"/>
      <c r="F129" s="1270"/>
      <c r="G129" s="1270"/>
      <c r="H129" s="1270"/>
      <c r="I129" s="1270"/>
      <c r="J129" s="1270"/>
      <c r="K129" s="1270"/>
      <c r="L129" s="1271"/>
      <c r="AD129" s="1065">
        <f t="shared" si="8"/>
        <v>0</v>
      </c>
      <c r="AE129" s="1065">
        <f t="shared" si="9"/>
        <v>0</v>
      </c>
    </row>
    <row r="130" spans="1:31">
      <c r="A130" s="1033"/>
      <c r="B130" s="1328"/>
      <c r="C130" s="1329" t="s">
        <v>2088</v>
      </c>
      <c r="D130" s="1330" t="s">
        <v>2088</v>
      </c>
      <c r="E130" s="1272"/>
      <c r="F130" s="834"/>
      <c r="G130" s="834"/>
      <c r="H130" s="834"/>
      <c r="I130" s="834"/>
      <c r="J130" s="834"/>
      <c r="K130" s="834"/>
      <c r="L130" s="1267"/>
      <c r="AD130" s="1065">
        <f t="shared" si="8"/>
        <v>0</v>
      </c>
      <c r="AE130" s="1065">
        <f t="shared" si="9"/>
        <v>0</v>
      </c>
    </row>
    <row r="131" spans="1:31">
      <c r="A131" s="1033"/>
      <c r="B131" s="1331" t="s">
        <v>1485</v>
      </c>
      <c r="C131" s="1332">
        <f>IF('GHSF Calculator'!$E$18=0,0,SUM(C118:D118)/'GHSF Calculator'!$E$18)</f>
        <v>0</v>
      </c>
      <c r="D131" s="1333">
        <f>IF('GHSF Calculator'!$E$18=0,0,SUM(G118:H118)/'GHSF Calculator'!$E$18)</f>
        <v>0</v>
      </c>
      <c r="E131" s="1272"/>
      <c r="F131" s="834"/>
      <c r="G131" s="834"/>
      <c r="H131" s="834"/>
      <c r="I131" s="834"/>
      <c r="J131" s="834"/>
      <c r="K131" s="834"/>
      <c r="L131" s="1267"/>
      <c r="AD131" s="1065">
        <f t="shared" si="8"/>
        <v>0</v>
      </c>
      <c r="AE131" s="1065">
        <f t="shared" si="9"/>
        <v>0</v>
      </c>
    </row>
    <row r="132" spans="1:31">
      <c r="A132" s="1033"/>
      <c r="B132" s="1307" t="s">
        <v>1486</v>
      </c>
      <c r="C132" s="1334">
        <f>IF('GHSF Calculator'!$E$18=0,0,SUM(C119:D119)/'GHSF Calculator'!$E$18)</f>
        <v>0</v>
      </c>
      <c r="D132" s="1335">
        <f>IF('GHSF Calculator'!$E$18=0,0,SUM(G119:H119)/'GHSF Calculator'!$E$18)</f>
        <v>0</v>
      </c>
      <c r="E132" s="1272"/>
      <c r="F132" s="834"/>
      <c r="G132" s="834"/>
      <c r="H132" s="834"/>
      <c r="I132" s="834"/>
      <c r="J132" s="834"/>
      <c r="K132" s="834"/>
      <c r="L132" s="1267"/>
      <c r="AD132" s="1065">
        <f t="shared" si="8"/>
        <v>0</v>
      </c>
      <c r="AE132" s="1065">
        <f t="shared" si="9"/>
        <v>0</v>
      </c>
    </row>
    <row r="133" spans="1:31">
      <c r="A133" s="1033"/>
      <c r="B133" s="1307" t="s">
        <v>1487</v>
      </c>
      <c r="C133" s="1334">
        <f>IF('GHSF Calculator'!$E$18=0,0,SUM(C120:D120)/'GHSF Calculator'!$E$18)</f>
        <v>0</v>
      </c>
      <c r="D133" s="1335">
        <f>IF('GHSF Calculator'!$E$18=0,0,SUM(G120:H120)/'GHSF Calculator'!$E$18)</f>
        <v>0</v>
      </c>
      <c r="E133" s="1272"/>
      <c r="F133" s="834"/>
      <c r="G133" s="834"/>
      <c r="H133" s="834"/>
      <c r="I133" s="834"/>
      <c r="J133" s="834"/>
      <c r="K133" s="834"/>
      <c r="L133" s="1267"/>
      <c r="AD133" s="1065">
        <f t="shared" si="8"/>
        <v>0</v>
      </c>
      <c r="AE133" s="1065">
        <f t="shared" si="9"/>
        <v>0</v>
      </c>
    </row>
    <row r="134" spans="1:31">
      <c r="A134" s="1033"/>
      <c r="B134" s="1307" t="s">
        <v>1488</v>
      </c>
      <c r="C134" s="1334">
        <f>IF('GHSF Calculator'!$E$18=0,0,SUM(C121:D121)/'GHSF Calculator'!$E$18)</f>
        <v>0</v>
      </c>
      <c r="D134" s="1335">
        <f>IF('GHSF Calculator'!$E$18=0,0,SUM(G121:H121)/'GHSF Calculator'!$E$18)</f>
        <v>0</v>
      </c>
      <c r="E134" s="1272"/>
      <c r="F134" s="834"/>
      <c r="G134" s="834"/>
      <c r="H134" s="834"/>
      <c r="I134" s="834"/>
      <c r="J134" s="834"/>
      <c r="K134" s="834"/>
      <c r="L134" s="1267"/>
    </row>
    <row r="135" spans="1:31">
      <c r="A135" s="1033"/>
      <c r="B135" s="1307" t="s">
        <v>1489</v>
      </c>
      <c r="C135" s="1334">
        <f>IF('GHSF Calculator'!$E$18=0,0,SUM(C122:D122)/'GHSF Calculator'!$E$18)</f>
        <v>0</v>
      </c>
      <c r="D135" s="1335">
        <f>IF('GHSF Calculator'!$E$18=0,0,SUM(G122:H122)/'GHSF Calculator'!$E$18)</f>
        <v>0</v>
      </c>
      <c r="E135" s="1272"/>
      <c r="F135" s="834"/>
      <c r="G135" s="834"/>
      <c r="H135" s="834"/>
      <c r="I135" s="834"/>
      <c r="J135" s="834"/>
      <c r="K135" s="834"/>
      <c r="L135" s="1267"/>
      <c r="AD135" s="1065" t="e">
        <f>#REF!</f>
        <v>#REF!</v>
      </c>
      <c r="AE135" s="1065" t="e">
        <f>#REF!</f>
        <v>#REF!</v>
      </c>
    </row>
    <row r="136" spans="1:31">
      <c r="A136" s="1033"/>
      <c r="B136" s="1307" t="s">
        <v>3719</v>
      </c>
      <c r="C136" s="1334">
        <f>IF('GHSF Calculator'!$E$18=0,0,SUM(C123:D123)/'GHSF Calculator'!$E$18)</f>
        <v>0</v>
      </c>
      <c r="D136" s="1335">
        <f>IF('GHSF Calculator'!$E$18=0,0,SUM(G123:H123)/'GHSF Calculator'!$E$18)</f>
        <v>0</v>
      </c>
      <c r="E136" s="1272"/>
      <c r="F136" s="834"/>
      <c r="G136" s="834"/>
      <c r="H136" s="834"/>
      <c r="I136" s="834"/>
      <c r="J136" s="834"/>
      <c r="K136" s="834"/>
      <c r="L136" s="1267"/>
      <c r="AD136" s="1065">
        <f>E138</f>
        <v>0</v>
      </c>
      <c r="AE136" s="1065">
        <f>H138</f>
        <v>0</v>
      </c>
    </row>
    <row r="137" spans="1:31">
      <c r="A137" s="1033"/>
      <c r="B137" s="1336" t="s">
        <v>3720</v>
      </c>
      <c r="C137" s="1334">
        <f>IF('GHSF Calculator'!$E$18=0,0,SUM(C124:D124)/'GHSF Calculator'!$E$18)</f>
        <v>0</v>
      </c>
      <c r="D137" s="1335">
        <f>IF('GHSF Calculator'!$E$18=0,0,SUM(G124:H124)/'GHSF Calculator'!$E$18)</f>
        <v>0</v>
      </c>
      <c r="E137" s="1272"/>
      <c r="F137" s="834"/>
      <c r="G137" s="834"/>
      <c r="H137" s="834"/>
      <c r="I137" s="834"/>
      <c r="J137" s="834"/>
      <c r="K137" s="834"/>
      <c r="L137" s="1267"/>
    </row>
    <row r="138" spans="1:31" ht="12.75" thickBot="1">
      <c r="A138" s="1033"/>
      <c r="B138" s="1316" t="s">
        <v>3340</v>
      </c>
      <c r="C138" s="1337">
        <f>IF('GHSF Calculator'!$E$18=0,0,SUM(C125:D125)/'GHSF Calculator'!$E$18)</f>
        <v>0</v>
      </c>
      <c r="D138" s="1338">
        <f>IF('GHSF Calculator'!$E$18=0,0,SUM(G125:H125)/'GHSF Calculator'!$E$18)</f>
        <v>0</v>
      </c>
      <c r="E138" s="1273"/>
      <c r="F138" s="1274"/>
      <c r="G138" s="1274"/>
      <c r="H138" s="1274"/>
      <c r="I138" s="1274"/>
      <c r="J138" s="1274"/>
      <c r="K138" s="1274"/>
      <c r="L138" s="1275"/>
    </row>
    <row r="139" spans="1:31" ht="12.75" thickBot="1">
      <c r="B139" s="2103"/>
      <c r="C139" s="2104"/>
      <c r="D139" s="2104"/>
      <c r="E139" s="2104"/>
      <c r="F139" s="2104"/>
      <c r="G139" s="2104"/>
      <c r="H139" s="2104"/>
      <c r="I139" s="2104"/>
      <c r="J139" s="2104"/>
      <c r="K139" s="2104"/>
      <c r="L139" s="2105"/>
    </row>
    <row r="140" spans="1:31">
      <c r="B140" s="1033"/>
    </row>
  </sheetData>
  <sheetProtection sheet="1" objects="1" scenarios="1" formatCells="0" insertRows="0"/>
  <mergeCells count="343">
    <mergeCell ref="I6:L6"/>
    <mergeCell ref="B8:C8"/>
    <mergeCell ref="D8:F8"/>
    <mergeCell ref="B10:C10"/>
    <mergeCell ref="D10:F10"/>
    <mergeCell ref="K124:L124"/>
    <mergeCell ref="B2:L3"/>
    <mergeCell ref="B139:L139"/>
    <mergeCell ref="B5:L5"/>
    <mergeCell ref="B11:L11"/>
    <mergeCell ref="B16:L16"/>
    <mergeCell ref="B29:L29"/>
    <mergeCell ref="B38:L38"/>
    <mergeCell ref="B85:L85"/>
    <mergeCell ref="B111:L111"/>
    <mergeCell ref="B115:L115"/>
    <mergeCell ref="B128:L128"/>
    <mergeCell ref="G17:H17"/>
    <mergeCell ref="G22:H22"/>
    <mergeCell ref="F30:L30"/>
    <mergeCell ref="G97:H97"/>
    <mergeCell ref="E80:G80"/>
    <mergeCell ref="B80:C80"/>
    <mergeCell ref="B77:C77"/>
    <mergeCell ref="B82:C82"/>
    <mergeCell ref="H71:L71"/>
    <mergeCell ref="B69:C69"/>
    <mergeCell ref="E83:G83"/>
    <mergeCell ref="G88:H88"/>
    <mergeCell ref="E82:G82"/>
    <mergeCell ref="B78:L78"/>
    <mergeCell ref="H75:L75"/>
    <mergeCell ref="B83:C83"/>
    <mergeCell ref="E75:G75"/>
    <mergeCell ref="B84:C84"/>
    <mergeCell ref="E77:G77"/>
    <mergeCell ref="H76:L76"/>
    <mergeCell ref="H77:L77"/>
    <mergeCell ref="K86:L86"/>
    <mergeCell ref="B86:C86"/>
    <mergeCell ref="E70:G70"/>
    <mergeCell ref="E69:G69"/>
    <mergeCell ref="B79:C79"/>
    <mergeCell ref="H80:L80"/>
    <mergeCell ref="H82:L82"/>
    <mergeCell ref="H73:L73"/>
    <mergeCell ref="B72:L72"/>
    <mergeCell ref="B81:L81"/>
    <mergeCell ref="H48:L48"/>
    <mergeCell ref="E48:G48"/>
    <mergeCell ref="B53:L53"/>
    <mergeCell ref="E47:G47"/>
    <mergeCell ref="H49:L49"/>
    <mergeCell ref="E68:G68"/>
    <mergeCell ref="B55:C55"/>
    <mergeCell ref="B62:C62"/>
    <mergeCell ref="B65:C65"/>
    <mergeCell ref="B60:C60"/>
    <mergeCell ref="B59:C59"/>
    <mergeCell ref="B57:C57"/>
    <mergeCell ref="H52:L52"/>
    <mergeCell ref="E56:G56"/>
    <mergeCell ref="E61:G61"/>
    <mergeCell ref="E60:G60"/>
    <mergeCell ref="E55:G55"/>
    <mergeCell ref="H55:L55"/>
    <mergeCell ref="E49:G49"/>
    <mergeCell ref="E51:G51"/>
    <mergeCell ref="E42:G42"/>
    <mergeCell ref="E39:G39"/>
    <mergeCell ref="B39:C39"/>
    <mergeCell ref="H50:L50"/>
    <mergeCell ref="H46:L46"/>
    <mergeCell ref="H54:L54"/>
    <mergeCell ref="H56:L56"/>
    <mergeCell ref="E57:G57"/>
    <mergeCell ref="H57:L57"/>
    <mergeCell ref="H51:L51"/>
    <mergeCell ref="E54:G54"/>
    <mergeCell ref="H44:L44"/>
    <mergeCell ref="E44:G44"/>
    <mergeCell ref="B48:C48"/>
    <mergeCell ref="B56:C56"/>
    <mergeCell ref="B54:C54"/>
    <mergeCell ref="B51:C51"/>
    <mergeCell ref="E46:G46"/>
    <mergeCell ref="B49:C49"/>
    <mergeCell ref="E50:G50"/>
    <mergeCell ref="B44:C44"/>
    <mergeCell ref="E45:G45"/>
    <mergeCell ref="B45:C45"/>
    <mergeCell ref="B43:C43"/>
    <mergeCell ref="B41:C41"/>
    <mergeCell ref="B40:L40"/>
    <mergeCell ref="E41:G41"/>
    <mergeCell ref="B26:C26"/>
    <mergeCell ref="B32:D32"/>
    <mergeCell ref="B31:D31"/>
    <mergeCell ref="B28:C28"/>
    <mergeCell ref="B30:D30"/>
    <mergeCell ref="B27:C27"/>
    <mergeCell ref="I27:L27"/>
    <mergeCell ref="I28:L28"/>
    <mergeCell ref="I26:L26"/>
    <mergeCell ref="H39:L39"/>
    <mergeCell ref="H41:L41"/>
    <mergeCell ref="B34:D34"/>
    <mergeCell ref="B35:D35"/>
    <mergeCell ref="B36:D36"/>
    <mergeCell ref="B37:D37"/>
    <mergeCell ref="F31:L37"/>
    <mergeCell ref="G18:H18"/>
    <mergeCell ref="B18:C18"/>
    <mergeCell ref="G21:H21"/>
    <mergeCell ref="B24:F25"/>
    <mergeCell ref="I18:L18"/>
    <mergeCell ref="I19:L19"/>
    <mergeCell ref="I20:L20"/>
    <mergeCell ref="D18:F18"/>
    <mergeCell ref="G19:H19"/>
    <mergeCell ref="B19:C19"/>
    <mergeCell ref="B21:C21"/>
    <mergeCell ref="D19:F19"/>
    <mergeCell ref="B22:C22"/>
    <mergeCell ref="B20:C20"/>
    <mergeCell ref="D21:F21"/>
    <mergeCell ref="I21:L21"/>
    <mergeCell ref="I24:L24"/>
    <mergeCell ref="G24:H24"/>
    <mergeCell ref="G25:H25"/>
    <mergeCell ref="I22:L22"/>
    <mergeCell ref="I25:L25"/>
    <mergeCell ref="I15:L15"/>
    <mergeCell ref="G9:H9"/>
    <mergeCell ref="D9:F9"/>
    <mergeCell ref="G10:H10"/>
    <mergeCell ref="I10:L10"/>
    <mergeCell ref="I12:L12"/>
    <mergeCell ref="G12:H12"/>
    <mergeCell ref="D12:F12"/>
    <mergeCell ref="D13:F13"/>
    <mergeCell ref="B9:C9"/>
    <mergeCell ref="G7:H7"/>
    <mergeCell ref="G8:H8"/>
    <mergeCell ref="D23:F23"/>
    <mergeCell ref="G23:H23"/>
    <mergeCell ref="I23:L23"/>
    <mergeCell ref="B23:C23"/>
    <mergeCell ref="B12:C12"/>
    <mergeCell ref="B13:C13"/>
    <mergeCell ref="B14:C14"/>
    <mergeCell ref="B17:C17"/>
    <mergeCell ref="B15:C15"/>
    <mergeCell ref="G20:H20"/>
    <mergeCell ref="D20:F20"/>
    <mergeCell ref="D22:F22"/>
    <mergeCell ref="D17:F17"/>
    <mergeCell ref="G14:H14"/>
    <mergeCell ref="I17:L17"/>
    <mergeCell ref="G13:H13"/>
    <mergeCell ref="G15:H15"/>
    <mergeCell ref="D15:F15"/>
    <mergeCell ref="D14:F14"/>
    <mergeCell ref="I13:L13"/>
    <mergeCell ref="I14:L14"/>
    <mergeCell ref="K106:L106"/>
    <mergeCell ref="B106:C106"/>
    <mergeCell ref="G109:H109"/>
    <mergeCell ref="E108:F108"/>
    <mergeCell ref="B109:C109"/>
    <mergeCell ref="B107:L107"/>
    <mergeCell ref="I7:L7"/>
    <mergeCell ref="I8:L8"/>
    <mergeCell ref="I9:L9"/>
    <mergeCell ref="H60:L60"/>
    <mergeCell ref="B87:L87"/>
    <mergeCell ref="E90:F90"/>
    <mergeCell ref="G90:H90"/>
    <mergeCell ref="E92:F92"/>
    <mergeCell ref="B90:C90"/>
    <mergeCell ref="I90:J90"/>
    <mergeCell ref="K90:L90"/>
    <mergeCell ref="I88:J88"/>
    <mergeCell ref="K88:L88"/>
    <mergeCell ref="I89:J89"/>
    <mergeCell ref="K89:L89"/>
    <mergeCell ref="B88:C88"/>
    <mergeCell ref="B89:C89"/>
    <mergeCell ref="E88:F88"/>
    <mergeCell ref="D6:F6"/>
    <mergeCell ref="D7:F7"/>
    <mergeCell ref="B6:C6"/>
    <mergeCell ref="E99:F99"/>
    <mergeCell ref="H84:L84"/>
    <mergeCell ref="H83:L83"/>
    <mergeCell ref="E86:F86"/>
    <mergeCell ref="G86:H86"/>
    <mergeCell ref="G95:H95"/>
    <mergeCell ref="E96:F96"/>
    <mergeCell ref="E84:G84"/>
    <mergeCell ref="B7:C7"/>
    <mergeCell ref="G6:H6"/>
    <mergeCell ref="B92:C92"/>
    <mergeCell ref="G91:H91"/>
    <mergeCell ref="B95:C95"/>
    <mergeCell ref="I91:J91"/>
    <mergeCell ref="E91:F91"/>
    <mergeCell ref="E94:F94"/>
    <mergeCell ref="I96:J96"/>
    <mergeCell ref="B97:C97"/>
    <mergeCell ref="G89:H89"/>
    <mergeCell ref="E89:F89"/>
    <mergeCell ref="I86:J86"/>
    <mergeCell ref="B110:C110"/>
    <mergeCell ref="E109:F109"/>
    <mergeCell ref="G108:H108"/>
    <mergeCell ref="E106:F106"/>
    <mergeCell ref="G106:H106"/>
    <mergeCell ref="I106:J106"/>
    <mergeCell ref="E102:F102"/>
    <mergeCell ref="G102:H102"/>
    <mergeCell ref="G93:H93"/>
    <mergeCell ref="E93:F93"/>
    <mergeCell ref="B94:C94"/>
    <mergeCell ref="B93:C93"/>
    <mergeCell ref="E97:F97"/>
    <mergeCell ref="E95:F95"/>
    <mergeCell ref="G100:H100"/>
    <mergeCell ref="B99:C99"/>
    <mergeCell ref="E105:F105"/>
    <mergeCell ref="G104:H104"/>
    <mergeCell ref="E101:F101"/>
    <mergeCell ref="E104:F104"/>
    <mergeCell ref="B101:C101"/>
    <mergeCell ref="G105:H105"/>
    <mergeCell ref="B104:C104"/>
    <mergeCell ref="B100:C100"/>
    <mergeCell ref="G94:H94"/>
    <mergeCell ref="G96:H96"/>
    <mergeCell ref="B98:L98"/>
    <mergeCell ref="G99:H99"/>
    <mergeCell ref="K99:L99"/>
    <mergeCell ref="E100:F100"/>
    <mergeCell ref="G101:H101"/>
    <mergeCell ref="I99:J99"/>
    <mergeCell ref="I97:J97"/>
    <mergeCell ref="K97:L97"/>
    <mergeCell ref="K127:L127"/>
    <mergeCell ref="K123:L123"/>
    <mergeCell ref="I101:J101"/>
    <mergeCell ref="K101:L101"/>
    <mergeCell ref="I102:J102"/>
    <mergeCell ref="K102:L102"/>
    <mergeCell ref="I108:J108"/>
    <mergeCell ref="K108:L108"/>
    <mergeCell ref="I109:J109"/>
    <mergeCell ref="K109:L109"/>
    <mergeCell ref="I110:J110"/>
    <mergeCell ref="K110:L110"/>
    <mergeCell ref="I104:J104"/>
    <mergeCell ref="K104:L104"/>
    <mergeCell ref="I105:J105"/>
    <mergeCell ref="K105:L105"/>
    <mergeCell ref="K122:L122"/>
    <mergeCell ref="J116:J117"/>
    <mergeCell ref="K126:L126"/>
    <mergeCell ref="K119:L119"/>
    <mergeCell ref="K120:L120"/>
    <mergeCell ref="K125:L125"/>
    <mergeCell ref="K121:L121"/>
    <mergeCell ref="K118:L118"/>
    <mergeCell ref="B108:C108"/>
    <mergeCell ref="B105:C105"/>
    <mergeCell ref="H69:L69"/>
    <mergeCell ref="B64:C64"/>
    <mergeCell ref="H62:L62"/>
    <mergeCell ref="B74:C74"/>
    <mergeCell ref="B76:C76"/>
    <mergeCell ref="E76:G76"/>
    <mergeCell ref="B71:C71"/>
    <mergeCell ref="E71:G71"/>
    <mergeCell ref="E74:G74"/>
    <mergeCell ref="E73:G73"/>
    <mergeCell ref="B73:C73"/>
    <mergeCell ref="B75:C75"/>
    <mergeCell ref="E65:G65"/>
    <mergeCell ref="E64:G64"/>
    <mergeCell ref="E62:G62"/>
    <mergeCell ref="H70:L70"/>
    <mergeCell ref="H74:L74"/>
    <mergeCell ref="B70:C70"/>
    <mergeCell ref="H68:L68"/>
    <mergeCell ref="B68:C68"/>
    <mergeCell ref="K96:L96"/>
    <mergeCell ref="B102:C102"/>
    <mergeCell ref="E43:G43"/>
    <mergeCell ref="H42:L42"/>
    <mergeCell ref="H79:L79"/>
    <mergeCell ref="E79:G79"/>
    <mergeCell ref="K116:L117"/>
    <mergeCell ref="G116:I116"/>
    <mergeCell ref="B103:L103"/>
    <mergeCell ref="G92:H92"/>
    <mergeCell ref="B91:C91"/>
    <mergeCell ref="C116:E116"/>
    <mergeCell ref="I100:J100"/>
    <mergeCell ref="K100:L100"/>
    <mergeCell ref="K91:L91"/>
    <mergeCell ref="I92:J92"/>
    <mergeCell ref="K92:L92"/>
    <mergeCell ref="I93:J93"/>
    <mergeCell ref="K93:L93"/>
    <mergeCell ref="I94:J94"/>
    <mergeCell ref="K94:L94"/>
    <mergeCell ref="I95:J95"/>
    <mergeCell ref="K95:L95"/>
    <mergeCell ref="B96:C96"/>
    <mergeCell ref="G110:H110"/>
    <mergeCell ref="E110:F110"/>
    <mergeCell ref="N115:N117"/>
    <mergeCell ref="O115:O117"/>
    <mergeCell ref="B42:C42"/>
    <mergeCell ref="H61:L61"/>
    <mergeCell ref="B58:C58"/>
    <mergeCell ref="H58:L58"/>
    <mergeCell ref="E58:G58"/>
    <mergeCell ref="B66:C66"/>
    <mergeCell ref="B67:C67"/>
    <mergeCell ref="E66:G66"/>
    <mergeCell ref="H66:L66"/>
    <mergeCell ref="E67:G67"/>
    <mergeCell ref="H67:L67"/>
    <mergeCell ref="H64:L64"/>
    <mergeCell ref="H65:L65"/>
    <mergeCell ref="H59:L59"/>
    <mergeCell ref="B63:L63"/>
    <mergeCell ref="B61:C61"/>
    <mergeCell ref="E59:G59"/>
    <mergeCell ref="H45:L45"/>
    <mergeCell ref="H47:L47"/>
    <mergeCell ref="E52:G52"/>
    <mergeCell ref="B50:C50"/>
    <mergeCell ref="H43:L43"/>
  </mergeCells>
  <phoneticPr fontId="11" type="noConversion"/>
  <dataValidations count="1">
    <dataValidation type="list" allowBlank="1" showInputMessage="1" showErrorMessage="1" sqref="D6">
      <formula1>"Schematic Drawings, Working Drawings,Construction Contract Awarded, Currently Under Construction, Development Complete"</formula1>
    </dataValidation>
  </dataValidations>
  <pageMargins left="0.25" right="0.25" top="0.75" bottom="0.75" header="0.3" footer="0.3"/>
  <pageSetup paperSize="5" scale="54" orientation="portrait" horizontalDpi="400" verticalDpi="400" r:id="rId1"/>
  <headerFooter alignWithMargins="0">
    <oddFooter>&amp;LEPA ENERGY STAR Multifamily High-Rise Program</oddFooter>
  </headerFooter>
  <rowBreaks count="1" manualBreakCount="1">
    <brk id="10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249977111117893"/>
  </sheetPr>
  <dimension ref="A1:AY210"/>
  <sheetViews>
    <sheetView showGridLines="0" workbookViewId="0">
      <selection activeCell="A33" sqref="A33"/>
    </sheetView>
  </sheetViews>
  <sheetFormatPr defaultRowHeight="12"/>
  <cols>
    <col min="1" max="1" width="81.140625" style="430" bestFit="1" customWidth="1"/>
    <col min="2" max="2" width="11.85546875" style="430" bestFit="1" customWidth="1"/>
    <col min="3" max="3" width="9.140625" style="430" bestFit="1" customWidth="1"/>
    <col min="4" max="4" width="8.28515625" style="430" bestFit="1" customWidth="1"/>
    <col min="5" max="5" width="11.5703125" style="430" customWidth="1"/>
    <col min="6" max="51" width="8.28515625" style="430" bestFit="1" customWidth="1"/>
    <col min="52" max="256" width="9.140625" style="430"/>
    <col min="257" max="257" width="81.140625" style="430" bestFit="1" customWidth="1"/>
    <col min="258" max="258" width="11.85546875" style="430" bestFit="1" customWidth="1"/>
    <col min="259" max="259" width="9.140625" style="430" bestFit="1" customWidth="1"/>
    <col min="260" max="307" width="8.28515625" style="430" bestFit="1" customWidth="1"/>
    <col min="308" max="512" width="9.140625" style="430"/>
    <col min="513" max="513" width="81.140625" style="430" bestFit="1" customWidth="1"/>
    <col min="514" max="514" width="11.85546875" style="430" bestFit="1" customWidth="1"/>
    <col min="515" max="515" width="9.140625" style="430" bestFit="1" customWidth="1"/>
    <col min="516" max="563" width="8.28515625" style="430" bestFit="1" customWidth="1"/>
    <col min="564" max="768" width="9.140625" style="430"/>
    <col min="769" max="769" width="81.140625" style="430" bestFit="1" customWidth="1"/>
    <col min="770" max="770" width="11.85546875" style="430" bestFit="1" customWidth="1"/>
    <col min="771" max="771" width="9.140625" style="430" bestFit="1" customWidth="1"/>
    <col min="772" max="819" width="8.28515625" style="430" bestFit="1" customWidth="1"/>
    <col min="820" max="1024" width="9.140625" style="430"/>
    <col min="1025" max="1025" width="81.140625" style="430" bestFit="1" customWidth="1"/>
    <col min="1026" max="1026" width="11.85546875" style="430" bestFit="1" customWidth="1"/>
    <col min="1027" max="1027" width="9.140625" style="430" bestFit="1" customWidth="1"/>
    <col min="1028" max="1075" width="8.28515625" style="430" bestFit="1" customWidth="1"/>
    <col min="1076" max="1280" width="9.140625" style="430"/>
    <col min="1281" max="1281" width="81.140625" style="430" bestFit="1" customWidth="1"/>
    <col min="1282" max="1282" width="11.85546875" style="430" bestFit="1" customWidth="1"/>
    <col min="1283" max="1283" width="9.140625" style="430" bestFit="1" customWidth="1"/>
    <col min="1284" max="1331" width="8.28515625" style="430" bestFit="1" customWidth="1"/>
    <col min="1332" max="1536" width="9.140625" style="430"/>
    <col min="1537" max="1537" width="81.140625" style="430" bestFit="1" customWidth="1"/>
    <col min="1538" max="1538" width="11.85546875" style="430" bestFit="1" customWidth="1"/>
    <col min="1539" max="1539" width="9.140625" style="430" bestFit="1" customWidth="1"/>
    <col min="1540" max="1587" width="8.28515625" style="430" bestFit="1" customWidth="1"/>
    <col min="1588" max="1792" width="9.140625" style="430"/>
    <col min="1793" max="1793" width="81.140625" style="430" bestFit="1" customWidth="1"/>
    <col min="1794" max="1794" width="11.85546875" style="430" bestFit="1" customWidth="1"/>
    <col min="1795" max="1795" width="9.140625" style="430" bestFit="1" customWidth="1"/>
    <col min="1796" max="1843" width="8.28515625" style="430" bestFit="1" customWidth="1"/>
    <col min="1844" max="2048" width="9.140625" style="430"/>
    <col min="2049" max="2049" width="81.140625" style="430" bestFit="1" customWidth="1"/>
    <col min="2050" max="2050" width="11.85546875" style="430" bestFit="1" customWidth="1"/>
    <col min="2051" max="2051" width="9.140625" style="430" bestFit="1" customWidth="1"/>
    <col min="2052" max="2099" width="8.28515625" style="430" bestFit="1" customWidth="1"/>
    <col min="2100" max="2304" width="9.140625" style="430"/>
    <col min="2305" max="2305" width="81.140625" style="430" bestFit="1" customWidth="1"/>
    <col min="2306" max="2306" width="11.85546875" style="430" bestFit="1" customWidth="1"/>
    <col min="2307" max="2307" width="9.140625" style="430" bestFit="1" customWidth="1"/>
    <col min="2308" max="2355" width="8.28515625" style="430" bestFit="1" customWidth="1"/>
    <col min="2356" max="2560" width="9.140625" style="430"/>
    <col min="2561" max="2561" width="81.140625" style="430" bestFit="1" customWidth="1"/>
    <col min="2562" max="2562" width="11.85546875" style="430" bestFit="1" customWidth="1"/>
    <col min="2563" max="2563" width="9.140625" style="430" bestFit="1" customWidth="1"/>
    <col min="2564" max="2611" width="8.28515625" style="430" bestFit="1" customWidth="1"/>
    <col min="2612" max="2816" width="9.140625" style="430"/>
    <col min="2817" max="2817" width="81.140625" style="430" bestFit="1" customWidth="1"/>
    <col min="2818" max="2818" width="11.85546875" style="430" bestFit="1" customWidth="1"/>
    <col min="2819" max="2819" width="9.140625" style="430" bestFit="1" customWidth="1"/>
    <col min="2820" max="2867" width="8.28515625" style="430" bestFit="1" customWidth="1"/>
    <col min="2868" max="3072" width="9.140625" style="430"/>
    <col min="3073" max="3073" width="81.140625" style="430" bestFit="1" customWidth="1"/>
    <col min="3074" max="3074" width="11.85546875" style="430" bestFit="1" customWidth="1"/>
    <col min="3075" max="3075" width="9.140625" style="430" bestFit="1" customWidth="1"/>
    <col min="3076" max="3123" width="8.28515625" style="430" bestFit="1" customWidth="1"/>
    <col min="3124" max="3328" width="9.140625" style="430"/>
    <col min="3329" max="3329" width="81.140625" style="430" bestFit="1" customWidth="1"/>
    <col min="3330" max="3330" width="11.85546875" style="430" bestFit="1" customWidth="1"/>
    <col min="3331" max="3331" width="9.140625" style="430" bestFit="1" customWidth="1"/>
    <col min="3332" max="3379" width="8.28515625" style="430" bestFit="1" customWidth="1"/>
    <col min="3380" max="3584" width="9.140625" style="430"/>
    <col min="3585" max="3585" width="81.140625" style="430" bestFit="1" customWidth="1"/>
    <col min="3586" max="3586" width="11.85546875" style="430" bestFit="1" customWidth="1"/>
    <col min="3587" max="3587" width="9.140625" style="430" bestFit="1" customWidth="1"/>
    <col min="3588" max="3635" width="8.28515625" style="430" bestFit="1" customWidth="1"/>
    <col min="3636" max="3840" width="9.140625" style="430"/>
    <col min="3841" max="3841" width="81.140625" style="430" bestFit="1" customWidth="1"/>
    <col min="3842" max="3842" width="11.85546875" style="430" bestFit="1" customWidth="1"/>
    <col min="3843" max="3843" width="9.140625" style="430" bestFit="1" customWidth="1"/>
    <col min="3844" max="3891" width="8.28515625" style="430" bestFit="1" customWidth="1"/>
    <col min="3892" max="4096" width="9.140625" style="430"/>
    <col min="4097" max="4097" width="81.140625" style="430" bestFit="1" customWidth="1"/>
    <col min="4098" max="4098" width="11.85546875" style="430" bestFit="1" customWidth="1"/>
    <col min="4099" max="4099" width="9.140625" style="430" bestFit="1" customWidth="1"/>
    <col min="4100" max="4147" width="8.28515625" style="430" bestFit="1" customWidth="1"/>
    <col min="4148" max="4352" width="9.140625" style="430"/>
    <col min="4353" max="4353" width="81.140625" style="430" bestFit="1" customWidth="1"/>
    <col min="4354" max="4354" width="11.85546875" style="430" bestFit="1" customWidth="1"/>
    <col min="4355" max="4355" width="9.140625" style="430" bestFit="1" customWidth="1"/>
    <col min="4356" max="4403" width="8.28515625" style="430" bestFit="1" customWidth="1"/>
    <col min="4404" max="4608" width="9.140625" style="430"/>
    <col min="4609" max="4609" width="81.140625" style="430" bestFit="1" customWidth="1"/>
    <col min="4610" max="4610" width="11.85546875" style="430" bestFit="1" customWidth="1"/>
    <col min="4611" max="4611" width="9.140625" style="430" bestFit="1" customWidth="1"/>
    <col min="4612" max="4659" width="8.28515625" style="430" bestFit="1" customWidth="1"/>
    <col min="4660" max="4864" width="9.140625" style="430"/>
    <col min="4865" max="4865" width="81.140625" style="430" bestFit="1" customWidth="1"/>
    <col min="4866" max="4866" width="11.85546875" style="430" bestFit="1" customWidth="1"/>
    <col min="4867" max="4867" width="9.140625" style="430" bestFit="1" customWidth="1"/>
    <col min="4868" max="4915" width="8.28515625" style="430" bestFit="1" customWidth="1"/>
    <col min="4916" max="5120" width="9.140625" style="430"/>
    <col min="5121" max="5121" width="81.140625" style="430" bestFit="1" customWidth="1"/>
    <col min="5122" max="5122" width="11.85546875" style="430" bestFit="1" customWidth="1"/>
    <col min="5123" max="5123" width="9.140625" style="430" bestFit="1" customWidth="1"/>
    <col min="5124" max="5171" width="8.28515625" style="430" bestFit="1" customWidth="1"/>
    <col min="5172" max="5376" width="9.140625" style="430"/>
    <col min="5377" max="5377" width="81.140625" style="430" bestFit="1" customWidth="1"/>
    <col min="5378" max="5378" width="11.85546875" style="430" bestFit="1" customWidth="1"/>
    <col min="5379" max="5379" width="9.140625" style="430" bestFit="1" customWidth="1"/>
    <col min="5380" max="5427" width="8.28515625" style="430" bestFit="1" customWidth="1"/>
    <col min="5428" max="5632" width="9.140625" style="430"/>
    <col min="5633" max="5633" width="81.140625" style="430" bestFit="1" customWidth="1"/>
    <col min="5634" max="5634" width="11.85546875" style="430" bestFit="1" customWidth="1"/>
    <col min="5635" max="5635" width="9.140625" style="430" bestFit="1" customWidth="1"/>
    <col min="5636" max="5683" width="8.28515625" style="430" bestFit="1" customWidth="1"/>
    <col min="5684" max="5888" width="9.140625" style="430"/>
    <col min="5889" max="5889" width="81.140625" style="430" bestFit="1" customWidth="1"/>
    <col min="5890" max="5890" width="11.85546875" style="430" bestFit="1" customWidth="1"/>
    <col min="5891" max="5891" width="9.140625" style="430" bestFit="1" customWidth="1"/>
    <col min="5892" max="5939" width="8.28515625" style="430" bestFit="1" customWidth="1"/>
    <col min="5940" max="6144" width="9.140625" style="430"/>
    <col min="6145" max="6145" width="81.140625" style="430" bestFit="1" customWidth="1"/>
    <col min="6146" max="6146" width="11.85546875" style="430" bestFit="1" customWidth="1"/>
    <col min="6147" max="6147" width="9.140625" style="430" bestFit="1" customWidth="1"/>
    <col min="6148" max="6195" width="8.28515625" style="430" bestFit="1" customWidth="1"/>
    <col min="6196" max="6400" width="9.140625" style="430"/>
    <col min="6401" max="6401" width="81.140625" style="430" bestFit="1" customWidth="1"/>
    <col min="6402" max="6402" width="11.85546875" style="430" bestFit="1" customWidth="1"/>
    <col min="6403" max="6403" width="9.140625" style="430" bestFit="1" customWidth="1"/>
    <col min="6404" max="6451" width="8.28515625" style="430" bestFit="1" customWidth="1"/>
    <col min="6452" max="6656" width="9.140625" style="430"/>
    <col min="6657" max="6657" width="81.140625" style="430" bestFit="1" customWidth="1"/>
    <col min="6658" max="6658" width="11.85546875" style="430" bestFit="1" customWidth="1"/>
    <col min="6659" max="6659" width="9.140625" style="430" bestFit="1" customWidth="1"/>
    <col min="6660" max="6707" width="8.28515625" style="430" bestFit="1" customWidth="1"/>
    <col min="6708" max="6912" width="9.140625" style="430"/>
    <col min="6913" max="6913" width="81.140625" style="430" bestFit="1" customWidth="1"/>
    <col min="6914" max="6914" width="11.85546875" style="430" bestFit="1" customWidth="1"/>
    <col min="6915" max="6915" width="9.140625" style="430" bestFit="1" customWidth="1"/>
    <col min="6916" max="6963" width="8.28515625" style="430" bestFit="1" customWidth="1"/>
    <col min="6964" max="7168" width="9.140625" style="430"/>
    <col min="7169" max="7169" width="81.140625" style="430" bestFit="1" customWidth="1"/>
    <col min="7170" max="7170" width="11.85546875" style="430" bestFit="1" customWidth="1"/>
    <col min="7171" max="7171" width="9.140625" style="430" bestFit="1" customWidth="1"/>
    <col min="7172" max="7219" width="8.28515625" style="430" bestFit="1" customWidth="1"/>
    <col min="7220" max="7424" width="9.140625" style="430"/>
    <col min="7425" max="7425" width="81.140625" style="430" bestFit="1" customWidth="1"/>
    <col min="7426" max="7426" width="11.85546875" style="430" bestFit="1" customWidth="1"/>
    <col min="7427" max="7427" width="9.140625" style="430" bestFit="1" customWidth="1"/>
    <col min="7428" max="7475" width="8.28515625" style="430" bestFit="1" customWidth="1"/>
    <col min="7476" max="7680" width="9.140625" style="430"/>
    <col min="7681" max="7681" width="81.140625" style="430" bestFit="1" customWidth="1"/>
    <col min="7682" max="7682" width="11.85546875" style="430" bestFit="1" customWidth="1"/>
    <col min="7683" max="7683" width="9.140625" style="430" bestFit="1" customWidth="1"/>
    <col min="7684" max="7731" width="8.28515625" style="430" bestFit="1" customWidth="1"/>
    <col min="7732" max="7936" width="9.140625" style="430"/>
    <col min="7937" max="7937" width="81.140625" style="430" bestFit="1" customWidth="1"/>
    <col min="7938" max="7938" width="11.85546875" style="430" bestFit="1" customWidth="1"/>
    <col min="7939" max="7939" width="9.140625" style="430" bestFit="1" customWidth="1"/>
    <col min="7940" max="7987" width="8.28515625" style="430" bestFit="1" customWidth="1"/>
    <col min="7988" max="8192" width="9.140625" style="430"/>
    <col min="8193" max="8193" width="81.140625" style="430" bestFit="1" customWidth="1"/>
    <col min="8194" max="8194" width="11.85546875" style="430" bestFit="1" customWidth="1"/>
    <col min="8195" max="8195" width="9.140625" style="430" bestFit="1" customWidth="1"/>
    <col min="8196" max="8243" width="8.28515625" style="430" bestFit="1" customWidth="1"/>
    <col min="8244" max="8448" width="9.140625" style="430"/>
    <col min="8449" max="8449" width="81.140625" style="430" bestFit="1" customWidth="1"/>
    <col min="8450" max="8450" width="11.85546875" style="430" bestFit="1" customWidth="1"/>
    <col min="8451" max="8451" width="9.140625" style="430" bestFit="1" customWidth="1"/>
    <col min="8452" max="8499" width="8.28515625" style="430" bestFit="1" customWidth="1"/>
    <col min="8500" max="8704" width="9.140625" style="430"/>
    <col min="8705" max="8705" width="81.140625" style="430" bestFit="1" customWidth="1"/>
    <col min="8706" max="8706" width="11.85546875" style="430" bestFit="1" customWidth="1"/>
    <col min="8707" max="8707" width="9.140625" style="430" bestFit="1" customWidth="1"/>
    <col min="8708" max="8755" width="8.28515625" style="430" bestFit="1" customWidth="1"/>
    <col min="8756" max="8960" width="9.140625" style="430"/>
    <col min="8961" max="8961" width="81.140625" style="430" bestFit="1" customWidth="1"/>
    <col min="8962" max="8962" width="11.85546875" style="430" bestFit="1" customWidth="1"/>
    <col min="8963" max="8963" width="9.140625" style="430" bestFit="1" customWidth="1"/>
    <col min="8964" max="9011" width="8.28515625" style="430" bestFit="1" customWidth="1"/>
    <col min="9012" max="9216" width="9.140625" style="430"/>
    <col min="9217" max="9217" width="81.140625" style="430" bestFit="1" customWidth="1"/>
    <col min="9218" max="9218" width="11.85546875" style="430" bestFit="1" customWidth="1"/>
    <col min="9219" max="9219" width="9.140625" style="430" bestFit="1" customWidth="1"/>
    <col min="9220" max="9267" width="8.28515625" style="430" bestFit="1" customWidth="1"/>
    <col min="9268" max="9472" width="9.140625" style="430"/>
    <col min="9473" max="9473" width="81.140625" style="430" bestFit="1" customWidth="1"/>
    <col min="9474" max="9474" width="11.85546875" style="430" bestFit="1" customWidth="1"/>
    <col min="9475" max="9475" width="9.140625" style="430" bestFit="1" customWidth="1"/>
    <col min="9476" max="9523" width="8.28515625" style="430" bestFit="1" customWidth="1"/>
    <col min="9524" max="9728" width="9.140625" style="430"/>
    <col min="9729" max="9729" width="81.140625" style="430" bestFit="1" customWidth="1"/>
    <col min="9730" max="9730" width="11.85546875" style="430" bestFit="1" customWidth="1"/>
    <col min="9731" max="9731" width="9.140625" style="430" bestFit="1" customWidth="1"/>
    <col min="9732" max="9779" width="8.28515625" style="430" bestFit="1" customWidth="1"/>
    <col min="9780" max="9984" width="9.140625" style="430"/>
    <col min="9985" max="9985" width="81.140625" style="430" bestFit="1" customWidth="1"/>
    <col min="9986" max="9986" width="11.85546875" style="430" bestFit="1" customWidth="1"/>
    <col min="9987" max="9987" width="9.140625" style="430" bestFit="1" customWidth="1"/>
    <col min="9988" max="10035" width="8.28515625" style="430" bestFit="1" customWidth="1"/>
    <col min="10036" max="10240" width="9.140625" style="430"/>
    <col min="10241" max="10241" width="81.140625" style="430" bestFit="1" customWidth="1"/>
    <col min="10242" max="10242" width="11.85546875" style="430" bestFit="1" customWidth="1"/>
    <col min="10243" max="10243" width="9.140625" style="430" bestFit="1" customWidth="1"/>
    <col min="10244" max="10291" width="8.28515625" style="430" bestFit="1" customWidth="1"/>
    <col min="10292" max="10496" width="9.140625" style="430"/>
    <col min="10497" max="10497" width="81.140625" style="430" bestFit="1" customWidth="1"/>
    <col min="10498" max="10498" width="11.85546875" style="430" bestFit="1" customWidth="1"/>
    <col min="10499" max="10499" width="9.140625" style="430" bestFit="1" customWidth="1"/>
    <col min="10500" max="10547" width="8.28515625" style="430" bestFit="1" customWidth="1"/>
    <col min="10548" max="10752" width="9.140625" style="430"/>
    <col min="10753" max="10753" width="81.140625" style="430" bestFit="1" customWidth="1"/>
    <col min="10754" max="10754" width="11.85546875" style="430" bestFit="1" customWidth="1"/>
    <col min="10755" max="10755" width="9.140625" style="430" bestFit="1" customWidth="1"/>
    <col min="10756" max="10803" width="8.28515625" style="430" bestFit="1" customWidth="1"/>
    <col min="10804" max="11008" width="9.140625" style="430"/>
    <col min="11009" max="11009" width="81.140625" style="430" bestFit="1" customWidth="1"/>
    <col min="11010" max="11010" width="11.85546875" style="430" bestFit="1" customWidth="1"/>
    <col min="11011" max="11011" width="9.140625" style="430" bestFit="1" customWidth="1"/>
    <col min="11012" max="11059" width="8.28515625" style="430" bestFit="1" customWidth="1"/>
    <col min="11060" max="11264" width="9.140625" style="430"/>
    <col min="11265" max="11265" width="81.140625" style="430" bestFit="1" customWidth="1"/>
    <col min="11266" max="11266" width="11.85546875" style="430" bestFit="1" customWidth="1"/>
    <col min="11267" max="11267" width="9.140625" style="430" bestFit="1" customWidth="1"/>
    <col min="11268" max="11315" width="8.28515625" style="430" bestFit="1" customWidth="1"/>
    <col min="11316" max="11520" width="9.140625" style="430"/>
    <col min="11521" max="11521" width="81.140625" style="430" bestFit="1" customWidth="1"/>
    <col min="11522" max="11522" width="11.85546875" style="430" bestFit="1" customWidth="1"/>
    <col min="11523" max="11523" width="9.140625" style="430" bestFit="1" customWidth="1"/>
    <col min="11524" max="11571" width="8.28515625" style="430" bestFit="1" customWidth="1"/>
    <col min="11572" max="11776" width="9.140625" style="430"/>
    <col min="11777" max="11777" width="81.140625" style="430" bestFit="1" customWidth="1"/>
    <col min="11778" max="11778" width="11.85546875" style="430" bestFit="1" customWidth="1"/>
    <col min="11779" max="11779" width="9.140625" style="430" bestFit="1" customWidth="1"/>
    <col min="11780" max="11827" width="8.28515625" style="430" bestFit="1" customWidth="1"/>
    <col min="11828" max="12032" width="9.140625" style="430"/>
    <col min="12033" max="12033" width="81.140625" style="430" bestFit="1" customWidth="1"/>
    <col min="12034" max="12034" width="11.85546875" style="430" bestFit="1" customWidth="1"/>
    <col min="12035" max="12035" width="9.140625" style="430" bestFit="1" customWidth="1"/>
    <col min="12036" max="12083" width="8.28515625" style="430" bestFit="1" customWidth="1"/>
    <col min="12084" max="12288" width="9.140625" style="430"/>
    <col min="12289" max="12289" width="81.140625" style="430" bestFit="1" customWidth="1"/>
    <col min="12290" max="12290" width="11.85546875" style="430" bestFit="1" customWidth="1"/>
    <col min="12291" max="12291" width="9.140625" style="430" bestFit="1" customWidth="1"/>
    <col min="12292" max="12339" width="8.28515625" style="430" bestFit="1" customWidth="1"/>
    <col min="12340" max="12544" width="9.140625" style="430"/>
    <col min="12545" max="12545" width="81.140625" style="430" bestFit="1" customWidth="1"/>
    <col min="12546" max="12546" width="11.85546875" style="430" bestFit="1" customWidth="1"/>
    <col min="12547" max="12547" width="9.140625" style="430" bestFit="1" customWidth="1"/>
    <col min="12548" max="12595" width="8.28515625" style="430" bestFit="1" customWidth="1"/>
    <col min="12596" max="12800" width="9.140625" style="430"/>
    <col min="12801" max="12801" width="81.140625" style="430" bestFit="1" customWidth="1"/>
    <col min="12802" max="12802" width="11.85546875" style="430" bestFit="1" customWidth="1"/>
    <col min="12803" max="12803" width="9.140625" style="430" bestFit="1" customWidth="1"/>
    <col min="12804" max="12851" width="8.28515625" style="430" bestFit="1" customWidth="1"/>
    <col min="12852" max="13056" width="9.140625" style="430"/>
    <col min="13057" max="13057" width="81.140625" style="430" bestFit="1" customWidth="1"/>
    <col min="13058" max="13058" width="11.85546875" style="430" bestFit="1" customWidth="1"/>
    <col min="13059" max="13059" width="9.140625" style="430" bestFit="1" customWidth="1"/>
    <col min="13060" max="13107" width="8.28515625" style="430" bestFit="1" customWidth="1"/>
    <col min="13108" max="13312" width="9.140625" style="430"/>
    <col min="13313" max="13313" width="81.140625" style="430" bestFit="1" customWidth="1"/>
    <col min="13314" max="13314" width="11.85546875" style="430" bestFit="1" customWidth="1"/>
    <col min="13315" max="13315" width="9.140625" style="430" bestFit="1" customWidth="1"/>
    <col min="13316" max="13363" width="8.28515625" style="430" bestFit="1" customWidth="1"/>
    <col min="13364" max="13568" width="9.140625" style="430"/>
    <col min="13569" max="13569" width="81.140625" style="430" bestFit="1" customWidth="1"/>
    <col min="13570" max="13570" width="11.85546875" style="430" bestFit="1" customWidth="1"/>
    <col min="13571" max="13571" width="9.140625" style="430" bestFit="1" customWidth="1"/>
    <col min="13572" max="13619" width="8.28515625" style="430" bestFit="1" customWidth="1"/>
    <col min="13620" max="13824" width="9.140625" style="430"/>
    <col min="13825" max="13825" width="81.140625" style="430" bestFit="1" customWidth="1"/>
    <col min="13826" max="13826" width="11.85546875" style="430" bestFit="1" customWidth="1"/>
    <col min="13827" max="13827" width="9.140625" style="430" bestFit="1" customWidth="1"/>
    <col min="13828" max="13875" width="8.28515625" style="430" bestFit="1" customWidth="1"/>
    <col min="13876" max="14080" width="9.140625" style="430"/>
    <col min="14081" max="14081" width="81.140625" style="430" bestFit="1" customWidth="1"/>
    <col min="14082" max="14082" width="11.85546875" style="430" bestFit="1" customWidth="1"/>
    <col min="14083" max="14083" width="9.140625" style="430" bestFit="1" customWidth="1"/>
    <col min="14084" max="14131" width="8.28515625" style="430" bestFit="1" customWidth="1"/>
    <col min="14132" max="14336" width="9.140625" style="430"/>
    <col min="14337" max="14337" width="81.140625" style="430" bestFit="1" customWidth="1"/>
    <col min="14338" max="14338" width="11.85546875" style="430" bestFit="1" customWidth="1"/>
    <col min="14339" max="14339" width="9.140625" style="430" bestFit="1" customWidth="1"/>
    <col min="14340" max="14387" width="8.28515625" style="430" bestFit="1" customWidth="1"/>
    <col min="14388" max="14592" width="9.140625" style="430"/>
    <col min="14593" max="14593" width="81.140625" style="430" bestFit="1" customWidth="1"/>
    <col min="14594" max="14594" width="11.85546875" style="430" bestFit="1" customWidth="1"/>
    <col min="14595" max="14595" width="9.140625" style="430" bestFit="1" customWidth="1"/>
    <col min="14596" max="14643" width="8.28515625" style="430" bestFit="1" customWidth="1"/>
    <col min="14644" max="14848" width="9.140625" style="430"/>
    <col min="14849" max="14849" width="81.140625" style="430" bestFit="1" customWidth="1"/>
    <col min="14850" max="14850" width="11.85546875" style="430" bestFit="1" customWidth="1"/>
    <col min="14851" max="14851" width="9.140625" style="430" bestFit="1" customWidth="1"/>
    <col min="14852" max="14899" width="8.28515625" style="430" bestFit="1" customWidth="1"/>
    <col min="14900" max="15104" width="9.140625" style="430"/>
    <col min="15105" max="15105" width="81.140625" style="430" bestFit="1" customWidth="1"/>
    <col min="15106" max="15106" width="11.85546875" style="430" bestFit="1" customWidth="1"/>
    <col min="15107" max="15107" width="9.140625" style="430" bestFit="1" customWidth="1"/>
    <col min="15108" max="15155" width="8.28515625" style="430" bestFit="1" customWidth="1"/>
    <col min="15156" max="15360" width="9.140625" style="430"/>
    <col min="15361" max="15361" width="81.140625" style="430" bestFit="1" customWidth="1"/>
    <col min="15362" max="15362" width="11.85546875" style="430" bestFit="1" customWidth="1"/>
    <col min="15363" max="15363" width="9.140625" style="430" bestFit="1" customWidth="1"/>
    <col min="15364" max="15411" width="8.28515625" style="430" bestFit="1" customWidth="1"/>
    <col min="15412" max="15616" width="9.140625" style="430"/>
    <col min="15617" max="15617" width="81.140625" style="430" bestFit="1" customWidth="1"/>
    <col min="15618" max="15618" width="11.85546875" style="430" bestFit="1" customWidth="1"/>
    <col min="15619" max="15619" width="9.140625" style="430" bestFit="1" customWidth="1"/>
    <col min="15620" max="15667" width="8.28515625" style="430" bestFit="1" customWidth="1"/>
    <col min="15668" max="15872" width="9.140625" style="430"/>
    <col min="15873" max="15873" width="81.140625" style="430" bestFit="1" customWidth="1"/>
    <col min="15874" max="15874" width="11.85546875" style="430" bestFit="1" customWidth="1"/>
    <col min="15875" max="15875" width="9.140625" style="430" bestFit="1" customWidth="1"/>
    <col min="15876" max="15923" width="8.28515625" style="430" bestFit="1" customWidth="1"/>
    <col min="15924" max="16128" width="9.140625" style="430"/>
    <col min="16129" max="16129" width="81.140625" style="430" bestFit="1" customWidth="1"/>
    <col min="16130" max="16130" width="11.85546875" style="430" bestFit="1" customWidth="1"/>
    <col min="16131" max="16131" width="9.140625" style="430" bestFit="1" customWidth="1"/>
    <col min="16132" max="16179" width="8.28515625" style="430" bestFit="1" customWidth="1"/>
    <col min="16180" max="16384" width="9.140625" style="430"/>
  </cols>
  <sheetData>
    <row r="1" spans="1:51" ht="18.75">
      <c r="A1" s="428" t="s">
        <v>2896</v>
      </c>
      <c r="B1" s="429"/>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AV1" s="429"/>
      <c r="AW1" s="429"/>
      <c r="AX1" s="429"/>
      <c r="AY1" s="429"/>
    </row>
    <row r="2" spans="1:51" ht="19.5" thickBot="1">
      <c r="A2" s="428"/>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c r="AI2" s="429"/>
      <c r="AJ2" s="429"/>
      <c r="AK2" s="429"/>
      <c r="AL2" s="429"/>
      <c r="AM2" s="429"/>
      <c r="AN2" s="429"/>
      <c r="AO2" s="429"/>
      <c r="AP2" s="429"/>
      <c r="AQ2" s="429"/>
      <c r="AR2" s="429"/>
      <c r="AS2" s="429"/>
      <c r="AT2" s="429"/>
      <c r="AU2" s="429"/>
      <c r="AV2" s="429"/>
      <c r="AW2" s="429"/>
      <c r="AX2" s="429"/>
      <c r="AY2" s="429"/>
    </row>
    <row r="3" spans="1:51" ht="16.5" thickBot="1">
      <c r="A3" s="456" t="str">
        <f>IF(G3=1,"Electric Utility: "&amp;'Basic Info'!C62&amp;"; Gas Utility: "&amp;'Basic Info'!C63&amp;"; NYC","Electric Utility: "&amp;'Basic Info'!C62&amp;"; Gas Utility: "&amp;'Basic Info'!C63)</f>
        <v xml:space="preserve">Electric Utility: ; Gas Utility: </v>
      </c>
      <c r="B3" s="431" t="s">
        <v>2897</v>
      </c>
      <c r="C3" s="432">
        <v>5.5E-2</v>
      </c>
      <c r="D3" s="429"/>
      <c r="E3" s="465" t="e">
        <f>VLOOKUP('Basic Info'!$C$62,'Drop Down'!$AD$2:$AE$7,2,FALSE)</f>
        <v>#N/A</v>
      </c>
      <c r="F3" s="465" t="e">
        <f>VLOOKUP('Basic Info'!$C$63,'Drop Down'!AH2:AI5,2,FALSE)</f>
        <v>#N/A</v>
      </c>
      <c r="G3" s="429">
        <f>IF('Basic Info'!C64="Yes",1,0)</f>
        <v>0</v>
      </c>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c r="AI3" s="429"/>
      <c r="AJ3" s="429"/>
      <c r="AK3" s="429"/>
      <c r="AL3" s="429"/>
      <c r="AM3" s="429"/>
      <c r="AN3" s="429"/>
      <c r="AO3" s="429"/>
      <c r="AP3" s="429"/>
      <c r="AQ3" s="429"/>
      <c r="AR3" s="429"/>
      <c r="AS3" s="429"/>
      <c r="AT3" s="429"/>
      <c r="AU3" s="429"/>
      <c r="AV3" s="429"/>
      <c r="AW3" s="429"/>
      <c r="AX3" s="429"/>
      <c r="AY3" s="429"/>
    </row>
    <row r="4" spans="1:51" ht="15.75" thickBot="1">
      <c r="A4" s="433" t="s">
        <v>2898</v>
      </c>
    </row>
    <row r="5" spans="1:51" ht="12.75" thickBot="1">
      <c r="A5" s="434" t="s">
        <v>2899</v>
      </c>
      <c r="B5" s="435">
        <v>2010</v>
      </c>
      <c r="C5" s="436">
        <v>2011</v>
      </c>
      <c r="D5" s="436">
        <v>2012</v>
      </c>
      <c r="E5" s="436">
        <v>2013</v>
      </c>
      <c r="F5" s="436">
        <v>2014</v>
      </c>
      <c r="G5" s="436">
        <v>2015</v>
      </c>
      <c r="H5" s="436">
        <v>2016</v>
      </c>
      <c r="I5" s="436">
        <v>2017</v>
      </c>
      <c r="J5" s="436">
        <v>2018</v>
      </c>
      <c r="K5" s="436">
        <v>2019</v>
      </c>
      <c r="L5" s="436">
        <v>2020</v>
      </c>
      <c r="M5" s="436">
        <v>2021</v>
      </c>
      <c r="N5" s="436">
        <v>2022</v>
      </c>
      <c r="O5" s="436">
        <v>2023</v>
      </c>
      <c r="P5" s="436">
        <v>2024</v>
      </c>
      <c r="Q5" s="436">
        <v>2025</v>
      </c>
      <c r="R5" s="436">
        <v>2026</v>
      </c>
      <c r="S5" s="436">
        <v>2027</v>
      </c>
      <c r="T5" s="436">
        <v>2028</v>
      </c>
      <c r="U5" s="436">
        <v>2029</v>
      </c>
      <c r="V5" s="436">
        <v>2030</v>
      </c>
      <c r="W5" s="436">
        <v>2031</v>
      </c>
      <c r="X5" s="436">
        <v>2032</v>
      </c>
      <c r="Y5" s="436">
        <v>2033</v>
      </c>
      <c r="Z5" s="436">
        <v>2034</v>
      </c>
      <c r="AA5" s="436">
        <v>2035</v>
      </c>
      <c r="AB5" s="436">
        <v>2036</v>
      </c>
      <c r="AC5" s="436">
        <v>2037</v>
      </c>
      <c r="AD5" s="436">
        <v>2038</v>
      </c>
      <c r="AE5" s="436">
        <v>2039</v>
      </c>
      <c r="AF5" s="436">
        <v>2040</v>
      </c>
      <c r="AG5" s="436">
        <v>2041</v>
      </c>
      <c r="AH5" s="436">
        <v>2042</v>
      </c>
      <c r="AI5" s="436">
        <v>2043</v>
      </c>
      <c r="AJ5" s="436">
        <v>2044</v>
      </c>
      <c r="AK5" s="436">
        <v>2045</v>
      </c>
      <c r="AL5" s="436">
        <v>2046</v>
      </c>
      <c r="AM5" s="436">
        <v>2047</v>
      </c>
      <c r="AN5" s="436">
        <v>2048</v>
      </c>
      <c r="AO5" s="436">
        <v>2049</v>
      </c>
      <c r="AP5" s="436">
        <v>2050</v>
      </c>
      <c r="AQ5" s="436">
        <v>2051</v>
      </c>
      <c r="AR5" s="436">
        <v>2052</v>
      </c>
      <c r="AS5" s="436">
        <v>2053</v>
      </c>
      <c r="AT5" s="436">
        <v>2054</v>
      </c>
      <c r="AU5" s="436">
        <v>2055</v>
      </c>
      <c r="AV5" s="436">
        <v>2056</v>
      </c>
      <c r="AW5" s="436">
        <v>2057</v>
      </c>
      <c r="AX5" s="436">
        <v>2058</v>
      </c>
      <c r="AY5" s="437">
        <v>2059</v>
      </c>
    </row>
    <row r="6" spans="1:51">
      <c r="A6" s="438" t="s">
        <v>2910</v>
      </c>
      <c r="B6" s="439" t="e">
        <f t="shared" ref="B6:AG6" si="0">IF($G$3=1,B190,IF($E$3=1,VLOOKUP($A6,CentralHudson,B$210,FALSE),IF($E$3=2,VLOOKUP($A6,ConEd,B$210,FALSE),IF($E$3=3,VLOOKUP($A6,NationalGrid,B$210,FALSE),IF($E$3=4,VLOOKUP($A6,NYSEG,B$210,FALSE),IF($E$3=5,VLOOKUP($A6,OandR,B$210,FALSE),VLOOKUP($A6,RGandE,B$210,FALSE)))))))</f>
        <v>#N/A</v>
      </c>
      <c r="C6" s="439" t="e">
        <f t="shared" si="0"/>
        <v>#N/A</v>
      </c>
      <c r="D6" s="439" t="e">
        <f t="shared" si="0"/>
        <v>#N/A</v>
      </c>
      <c r="E6" s="439" t="e">
        <f t="shared" si="0"/>
        <v>#N/A</v>
      </c>
      <c r="F6" s="439" t="e">
        <f t="shared" si="0"/>
        <v>#N/A</v>
      </c>
      <c r="G6" s="439" t="e">
        <f t="shared" si="0"/>
        <v>#N/A</v>
      </c>
      <c r="H6" s="439" t="e">
        <f t="shared" si="0"/>
        <v>#N/A</v>
      </c>
      <c r="I6" s="439" t="e">
        <f t="shared" si="0"/>
        <v>#N/A</v>
      </c>
      <c r="J6" s="439" t="e">
        <f t="shared" si="0"/>
        <v>#N/A</v>
      </c>
      <c r="K6" s="439" t="e">
        <f t="shared" si="0"/>
        <v>#N/A</v>
      </c>
      <c r="L6" s="439" t="e">
        <f t="shared" si="0"/>
        <v>#N/A</v>
      </c>
      <c r="M6" s="439" t="e">
        <f t="shared" si="0"/>
        <v>#N/A</v>
      </c>
      <c r="N6" s="439" t="e">
        <f t="shared" si="0"/>
        <v>#N/A</v>
      </c>
      <c r="O6" s="439" t="e">
        <f t="shared" si="0"/>
        <v>#N/A</v>
      </c>
      <c r="P6" s="439" t="e">
        <f t="shared" si="0"/>
        <v>#N/A</v>
      </c>
      <c r="Q6" s="439" t="e">
        <f t="shared" si="0"/>
        <v>#N/A</v>
      </c>
      <c r="R6" s="439" t="e">
        <f t="shared" si="0"/>
        <v>#N/A</v>
      </c>
      <c r="S6" s="439" t="e">
        <f t="shared" si="0"/>
        <v>#N/A</v>
      </c>
      <c r="T6" s="439" t="e">
        <f t="shared" si="0"/>
        <v>#N/A</v>
      </c>
      <c r="U6" s="439" t="e">
        <f t="shared" si="0"/>
        <v>#N/A</v>
      </c>
      <c r="V6" s="439" t="e">
        <f t="shared" si="0"/>
        <v>#N/A</v>
      </c>
      <c r="W6" s="439" t="e">
        <f t="shared" si="0"/>
        <v>#N/A</v>
      </c>
      <c r="X6" s="439" t="e">
        <f t="shared" si="0"/>
        <v>#N/A</v>
      </c>
      <c r="Y6" s="439" t="e">
        <f t="shared" si="0"/>
        <v>#N/A</v>
      </c>
      <c r="Z6" s="439" t="e">
        <f t="shared" si="0"/>
        <v>#N/A</v>
      </c>
      <c r="AA6" s="439" t="e">
        <f t="shared" si="0"/>
        <v>#N/A</v>
      </c>
      <c r="AB6" s="439" t="e">
        <f t="shared" si="0"/>
        <v>#N/A</v>
      </c>
      <c r="AC6" s="439" t="e">
        <f t="shared" si="0"/>
        <v>#N/A</v>
      </c>
      <c r="AD6" s="439" t="e">
        <f t="shared" si="0"/>
        <v>#N/A</v>
      </c>
      <c r="AE6" s="439" t="e">
        <f t="shared" si="0"/>
        <v>#N/A</v>
      </c>
      <c r="AF6" s="439" t="e">
        <f t="shared" si="0"/>
        <v>#N/A</v>
      </c>
      <c r="AG6" s="439" t="e">
        <f t="shared" si="0"/>
        <v>#N/A</v>
      </c>
      <c r="AH6" s="439" t="e">
        <f t="shared" ref="AH6:AY6" si="1">IF($G$3=1,AH190,IF($E$3=1,VLOOKUP($A6,CentralHudson,AH$210,FALSE),IF($E$3=2,VLOOKUP($A6,ConEd,AH$210,FALSE),IF($E$3=3,VLOOKUP($A6,NationalGrid,AH$210,FALSE),IF($E$3=4,VLOOKUP($A6,NYSEG,AH$210,FALSE),IF($E$3=5,VLOOKUP($A6,OandR,AH$210,FALSE),VLOOKUP($A6,RGandE,AH$210,FALSE)))))))</f>
        <v>#N/A</v>
      </c>
      <c r="AI6" s="439" t="e">
        <f t="shared" si="1"/>
        <v>#N/A</v>
      </c>
      <c r="AJ6" s="439" t="e">
        <f t="shared" si="1"/>
        <v>#N/A</v>
      </c>
      <c r="AK6" s="439" t="e">
        <f t="shared" si="1"/>
        <v>#N/A</v>
      </c>
      <c r="AL6" s="439" t="e">
        <f t="shared" si="1"/>
        <v>#N/A</v>
      </c>
      <c r="AM6" s="439" t="e">
        <f t="shared" si="1"/>
        <v>#N/A</v>
      </c>
      <c r="AN6" s="439" t="e">
        <f t="shared" si="1"/>
        <v>#N/A</v>
      </c>
      <c r="AO6" s="439" t="e">
        <f t="shared" si="1"/>
        <v>#N/A</v>
      </c>
      <c r="AP6" s="439" t="e">
        <f t="shared" si="1"/>
        <v>#N/A</v>
      </c>
      <c r="AQ6" s="439" t="e">
        <f t="shared" si="1"/>
        <v>#N/A</v>
      </c>
      <c r="AR6" s="439" t="e">
        <f t="shared" si="1"/>
        <v>#N/A</v>
      </c>
      <c r="AS6" s="439" t="e">
        <f t="shared" si="1"/>
        <v>#N/A</v>
      </c>
      <c r="AT6" s="439" t="e">
        <f t="shared" si="1"/>
        <v>#N/A</v>
      </c>
      <c r="AU6" s="439" t="e">
        <f t="shared" si="1"/>
        <v>#N/A</v>
      </c>
      <c r="AV6" s="439" t="e">
        <f t="shared" si="1"/>
        <v>#N/A</v>
      </c>
      <c r="AW6" s="439" t="e">
        <f t="shared" si="1"/>
        <v>#N/A</v>
      </c>
      <c r="AX6" s="439" t="e">
        <f t="shared" si="1"/>
        <v>#N/A</v>
      </c>
      <c r="AY6" s="439" t="e">
        <f t="shared" si="1"/>
        <v>#N/A</v>
      </c>
    </row>
    <row r="7" spans="1:51">
      <c r="A7" s="442" t="s">
        <v>2911</v>
      </c>
      <c r="B7" s="439" t="e">
        <f t="shared" ref="B7:AG7" si="2">IF($G$3=1,B191,IF($E$3=1,VLOOKUP($A7,CentralHudson,B$210,FALSE),IF($E$3=2,VLOOKUP($A7,ConEd,B$210,FALSE),IF($E$3=3,VLOOKUP($A7,NationalGrid,B$210,FALSE),IF($E$3=4,VLOOKUP($A7,NYSEG,B$210,FALSE),IF($E$3=5,VLOOKUP($A7,OandR,B$210,FALSE),VLOOKUP($A7,RGandE,B$210,FALSE)))))))</f>
        <v>#N/A</v>
      </c>
      <c r="C7" s="439" t="e">
        <f t="shared" si="2"/>
        <v>#N/A</v>
      </c>
      <c r="D7" s="439" t="e">
        <f t="shared" si="2"/>
        <v>#N/A</v>
      </c>
      <c r="E7" s="439" t="e">
        <f t="shared" si="2"/>
        <v>#N/A</v>
      </c>
      <c r="F7" s="439" t="e">
        <f t="shared" si="2"/>
        <v>#N/A</v>
      </c>
      <c r="G7" s="439" t="e">
        <f t="shared" si="2"/>
        <v>#N/A</v>
      </c>
      <c r="H7" s="439" t="e">
        <f t="shared" si="2"/>
        <v>#N/A</v>
      </c>
      <c r="I7" s="439" t="e">
        <f t="shared" si="2"/>
        <v>#N/A</v>
      </c>
      <c r="J7" s="439" t="e">
        <f t="shared" si="2"/>
        <v>#N/A</v>
      </c>
      <c r="K7" s="439" t="e">
        <f t="shared" si="2"/>
        <v>#N/A</v>
      </c>
      <c r="L7" s="439" t="e">
        <f t="shared" si="2"/>
        <v>#N/A</v>
      </c>
      <c r="M7" s="439" t="e">
        <f t="shared" si="2"/>
        <v>#N/A</v>
      </c>
      <c r="N7" s="439" t="e">
        <f t="shared" si="2"/>
        <v>#N/A</v>
      </c>
      <c r="O7" s="439" t="e">
        <f t="shared" si="2"/>
        <v>#N/A</v>
      </c>
      <c r="P7" s="439" t="e">
        <f t="shared" si="2"/>
        <v>#N/A</v>
      </c>
      <c r="Q7" s="439" t="e">
        <f t="shared" si="2"/>
        <v>#N/A</v>
      </c>
      <c r="R7" s="439" t="e">
        <f t="shared" si="2"/>
        <v>#N/A</v>
      </c>
      <c r="S7" s="439" t="e">
        <f t="shared" si="2"/>
        <v>#N/A</v>
      </c>
      <c r="T7" s="439" t="e">
        <f t="shared" si="2"/>
        <v>#N/A</v>
      </c>
      <c r="U7" s="439" t="e">
        <f t="shared" si="2"/>
        <v>#N/A</v>
      </c>
      <c r="V7" s="439" t="e">
        <f t="shared" si="2"/>
        <v>#N/A</v>
      </c>
      <c r="W7" s="439" t="e">
        <f t="shared" si="2"/>
        <v>#N/A</v>
      </c>
      <c r="X7" s="439" t="e">
        <f t="shared" si="2"/>
        <v>#N/A</v>
      </c>
      <c r="Y7" s="439" t="e">
        <f t="shared" si="2"/>
        <v>#N/A</v>
      </c>
      <c r="Z7" s="439" t="e">
        <f t="shared" si="2"/>
        <v>#N/A</v>
      </c>
      <c r="AA7" s="439" t="e">
        <f t="shared" si="2"/>
        <v>#N/A</v>
      </c>
      <c r="AB7" s="439" t="e">
        <f t="shared" si="2"/>
        <v>#N/A</v>
      </c>
      <c r="AC7" s="439" t="e">
        <f t="shared" si="2"/>
        <v>#N/A</v>
      </c>
      <c r="AD7" s="439" t="e">
        <f t="shared" si="2"/>
        <v>#N/A</v>
      </c>
      <c r="AE7" s="439" t="e">
        <f t="shared" si="2"/>
        <v>#N/A</v>
      </c>
      <c r="AF7" s="439" t="e">
        <f t="shared" si="2"/>
        <v>#N/A</v>
      </c>
      <c r="AG7" s="439" t="e">
        <f t="shared" si="2"/>
        <v>#N/A</v>
      </c>
      <c r="AH7" s="439" t="e">
        <f t="shared" ref="AH7:AY7" si="3">IF($G$3=1,AH191,IF($E$3=1,VLOOKUP($A7,CentralHudson,AH$210,FALSE),IF($E$3=2,VLOOKUP($A7,ConEd,AH$210,FALSE),IF($E$3=3,VLOOKUP($A7,NationalGrid,AH$210,FALSE),IF($E$3=4,VLOOKUP($A7,NYSEG,AH$210,FALSE),IF($E$3=5,VLOOKUP($A7,OandR,AH$210,FALSE),VLOOKUP($A7,RGandE,AH$210,FALSE)))))))</f>
        <v>#N/A</v>
      </c>
      <c r="AI7" s="439" t="e">
        <f t="shared" si="3"/>
        <v>#N/A</v>
      </c>
      <c r="AJ7" s="439" t="e">
        <f t="shared" si="3"/>
        <v>#N/A</v>
      </c>
      <c r="AK7" s="439" t="e">
        <f t="shared" si="3"/>
        <v>#N/A</v>
      </c>
      <c r="AL7" s="439" t="e">
        <f t="shared" si="3"/>
        <v>#N/A</v>
      </c>
      <c r="AM7" s="439" t="e">
        <f t="shared" si="3"/>
        <v>#N/A</v>
      </c>
      <c r="AN7" s="439" t="e">
        <f t="shared" si="3"/>
        <v>#N/A</v>
      </c>
      <c r="AO7" s="439" t="e">
        <f t="shared" si="3"/>
        <v>#N/A</v>
      </c>
      <c r="AP7" s="439" t="e">
        <f t="shared" si="3"/>
        <v>#N/A</v>
      </c>
      <c r="AQ7" s="439" t="e">
        <f t="shared" si="3"/>
        <v>#N/A</v>
      </c>
      <c r="AR7" s="439" t="e">
        <f t="shared" si="3"/>
        <v>#N/A</v>
      </c>
      <c r="AS7" s="439" t="e">
        <f t="shared" si="3"/>
        <v>#N/A</v>
      </c>
      <c r="AT7" s="439" t="e">
        <f t="shared" si="3"/>
        <v>#N/A</v>
      </c>
      <c r="AU7" s="439" t="e">
        <f t="shared" si="3"/>
        <v>#N/A</v>
      </c>
      <c r="AV7" s="439" t="e">
        <f t="shared" si="3"/>
        <v>#N/A</v>
      </c>
      <c r="AW7" s="439" t="e">
        <f t="shared" si="3"/>
        <v>#N/A</v>
      </c>
      <c r="AX7" s="439" t="e">
        <f t="shared" si="3"/>
        <v>#N/A</v>
      </c>
      <c r="AY7" s="439" t="e">
        <f t="shared" si="3"/>
        <v>#N/A</v>
      </c>
    </row>
    <row r="8" spans="1:51">
      <c r="A8" s="442" t="s">
        <v>2912</v>
      </c>
      <c r="B8" s="780" t="e">
        <f t="shared" ref="B8:AG8" si="4">IF($G$3=1,B192,IF($F$3=2,VLOOKUP($A8,ConEd,B$210,FALSE),IF($F$3=5,VLOOKUP($A8,OandR,B$210,FALSE),IF($F$3=7,VLOOKUP($A8,KEDLI,B$210,FALSE),VLOOKUP($A8,CentralHudson,B$210,FALSE)))))</f>
        <v>#N/A</v>
      </c>
      <c r="C8" s="780" t="e">
        <f t="shared" si="4"/>
        <v>#N/A</v>
      </c>
      <c r="D8" s="780" t="e">
        <f t="shared" si="4"/>
        <v>#N/A</v>
      </c>
      <c r="E8" s="780" t="e">
        <f t="shared" si="4"/>
        <v>#N/A</v>
      </c>
      <c r="F8" s="780" t="e">
        <f t="shared" si="4"/>
        <v>#N/A</v>
      </c>
      <c r="G8" s="780" t="e">
        <f t="shared" si="4"/>
        <v>#N/A</v>
      </c>
      <c r="H8" s="780" t="e">
        <f t="shared" si="4"/>
        <v>#N/A</v>
      </c>
      <c r="I8" s="780" t="e">
        <f t="shared" si="4"/>
        <v>#N/A</v>
      </c>
      <c r="J8" s="780" t="e">
        <f t="shared" si="4"/>
        <v>#N/A</v>
      </c>
      <c r="K8" s="780" t="e">
        <f t="shared" si="4"/>
        <v>#N/A</v>
      </c>
      <c r="L8" s="780" t="e">
        <f t="shared" si="4"/>
        <v>#N/A</v>
      </c>
      <c r="M8" s="780" t="e">
        <f t="shared" si="4"/>
        <v>#N/A</v>
      </c>
      <c r="N8" s="780" t="e">
        <f t="shared" si="4"/>
        <v>#N/A</v>
      </c>
      <c r="O8" s="780" t="e">
        <f t="shared" si="4"/>
        <v>#N/A</v>
      </c>
      <c r="P8" s="780" t="e">
        <f t="shared" si="4"/>
        <v>#N/A</v>
      </c>
      <c r="Q8" s="780" t="e">
        <f t="shared" si="4"/>
        <v>#N/A</v>
      </c>
      <c r="R8" s="780" t="e">
        <f t="shared" si="4"/>
        <v>#N/A</v>
      </c>
      <c r="S8" s="780" t="e">
        <f t="shared" si="4"/>
        <v>#N/A</v>
      </c>
      <c r="T8" s="780" t="e">
        <f t="shared" si="4"/>
        <v>#N/A</v>
      </c>
      <c r="U8" s="780" t="e">
        <f t="shared" si="4"/>
        <v>#N/A</v>
      </c>
      <c r="V8" s="780" t="e">
        <f t="shared" si="4"/>
        <v>#N/A</v>
      </c>
      <c r="W8" s="780" t="e">
        <f t="shared" si="4"/>
        <v>#N/A</v>
      </c>
      <c r="X8" s="780" t="e">
        <f t="shared" si="4"/>
        <v>#N/A</v>
      </c>
      <c r="Y8" s="780" t="e">
        <f t="shared" si="4"/>
        <v>#N/A</v>
      </c>
      <c r="Z8" s="780" t="e">
        <f t="shared" si="4"/>
        <v>#N/A</v>
      </c>
      <c r="AA8" s="780" t="e">
        <f t="shared" si="4"/>
        <v>#N/A</v>
      </c>
      <c r="AB8" s="780" t="e">
        <f t="shared" si="4"/>
        <v>#N/A</v>
      </c>
      <c r="AC8" s="780" t="e">
        <f t="shared" si="4"/>
        <v>#N/A</v>
      </c>
      <c r="AD8" s="780" t="e">
        <f t="shared" si="4"/>
        <v>#N/A</v>
      </c>
      <c r="AE8" s="780" t="e">
        <f t="shared" si="4"/>
        <v>#N/A</v>
      </c>
      <c r="AF8" s="780" t="e">
        <f t="shared" si="4"/>
        <v>#N/A</v>
      </c>
      <c r="AG8" s="780" t="e">
        <f t="shared" si="4"/>
        <v>#N/A</v>
      </c>
      <c r="AH8" s="780" t="e">
        <f t="shared" ref="AH8:AY8" si="5">IF($G$3=1,AH192,IF($F$3=2,VLOOKUP($A8,ConEd,AH$210,FALSE),IF($F$3=5,VLOOKUP($A8,OandR,AH$210,FALSE),IF($F$3=7,VLOOKUP($A8,KEDLI,AH$210,FALSE),VLOOKUP($A8,CentralHudson,AH$210,FALSE)))))</f>
        <v>#N/A</v>
      </c>
      <c r="AI8" s="780" t="e">
        <f t="shared" si="5"/>
        <v>#N/A</v>
      </c>
      <c r="AJ8" s="780" t="e">
        <f t="shared" si="5"/>
        <v>#N/A</v>
      </c>
      <c r="AK8" s="780" t="e">
        <f t="shared" si="5"/>
        <v>#N/A</v>
      </c>
      <c r="AL8" s="780" t="e">
        <f t="shared" si="5"/>
        <v>#N/A</v>
      </c>
      <c r="AM8" s="780" t="e">
        <f t="shared" si="5"/>
        <v>#N/A</v>
      </c>
      <c r="AN8" s="780" t="e">
        <f t="shared" si="5"/>
        <v>#N/A</v>
      </c>
      <c r="AO8" s="780" t="e">
        <f t="shared" si="5"/>
        <v>#N/A</v>
      </c>
      <c r="AP8" s="780" t="e">
        <f t="shared" si="5"/>
        <v>#N/A</v>
      </c>
      <c r="AQ8" s="780" t="e">
        <f t="shared" si="5"/>
        <v>#N/A</v>
      </c>
      <c r="AR8" s="780" t="e">
        <f t="shared" si="5"/>
        <v>#N/A</v>
      </c>
      <c r="AS8" s="780" t="e">
        <f t="shared" si="5"/>
        <v>#N/A</v>
      </c>
      <c r="AT8" s="780" t="e">
        <f t="shared" si="5"/>
        <v>#N/A</v>
      </c>
      <c r="AU8" s="780" t="e">
        <f t="shared" si="5"/>
        <v>#N/A</v>
      </c>
      <c r="AV8" s="780" t="e">
        <f t="shared" si="5"/>
        <v>#N/A</v>
      </c>
      <c r="AW8" s="780" t="e">
        <f t="shared" si="5"/>
        <v>#N/A</v>
      </c>
      <c r="AX8" s="780" t="e">
        <f t="shared" si="5"/>
        <v>#N/A</v>
      </c>
      <c r="AY8" s="780" t="e">
        <f t="shared" si="5"/>
        <v>#N/A</v>
      </c>
    </row>
    <row r="9" spans="1:51">
      <c r="A9" s="442" t="s">
        <v>2913</v>
      </c>
      <c r="B9" s="780" t="e">
        <f t="shared" ref="B9:AG9" si="6">IF($G$3=1,B193,IF($F$3=2,VLOOKUP($A9,ConEd,B$210,FALSE),IF($F$3=5,VLOOKUP($A9,OandR,B$210,FALSE),IF($F$3=7,VLOOKUP($A9,KEDLI,B$210,FALSE),VLOOKUP($A9,CentralHudson,B$210,FALSE)))))</f>
        <v>#N/A</v>
      </c>
      <c r="C9" s="780" t="e">
        <f t="shared" si="6"/>
        <v>#N/A</v>
      </c>
      <c r="D9" s="780" t="e">
        <f t="shared" si="6"/>
        <v>#N/A</v>
      </c>
      <c r="E9" s="780" t="e">
        <f t="shared" si="6"/>
        <v>#N/A</v>
      </c>
      <c r="F9" s="780" t="e">
        <f t="shared" si="6"/>
        <v>#N/A</v>
      </c>
      <c r="G9" s="780" t="e">
        <f t="shared" si="6"/>
        <v>#N/A</v>
      </c>
      <c r="H9" s="780" t="e">
        <f t="shared" si="6"/>
        <v>#N/A</v>
      </c>
      <c r="I9" s="780" t="e">
        <f t="shared" si="6"/>
        <v>#N/A</v>
      </c>
      <c r="J9" s="780" t="e">
        <f t="shared" si="6"/>
        <v>#N/A</v>
      </c>
      <c r="K9" s="780" t="e">
        <f t="shared" si="6"/>
        <v>#N/A</v>
      </c>
      <c r="L9" s="780" t="e">
        <f t="shared" si="6"/>
        <v>#N/A</v>
      </c>
      <c r="M9" s="780" t="e">
        <f t="shared" si="6"/>
        <v>#N/A</v>
      </c>
      <c r="N9" s="780" t="e">
        <f t="shared" si="6"/>
        <v>#N/A</v>
      </c>
      <c r="O9" s="780" t="e">
        <f t="shared" si="6"/>
        <v>#N/A</v>
      </c>
      <c r="P9" s="780" t="e">
        <f t="shared" si="6"/>
        <v>#N/A</v>
      </c>
      <c r="Q9" s="780" t="e">
        <f t="shared" si="6"/>
        <v>#N/A</v>
      </c>
      <c r="R9" s="780" t="e">
        <f t="shared" si="6"/>
        <v>#N/A</v>
      </c>
      <c r="S9" s="780" t="e">
        <f t="shared" si="6"/>
        <v>#N/A</v>
      </c>
      <c r="T9" s="780" t="e">
        <f t="shared" si="6"/>
        <v>#N/A</v>
      </c>
      <c r="U9" s="780" t="e">
        <f t="shared" si="6"/>
        <v>#N/A</v>
      </c>
      <c r="V9" s="780" t="e">
        <f t="shared" si="6"/>
        <v>#N/A</v>
      </c>
      <c r="W9" s="780" t="e">
        <f t="shared" si="6"/>
        <v>#N/A</v>
      </c>
      <c r="X9" s="780" t="e">
        <f t="shared" si="6"/>
        <v>#N/A</v>
      </c>
      <c r="Y9" s="780" t="e">
        <f t="shared" si="6"/>
        <v>#N/A</v>
      </c>
      <c r="Z9" s="780" t="e">
        <f t="shared" si="6"/>
        <v>#N/A</v>
      </c>
      <c r="AA9" s="780" t="e">
        <f t="shared" si="6"/>
        <v>#N/A</v>
      </c>
      <c r="AB9" s="780" t="e">
        <f t="shared" si="6"/>
        <v>#N/A</v>
      </c>
      <c r="AC9" s="780" t="e">
        <f t="shared" si="6"/>
        <v>#N/A</v>
      </c>
      <c r="AD9" s="780" t="e">
        <f t="shared" si="6"/>
        <v>#N/A</v>
      </c>
      <c r="AE9" s="780" t="e">
        <f t="shared" si="6"/>
        <v>#N/A</v>
      </c>
      <c r="AF9" s="780" t="e">
        <f t="shared" si="6"/>
        <v>#N/A</v>
      </c>
      <c r="AG9" s="780" t="e">
        <f t="shared" si="6"/>
        <v>#N/A</v>
      </c>
      <c r="AH9" s="780" t="e">
        <f t="shared" ref="AH9:AY9" si="7">IF($G$3=1,AH193,IF($F$3=2,VLOOKUP($A9,ConEd,AH$210,FALSE),IF($F$3=5,VLOOKUP($A9,OandR,AH$210,FALSE),IF($F$3=7,VLOOKUP($A9,KEDLI,AH$210,FALSE),VLOOKUP($A9,CentralHudson,AH$210,FALSE)))))</f>
        <v>#N/A</v>
      </c>
      <c r="AI9" s="780" t="e">
        <f t="shared" si="7"/>
        <v>#N/A</v>
      </c>
      <c r="AJ9" s="780" t="e">
        <f t="shared" si="7"/>
        <v>#N/A</v>
      </c>
      <c r="AK9" s="780" t="e">
        <f t="shared" si="7"/>
        <v>#N/A</v>
      </c>
      <c r="AL9" s="780" t="e">
        <f t="shared" si="7"/>
        <v>#N/A</v>
      </c>
      <c r="AM9" s="780" t="e">
        <f t="shared" si="7"/>
        <v>#N/A</v>
      </c>
      <c r="AN9" s="780" t="e">
        <f t="shared" si="7"/>
        <v>#N/A</v>
      </c>
      <c r="AO9" s="780" t="e">
        <f t="shared" si="7"/>
        <v>#N/A</v>
      </c>
      <c r="AP9" s="780" t="e">
        <f t="shared" si="7"/>
        <v>#N/A</v>
      </c>
      <c r="AQ9" s="780" t="e">
        <f t="shared" si="7"/>
        <v>#N/A</v>
      </c>
      <c r="AR9" s="780" t="e">
        <f t="shared" si="7"/>
        <v>#N/A</v>
      </c>
      <c r="AS9" s="780" t="e">
        <f t="shared" si="7"/>
        <v>#N/A</v>
      </c>
      <c r="AT9" s="780" t="e">
        <f t="shared" si="7"/>
        <v>#N/A</v>
      </c>
      <c r="AU9" s="780" t="e">
        <f t="shared" si="7"/>
        <v>#N/A</v>
      </c>
      <c r="AV9" s="780" t="e">
        <f t="shared" si="7"/>
        <v>#N/A</v>
      </c>
      <c r="AW9" s="780" t="e">
        <f t="shared" si="7"/>
        <v>#N/A</v>
      </c>
      <c r="AX9" s="780" t="e">
        <f t="shared" si="7"/>
        <v>#N/A</v>
      </c>
      <c r="AY9" s="780" t="e">
        <f t="shared" si="7"/>
        <v>#N/A</v>
      </c>
    </row>
    <row r="10" spans="1:51">
      <c r="A10" s="442" t="s">
        <v>2900</v>
      </c>
      <c r="B10" s="780" t="e">
        <f t="shared" ref="B10:AG10" si="8">IF($G$3=1,B194,IF($F$3=2,VLOOKUP($A10,ConEd,B$210,FALSE),IF($F$3=5,VLOOKUP($A10,OandR,B$210,FALSE),IF($F$3=7,VLOOKUP($A10,KEDLI,B$210,FALSE),VLOOKUP($A10,CentralHudson,B$210,FALSE)))))</f>
        <v>#N/A</v>
      </c>
      <c r="C10" s="780" t="e">
        <f t="shared" si="8"/>
        <v>#N/A</v>
      </c>
      <c r="D10" s="780" t="e">
        <f t="shared" si="8"/>
        <v>#N/A</v>
      </c>
      <c r="E10" s="780" t="e">
        <f t="shared" si="8"/>
        <v>#N/A</v>
      </c>
      <c r="F10" s="780" t="e">
        <f t="shared" si="8"/>
        <v>#N/A</v>
      </c>
      <c r="G10" s="780" t="e">
        <f t="shared" si="8"/>
        <v>#N/A</v>
      </c>
      <c r="H10" s="780" t="e">
        <f t="shared" si="8"/>
        <v>#N/A</v>
      </c>
      <c r="I10" s="780" t="e">
        <f t="shared" si="8"/>
        <v>#N/A</v>
      </c>
      <c r="J10" s="780" t="e">
        <f t="shared" si="8"/>
        <v>#N/A</v>
      </c>
      <c r="K10" s="780" t="e">
        <f t="shared" si="8"/>
        <v>#N/A</v>
      </c>
      <c r="L10" s="780" t="e">
        <f t="shared" si="8"/>
        <v>#N/A</v>
      </c>
      <c r="M10" s="780" t="e">
        <f t="shared" si="8"/>
        <v>#N/A</v>
      </c>
      <c r="N10" s="780" t="e">
        <f t="shared" si="8"/>
        <v>#N/A</v>
      </c>
      <c r="O10" s="780" t="e">
        <f t="shared" si="8"/>
        <v>#N/A</v>
      </c>
      <c r="P10" s="780" t="e">
        <f t="shared" si="8"/>
        <v>#N/A</v>
      </c>
      <c r="Q10" s="780" t="e">
        <f t="shared" si="8"/>
        <v>#N/A</v>
      </c>
      <c r="R10" s="780" t="e">
        <f t="shared" si="8"/>
        <v>#N/A</v>
      </c>
      <c r="S10" s="780" t="e">
        <f t="shared" si="8"/>
        <v>#N/A</v>
      </c>
      <c r="T10" s="780" t="e">
        <f t="shared" si="8"/>
        <v>#N/A</v>
      </c>
      <c r="U10" s="780" t="e">
        <f t="shared" si="8"/>
        <v>#N/A</v>
      </c>
      <c r="V10" s="780" t="e">
        <f t="shared" si="8"/>
        <v>#N/A</v>
      </c>
      <c r="W10" s="780" t="e">
        <f t="shared" si="8"/>
        <v>#N/A</v>
      </c>
      <c r="X10" s="780" t="e">
        <f t="shared" si="8"/>
        <v>#N/A</v>
      </c>
      <c r="Y10" s="780" t="e">
        <f t="shared" si="8"/>
        <v>#N/A</v>
      </c>
      <c r="Z10" s="780" t="e">
        <f t="shared" si="8"/>
        <v>#N/A</v>
      </c>
      <c r="AA10" s="780" t="e">
        <f t="shared" si="8"/>
        <v>#N/A</v>
      </c>
      <c r="AB10" s="780" t="e">
        <f t="shared" si="8"/>
        <v>#N/A</v>
      </c>
      <c r="AC10" s="780" t="e">
        <f t="shared" si="8"/>
        <v>#N/A</v>
      </c>
      <c r="AD10" s="780" t="e">
        <f t="shared" si="8"/>
        <v>#N/A</v>
      </c>
      <c r="AE10" s="780" t="e">
        <f t="shared" si="8"/>
        <v>#N/A</v>
      </c>
      <c r="AF10" s="780" t="e">
        <f t="shared" si="8"/>
        <v>#N/A</v>
      </c>
      <c r="AG10" s="780" t="e">
        <f t="shared" si="8"/>
        <v>#N/A</v>
      </c>
      <c r="AH10" s="780" t="e">
        <f t="shared" ref="AH10:AY10" si="9">IF($G$3=1,AH194,IF($F$3=2,VLOOKUP($A10,ConEd,AH$210,FALSE),IF($F$3=5,VLOOKUP($A10,OandR,AH$210,FALSE),IF($F$3=7,VLOOKUP($A10,KEDLI,AH$210,FALSE),VLOOKUP($A10,CentralHudson,AH$210,FALSE)))))</f>
        <v>#N/A</v>
      </c>
      <c r="AI10" s="780" t="e">
        <f t="shared" si="9"/>
        <v>#N/A</v>
      </c>
      <c r="AJ10" s="780" t="e">
        <f t="shared" si="9"/>
        <v>#N/A</v>
      </c>
      <c r="AK10" s="780" t="e">
        <f t="shared" si="9"/>
        <v>#N/A</v>
      </c>
      <c r="AL10" s="780" t="e">
        <f t="shared" si="9"/>
        <v>#N/A</v>
      </c>
      <c r="AM10" s="780" t="e">
        <f t="shared" si="9"/>
        <v>#N/A</v>
      </c>
      <c r="AN10" s="780" t="e">
        <f t="shared" si="9"/>
        <v>#N/A</v>
      </c>
      <c r="AO10" s="780" t="e">
        <f t="shared" si="9"/>
        <v>#N/A</v>
      </c>
      <c r="AP10" s="780" t="e">
        <f t="shared" si="9"/>
        <v>#N/A</v>
      </c>
      <c r="AQ10" s="780" t="e">
        <f t="shared" si="9"/>
        <v>#N/A</v>
      </c>
      <c r="AR10" s="780" t="e">
        <f t="shared" si="9"/>
        <v>#N/A</v>
      </c>
      <c r="AS10" s="780" t="e">
        <f t="shared" si="9"/>
        <v>#N/A</v>
      </c>
      <c r="AT10" s="780" t="e">
        <f t="shared" si="9"/>
        <v>#N/A</v>
      </c>
      <c r="AU10" s="780" t="e">
        <f t="shared" si="9"/>
        <v>#N/A</v>
      </c>
      <c r="AV10" s="780" t="e">
        <f t="shared" si="9"/>
        <v>#N/A</v>
      </c>
      <c r="AW10" s="780" t="e">
        <f t="shared" si="9"/>
        <v>#N/A</v>
      </c>
      <c r="AX10" s="780" t="e">
        <f t="shared" si="9"/>
        <v>#N/A</v>
      </c>
      <c r="AY10" s="780" t="e">
        <f t="shared" si="9"/>
        <v>#N/A</v>
      </c>
    </row>
    <row r="11" spans="1:51">
      <c r="A11" s="442" t="s">
        <v>2901</v>
      </c>
      <c r="B11" s="780" t="e">
        <f t="shared" ref="B11:AG11" si="10">IF($G$3=1,B195,IF($F$3=2,VLOOKUP($A11,ConEd,B$210,FALSE),IF($F$3=5,VLOOKUP($A11,OandR,B$210,FALSE),IF($F$3=7,VLOOKUP($A11,KEDLI,B$210,FALSE),VLOOKUP($A11,CentralHudson,B$210,FALSE)))))</f>
        <v>#N/A</v>
      </c>
      <c r="C11" s="780" t="e">
        <f t="shared" si="10"/>
        <v>#N/A</v>
      </c>
      <c r="D11" s="780" t="e">
        <f t="shared" si="10"/>
        <v>#N/A</v>
      </c>
      <c r="E11" s="780" t="e">
        <f t="shared" si="10"/>
        <v>#N/A</v>
      </c>
      <c r="F11" s="780" t="e">
        <f t="shared" si="10"/>
        <v>#N/A</v>
      </c>
      <c r="G11" s="780" t="e">
        <f t="shared" si="10"/>
        <v>#N/A</v>
      </c>
      <c r="H11" s="780" t="e">
        <f t="shared" si="10"/>
        <v>#N/A</v>
      </c>
      <c r="I11" s="780" t="e">
        <f t="shared" si="10"/>
        <v>#N/A</v>
      </c>
      <c r="J11" s="780" t="e">
        <f t="shared" si="10"/>
        <v>#N/A</v>
      </c>
      <c r="K11" s="780" t="e">
        <f t="shared" si="10"/>
        <v>#N/A</v>
      </c>
      <c r="L11" s="780" t="e">
        <f t="shared" si="10"/>
        <v>#N/A</v>
      </c>
      <c r="M11" s="780" t="e">
        <f t="shared" si="10"/>
        <v>#N/A</v>
      </c>
      <c r="N11" s="780" t="e">
        <f t="shared" si="10"/>
        <v>#N/A</v>
      </c>
      <c r="O11" s="780" t="e">
        <f t="shared" si="10"/>
        <v>#N/A</v>
      </c>
      <c r="P11" s="780" t="e">
        <f t="shared" si="10"/>
        <v>#N/A</v>
      </c>
      <c r="Q11" s="780" t="e">
        <f t="shared" si="10"/>
        <v>#N/A</v>
      </c>
      <c r="R11" s="780" t="e">
        <f t="shared" si="10"/>
        <v>#N/A</v>
      </c>
      <c r="S11" s="780" t="e">
        <f t="shared" si="10"/>
        <v>#N/A</v>
      </c>
      <c r="T11" s="780" t="e">
        <f t="shared" si="10"/>
        <v>#N/A</v>
      </c>
      <c r="U11" s="780" t="e">
        <f t="shared" si="10"/>
        <v>#N/A</v>
      </c>
      <c r="V11" s="780" t="e">
        <f t="shared" si="10"/>
        <v>#N/A</v>
      </c>
      <c r="W11" s="780" t="e">
        <f t="shared" si="10"/>
        <v>#N/A</v>
      </c>
      <c r="X11" s="780" t="e">
        <f t="shared" si="10"/>
        <v>#N/A</v>
      </c>
      <c r="Y11" s="780" t="e">
        <f t="shared" si="10"/>
        <v>#N/A</v>
      </c>
      <c r="Z11" s="780" t="e">
        <f t="shared" si="10"/>
        <v>#N/A</v>
      </c>
      <c r="AA11" s="780" t="e">
        <f t="shared" si="10"/>
        <v>#N/A</v>
      </c>
      <c r="AB11" s="780" t="e">
        <f t="shared" si="10"/>
        <v>#N/A</v>
      </c>
      <c r="AC11" s="780" t="e">
        <f t="shared" si="10"/>
        <v>#N/A</v>
      </c>
      <c r="AD11" s="780" t="e">
        <f t="shared" si="10"/>
        <v>#N/A</v>
      </c>
      <c r="AE11" s="780" t="e">
        <f t="shared" si="10"/>
        <v>#N/A</v>
      </c>
      <c r="AF11" s="780" t="e">
        <f t="shared" si="10"/>
        <v>#N/A</v>
      </c>
      <c r="AG11" s="780" t="e">
        <f t="shared" si="10"/>
        <v>#N/A</v>
      </c>
      <c r="AH11" s="780" t="e">
        <f t="shared" ref="AH11:AY11" si="11">IF($G$3=1,AH195,IF($F$3=2,VLOOKUP($A11,ConEd,AH$210,FALSE),IF($F$3=5,VLOOKUP($A11,OandR,AH$210,FALSE),IF($F$3=7,VLOOKUP($A11,KEDLI,AH$210,FALSE),VLOOKUP($A11,CentralHudson,AH$210,FALSE)))))</f>
        <v>#N/A</v>
      </c>
      <c r="AI11" s="780" t="e">
        <f t="shared" si="11"/>
        <v>#N/A</v>
      </c>
      <c r="AJ11" s="780" t="e">
        <f t="shared" si="11"/>
        <v>#N/A</v>
      </c>
      <c r="AK11" s="780" t="e">
        <f t="shared" si="11"/>
        <v>#N/A</v>
      </c>
      <c r="AL11" s="780" t="e">
        <f t="shared" si="11"/>
        <v>#N/A</v>
      </c>
      <c r="AM11" s="780" t="e">
        <f t="shared" si="11"/>
        <v>#N/A</v>
      </c>
      <c r="AN11" s="780" t="e">
        <f t="shared" si="11"/>
        <v>#N/A</v>
      </c>
      <c r="AO11" s="780" t="e">
        <f t="shared" si="11"/>
        <v>#N/A</v>
      </c>
      <c r="AP11" s="780" t="e">
        <f t="shared" si="11"/>
        <v>#N/A</v>
      </c>
      <c r="AQ11" s="780" t="e">
        <f t="shared" si="11"/>
        <v>#N/A</v>
      </c>
      <c r="AR11" s="780" t="e">
        <f t="shared" si="11"/>
        <v>#N/A</v>
      </c>
      <c r="AS11" s="780" t="e">
        <f t="shared" si="11"/>
        <v>#N/A</v>
      </c>
      <c r="AT11" s="780" t="e">
        <f t="shared" si="11"/>
        <v>#N/A</v>
      </c>
      <c r="AU11" s="780" t="e">
        <f t="shared" si="11"/>
        <v>#N/A</v>
      </c>
      <c r="AV11" s="780" t="e">
        <f t="shared" si="11"/>
        <v>#N/A</v>
      </c>
      <c r="AW11" s="780" t="e">
        <f t="shared" si="11"/>
        <v>#N/A</v>
      </c>
      <c r="AX11" s="780" t="e">
        <f t="shared" si="11"/>
        <v>#N/A</v>
      </c>
      <c r="AY11" s="780" t="e">
        <f t="shared" si="11"/>
        <v>#N/A</v>
      </c>
    </row>
    <row r="12" spans="1:51">
      <c r="A12" s="442" t="s">
        <v>2902</v>
      </c>
      <c r="B12" s="780" t="e">
        <f t="shared" ref="B12:AG12" si="12">IF($G$3=1,B196,IF($F$3=2,VLOOKUP($A12,ConEd,B$210,FALSE),IF($F$3=5,VLOOKUP($A12,OandR,B$210,FALSE),IF($F$3=7,VLOOKUP($A12,KEDLI,B$210,FALSE),VLOOKUP($A12,CentralHudson,B$210,FALSE)))))</f>
        <v>#N/A</v>
      </c>
      <c r="C12" s="780" t="e">
        <f t="shared" si="12"/>
        <v>#N/A</v>
      </c>
      <c r="D12" s="780" t="e">
        <f t="shared" si="12"/>
        <v>#N/A</v>
      </c>
      <c r="E12" s="780" t="e">
        <f t="shared" si="12"/>
        <v>#N/A</v>
      </c>
      <c r="F12" s="780" t="e">
        <f t="shared" si="12"/>
        <v>#N/A</v>
      </c>
      <c r="G12" s="780" t="e">
        <f t="shared" si="12"/>
        <v>#N/A</v>
      </c>
      <c r="H12" s="780" t="e">
        <f t="shared" si="12"/>
        <v>#N/A</v>
      </c>
      <c r="I12" s="780" t="e">
        <f t="shared" si="12"/>
        <v>#N/A</v>
      </c>
      <c r="J12" s="780" t="e">
        <f t="shared" si="12"/>
        <v>#N/A</v>
      </c>
      <c r="K12" s="780" t="e">
        <f t="shared" si="12"/>
        <v>#N/A</v>
      </c>
      <c r="L12" s="780" t="e">
        <f t="shared" si="12"/>
        <v>#N/A</v>
      </c>
      <c r="M12" s="780" t="e">
        <f t="shared" si="12"/>
        <v>#N/A</v>
      </c>
      <c r="N12" s="780" t="e">
        <f t="shared" si="12"/>
        <v>#N/A</v>
      </c>
      <c r="O12" s="780" t="e">
        <f t="shared" si="12"/>
        <v>#N/A</v>
      </c>
      <c r="P12" s="780" t="e">
        <f t="shared" si="12"/>
        <v>#N/A</v>
      </c>
      <c r="Q12" s="780" t="e">
        <f t="shared" si="12"/>
        <v>#N/A</v>
      </c>
      <c r="R12" s="780" t="e">
        <f t="shared" si="12"/>
        <v>#N/A</v>
      </c>
      <c r="S12" s="780" t="e">
        <f t="shared" si="12"/>
        <v>#N/A</v>
      </c>
      <c r="T12" s="780" t="e">
        <f t="shared" si="12"/>
        <v>#N/A</v>
      </c>
      <c r="U12" s="780" t="e">
        <f t="shared" si="12"/>
        <v>#N/A</v>
      </c>
      <c r="V12" s="780" t="e">
        <f t="shared" si="12"/>
        <v>#N/A</v>
      </c>
      <c r="W12" s="780" t="e">
        <f t="shared" si="12"/>
        <v>#N/A</v>
      </c>
      <c r="X12" s="780" t="e">
        <f t="shared" si="12"/>
        <v>#N/A</v>
      </c>
      <c r="Y12" s="780" t="e">
        <f t="shared" si="12"/>
        <v>#N/A</v>
      </c>
      <c r="Z12" s="780" t="e">
        <f t="shared" si="12"/>
        <v>#N/A</v>
      </c>
      <c r="AA12" s="780" t="e">
        <f t="shared" si="12"/>
        <v>#N/A</v>
      </c>
      <c r="AB12" s="780" t="e">
        <f t="shared" si="12"/>
        <v>#N/A</v>
      </c>
      <c r="AC12" s="780" t="e">
        <f t="shared" si="12"/>
        <v>#N/A</v>
      </c>
      <c r="AD12" s="780" t="e">
        <f t="shared" si="12"/>
        <v>#N/A</v>
      </c>
      <c r="AE12" s="780" t="e">
        <f t="shared" si="12"/>
        <v>#N/A</v>
      </c>
      <c r="AF12" s="780" t="e">
        <f t="shared" si="12"/>
        <v>#N/A</v>
      </c>
      <c r="AG12" s="780" t="e">
        <f t="shared" si="12"/>
        <v>#N/A</v>
      </c>
      <c r="AH12" s="780" t="e">
        <f t="shared" ref="AH12:AY12" si="13">IF($G$3=1,AH196,IF($F$3=2,VLOOKUP($A12,ConEd,AH$210,FALSE),IF($F$3=5,VLOOKUP($A12,OandR,AH$210,FALSE),IF($F$3=7,VLOOKUP($A12,KEDLI,AH$210,FALSE),VLOOKUP($A12,CentralHudson,AH$210,FALSE)))))</f>
        <v>#N/A</v>
      </c>
      <c r="AI12" s="780" t="e">
        <f t="shared" si="13"/>
        <v>#N/A</v>
      </c>
      <c r="AJ12" s="780" t="e">
        <f t="shared" si="13"/>
        <v>#N/A</v>
      </c>
      <c r="AK12" s="780" t="e">
        <f t="shared" si="13"/>
        <v>#N/A</v>
      </c>
      <c r="AL12" s="780" t="e">
        <f t="shared" si="13"/>
        <v>#N/A</v>
      </c>
      <c r="AM12" s="780" t="e">
        <f t="shared" si="13"/>
        <v>#N/A</v>
      </c>
      <c r="AN12" s="780" t="e">
        <f t="shared" si="13"/>
        <v>#N/A</v>
      </c>
      <c r="AO12" s="780" t="e">
        <f t="shared" si="13"/>
        <v>#N/A</v>
      </c>
      <c r="AP12" s="780" t="e">
        <f t="shared" si="13"/>
        <v>#N/A</v>
      </c>
      <c r="AQ12" s="780" t="e">
        <f t="shared" si="13"/>
        <v>#N/A</v>
      </c>
      <c r="AR12" s="780" t="e">
        <f t="shared" si="13"/>
        <v>#N/A</v>
      </c>
      <c r="AS12" s="780" t="e">
        <f t="shared" si="13"/>
        <v>#N/A</v>
      </c>
      <c r="AT12" s="780" t="e">
        <f t="shared" si="13"/>
        <v>#N/A</v>
      </c>
      <c r="AU12" s="780" t="e">
        <f t="shared" si="13"/>
        <v>#N/A</v>
      </c>
      <c r="AV12" s="780" t="e">
        <f t="shared" si="13"/>
        <v>#N/A</v>
      </c>
      <c r="AW12" s="780" t="e">
        <f t="shared" si="13"/>
        <v>#N/A</v>
      </c>
      <c r="AX12" s="780" t="e">
        <f t="shared" si="13"/>
        <v>#N/A</v>
      </c>
      <c r="AY12" s="780" t="e">
        <f t="shared" si="13"/>
        <v>#N/A</v>
      </c>
    </row>
    <row r="13" spans="1:51" ht="12.75" thickBot="1">
      <c r="A13" s="449" t="s">
        <v>2903</v>
      </c>
      <c r="B13" s="780" t="e">
        <f t="shared" ref="B13:AG13" si="14">IF($G$3=1,B197,IF($F$3=2,VLOOKUP($A13,ConEd,B$210,FALSE),IF($F$3=5,VLOOKUP($A13,OandR,B$210,FALSE),IF($F$3=7,VLOOKUP($A13,KEDLI,B$210,FALSE),VLOOKUP($A13,CentralHudson,B$210,FALSE)))))</f>
        <v>#N/A</v>
      </c>
      <c r="C13" s="780" t="e">
        <f t="shared" si="14"/>
        <v>#N/A</v>
      </c>
      <c r="D13" s="780" t="e">
        <f t="shared" si="14"/>
        <v>#N/A</v>
      </c>
      <c r="E13" s="780" t="e">
        <f t="shared" si="14"/>
        <v>#N/A</v>
      </c>
      <c r="F13" s="780" t="e">
        <f t="shared" si="14"/>
        <v>#N/A</v>
      </c>
      <c r="G13" s="780" t="e">
        <f t="shared" si="14"/>
        <v>#N/A</v>
      </c>
      <c r="H13" s="780" t="e">
        <f t="shared" si="14"/>
        <v>#N/A</v>
      </c>
      <c r="I13" s="780" t="e">
        <f t="shared" si="14"/>
        <v>#N/A</v>
      </c>
      <c r="J13" s="780" t="e">
        <f t="shared" si="14"/>
        <v>#N/A</v>
      </c>
      <c r="K13" s="780" t="e">
        <f t="shared" si="14"/>
        <v>#N/A</v>
      </c>
      <c r="L13" s="780" t="e">
        <f t="shared" si="14"/>
        <v>#N/A</v>
      </c>
      <c r="M13" s="780" t="e">
        <f t="shared" si="14"/>
        <v>#N/A</v>
      </c>
      <c r="N13" s="780" t="e">
        <f t="shared" si="14"/>
        <v>#N/A</v>
      </c>
      <c r="O13" s="780" t="e">
        <f t="shared" si="14"/>
        <v>#N/A</v>
      </c>
      <c r="P13" s="780" t="e">
        <f t="shared" si="14"/>
        <v>#N/A</v>
      </c>
      <c r="Q13" s="780" t="e">
        <f t="shared" si="14"/>
        <v>#N/A</v>
      </c>
      <c r="R13" s="780" t="e">
        <f t="shared" si="14"/>
        <v>#N/A</v>
      </c>
      <c r="S13" s="780" t="e">
        <f t="shared" si="14"/>
        <v>#N/A</v>
      </c>
      <c r="T13" s="780" t="e">
        <f t="shared" si="14"/>
        <v>#N/A</v>
      </c>
      <c r="U13" s="780" t="e">
        <f t="shared" si="14"/>
        <v>#N/A</v>
      </c>
      <c r="V13" s="780" t="e">
        <f t="shared" si="14"/>
        <v>#N/A</v>
      </c>
      <c r="W13" s="780" t="e">
        <f t="shared" si="14"/>
        <v>#N/A</v>
      </c>
      <c r="X13" s="780" t="e">
        <f t="shared" si="14"/>
        <v>#N/A</v>
      </c>
      <c r="Y13" s="780" t="e">
        <f t="shared" si="14"/>
        <v>#N/A</v>
      </c>
      <c r="Z13" s="780" t="e">
        <f t="shared" si="14"/>
        <v>#N/A</v>
      </c>
      <c r="AA13" s="780" t="e">
        <f t="shared" si="14"/>
        <v>#N/A</v>
      </c>
      <c r="AB13" s="780" t="e">
        <f t="shared" si="14"/>
        <v>#N/A</v>
      </c>
      <c r="AC13" s="780" t="e">
        <f t="shared" si="14"/>
        <v>#N/A</v>
      </c>
      <c r="AD13" s="780" t="e">
        <f t="shared" si="14"/>
        <v>#N/A</v>
      </c>
      <c r="AE13" s="780" t="e">
        <f t="shared" si="14"/>
        <v>#N/A</v>
      </c>
      <c r="AF13" s="780" t="e">
        <f t="shared" si="14"/>
        <v>#N/A</v>
      </c>
      <c r="AG13" s="780" t="e">
        <f t="shared" si="14"/>
        <v>#N/A</v>
      </c>
      <c r="AH13" s="780" t="e">
        <f t="shared" ref="AH13:AY13" si="15">IF($G$3=1,AH197,IF($F$3=2,VLOOKUP($A13,ConEd,AH$210,FALSE),IF($F$3=5,VLOOKUP($A13,OandR,AH$210,FALSE),IF($F$3=7,VLOOKUP($A13,KEDLI,AH$210,FALSE),VLOOKUP($A13,CentralHudson,AH$210,FALSE)))))</f>
        <v>#N/A</v>
      </c>
      <c r="AI13" s="780" t="e">
        <f t="shared" si="15"/>
        <v>#N/A</v>
      </c>
      <c r="AJ13" s="780" t="e">
        <f t="shared" si="15"/>
        <v>#N/A</v>
      </c>
      <c r="AK13" s="780" t="e">
        <f t="shared" si="15"/>
        <v>#N/A</v>
      </c>
      <c r="AL13" s="780" t="e">
        <f t="shared" si="15"/>
        <v>#N/A</v>
      </c>
      <c r="AM13" s="780" t="e">
        <f t="shared" si="15"/>
        <v>#N/A</v>
      </c>
      <c r="AN13" s="780" t="e">
        <f t="shared" si="15"/>
        <v>#N/A</v>
      </c>
      <c r="AO13" s="780" t="e">
        <f t="shared" si="15"/>
        <v>#N/A</v>
      </c>
      <c r="AP13" s="780" t="e">
        <f t="shared" si="15"/>
        <v>#N/A</v>
      </c>
      <c r="AQ13" s="780" t="e">
        <f t="shared" si="15"/>
        <v>#N/A</v>
      </c>
      <c r="AR13" s="780" t="e">
        <f t="shared" si="15"/>
        <v>#N/A</v>
      </c>
      <c r="AS13" s="780" t="e">
        <f t="shared" si="15"/>
        <v>#N/A</v>
      </c>
      <c r="AT13" s="780" t="e">
        <f t="shared" si="15"/>
        <v>#N/A</v>
      </c>
      <c r="AU13" s="780" t="e">
        <f t="shared" si="15"/>
        <v>#N/A</v>
      </c>
      <c r="AV13" s="780" t="e">
        <f t="shared" si="15"/>
        <v>#N/A</v>
      </c>
      <c r="AW13" s="780" t="e">
        <f t="shared" si="15"/>
        <v>#N/A</v>
      </c>
      <c r="AX13" s="780" t="e">
        <f t="shared" si="15"/>
        <v>#N/A</v>
      </c>
      <c r="AY13" s="780" t="e">
        <f t="shared" si="15"/>
        <v>#N/A</v>
      </c>
    </row>
    <row r="14" spans="1:51">
      <c r="B14" s="429"/>
      <c r="C14" s="429"/>
      <c r="D14" s="429"/>
      <c r="E14" s="429"/>
      <c r="F14" s="429"/>
      <c r="G14" s="429"/>
      <c r="H14" s="429"/>
      <c r="I14" s="429"/>
      <c r="J14" s="429"/>
      <c r="K14" s="429"/>
      <c r="L14" s="429"/>
      <c r="M14" s="429"/>
      <c r="N14" s="429"/>
      <c r="O14" s="429"/>
      <c r="P14" s="429"/>
      <c r="Q14" s="429"/>
      <c r="R14" s="429"/>
      <c r="S14" s="429"/>
      <c r="T14" s="429"/>
      <c r="U14" s="429"/>
      <c r="V14" s="429"/>
      <c r="W14" s="429"/>
      <c r="X14" s="429"/>
      <c r="Y14" s="429"/>
      <c r="Z14" s="429"/>
      <c r="AA14" s="429"/>
      <c r="AB14" s="429"/>
      <c r="AC14" s="429"/>
      <c r="AD14" s="429"/>
      <c r="AE14" s="429"/>
    </row>
    <row r="15" spans="1:51" ht="15.75" thickBot="1">
      <c r="A15" s="433" t="s">
        <v>2904</v>
      </c>
      <c r="B15" s="429"/>
      <c r="C15" s="429"/>
      <c r="D15" s="429"/>
      <c r="E15" s="429"/>
      <c r="F15" s="429"/>
      <c r="G15" s="429"/>
      <c r="H15" s="429"/>
      <c r="I15" s="429"/>
      <c r="J15" s="429"/>
      <c r="K15" s="429"/>
      <c r="L15" s="429"/>
      <c r="M15" s="429"/>
      <c r="N15" s="429"/>
      <c r="O15" s="429"/>
      <c r="P15" s="429"/>
      <c r="Q15" s="429"/>
      <c r="R15" s="429"/>
      <c r="S15" s="429"/>
      <c r="T15" s="429"/>
      <c r="U15" s="429"/>
      <c r="V15" s="429"/>
      <c r="W15" s="429"/>
      <c r="X15" s="429"/>
      <c r="Y15" s="429"/>
      <c r="Z15" s="429"/>
      <c r="AA15" s="429"/>
      <c r="AB15" s="429"/>
      <c r="AC15" s="429"/>
      <c r="AD15" s="429"/>
      <c r="AE15" s="429"/>
    </row>
    <row r="16" spans="1:51" ht="12.75" thickBot="1">
      <c r="A16" s="434" t="s">
        <v>2899</v>
      </c>
      <c r="B16" s="435">
        <v>1</v>
      </c>
      <c r="C16" s="436">
        <v>2</v>
      </c>
      <c r="D16" s="436">
        <v>3</v>
      </c>
      <c r="E16" s="436">
        <v>4</v>
      </c>
      <c r="F16" s="436">
        <v>5</v>
      </c>
      <c r="G16" s="436">
        <v>6</v>
      </c>
      <c r="H16" s="436">
        <v>7</v>
      </c>
      <c r="I16" s="436">
        <v>8</v>
      </c>
      <c r="J16" s="436">
        <v>9</v>
      </c>
      <c r="K16" s="436">
        <v>10</v>
      </c>
      <c r="L16" s="436">
        <v>11</v>
      </c>
      <c r="M16" s="436">
        <v>12</v>
      </c>
      <c r="N16" s="436">
        <v>13</v>
      </c>
      <c r="O16" s="436">
        <v>14</v>
      </c>
      <c r="P16" s="436">
        <v>15</v>
      </c>
      <c r="Q16" s="436">
        <v>16</v>
      </c>
      <c r="R16" s="436">
        <v>17</v>
      </c>
      <c r="S16" s="436">
        <v>18</v>
      </c>
      <c r="T16" s="436">
        <v>19</v>
      </c>
      <c r="U16" s="436">
        <v>20</v>
      </c>
      <c r="V16" s="436">
        <v>21</v>
      </c>
      <c r="W16" s="436">
        <v>22</v>
      </c>
      <c r="X16" s="436">
        <v>23</v>
      </c>
      <c r="Y16" s="436">
        <v>24</v>
      </c>
      <c r="Z16" s="436">
        <v>25</v>
      </c>
      <c r="AA16" s="436">
        <v>26</v>
      </c>
      <c r="AB16" s="436">
        <v>27</v>
      </c>
      <c r="AC16" s="436">
        <v>28</v>
      </c>
      <c r="AD16" s="436">
        <v>29</v>
      </c>
      <c r="AE16" s="436">
        <v>30</v>
      </c>
      <c r="AF16" s="436">
        <f t="shared" ref="AF16:AY16" si="16">AE16+1</f>
        <v>31</v>
      </c>
      <c r="AG16" s="436">
        <f t="shared" si="16"/>
        <v>32</v>
      </c>
      <c r="AH16" s="436">
        <f t="shared" si="16"/>
        <v>33</v>
      </c>
      <c r="AI16" s="436">
        <f t="shared" si="16"/>
        <v>34</v>
      </c>
      <c r="AJ16" s="436">
        <f t="shared" si="16"/>
        <v>35</v>
      </c>
      <c r="AK16" s="436">
        <f t="shared" si="16"/>
        <v>36</v>
      </c>
      <c r="AL16" s="436">
        <f t="shared" si="16"/>
        <v>37</v>
      </c>
      <c r="AM16" s="436">
        <f t="shared" si="16"/>
        <v>38</v>
      </c>
      <c r="AN16" s="436">
        <f t="shared" si="16"/>
        <v>39</v>
      </c>
      <c r="AO16" s="436">
        <f t="shared" si="16"/>
        <v>40</v>
      </c>
      <c r="AP16" s="436">
        <f t="shared" si="16"/>
        <v>41</v>
      </c>
      <c r="AQ16" s="436">
        <f t="shared" si="16"/>
        <v>42</v>
      </c>
      <c r="AR16" s="436">
        <f t="shared" si="16"/>
        <v>43</v>
      </c>
      <c r="AS16" s="436">
        <f t="shared" si="16"/>
        <v>44</v>
      </c>
      <c r="AT16" s="436">
        <f t="shared" si="16"/>
        <v>45</v>
      </c>
      <c r="AU16" s="436">
        <f t="shared" si="16"/>
        <v>46</v>
      </c>
      <c r="AV16" s="436">
        <f t="shared" si="16"/>
        <v>47</v>
      </c>
      <c r="AW16" s="436">
        <f t="shared" si="16"/>
        <v>48</v>
      </c>
      <c r="AX16" s="436">
        <f t="shared" si="16"/>
        <v>49</v>
      </c>
      <c r="AY16" s="437">
        <f t="shared" si="16"/>
        <v>50</v>
      </c>
    </row>
    <row r="17" spans="1:51">
      <c r="A17" s="438" t="s">
        <v>2922</v>
      </c>
      <c r="B17" s="439" t="e">
        <f t="shared" ref="B17:B24" si="17">B6/(1+$C$3)^(B$16-0.5)</f>
        <v>#N/A</v>
      </c>
      <c r="C17" s="440" t="e">
        <f t="shared" ref="C17:AY22" si="18">(C6/(1+$C$3)^(C$16-0.5)+B17)</f>
        <v>#N/A</v>
      </c>
      <c r="D17" s="440" t="e">
        <f t="shared" si="18"/>
        <v>#N/A</v>
      </c>
      <c r="E17" s="440" t="e">
        <f t="shared" si="18"/>
        <v>#N/A</v>
      </c>
      <c r="F17" s="440" t="e">
        <f t="shared" si="18"/>
        <v>#N/A</v>
      </c>
      <c r="G17" s="440" t="e">
        <f t="shared" si="18"/>
        <v>#N/A</v>
      </c>
      <c r="H17" s="440" t="e">
        <f t="shared" si="18"/>
        <v>#N/A</v>
      </c>
      <c r="I17" s="440" t="e">
        <f t="shared" si="18"/>
        <v>#N/A</v>
      </c>
      <c r="J17" s="440" t="e">
        <f t="shared" si="18"/>
        <v>#N/A</v>
      </c>
      <c r="K17" s="440" t="e">
        <f t="shared" si="18"/>
        <v>#N/A</v>
      </c>
      <c r="L17" s="440" t="e">
        <f t="shared" si="18"/>
        <v>#N/A</v>
      </c>
      <c r="M17" s="440" t="e">
        <f t="shared" si="18"/>
        <v>#N/A</v>
      </c>
      <c r="N17" s="440" t="e">
        <f t="shared" si="18"/>
        <v>#N/A</v>
      </c>
      <c r="O17" s="440" t="e">
        <f t="shared" si="18"/>
        <v>#N/A</v>
      </c>
      <c r="P17" s="440" t="e">
        <f t="shared" si="18"/>
        <v>#N/A</v>
      </c>
      <c r="Q17" s="440" t="e">
        <f t="shared" si="18"/>
        <v>#N/A</v>
      </c>
      <c r="R17" s="440" t="e">
        <f t="shared" si="18"/>
        <v>#N/A</v>
      </c>
      <c r="S17" s="440" t="e">
        <f t="shared" si="18"/>
        <v>#N/A</v>
      </c>
      <c r="T17" s="440" t="e">
        <f t="shared" si="18"/>
        <v>#N/A</v>
      </c>
      <c r="U17" s="440" t="e">
        <f t="shared" si="18"/>
        <v>#N/A</v>
      </c>
      <c r="V17" s="440" t="e">
        <f t="shared" si="18"/>
        <v>#N/A</v>
      </c>
      <c r="W17" s="440" t="e">
        <f t="shared" si="18"/>
        <v>#N/A</v>
      </c>
      <c r="X17" s="440" t="e">
        <f t="shared" si="18"/>
        <v>#N/A</v>
      </c>
      <c r="Y17" s="440" t="e">
        <f t="shared" si="18"/>
        <v>#N/A</v>
      </c>
      <c r="Z17" s="440" t="e">
        <f t="shared" si="18"/>
        <v>#N/A</v>
      </c>
      <c r="AA17" s="440" t="e">
        <f t="shared" si="18"/>
        <v>#N/A</v>
      </c>
      <c r="AB17" s="440" t="e">
        <f t="shared" si="18"/>
        <v>#N/A</v>
      </c>
      <c r="AC17" s="440" t="e">
        <f t="shared" si="18"/>
        <v>#N/A</v>
      </c>
      <c r="AD17" s="440" t="e">
        <f t="shared" si="18"/>
        <v>#N/A</v>
      </c>
      <c r="AE17" s="440" t="e">
        <f t="shared" si="18"/>
        <v>#N/A</v>
      </c>
      <c r="AF17" s="440" t="e">
        <f t="shared" si="18"/>
        <v>#N/A</v>
      </c>
      <c r="AG17" s="440" t="e">
        <f t="shared" si="18"/>
        <v>#N/A</v>
      </c>
      <c r="AH17" s="440" t="e">
        <f t="shared" si="18"/>
        <v>#N/A</v>
      </c>
      <c r="AI17" s="440" t="e">
        <f t="shared" si="18"/>
        <v>#N/A</v>
      </c>
      <c r="AJ17" s="440" t="e">
        <f t="shared" si="18"/>
        <v>#N/A</v>
      </c>
      <c r="AK17" s="440" t="e">
        <f t="shared" si="18"/>
        <v>#N/A</v>
      </c>
      <c r="AL17" s="440" t="e">
        <f t="shared" si="18"/>
        <v>#N/A</v>
      </c>
      <c r="AM17" s="440" t="e">
        <f t="shared" si="18"/>
        <v>#N/A</v>
      </c>
      <c r="AN17" s="440" t="e">
        <f t="shared" si="18"/>
        <v>#N/A</v>
      </c>
      <c r="AO17" s="440" t="e">
        <f t="shared" si="18"/>
        <v>#N/A</v>
      </c>
      <c r="AP17" s="440" t="e">
        <f t="shared" si="18"/>
        <v>#N/A</v>
      </c>
      <c r="AQ17" s="440" t="e">
        <f t="shared" si="18"/>
        <v>#N/A</v>
      </c>
      <c r="AR17" s="440" t="e">
        <f t="shared" si="18"/>
        <v>#N/A</v>
      </c>
      <c r="AS17" s="440" t="e">
        <f t="shared" si="18"/>
        <v>#N/A</v>
      </c>
      <c r="AT17" s="440" t="e">
        <f t="shared" si="18"/>
        <v>#N/A</v>
      </c>
      <c r="AU17" s="440" t="e">
        <f t="shared" si="18"/>
        <v>#N/A</v>
      </c>
      <c r="AV17" s="440" t="e">
        <f t="shared" si="18"/>
        <v>#N/A</v>
      </c>
      <c r="AW17" s="440" t="e">
        <f t="shared" si="18"/>
        <v>#N/A</v>
      </c>
      <c r="AX17" s="440" t="e">
        <f t="shared" si="18"/>
        <v>#N/A</v>
      </c>
      <c r="AY17" s="441" t="e">
        <f t="shared" si="18"/>
        <v>#N/A</v>
      </c>
    </row>
    <row r="18" spans="1:51">
      <c r="A18" s="442" t="s">
        <v>2923</v>
      </c>
      <c r="B18" s="446" t="e">
        <f t="shared" si="17"/>
        <v>#N/A</v>
      </c>
      <c r="C18" s="447" t="e">
        <f t="shared" si="18"/>
        <v>#N/A</v>
      </c>
      <c r="D18" s="447" t="e">
        <f t="shared" si="18"/>
        <v>#N/A</v>
      </c>
      <c r="E18" s="447" t="e">
        <f t="shared" si="18"/>
        <v>#N/A</v>
      </c>
      <c r="F18" s="447" t="e">
        <f t="shared" si="18"/>
        <v>#N/A</v>
      </c>
      <c r="G18" s="447" t="e">
        <f t="shared" si="18"/>
        <v>#N/A</v>
      </c>
      <c r="H18" s="447" t="e">
        <f t="shared" si="18"/>
        <v>#N/A</v>
      </c>
      <c r="I18" s="447" t="e">
        <f t="shared" si="18"/>
        <v>#N/A</v>
      </c>
      <c r="J18" s="447" t="e">
        <f t="shared" si="18"/>
        <v>#N/A</v>
      </c>
      <c r="K18" s="447" t="e">
        <f t="shared" si="18"/>
        <v>#N/A</v>
      </c>
      <c r="L18" s="447" t="e">
        <f t="shared" si="18"/>
        <v>#N/A</v>
      </c>
      <c r="M18" s="447" t="e">
        <f t="shared" si="18"/>
        <v>#N/A</v>
      </c>
      <c r="N18" s="447" t="e">
        <f t="shared" si="18"/>
        <v>#N/A</v>
      </c>
      <c r="O18" s="447" t="e">
        <f t="shared" si="18"/>
        <v>#N/A</v>
      </c>
      <c r="P18" s="447" t="e">
        <f t="shared" si="18"/>
        <v>#N/A</v>
      </c>
      <c r="Q18" s="447" t="e">
        <f t="shared" si="18"/>
        <v>#N/A</v>
      </c>
      <c r="R18" s="447" t="e">
        <f t="shared" si="18"/>
        <v>#N/A</v>
      </c>
      <c r="S18" s="447" t="e">
        <f t="shared" si="18"/>
        <v>#N/A</v>
      </c>
      <c r="T18" s="447" t="e">
        <f t="shared" si="18"/>
        <v>#N/A</v>
      </c>
      <c r="U18" s="447" t="e">
        <f t="shared" si="18"/>
        <v>#N/A</v>
      </c>
      <c r="V18" s="447" t="e">
        <f t="shared" si="18"/>
        <v>#N/A</v>
      </c>
      <c r="W18" s="447" t="e">
        <f t="shared" si="18"/>
        <v>#N/A</v>
      </c>
      <c r="X18" s="447" t="e">
        <f t="shared" si="18"/>
        <v>#N/A</v>
      </c>
      <c r="Y18" s="447" t="e">
        <f t="shared" si="18"/>
        <v>#N/A</v>
      </c>
      <c r="Z18" s="447" t="e">
        <f t="shared" si="18"/>
        <v>#N/A</v>
      </c>
      <c r="AA18" s="447" t="e">
        <f t="shared" si="18"/>
        <v>#N/A</v>
      </c>
      <c r="AB18" s="447" t="e">
        <f t="shared" si="18"/>
        <v>#N/A</v>
      </c>
      <c r="AC18" s="447" t="e">
        <f t="shared" si="18"/>
        <v>#N/A</v>
      </c>
      <c r="AD18" s="447" t="e">
        <f t="shared" si="18"/>
        <v>#N/A</v>
      </c>
      <c r="AE18" s="447" t="e">
        <f t="shared" si="18"/>
        <v>#N/A</v>
      </c>
      <c r="AF18" s="447" t="e">
        <f t="shared" si="18"/>
        <v>#N/A</v>
      </c>
      <c r="AG18" s="447" t="e">
        <f t="shared" si="18"/>
        <v>#N/A</v>
      </c>
      <c r="AH18" s="447" t="e">
        <f t="shared" si="18"/>
        <v>#N/A</v>
      </c>
      <c r="AI18" s="447" t="e">
        <f t="shared" si="18"/>
        <v>#N/A</v>
      </c>
      <c r="AJ18" s="447" t="e">
        <f t="shared" si="18"/>
        <v>#N/A</v>
      </c>
      <c r="AK18" s="447" t="e">
        <f t="shared" si="18"/>
        <v>#N/A</v>
      </c>
      <c r="AL18" s="447" t="e">
        <f t="shared" si="18"/>
        <v>#N/A</v>
      </c>
      <c r="AM18" s="447" t="e">
        <f t="shared" si="18"/>
        <v>#N/A</v>
      </c>
      <c r="AN18" s="447" t="e">
        <f t="shared" si="18"/>
        <v>#N/A</v>
      </c>
      <c r="AO18" s="447" t="e">
        <f t="shared" si="18"/>
        <v>#N/A</v>
      </c>
      <c r="AP18" s="447" t="e">
        <f t="shared" si="18"/>
        <v>#N/A</v>
      </c>
      <c r="AQ18" s="447" t="e">
        <f t="shared" si="18"/>
        <v>#N/A</v>
      </c>
      <c r="AR18" s="447" t="e">
        <f t="shared" si="18"/>
        <v>#N/A</v>
      </c>
      <c r="AS18" s="447" t="e">
        <f t="shared" si="18"/>
        <v>#N/A</v>
      </c>
      <c r="AT18" s="447" t="e">
        <f t="shared" si="18"/>
        <v>#N/A</v>
      </c>
      <c r="AU18" s="447" t="e">
        <f t="shared" si="18"/>
        <v>#N/A</v>
      </c>
      <c r="AV18" s="447" t="e">
        <f t="shared" si="18"/>
        <v>#N/A</v>
      </c>
      <c r="AW18" s="447" t="e">
        <f t="shared" si="18"/>
        <v>#N/A</v>
      </c>
      <c r="AX18" s="447" t="e">
        <f t="shared" si="18"/>
        <v>#N/A</v>
      </c>
      <c r="AY18" s="448" t="e">
        <f t="shared" si="18"/>
        <v>#N/A</v>
      </c>
    </row>
    <row r="19" spans="1:51">
      <c r="A19" s="442" t="s">
        <v>2924</v>
      </c>
      <c r="B19" s="446" t="e">
        <f t="shared" si="17"/>
        <v>#N/A</v>
      </c>
      <c r="C19" s="447" t="e">
        <f t="shared" si="18"/>
        <v>#N/A</v>
      </c>
      <c r="D19" s="447" t="e">
        <f t="shared" si="18"/>
        <v>#N/A</v>
      </c>
      <c r="E19" s="447" t="e">
        <f t="shared" si="18"/>
        <v>#N/A</v>
      </c>
      <c r="F19" s="447" t="e">
        <f t="shared" si="18"/>
        <v>#N/A</v>
      </c>
      <c r="G19" s="447" t="e">
        <f t="shared" si="18"/>
        <v>#N/A</v>
      </c>
      <c r="H19" s="447" t="e">
        <f t="shared" si="18"/>
        <v>#N/A</v>
      </c>
      <c r="I19" s="447" t="e">
        <f t="shared" si="18"/>
        <v>#N/A</v>
      </c>
      <c r="J19" s="447" t="e">
        <f t="shared" si="18"/>
        <v>#N/A</v>
      </c>
      <c r="K19" s="447" t="e">
        <f t="shared" si="18"/>
        <v>#N/A</v>
      </c>
      <c r="L19" s="447" t="e">
        <f t="shared" si="18"/>
        <v>#N/A</v>
      </c>
      <c r="M19" s="447" t="e">
        <f t="shared" si="18"/>
        <v>#N/A</v>
      </c>
      <c r="N19" s="447" t="e">
        <f t="shared" si="18"/>
        <v>#N/A</v>
      </c>
      <c r="O19" s="447" t="e">
        <f t="shared" si="18"/>
        <v>#N/A</v>
      </c>
      <c r="P19" s="447" t="e">
        <f t="shared" si="18"/>
        <v>#N/A</v>
      </c>
      <c r="Q19" s="447" t="e">
        <f t="shared" si="18"/>
        <v>#N/A</v>
      </c>
      <c r="R19" s="447" t="e">
        <f t="shared" si="18"/>
        <v>#N/A</v>
      </c>
      <c r="S19" s="447" t="e">
        <f t="shared" si="18"/>
        <v>#N/A</v>
      </c>
      <c r="T19" s="447" t="e">
        <f t="shared" si="18"/>
        <v>#N/A</v>
      </c>
      <c r="U19" s="447" t="e">
        <f t="shared" si="18"/>
        <v>#N/A</v>
      </c>
      <c r="V19" s="447" t="e">
        <f t="shared" si="18"/>
        <v>#N/A</v>
      </c>
      <c r="W19" s="447" t="e">
        <f t="shared" si="18"/>
        <v>#N/A</v>
      </c>
      <c r="X19" s="447" t="e">
        <f t="shared" si="18"/>
        <v>#N/A</v>
      </c>
      <c r="Y19" s="447" t="e">
        <f t="shared" si="18"/>
        <v>#N/A</v>
      </c>
      <c r="Z19" s="447" t="e">
        <f t="shared" si="18"/>
        <v>#N/A</v>
      </c>
      <c r="AA19" s="447" t="e">
        <f t="shared" si="18"/>
        <v>#N/A</v>
      </c>
      <c r="AB19" s="447" t="e">
        <f t="shared" si="18"/>
        <v>#N/A</v>
      </c>
      <c r="AC19" s="447" t="e">
        <f t="shared" si="18"/>
        <v>#N/A</v>
      </c>
      <c r="AD19" s="447" t="e">
        <f t="shared" si="18"/>
        <v>#N/A</v>
      </c>
      <c r="AE19" s="447" t="e">
        <f t="shared" si="18"/>
        <v>#N/A</v>
      </c>
      <c r="AF19" s="447" t="e">
        <f t="shared" si="18"/>
        <v>#N/A</v>
      </c>
      <c r="AG19" s="447" t="e">
        <f t="shared" si="18"/>
        <v>#N/A</v>
      </c>
      <c r="AH19" s="447" t="e">
        <f t="shared" si="18"/>
        <v>#N/A</v>
      </c>
      <c r="AI19" s="447" t="e">
        <f t="shared" si="18"/>
        <v>#N/A</v>
      </c>
      <c r="AJ19" s="447" t="e">
        <f t="shared" si="18"/>
        <v>#N/A</v>
      </c>
      <c r="AK19" s="447" t="e">
        <f t="shared" si="18"/>
        <v>#N/A</v>
      </c>
      <c r="AL19" s="447" t="e">
        <f t="shared" si="18"/>
        <v>#N/A</v>
      </c>
      <c r="AM19" s="447" t="e">
        <f t="shared" si="18"/>
        <v>#N/A</v>
      </c>
      <c r="AN19" s="447" t="e">
        <f t="shared" si="18"/>
        <v>#N/A</v>
      </c>
      <c r="AO19" s="447" t="e">
        <f t="shared" si="18"/>
        <v>#N/A</v>
      </c>
      <c r="AP19" s="447" t="e">
        <f t="shared" si="18"/>
        <v>#N/A</v>
      </c>
      <c r="AQ19" s="447" t="e">
        <f t="shared" si="18"/>
        <v>#N/A</v>
      </c>
      <c r="AR19" s="447" t="e">
        <f t="shared" si="18"/>
        <v>#N/A</v>
      </c>
      <c r="AS19" s="447" t="e">
        <f t="shared" si="18"/>
        <v>#N/A</v>
      </c>
      <c r="AT19" s="447" t="e">
        <f t="shared" si="18"/>
        <v>#N/A</v>
      </c>
      <c r="AU19" s="447" t="e">
        <f t="shared" si="18"/>
        <v>#N/A</v>
      </c>
      <c r="AV19" s="447" t="e">
        <f t="shared" si="18"/>
        <v>#N/A</v>
      </c>
      <c r="AW19" s="447" t="e">
        <f t="shared" si="18"/>
        <v>#N/A</v>
      </c>
      <c r="AX19" s="447" t="e">
        <f t="shared" si="18"/>
        <v>#N/A</v>
      </c>
      <c r="AY19" s="448" t="e">
        <f t="shared" si="18"/>
        <v>#N/A</v>
      </c>
    </row>
    <row r="20" spans="1:51">
      <c r="A20" s="442" t="s">
        <v>2925</v>
      </c>
      <c r="B20" s="446" t="e">
        <f t="shared" si="17"/>
        <v>#N/A</v>
      </c>
      <c r="C20" s="447" t="e">
        <f t="shared" si="18"/>
        <v>#N/A</v>
      </c>
      <c r="D20" s="447" t="e">
        <f t="shared" si="18"/>
        <v>#N/A</v>
      </c>
      <c r="E20" s="447" t="e">
        <f t="shared" si="18"/>
        <v>#N/A</v>
      </c>
      <c r="F20" s="447" t="e">
        <f t="shared" si="18"/>
        <v>#N/A</v>
      </c>
      <c r="G20" s="447" t="e">
        <f t="shared" si="18"/>
        <v>#N/A</v>
      </c>
      <c r="H20" s="447" t="e">
        <f t="shared" si="18"/>
        <v>#N/A</v>
      </c>
      <c r="I20" s="447" t="e">
        <f t="shared" si="18"/>
        <v>#N/A</v>
      </c>
      <c r="J20" s="447" t="e">
        <f t="shared" si="18"/>
        <v>#N/A</v>
      </c>
      <c r="K20" s="447" t="e">
        <f t="shared" si="18"/>
        <v>#N/A</v>
      </c>
      <c r="L20" s="447" t="e">
        <f t="shared" si="18"/>
        <v>#N/A</v>
      </c>
      <c r="M20" s="447" t="e">
        <f t="shared" si="18"/>
        <v>#N/A</v>
      </c>
      <c r="N20" s="447" t="e">
        <f t="shared" si="18"/>
        <v>#N/A</v>
      </c>
      <c r="O20" s="447" t="e">
        <f t="shared" si="18"/>
        <v>#N/A</v>
      </c>
      <c r="P20" s="447" t="e">
        <f t="shared" si="18"/>
        <v>#N/A</v>
      </c>
      <c r="Q20" s="447" t="e">
        <f t="shared" si="18"/>
        <v>#N/A</v>
      </c>
      <c r="R20" s="447" t="e">
        <f t="shared" si="18"/>
        <v>#N/A</v>
      </c>
      <c r="S20" s="447" t="e">
        <f t="shared" si="18"/>
        <v>#N/A</v>
      </c>
      <c r="T20" s="447" t="e">
        <f t="shared" si="18"/>
        <v>#N/A</v>
      </c>
      <c r="U20" s="447" t="e">
        <f t="shared" si="18"/>
        <v>#N/A</v>
      </c>
      <c r="V20" s="447" t="e">
        <f t="shared" si="18"/>
        <v>#N/A</v>
      </c>
      <c r="W20" s="447" t="e">
        <f t="shared" si="18"/>
        <v>#N/A</v>
      </c>
      <c r="X20" s="447" t="e">
        <f t="shared" si="18"/>
        <v>#N/A</v>
      </c>
      <c r="Y20" s="447" t="e">
        <f t="shared" si="18"/>
        <v>#N/A</v>
      </c>
      <c r="Z20" s="447" t="e">
        <f t="shared" si="18"/>
        <v>#N/A</v>
      </c>
      <c r="AA20" s="447" t="e">
        <f t="shared" si="18"/>
        <v>#N/A</v>
      </c>
      <c r="AB20" s="447" t="e">
        <f t="shared" si="18"/>
        <v>#N/A</v>
      </c>
      <c r="AC20" s="447" t="e">
        <f t="shared" si="18"/>
        <v>#N/A</v>
      </c>
      <c r="AD20" s="447" t="e">
        <f t="shared" si="18"/>
        <v>#N/A</v>
      </c>
      <c r="AE20" s="447" t="e">
        <f t="shared" si="18"/>
        <v>#N/A</v>
      </c>
      <c r="AF20" s="447" t="e">
        <f t="shared" si="18"/>
        <v>#N/A</v>
      </c>
      <c r="AG20" s="447" t="e">
        <f t="shared" si="18"/>
        <v>#N/A</v>
      </c>
      <c r="AH20" s="447" t="e">
        <f t="shared" si="18"/>
        <v>#N/A</v>
      </c>
      <c r="AI20" s="447" t="e">
        <f t="shared" si="18"/>
        <v>#N/A</v>
      </c>
      <c r="AJ20" s="447" t="e">
        <f t="shared" si="18"/>
        <v>#N/A</v>
      </c>
      <c r="AK20" s="447" t="e">
        <f t="shared" si="18"/>
        <v>#N/A</v>
      </c>
      <c r="AL20" s="447" t="e">
        <f t="shared" si="18"/>
        <v>#N/A</v>
      </c>
      <c r="AM20" s="447" t="e">
        <f t="shared" si="18"/>
        <v>#N/A</v>
      </c>
      <c r="AN20" s="447" t="e">
        <f t="shared" si="18"/>
        <v>#N/A</v>
      </c>
      <c r="AO20" s="447" t="e">
        <f t="shared" si="18"/>
        <v>#N/A</v>
      </c>
      <c r="AP20" s="447" t="e">
        <f t="shared" si="18"/>
        <v>#N/A</v>
      </c>
      <c r="AQ20" s="447" t="e">
        <f t="shared" si="18"/>
        <v>#N/A</v>
      </c>
      <c r="AR20" s="447" t="e">
        <f t="shared" si="18"/>
        <v>#N/A</v>
      </c>
      <c r="AS20" s="447" t="e">
        <f t="shared" si="18"/>
        <v>#N/A</v>
      </c>
      <c r="AT20" s="447" t="e">
        <f t="shared" si="18"/>
        <v>#N/A</v>
      </c>
      <c r="AU20" s="447" t="e">
        <f t="shared" si="18"/>
        <v>#N/A</v>
      </c>
      <c r="AV20" s="447" t="e">
        <f t="shared" si="18"/>
        <v>#N/A</v>
      </c>
      <c r="AW20" s="447" t="e">
        <f t="shared" si="18"/>
        <v>#N/A</v>
      </c>
      <c r="AX20" s="447" t="e">
        <f t="shared" si="18"/>
        <v>#N/A</v>
      </c>
      <c r="AY20" s="448" t="e">
        <f t="shared" si="18"/>
        <v>#N/A</v>
      </c>
    </row>
    <row r="21" spans="1:51">
      <c r="A21" s="442" t="s">
        <v>2926</v>
      </c>
      <c r="B21" s="446" t="e">
        <f t="shared" si="17"/>
        <v>#N/A</v>
      </c>
      <c r="C21" s="447" t="e">
        <f t="shared" si="18"/>
        <v>#N/A</v>
      </c>
      <c r="D21" s="447" t="e">
        <f t="shared" si="18"/>
        <v>#N/A</v>
      </c>
      <c r="E21" s="447" t="e">
        <f t="shared" si="18"/>
        <v>#N/A</v>
      </c>
      <c r="F21" s="447" t="e">
        <f t="shared" si="18"/>
        <v>#N/A</v>
      </c>
      <c r="G21" s="447" t="e">
        <f t="shared" si="18"/>
        <v>#N/A</v>
      </c>
      <c r="H21" s="447" t="e">
        <f t="shared" si="18"/>
        <v>#N/A</v>
      </c>
      <c r="I21" s="447" t="e">
        <f t="shared" si="18"/>
        <v>#N/A</v>
      </c>
      <c r="J21" s="447" t="e">
        <f t="shared" si="18"/>
        <v>#N/A</v>
      </c>
      <c r="K21" s="447" t="e">
        <f t="shared" si="18"/>
        <v>#N/A</v>
      </c>
      <c r="L21" s="447" t="e">
        <f t="shared" si="18"/>
        <v>#N/A</v>
      </c>
      <c r="M21" s="447" t="e">
        <f t="shared" si="18"/>
        <v>#N/A</v>
      </c>
      <c r="N21" s="447" t="e">
        <f t="shared" si="18"/>
        <v>#N/A</v>
      </c>
      <c r="O21" s="447" t="e">
        <f t="shared" si="18"/>
        <v>#N/A</v>
      </c>
      <c r="P21" s="447" t="e">
        <f t="shared" si="18"/>
        <v>#N/A</v>
      </c>
      <c r="Q21" s="447" t="e">
        <f t="shared" si="18"/>
        <v>#N/A</v>
      </c>
      <c r="R21" s="447" t="e">
        <f t="shared" si="18"/>
        <v>#N/A</v>
      </c>
      <c r="S21" s="447" t="e">
        <f t="shared" si="18"/>
        <v>#N/A</v>
      </c>
      <c r="T21" s="447" t="e">
        <f t="shared" si="18"/>
        <v>#N/A</v>
      </c>
      <c r="U21" s="447" t="e">
        <f t="shared" si="18"/>
        <v>#N/A</v>
      </c>
      <c r="V21" s="447" t="e">
        <f t="shared" si="18"/>
        <v>#N/A</v>
      </c>
      <c r="W21" s="447" t="e">
        <f t="shared" si="18"/>
        <v>#N/A</v>
      </c>
      <c r="X21" s="447" t="e">
        <f t="shared" si="18"/>
        <v>#N/A</v>
      </c>
      <c r="Y21" s="447" t="e">
        <f t="shared" si="18"/>
        <v>#N/A</v>
      </c>
      <c r="Z21" s="447" t="e">
        <f t="shared" si="18"/>
        <v>#N/A</v>
      </c>
      <c r="AA21" s="447" t="e">
        <f t="shared" si="18"/>
        <v>#N/A</v>
      </c>
      <c r="AB21" s="447" t="e">
        <f t="shared" si="18"/>
        <v>#N/A</v>
      </c>
      <c r="AC21" s="447" t="e">
        <f t="shared" si="18"/>
        <v>#N/A</v>
      </c>
      <c r="AD21" s="447" t="e">
        <f t="shared" si="18"/>
        <v>#N/A</v>
      </c>
      <c r="AE21" s="447" t="e">
        <f t="shared" si="18"/>
        <v>#N/A</v>
      </c>
      <c r="AF21" s="447" t="e">
        <f t="shared" si="18"/>
        <v>#N/A</v>
      </c>
      <c r="AG21" s="447" t="e">
        <f t="shared" si="18"/>
        <v>#N/A</v>
      </c>
      <c r="AH21" s="447" t="e">
        <f t="shared" si="18"/>
        <v>#N/A</v>
      </c>
      <c r="AI21" s="447" t="e">
        <f t="shared" si="18"/>
        <v>#N/A</v>
      </c>
      <c r="AJ21" s="447" t="e">
        <f t="shared" si="18"/>
        <v>#N/A</v>
      </c>
      <c r="AK21" s="447" t="e">
        <f t="shared" si="18"/>
        <v>#N/A</v>
      </c>
      <c r="AL21" s="447" t="e">
        <f t="shared" si="18"/>
        <v>#N/A</v>
      </c>
      <c r="AM21" s="447" t="e">
        <f t="shared" si="18"/>
        <v>#N/A</v>
      </c>
      <c r="AN21" s="447" t="e">
        <f t="shared" si="18"/>
        <v>#N/A</v>
      </c>
      <c r="AO21" s="447" t="e">
        <f t="shared" si="18"/>
        <v>#N/A</v>
      </c>
      <c r="AP21" s="447" t="e">
        <f t="shared" si="18"/>
        <v>#N/A</v>
      </c>
      <c r="AQ21" s="447" t="e">
        <f t="shared" si="18"/>
        <v>#N/A</v>
      </c>
      <c r="AR21" s="447" t="e">
        <f t="shared" si="18"/>
        <v>#N/A</v>
      </c>
      <c r="AS21" s="447" t="e">
        <f t="shared" si="18"/>
        <v>#N/A</v>
      </c>
      <c r="AT21" s="447" t="e">
        <f t="shared" si="18"/>
        <v>#N/A</v>
      </c>
      <c r="AU21" s="447" t="e">
        <f t="shared" si="18"/>
        <v>#N/A</v>
      </c>
      <c r="AV21" s="447" t="e">
        <f t="shared" si="18"/>
        <v>#N/A</v>
      </c>
      <c r="AW21" s="447" t="e">
        <f t="shared" si="18"/>
        <v>#N/A</v>
      </c>
      <c r="AX21" s="447" t="e">
        <f t="shared" si="18"/>
        <v>#N/A</v>
      </c>
      <c r="AY21" s="448" t="e">
        <f t="shared" si="18"/>
        <v>#N/A</v>
      </c>
    </row>
    <row r="22" spans="1:51">
      <c r="A22" s="442" t="s">
        <v>2905</v>
      </c>
      <c r="B22" s="443" t="e">
        <f t="shared" si="17"/>
        <v>#N/A</v>
      </c>
      <c r="C22" s="444" t="e">
        <f t="shared" si="18"/>
        <v>#N/A</v>
      </c>
      <c r="D22" s="444" t="e">
        <f t="shared" si="18"/>
        <v>#N/A</v>
      </c>
      <c r="E22" s="444" t="e">
        <f t="shared" si="18"/>
        <v>#N/A</v>
      </c>
      <c r="F22" s="444" t="e">
        <f t="shared" si="18"/>
        <v>#N/A</v>
      </c>
      <c r="G22" s="444" t="e">
        <f t="shared" si="18"/>
        <v>#N/A</v>
      </c>
      <c r="H22" s="444" t="e">
        <f t="shared" si="18"/>
        <v>#N/A</v>
      </c>
      <c r="I22" s="444" t="e">
        <f t="shared" si="18"/>
        <v>#N/A</v>
      </c>
      <c r="J22" s="444" t="e">
        <f t="shared" si="18"/>
        <v>#N/A</v>
      </c>
      <c r="K22" s="444" t="e">
        <f t="shared" si="18"/>
        <v>#N/A</v>
      </c>
      <c r="L22" s="444" t="e">
        <f t="shared" si="18"/>
        <v>#N/A</v>
      </c>
      <c r="M22" s="444" t="e">
        <f t="shared" ref="M22:AY22" si="19">(M11/(1+$C$3)^(M$16-0.5)+L22)</f>
        <v>#N/A</v>
      </c>
      <c r="N22" s="444" t="e">
        <f t="shared" si="19"/>
        <v>#N/A</v>
      </c>
      <c r="O22" s="444" t="e">
        <f t="shared" si="19"/>
        <v>#N/A</v>
      </c>
      <c r="P22" s="444" t="e">
        <f t="shared" si="19"/>
        <v>#N/A</v>
      </c>
      <c r="Q22" s="444" t="e">
        <f t="shared" si="19"/>
        <v>#N/A</v>
      </c>
      <c r="R22" s="444" t="e">
        <f t="shared" si="19"/>
        <v>#N/A</v>
      </c>
      <c r="S22" s="444" t="e">
        <f t="shared" si="19"/>
        <v>#N/A</v>
      </c>
      <c r="T22" s="444" t="e">
        <f t="shared" si="19"/>
        <v>#N/A</v>
      </c>
      <c r="U22" s="444" t="e">
        <f t="shared" si="19"/>
        <v>#N/A</v>
      </c>
      <c r="V22" s="444" t="e">
        <f t="shared" si="19"/>
        <v>#N/A</v>
      </c>
      <c r="W22" s="444" t="e">
        <f t="shared" si="19"/>
        <v>#N/A</v>
      </c>
      <c r="X22" s="444" t="e">
        <f t="shared" si="19"/>
        <v>#N/A</v>
      </c>
      <c r="Y22" s="444" t="e">
        <f t="shared" si="19"/>
        <v>#N/A</v>
      </c>
      <c r="Z22" s="444" t="e">
        <f t="shared" si="19"/>
        <v>#N/A</v>
      </c>
      <c r="AA22" s="444" t="e">
        <f t="shared" si="19"/>
        <v>#N/A</v>
      </c>
      <c r="AB22" s="444" t="e">
        <f t="shared" si="19"/>
        <v>#N/A</v>
      </c>
      <c r="AC22" s="444" t="e">
        <f t="shared" si="19"/>
        <v>#N/A</v>
      </c>
      <c r="AD22" s="444" t="e">
        <f t="shared" si="19"/>
        <v>#N/A</v>
      </c>
      <c r="AE22" s="444" t="e">
        <f t="shared" si="19"/>
        <v>#N/A</v>
      </c>
      <c r="AF22" s="444" t="e">
        <f t="shared" si="19"/>
        <v>#N/A</v>
      </c>
      <c r="AG22" s="444" t="e">
        <f t="shared" si="19"/>
        <v>#N/A</v>
      </c>
      <c r="AH22" s="444" t="e">
        <f t="shared" si="19"/>
        <v>#N/A</v>
      </c>
      <c r="AI22" s="444" t="e">
        <f t="shared" si="19"/>
        <v>#N/A</v>
      </c>
      <c r="AJ22" s="444" t="e">
        <f t="shared" si="19"/>
        <v>#N/A</v>
      </c>
      <c r="AK22" s="444" t="e">
        <f t="shared" si="19"/>
        <v>#N/A</v>
      </c>
      <c r="AL22" s="444" t="e">
        <f t="shared" si="19"/>
        <v>#N/A</v>
      </c>
      <c r="AM22" s="444" t="e">
        <f t="shared" si="19"/>
        <v>#N/A</v>
      </c>
      <c r="AN22" s="444" t="e">
        <f t="shared" si="19"/>
        <v>#N/A</v>
      </c>
      <c r="AO22" s="444" t="e">
        <f t="shared" si="19"/>
        <v>#N/A</v>
      </c>
      <c r="AP22" s="444" t="e">
        <f t="shared" si="19"/>
        <v>#N/A</v>
      </c>
      <c r="AQ22" s="444" t="e">
        <f t="shared" si="19"/>
        <v>#N/A</v>
      </c>
      <c r="AR22" s="444" t="e">
        <f t="shared" si="19"/>
        <v>#N/A</v>
      </c>
      <c r="AS22" s="444" t="e">
        <f t="shared" si="19"/>
        <v>#N/A</v>
      </c>
      <c r="AT22" s="444" t="e">
        <f t="shared" si="19"/>
        <v>#N/A</v>
      </c>
      <c r="AU22" s="444" t="e">
        <f t="shared" si="19"/>
        <v>#N/A</v>
      </c>
      <c r="AV22" s="444" t="e">
        <f t="shared" si="19"/>
        <v>#N/A</v>
      </c>
      <c r="AW22" s="444" t="e">
        <f t="shared" si="19"/>
        <v>#N/A</v>
      </c>
      <c r="AX22" s="444" t="e">
        <f t="shared" si="19"/>
        <v>#N/A</v>
      </c>
      <c r="AY22" s="445" t="e">
        <f t="shared" si="19"/>
        <v>#N/A</v>
      </c>
    </row>
    <row r="23" spans="1:51">
      <c r="A23" s="442" t="s">
        <v>2906</v>
      </c>
      <c r="B23" s="446" t="e">
        <f t="shared" si="17"/>
        <v>#N/A</v>
      </c>
      <c r="C23" s="447" t="e">
        <f t="shared" ref="C23:L23" si="20">(C12/(1+$C$3)^(C$16-0.5)+B23)</f>
        <v>#N/A</v>
      </c>
      <c r="D23" s="447" t="e">
        <f t="shared" si="20"/>
        <v>#N/A</v>
      </c>
      <c r="E23" s="447" t="e">
        <f t="shared" si="20"/>
        <v>#N/A</v>
      </c>
      <c r="F23" s="447" t="e">
        <f t="shared" si="20"/>
        <v>#N/A</v>
      </c>
      <c r="G23" s="447" t="e">
        <f t="shared" si="20"/>
        <v>#N/A</v>
      </c>
      <c r="H23" s="447" t="e">
        <f t="shared" si="20"/>
        <v>#N/A</v>
      </c>
      <c r="I23" s="447" t="e">
        <f t="shared" si="20"/>
        <v>#N/A</v>
      </c>
      <c r="J23" s="447" t="e">
        <f t="shared" si="20"/>
        <v>#N/A</v>
      </c>
      <c r="K23" s="447" t="e">
        <f t="shared" si="20"/>
        <v>#N/A</v>
      </c>
      <c r="L23" s="447" t="e">
        <f t="shared" si="20"/>
        <v>#N/A</v>
      </c>
      <c r="M23" s="447" t="e">
        <f t="shared" ref="M23:AY23" si="21">(M12/(1+$C$3)^(M$16-0.5)+L23)</f>
        <v>#N/A</v>
      </c>
      <c r="N23" s="447" t="e">
        <f t="shared" si="21"/>
        <v>#N/A</v>
      </c>
      <c r="O23" s="447" t="e">
        <f t="shared" si="21"/>
        <v>#N/A</v>
      </c>
      <c r="P23" s="447" t="e">
        <f t="shared" si="21"/>
        <v>#N/A</v>
      </c>
      <c r="Q23" s="447" t="e">
        <f t="shared" si="21"/>
        <v>#N/A</v>
      </c>
      <c r="R23" s="447" t="e">
        <f t="shared" si="21"/>
        <v>#N/A</v>
      </c>
      <c r="S23" s="447" t="e">
        <f t="shared" si="21"/>
        <v>#N/A</v>
      </c>
      <c r="T23" s="447" t="e">
        <f t="shared" si="21"/>
        <v>#N/A</v>
      </c>
      <c r="U23" s="447" t="e">
        <f t="shared" si="21"/>
        <v>#N/A</v>
      </c>
      <c r="V23" s="447" t="e">
        <f t="shared" si="21"/>
        <v>#N/A</v>
      </c>
      <c r="W23" s="447" t="e">
        <f t="shared" si="21"/>
        <v>#N/A</v>
      </c>
      <c r="X23" s="447" t="e">
        <f t="shared" si="21"/>
        <v>#N/A</v>
      </c>
      <c r="Y23" s="447" t="e">
        <f t="shared" si="21"/>
        <v>#N/A</v>
      </c>
      <c r="Z23" s="447" t="e">
        <f t="shared" si="21"/>
        <v>#N/A</v>
      </c>
      <c r="AA23" s="447" t="e">
        <f t="shared" si="21"/>
        <v>#N/A</v>
      </c>
      <c r="AB23" s="447" t="e">
        <f t="shared" si="21"/>
        <v>#N/A</v>
      </c>
      <c r="AC23" s="447" t="e">
        <f t="shared" si="21"/>
        <v>#N/A</v>
      </c>
      <c r="AD23" s="447" t="e">
        <f t="shared" si="21"/>
        <v>#N/A</v>
      </c>
      <c r="AE23" s="447" t="e">
        <f t="shared" si="21"/>
        <v>#N/A</v>
      </c>
      <c r="AF23" s="447" t="e">
        <f t="shared" si="21"/>
        <v>#N/A</v>
      </c>
      <c r="AG23" s="447" t="e">
        <f t="shared" si="21"/>
        <v>#N/A</v>
      </c>
      <c r="AH23" s="447" t="e">
        <f t="shared" si="21"/>
        <v>#N/A</v>
      </c>
      <c r="AI23" s="447" t="e">
        <f t="shared" si="21"/>
        <v>#N/A</v>
      </c>
      <c r="AJ23" s="447" t="e">
        <f t="shared" si="21"/>
        <v>#N/A</v>
      </c>
      <c r="AK23" s="447" t="e">
        <f t="shared" si="21"/>
        <v>#N/A</v>
      </c>
      <c r="AL23" s="447" t="e">
        <f t="shared" si="21"/>
        <v>#N/A</v>
      </c>
      <c r="AM23" s="447" t="e">
        <f t="shared" si="21"/>
        <v>#N/A</v>
      </c>
      <c r="AN23" s="447" t="e">
        <f t="shared" si="21"/>
        <v>#N/A</v>
      </c>
      <c r="AO23" s="447" t="e">
        <f t="shared" si="21"/>
        <v>#N/A</v>
      </c>
      <c r="AP23" s="447" t="e">
        <f t="shared" si="21"/>
        <v>#N/A</v>
      </c>
      <c r="AQ23" s="447" t="e">
        <f t="shared" si="21"/>
        <v>#N/A</v>
      </c>
      <c r="AR23" s="447" t="e">
        <f t="shared" si="21"/>
        <v>#N/A</v>
      </c>
      <c r="AS23" s="447" t="e">
        <f t="shared" si="21"/>
        <v>#N/A</v>
      </c>
      <c r="AT23" s="447" t="e">
        <f t="shared" si="21"/>
        <v>#N/A</v>
      </c>
      <c r="AU23" s="447" t="e">
        <f t="shared" si="21"/>
        <v>#N/A</v>
      </c>
      <c r="AV23" s="447" t="e">
        <f t="shared" si="21"/>
        <v>#N/A</v>
      </c>
      <c r="AW23" s="447" t="e">
        <f t="shared" si="21"/>
        <v>#N/A</v>
      </c>
      <c r="AX23" s="447" t="e">
        <f t="shared" si="21"/>
        <v>#N/A</v>
      </c>
      <c r="AY23" s="448" t="e">
        <f t="shared" si="21"/>
        <v>#N/A</v>
      </c>
    </row>
    <row r="24" spans="1:51" ht="12.75" thickBot="1">
      <c r="A24" s="449" t="s">
        <v>2907</v>
      </c>
      <c r="B24" s="450" t="e">
        <f t="shared" si="17"/>
        <v>#N/A</v>
      </c>
      <c r="C24" s="451" t="e">
        <f t="shared" ref="C24:L24" si="22">(C13/(1+$C$3)^(C$16-0.5)+B24)</f>
        <v>#N/A</v>
      </c>
      <c r="D24" s="451" t="e">
        <f t="shared" si="22"/>
        <v>#N/A</v>
      </c>
      <c r="E24" s="451" t="e">
        <f t="shared" si="22"/>
        <v>#N/A</v>
      </c>
      <c r="F24" s="451" t="e">
        <f t="shared" si="22"/>
        <v>#N/A</v>
      </c>
      <c r="G24" s="451" t="e">
        <f t="shared" si="22"/>
        <v>#N/A</v>
      </c>
      <c r="H24" s="451" t="e">
        <f t="shared" si="22"/>
        <v>#N/A</v>
      </c>
      <c r="I24" s="451" t="e">
        <f t="shared" si="22"/>
        <v>#N/A</v>
      </c>
      <c r="J24" s="451" t="e">
        <f t="shared" si="22"/>
        <v>#N/A</v>
      </c>
      <c r="K24" s="451" t="e">
        <f t="shared" si="22"/>
        <v>#N/A</v>
      </c>
      <c r="L24" s="451" t="e">
        <f t="shared" si="22"/>
        <v>#N/A</v>
      </c>
      <c r="M24" s="451" t="e">
        <f t="shared" ref="M24:AY24" si="23">(M13/(1+$C$3)^(M$16-0.5)+L24)</f>
        <v>#N/A</v>
      </c>
      <c r="N24" s="451" t="e">
        <f t="shared" si="23"/>
        <v>#N/A</v>
      </c>
      <c r="O24" s="451" t="e">
        <f t="shared" si="23"/>
        <v>#N/A</v>
      </c>
      <c r="P24" s="451" t="e">
        <f t="shared" si="23"/>
        <v>#N/A</v>
      </c>
      <c r="Q24" s="451" t="e">
        <f t="shared" si="23"/>
        <v>#N/A</v>
      </c>
      <c r="R24" s="451" t="e">
        <f t="shared" si="23"/>
        <v>#N/A</v>
      </c>
      <c r="S24" s="451" t="e">
        <f t="shared" si="23"/>
        <v>#N/A</v>
      </c>
      <c r="T24" s="451" t="e">
        <f t="shared" si="23"/>
        <v>#N/A</v>
      </c>
      <c r="U24" s="451" t="e">
        <f t="shared" si="23"/>
        <v>#N/A</v>
      </c>
      <c r="V24" s="451" t="e">
        <f t="shared" si="23"/>
        <v>#N/A</v>
      </c>
      <c r="W24" s="451" t="e">
        <f t="shared" si="23"/>
        <v>#N/A</v>
      </c>
      <c r="X24" s="451" t="e">
        <f t="shared" si="23"/>
        <v>#N/A</v>
      </c>
      <c r="Y24" s="451" t="e">
        <f t="shared" si="23"/>
        <v>#N/A</v>
      </c>
      <c r="Z24" s="451" t="e">
        <f t="shared" si="23"/>
        <v>#N/A</v>
      </c>
      <c r="AA24" s="451" t="e">
        <f t="shared" si="23"/>
        <v>#N/A</v>
      </c>
      <c r="AB24" s="451" t="e">
        <f t="shared" si="23"/>
        <v>#N/A</v>
      </c>
      <c r="AC24" s="451" t="e">
        <f t="shared" si="23"/>
        <v>#N/A</v>
      </c>
      <c r="AD24" s="451" t="e">
        <f t="shared" si="23"/>
        <v>#N/A</v>
      </c>
      <c r="AE24" s="451" t="e">
        <f t="shared" si="23"/>
        <v>#N/A</v>
      </c>
      <c r="AF24" s="451" t="e">
        <f t="shared" si="23"/>
        <v>#N/A</v>
      </c>
      <c r="AG24" s="451" t="e">
        <f t="shared" si="23"/>
        <v>#N/A</v>
      </c>
      <c r="AH24" s="451" t="e">
        <f t="shared" si="23"/>
        <v>#N/A</v>
      </c>
      <c r="AI24" s="451" t="e">
        <f t="shared" si="23"/>
        <v>#N/A</v>
      </c>
      <c r="AJ24" s="451" t="e">
        <f t="shared" si="23"/>
        <v>#N/A</v>
      </c>
      <c r="AK24" s="451" t="e">
        <f t="shared" si="23"/>
        <v>#N/A</v>
      </c>
      <c r="AL24" s="451" t="e">
        <f t="shared" si="23"/>
        <v>#N/A</v>
      </c>
      <c r="AM24" s="451" t="e">
        <f t="shared" si="23"/>
        <v>#N/A</v>
      </c>
      <c r="AN24" s="451" t="e">
        <f t="shared" si="23"/>
        <v>#N/A</v>
      </c>
      <c r="AO24" s="451" t="e">
        <f t="shared" si="23"/>
        <v>#N/A</v>
      </c>
      <c r="AP24" s="451" t="e">
        <f t="shared" si="23"/>
        <v>#N/A</v>
      </c>
      <c r="AQ24" s="451" t="e">
        <f t="shared" si="23"/>
        <v>#N/A</v>
      </c>
      <c r="AR24" s="451" t="e">
        <f t="shared" si="23"/>
        <v>#N/A</v>
      </c>
      <c r="AS24" s="451" t="e">
        <f t="shared" si="23"/>
        <v>#N/A</v>
      </c>
      <c r="AT24" s="451" t="e">
        <f t="shared" si="23"/>
        <v>#N/A</v>
      </c>
      <c r="AU24" s="451" t="e">
        <f t="shared" si="23"/>
        <v>#N/A</v>
      </c>
      <c r="AV24" s="451" t="e">
        <f t="shared" si="23"/>
        <v>#N/A</v>
      </c>
      <c r="AW24" s="451" t="e">
        <f t="shared" si="23"/>
        <v>#N/A</v>
      </c>
      <c r="AX24" s="451" t="e">
        <f t="shared" si="23"/>
        <v>#N/A</v>
      </c>
      <c r="AY24" s="452" t="e">
        <f t="shared" si="23"/>
        <v>#N/A</v>
      </c>
    </row>
    <row r="26" spans="1:51" ht="15.75">
      <c r="A26" s="454" t="s">
        <v>2909</v>
      </c>
      <c r="B26" s="453"/>
      <c r="C26" s="453"/>
      <c r="D26" s="453"/>
      <c r="E26" s="453"/>
      <c r="F26" s="453"/>
      <c r="G26" s="453"/>
      <c r="H26" s="453"/>
      <c r="I26" s="453"/>
      <c r="J26" s="453"/>
      <c r="K26" s="453"/>
      <c r="L26" s="453"/>
      <c r="M26" s="453"/>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3"/>
      <c r="AO26" s="453"/>
      <c r="AP26" s="453"/>
      <c r="AQ26" s="453"/>
      <c r="AR26" s="453"/>
      <c r="AS26" s="453"/>
      <c r="AT26" s="453"/>
      <c r="AU26" s="453"/>
      <c r="AV26" s="453"/>
      <c r="AW26" s="453"/>
      <c r="AX26" s="453"/>
      <c r="AY26" s="453"/>
    </row>
    <row r="27" spans="1:51" ht="15.75" thickBot="1">
      <c r="A27" s="433" t="s">
        <v>2898</v>
      </c>
    </row>
    <row r="28" spans="1:51" ht="12.75" thickBot="1">
      <c r="A28" s="434" t="s">
        <v>2899</v>
      </c>
      <c r="B28" s="435">
        <v>2010</v>
      </c>
      <c r="C28" s="436">
        <v>2011</v>
      </c>
      <c r="D28" s="436">
        <v>2012</v>
      </c>
      <c r="E28" s="436">
        <v>2013</v>
      </c>
      <c r="F28" s="436">
        <v>2014</v>
      </c>
      <c r="G28" s="436">
        <v>2015</v>
      </c>
      <c r="H28" s="436">
        <v>2016</v>
      </c>
      <c r="I28" s="436">
        <v>2017</v>
      </c>
      <c r="J28" s="436">
        <v>2018</v>
      </c>
      <c r="K28" s="436">
        <v>2019</v>
      </c>
      <c r="L28" s="436">
        <v>2020</v>
      </c>
      <c r="M28" s="436">
        <v>2021</v>
      </c>
      <c r="N28" s="436">
        <v>2022</v>
      </c>
      <c r="O28" s="436">
        <v>2023</v>
      </c>
      <c r="P28" s="436">
        <v>2024</v>
      </c>
      <c r="Q28" s="436">
        <v>2025</v>
      </c>
      <c r="R28" s="436">
        <v>2026</v>
      </c>
      <c r="S28" s="436">
        <v>2027</v>
      </c>
      <c r="T28" s="436">
        <v>2028</v>
      </c>
      <c r="U28" s="436">
        <v>2029</v>
      </c>
      <c r="V28" s="436">
        <v>2030</v>
      </c>
      <c r="W28" s="436">
        <v>2031</v>
      </c>
      <c r="X28" s="436">
        <v>2032</v>
      </c>
      <c r="Y28" s="436">
        <v>2033</v>
      </c>
      <c r="Z28" s="436">
        <v>2034</v>
      </c>
      <c r="AA28" s="436">
        <v>2035</v>
      </c>
      <c r="AB28" s="436">
        <v>2036</v>
      </c>
      <c r="AC28" s="436">
        <v>2037</v>
      </c>
      <c r="AD28" s="436">
        <v>2038</v>
      </c>
      <c r="AE28" s="436">
        <v>2039</v>
      </c>
      <c r="AF28" s="436">
        <v>2040</v>
      </c>
      <c r="AG28" s="436">
        <v>2041</v>
      </c>
      <c r="AH28" s="436">
        <v>2042</v>
      </c>
      <c r="AI28" s="436">
        <v>2043</v>
      </c>
      <c r="AJ28" s="436">
        <v>2044</v>
      </c>
      <c r="AK28" s="436">
        <v>2045</v>
      </c>
      <c r="AL28" s="436">
        <v>2046</v>
      </c>
      <c r="AM28" s="436">
        <v>2047</v>
      </c>
      <c r="AN28" s="436">
        <v>2048</v>
      </c>
      <c r="AO28" s="436">
        <v>2049</v>
      </c>
      <c r="AP28" s="436">
        <v>2050</v>
      </c>
      <c r="AQ28" s="436">
        <v>2051</v>
      </c>
      <c r="AR28" s="436">
        <v>2052</v>
      </c>
      <c r="AS28" s="436">
        <v>2053</v>
      </c>
      <c r="AT28" s="436">
        <v>2054</v>
      </c>
      <c r="AU28" s="436">
        <v>2055</v>
      </c>
      <c r="AV28" s="436">
        <v>2056</v>
      </c>
      <c r="AW28" s="436">
        <v>2057</v>
      </c>
      <c r="AX28" s="436">
        <v>2058</v>
      </c>
      <c r="AY28" s="437">
        <v>2059</v>
      </c>
    </row>
    <row r="29" spans="1:51">
      <c r="A29" s="438" t="s">
        <v>2910</v>
      </c>
      <c r="B29" s="774">
        <v>8.5398706896551727E-2</v>
      </c>
      <c r="C29" s="775">
        <v>8.4051724137931036E-2</v>
      </c>
      <c r="D29" s="775">
        <v>8.2737068965517233E-2</v>
      </c>
      <c r="E29" s="775">
        <v>8.2090517241379321E-2</v>
      </c>
      <c r="F29" s="775">
        <v>8.1454741379310344E-2</v>
      </c>
      <c r="G29" s="775">
        <v>8.0818965517241367E-2</v>
      </c>
      <c r="H29" s="775">
        <v>8.1023706896551709E-2</v>
      </c>
      <c r="I29" s="775">
        <v>8.1217672413793102E-2</v>
      </c>
      <c r="J29" s="775">
        <v>8.1422413793103443E-2</v>
      </c>
      <c r="K29" s="775">
        <v>8.1616379310344822E-2</v>
      </c>
      <c r="L29" s="775">
        <v>8.1821120689655177E-2</v>
      </c>
      <c r="M29" s="775">
        <v>8.2015086206896542E-2</v>
      </c>
      <c r="N29" s="775">
        <v>8.2219827586206884E-2</v>
      </c>
      <c r="O29" s="775">
        <v>8.2424568965517225E-2</v>
      </c>
      <c r="P29" s="775">
        <v>8.2629310344827595E-2</v>
      </c>
      <c r="Q29" s="775">
        <v>8.2629310344827595E-2</v>
      </c>
      <c r="R29" s="775">
        <v>8.2629310344827595E-2</v>
      </c>
      <c r="S29" s="775">
        <v>8.2629310344827595E-2</v>
      </c>
      <c r="T29" s="775">
        <v>8.2629310344827595E-2</v>
      </c>
      <c r="U29" s="775">
        <v>8.2629310344827595E-2</v>
      </c>
      <c r="V29" s="775">
        <v>8.2629310344827595E-2</v>
      </c>
      <c r="W29" s="775">
        <v>8.2629310344827595E-2</v>
      </c>
      <c r="X29" s="775">
        <v>8.2629310344827595E-2</v>
      </c>
      <c r="Y29" s="775">
        <v>8.2629310344827595E-2</v>
      </c>
      <c r="Z29" s="775">
        <v>8.2629310344827595E-2</v>
      </c>
      <c r="AA29" s="775">
        <v>8.2629310344827595E-2</v>
      </c>
      <c r="AB29" s="775">
        <v>8.2629310344827595E-2</v>
      </c>
      <c r="AC29" s="775">
        <v>8.2629310344827595E-2</v>
      </c>
      <c r="AD29" s="775">
        <v>8.2629310344827595E-2</v>
      </c>
      <c r="AE29" s="775">
        <v>8.2629310344827595E-2</v>
      </c>
      <c r="AF29" s="775">
        <v>8.2629310344827595E-2</v>
      </c>
      <c r="AG29" s="775">
        <v>8.2629310344827595E-2</v>
      </c>
      <c r="AH29" s="775">
        <v>8.2629310344827595E-2</v>
      </c>
      <c r="AI29" s="775">
        <v>8.2629310344827595E-2</v>
      </c>
      <c r="AJ29" s="775">
        <v>8.2629310344827595E-2</v>
      </c>
      <c r="AK29" s="775">
        <v>8.2629310344827595E-2</v>
      </c>
      <c r="AL29" s="775">
        <v>8.2629310344827595E-2</v>
      </c>
      <c r="AM29" s="775">
        <v>8.2629310344827595E-2</v>
      </c>
      <c r="AN29" s="775">
        <v>8.2629310344827595E-2</v>
      </c>
      <c r="AO29" s="775">
        <v>8.2629310344827595E-2</v>
      </c>
      <c r="AP29" s="775">
        <v>8.2629310344827595E-2</v>
      </c>
      <c r="AQ29" s="775">
        <v>8.2629310344827595E-2</v>
      </c>
      <c r="AR29" s="775">
        <v>8.2629310344827595E-2</v>
      </c>
      <c r="AS29" s="775">
        <v>8.2629310344827595E-2</v>
      </c>
      <c r="AT29" s="775">
        <v>8.2629310344827595E-2</v>
      </c>
      <c r="AU29" s="775">
        <v>8.2629310344827595E-2</v>
      </c>
      <c r="AV29" s="775">
        <v>8.2629310344827595E-2</v>
      </c>
      <c r="AW29" s="775">
        <v>8.2629310344827595E-2</v>
      </c>
      <c r="AX29" s="775">
        <v>8.2629310344827595E-2</v>
      </c>
      <c r="AY29" s="776">
        <v>8.2629310344827595E-2</v>
      </c>
    </row>
    <row r="30" spans="1:51">
      <c r="A30" s="442" t="s">
        <v>2911</v>
      </c>
      <c r="B30" s="462">
        <v>85.398706896551715</v>
      </c>
      <c r="C30" s="463">
        <v>92.53232758620689</v>
      </c>
      <c r="D30" s="463">
        <v>99.234913793103431</v>
      </c>
      <c r="E30" s="463">
        <v>105.54956896551724</v>
      </c>
      <c r="F30" s="463">
        <v>111.48706896551724</v>
      </c>
      <c r="G30" s="463">
        <v>117.06896551724137</v>
      </c>
      <c r="H30" s="463">
        <v>122.32758620689654</v>
      </c>
      <c r="I30" s="463">
        <v>127.26293103448276</v>
      </c>
      <c r="J30" s="463">
        <v>131.90732758620689</v>
      </c>
      <c r="K30" s="463">
        <v>136.27155172413794</v>
      </c>
      <c r="L30" s="463">
        <v>140.36637931034483</v>
      </c>
      <c r="M30" s="463">
        <v>144.21336206896549</v>
      </c>
      <c r="N30" s="463">
        <v>144.21336206896549</v>
      </c>
      <c r="O30" s="463">
        <v>144.21336206896549</v>
      </c>
      <c r="P30" s="463">
        <v>144.21336206896549</v>
      </c>
      <c r="Q30" s="463">
        <v>144.21336206896549</v>
      </c>
      <c r="R30" s="463">
        <v>144.21336206896501</v>
      </c>
      <c r="S30" s="463">
        <v>144.21336206896501</v>
      </c>
      <c r="T30" s="463">
        <v>144.21336206896501</v>
      </c>
      <c r="U30" s="463">
        <v>144.21336206896501</v>
      </c>
      <c r="V30" s="463">
        <v>144.21336206896501</v>
      </c>
      <c r="W30" s="463">
        <v>144.21336206896501</v>
      </c>
      <c r="X30" s="463">
        <v>144.21336206896501</v>
      </c>
      <c r="Y30" s="463">
        <v>144.21336206896501</v>
      </c>
      <c r="Z30" s="463">
        <v>144.21336206896501</v>
      </c>
      <c r="AA30" s="463">
        <v>144.21336206896501</v>
      </c>
      <c r="AB30" s="463">
        <v>144.21336206896501</v>
      </c>
      <c r="AC30" s="463">
        <v>144.21336206896501</v>
      </c>
      <c r="AD30" s="463">
        <v>144.21336206896501</v>
      </c>
      <c r="AE30" s="463">
        <v>144.21336206896501</v>
      </c>
      <c r="AF30" s="463">
        <v>144.21336206896501</v>
      </c>
      <c r="AG30" s="463">
        <v>144.21336206896501</v>
      </c>
      <c r="AH30" s="463">
        <v>144.21336206896501</v>
      </c>
      <c r="AI30" s="463">
        <v>144.21336206896501</v>
      </c>
      <c r="AJ30" s="463">
        <v>144.21336206896501</v>
      </c>
      <c r="AK30" s="463">
        <v>144.21336206896501</v>
      </c>
      <c r="AL30" s="463">
        <v>144.21336206896501</v>
      </c>
      <c r="AM30" s="463">
        <v>144.21336206896501</v>
      </c>
      <c r="AN30" s="463">
        <v>144.21336206896501</v>
      </c>
      <c r="AO30" s="463">
        <v>144.21336206896501</v>
      </c>
      <c r="AP30" s="463">
        <v>144.21336206896501</v>
      </c>
      <c r="AQ30" s="463">
        <v>144.21336206896501</v>
      </c>
      <c r="AR30" s="463">
        <v>144.21336206896501</v>
      </c>
      <c r="AS30" s="463">
        <v>144.21336206896501</v>
      </c>
      <c r="AT30" s="463">
        <v>144.21336206896501</v>
      </c>
      <c r="AU30" s="463">
        <v>144.21336206896501</v>
      </c>
      <c r="AV30" s="463">
        <v>144.21336206896501</v>
      </c>
      <c r="AW30" s="463">
        <v>144.21336206896501</v>
      </c>
      <c r="AX30" s="463">
        <v>144.21336206896501</v>
      </c>
      <c r="AY30" s="464">
        <v>144.21336206896501</v>
      </c>
    </row>
    <row r="31" spans="1:51">
      <c r="A31" s="442" t="s">
        <v>2912</v>
      </c>
      <c r="B31" s="462">
        <v>10.24</v>
      </c>
      <c r="C31" s="463">
        <v>10.01</v>
      </c>
      <c r="D31" s="463">
        <v>9.7899999999999991</v>
      </c>
      <c r="E31" s="463">
        <v>9.7899999999999991</v>
      </c>
      <c r="F31" s="463">
        <v>9.7899999999999991</v>
      </c>
      <c r="G31" s="463">
        <v>9.7899999999999991</v>
      </c>
      <c r="H31" s="463">
        <v>9.8699999999999992</v>
      </c>
      <c r="I31" s="463">
        <v>9.94</v>
      </c>
      <c r="J31" s="463">
        <v>10.02</v>
      </c>
      <c r="K31" s="463">
        <v>10.02</v>
      </c>
      <c r="L31" s="463">
        <v>10.02</v>
      </c>
      <c r="M31" s="463">
        <v>10.02</v>
      </c>
      <c r="N31" s="463">
        <v>10.02</v>
      </c>
      <c r="O31" s="463">
        <v>10.02</v>
      </c>
      <c r="P31" s="463">
        <v>10.02</v>
      </c>
      <c r="Q31" s="463">
        <v>10.02</v>
      </c>
      <c r="R31" s="463">
        <v>10.02</v>
      </c>
      <c r="S31" s="463">
        <v>10.02</v>
      </c>
      <c r="T31" s="463">
        <v>10.02</v>
      </c>
      <c r="U31" s="463">
        <v>10.02</v>
      </c>
      <c r="V31" s="463">
        <v>10.02</v>
      </c>
      <c r="W31" s="463">
        <v>10.02</v>
      </c>
      <c r="X31" s="463">
        <v>10.02</v>
      </c>
      <c r="Y31" s="463">
        <v>10.02</v>
      </c>
      <c r="Z31" s="463">
        <v>10.02</v>
      </c>
      <c r="AA31" s="463">
        <v>10.02</v>
      </c>
      <c r="AB31" s="463">
        <v>10.02</v>
      </c>
      <c r="AC31" s="463">
        <v>10.02</v>
      </c>
      <c r="AD31" s="463">
        <v>10.02</v>
      </c>
      <c r="AE31" s="463">
        <v>10.02</v>
      </c>
      <c r="AF31" s="463">
        <v>10.02</v>
      </c>
      <c r="AG31" s="463">
        <v>10.02</v>
      </c>
      <c r="AH31" s="463">
        <v>10.02</v>
      </c>
      <c r="AI31" s="463">
        <v>10.02</v>
      </c>
      <c r="AJ31" s="463">
        <v>10.02</v>
      </c>
      <c r="AK31" s="463">
        <v>10.02</v>
      </c>
      <c r="AL31" s="463">
        <v>10.02</v>
      </c>
      <c r="AM31" s="463">
        <v>10.02</v>
      </c>
      <c r="AN31" s="463">
        <v>10.02</v>
      </c>
      <c r="AO31" s="463">
        <v>10.02</v>
      </c>
      <c r="AP31" s="463">
        <v>10.02</v>
      </c>
      <c r="AQ31" s="463">
        <v>10.02</v>
      </c>
      <c r="AR31" s="463">
        <v>10.02</v>
      </c>
      <c r="AS31" s="463">
        <v>10.02</v>
      </c>
      <c r="AT31" s="463">
        <v>10.02</v>
      </c>
      <c r="AU31" s="463">
        <v>10.02</v>
      </c>
      <c r="AV31" s="463">
        <v>10.02</v>
      </c>
      <c r="AW31" s="463">
        <v>10.02</v>
      </c>
      <c r="AX31" s="463">
        <v>10.02</v>
      </c>
      <c r="AY31" s="464">
        <v>10.02</v>
      </c>
    </row>
    <row r="32" spans="1:51">
      <c r="A32" s="442" t="s">
        <v>2913</v>
      </c>
      <c r="B32" s="462">
        <v>9.4525000000000006</v>
      </c>
      <c r="C32" s="463">
        <v>9.2341666666666669</v>
      </c>
      <c r="D32" s="463">
        <v>9.02</v>
      </c>
      <c r="E32" s="463">
        <v>9.02</v>
      </c>
      <c r="F32" s="463">
        <v>9.02</v>
      </c>
      <c r="G32" s="463">
        <v>9.02</v>
      </c>
      <c r="H32" s="463">
        <v>9.0941666666666663</v>
      </c>
      <c r="I32" s="463">
        <v>9.2441666666666666</v>
      </c>
      <c r="J32" s="463">
        <v>9.2441666666666666</v>
      </c>
      <c r="K32" s="463">
        <v>9.2441666666666666</v>
      </c>
      <c r="L32" s="463">
        <v>9.2441666666666666</v>
      </c>
      <c r="M32" s="463">
        <v>9.2441666666666666</v>
      </c>
      <c r="N32" s="463">
        <v>9.2441666666666666</v>
      </c>
      <c r="O32" s="463">
        <v>9.2441666666666666</v>
      </c>
      <c r="P32" s="463">
        <v>9.2441666666666666</v>
      </c>
      <c r="Q32" s="463">
        <v>9.2441666666666666</v>
      </c>
      <c r="R32" s="463">
        <v>9.2441666666666666</v>
      </c>
      <c r="S32" s="463">
        <v>9.2441666666666666</v>
      </c>
      <c r="T32" s="463">
        <v>9.2441666666666666</v>
      </c>
      <c r="U32" s="463">
        <v>9.2441666666666666</v>
      </c>
      <c r="V32" s="463">
        <v>9.2441666666666666</v>
      </c>
      <c r="W32" s="463">
        <v>9.2441666666666666</v>
      </c>
      <c r="X32" s="463">
        <v>9.2441666666666666</v>
      </c>
      <c r="Y32" s="463">
        <v>9.2441666666666666</v>
      </c>
      <c r="Z32" s="463">
        <v>9.2441666666666666</v>
      </c>
      <c r="AA32" s="463">
        <v>9.2441666666666666</v>
      </c>
      <c r="AB32" s="463">
        <v>9.2441666666666666</v>
      </c>
      <c r="AC32" s="463">
        <v>9.2441666666666666</v>
      </c>
      <c r="AD32" s="463">
        <v>9.2441666666666666</v>
      </c>
      <c r="AE32" s="463">
        <v>9.2441666666666666</v>
      </c>
      <c r="AF32" s="463">
        <v>9.2441666666666666</v>
      </c>
      <c r="AG32" s="463">
        <v>9.2441666666666666</v>
      </c>
      <c r="AH32" s="463">
        <v>9.2441666666666666</v>
      </c>
      <c r="AI32" s="463">
        <v>9.2441666666666666</v>
      </c>
      <c r="AJ32" s="463">
        <v>9.2441666666666666</v>
      </c>
      <c r="AK32" s="463">
        <v>9.2441666666666666</v>
      </c>
      <c r="AL32" s="463">
        <v>9.2441666666666666</v>
      </c>
      <c r="AM32" s="463">
        <v>9.2441666666666666</v>
      </c>
      <c r="AN32" s="463">
        <v>9.2441666666666666</v>
      </c>
      <c r="AO32" s="463">
        <v>9.2441666666666666</v>
      </c>
      <c r="AP32" s="463">
        <v>9.2441666666666666</v>
      </c>
      <c r="AQ32" s="463">
        <v>9.2441666666666666</v>
      </c>
      <c r="AR32" s="463">
        <v>9.2441666666666666</v>
      </c>
      <c r="AS32" s="463">
        <v>9.2441666666666666</v>
      </c>
      <c r="AT32" s="463">
        <v>9.2441666666666666</v>
      </c>
      <c r="AU32" s="463">
        <v>9.2441666666666666</v>
      </c>
      <c r="AV32" s="463">
        <v>9.2441666666666666</v>
      </c>
      <c r="AW32" s="463">
        <v>9.2441666666666666</v>
      </c>
      <c r="AX32" s="463">
        <v>9.2441666666666702</v>
      </c>
      <c r="AY32" s="464">
        <v>9.2441666666666702</v>
      </c>
    </row>
    <row r="33" spans="1:51">
      <c r="A33" s="442" t="s">
        <v>2900</v>
      </c>
      <c r="B33" s="462">
        <v>7.2607266726146298</v>
      </c>
      <c r="C33" s="463">
        <v>7.9112857970161548</v>
      </c>
      <c r="D33" s="463">
        <v>8.1995068031839171</v>
      </c>
      <c r="E33" s="463">
        <v>8.4073776927334265</v>
      </c>
      <c r="F33" s="463">
        <v>8.5736326363918245</v>
      </c>
      <c r="G33" s="463">
        <v>8.7208261649062617</v>
      </c>
      <c r="H33" s="463">
        <v>8.8285181377174773</v>
      </c>
      <c r="I33" s="463">
        <v>8.8829506598476691</v>
      </c>
      <c r="J33" s="463">
        <v>9.0100552678251411</v>
      </c>
      <c r="K33" s="463">
        <v>9.0500408716374903</v>
      </c>
      <c r="L33" s="463">
        <v>9.1558646250250764</v>
      </c>
      <c r="M33" s="463">
        <v>9.244954159045637</v>
      </c>
      <c r="N33" s="463">
        <v>9.2425044625563437</v>
      </c>
      <c r="O33" s="463">
        <v>9.3135366023628183</v>
      </c>
      <c r="P33" s="463">
        <v>9.3834258849192018</v>
      </c>
      <c r="Q33" s="463">
        <v>9.4457625151136106</v>
      </c>
      <c r="R33" s="463">
        <v>9.4294343454096037</v>
      </c>
      <c r="S33" s="463">
        <v>9.4065940080935402</v>
      </c>
      <c r="T33" s="463">
        <v>9.3718934835830296</v>
      </c>
      <c r="U33" s="463">
        <v>9.3718934835830296</v>
      </c>
      <c r="V33" s="463">
        <v>9.3718934835830296</v>
      </c>
      <c r="W33" s="463">
        <v>9.3718934835830296</v>
      </c>
      <c r="X33" s="463">
        <v>9.3718934835830296</v>
      </c>
      <c r="Y33" s="463">
        <v>9.3718934835830296</v>
      </c>
      <c r="Z33" s="463">
        <v>9.3718934835830296</v>
      </c>
      <c r="AA33" s="463">
        <v>9.3718934835830296</v>
      </c>
      <c r="AB33" s="463">
        <v>9.3718934835830296</v>
      </c>
      <c r="AC33" s="463">
        <v>9.3718934835830296</v>
      </c>
      <c r="AD33" s="463">
        <v>9.3718934835830296</v>
      </c>
      <c r="AE33" s="463">
        <v>9.3718934835830296</v>
      </c>
      <c r="AF33" s="463">
        <v>9.3718934835830296</v>
      </c>
      <c r="AG33" s="463">
        <v>9.3718934835830296</v>
      </c>
      <c r="AH33" s="463">
        <v>9.3718934835830296</v>
      </c>
      <c r="AI33" s="463">
        <v>9.3718934835830296</v>
      </c>
      <c r="AJ33" s="463">
        <v>9.3718934835830296</v>
      </c>
      <c r="AK33" s="463">
        <v>9.3718934835830296</v>
      </c>
      <c r="AL33" s="463">
        <v>9.3718934835830296</v>
      </c>
      <c r="AM33" s="463">
        <v>9.3718934835830296</v>
      </c>
      <c r="AN33" s="463">
        <v>9.3718934835830296</v>
      </c>
      <c r="AO33" s="463">
        <v>9.3718934835830296</v>
      </c>
      <c r="AP33" s="463">
        <v>9.3718934835830296</v>
      </c>
      <c r="AQ33" s="463">
        <v>9.3718934835830296</v>
      </c>
      <c r="AR33" s="463">
        <v>9.3718934835830296</v>
      </c>
      <c r="AS33" s="463">
        <v>9.3718934835830296</v>
      </c>
      <c r="AT33" s="463">
        <v>9.3718934835830296</v>
      </c>
      <c r="AU33" s="463">
        <v>9.3718934835830296</v>
      </c>
      <c r="AV33" s="463">
        <v>9.3718934835830296</v>
      </c>
      <c r="AW33" s="463">
        <v>9.3718934835830296</v>
      </c>
      <c r="AX33" s="463">
        <v>9.3718934835830296</v>
      </c>
      <c r="AY33" s="464">
        <v>9.3718934835830296</v>
      </c>
    </row>
    <row r="34" spans="1:51">
      <c r="A34" s="442" t="s">
        <v>2901</v>
      </c>
      <c r="B34" s="443">
        <v>6.28E-3</v>
      </c>
      <c r="C34" s="444">
        <v>6.1999999999999998E-3</v>
      </c>
      <c r="D34" s="444">
        <v>6.1200000000000004E-3</v>
      </c>
      <c r="E34" s="444">
        <v>6.0000000000000001E-3</v>
      </c>
      <c r="F34" s="444">
        <v>5.8799999999999998E-3</v>
      </c>
      <c r="G34" s="444">
        <v>5.77E-3</v>
      </c>
      <c r="H34" s="444">
        <v>5.77E-3</v>
      </c>
      <c r="I34" s="444">
        <v>5.7599999999999995E-3</v>
      </c>
      <c r="J34" s="444">
        <v>5.7599999999999995E-3</v>
      </c>
      <c r="K34" s="444">
        <v>5.7499999999999999E-3</v>
      </c>
      <c r="L34" s="444">
        <v>5.7499999999999999E-3</v>
      </c>
      <c r="M34" s="444">
        <v>5.7499999999999999E-3</v>
      </c>
      <c r="N34" s="444">
        <v>5.7400000000000003E-3</v>
      </c>
      <c r="O34" s="444">
        <v>5.7400000000000003E-3</v>
      </c>
      <c r="P34" s="444">
        <v>5.7300000000000007E-3</v>
      </c>
      <c r="Q34" s="444">
        <v>5.7300000000000007E-3</v>
      </c>
      <c r="R34" s="444">
        <v>5.7300000000000007E-3</v>
      </c>
      <c r="S34" s="444">
        <v>5.7300000000000007E-3</v>
      </c>
      <c r="T34" s="444">
        <v>5.7300000000000007E-3</v>
      </c>
      <c r="U34" s="444">
        <v>5.7300000000000007E-3</v>
      </c>
      <c r="V34" s="444">
        <v>5.7300000000000007E-3</v>
      </c>
      <c r="W34" s="444">
        <v>5.7300000000000007E-3</v>
      </c>
      <c r="X34" s="444">
        <v>5.7300000000000007E-3</v>
      </c>
      <c r="Y34" s="444">
        <v>5.7300000000000007E-3</v>
      </c>
      <c r="Z34" s="444">
        <v>5.7300000000000007E-3</v>
      </c>
      <c r="AA34" s="444">
        <v>5.7300000000000007E-3</v>
      </c>
      <c r="AB34" s="444">
        <v>5.7300000000000007E-3</v>
      </c>
      <c r="AC34" s="444">
        <v>5.7300000000000007E-3</v>
      </c>
      <c r="AD34" s="444">
        <v>5.7300000000000007E-3</v>
      </c>
      <c r="AE34" s="444">
        <v>5.7300000000000007E-3</v>
      </c>
      <c r="AF34" s="444">
        <v>5.7300000000000007E-3</v>
      </c>
      <c r="AG34" s="444">
        <v>5.7300000000000007E-3</v>
      </c>
      <c r="AH34" s="444">
        <v>5.7300000000000007E-3</v>
      </c>
      <c r="AI34" s="444">
        <v>5.7300000000000007E-3</v>
      </c>
      <c r="AJ34" s="444">
        <v>5.7300000000000007E-3</v>
      </c>
      <c r="AK34" s="444">
        <v>5.7300000000000007E-3</v>
      </c>
      <c r="AL34" s="444">
        <v>5.7300000000000007E-3</v>
      </c>
      <c r="AM34" s="444">
        <v>5.7300000000000007E-3</v>
      </c>
      <c r="AN34" s="444">
        <v>5.7300000000000007E-3</v>
      </c>
      <c r="AO34" s="444">
        <v>5.7300000000000007E-3</v>
      </c>
      <c r="AP34" s="444">
        <v>5.7300000000000007E-3</v>
      </c>
      <c r="AQ34" s="444">
        <v>5.7300000000000007E-3</v>
      </c>
      <c r="AR34" s="444">
        <v>5.7300000000000007E-3</v>
      </c>
      <c r="AS34" s="444">
        <v>5.7300000000000007E-3</v>
      </c>
      <c r="AT34" s="444">
        <v>5.7300000000000007E-3</v>
      </c>
      <c r="AU34" s="444">
        <v>5.7300000000000007E-3</v>
      </c>
      <c r="AV34" s="444">
        <v>5.7300000000000007E-3</v>
      </c>
      <c r="AW34" s="444">
        <v>5.7300000000000007E-3</v>
      </c>
      <c r="AX34" s="444">
        <v>5.7300000000000007E-3</v>
      </c>
      <c r="AY34" s="445">
        <v>5.7300000000000007E-3</v>
      </c>
    </row>
    <row r="35" spans="1:51">
      <c r="A35" s="442" t="s">
        <v>2902</v>
      </c>
      <c r="B35" s="446">
        <f>(58.5/1000)*15</f>
        <v>0.87750000000000006</v>
      </c>
      <c r="C35" s="447">
        <f t="shared" ref="C35:AD36" si="24">(58.5/1000)*15</f>
        <v>0.87750000000000006</v>
      </c>
      <c r="D35" s="447">
        <f t="shared" si="24"/>
        <v>0.87750000000000006</v>
      </c>
      <c r="E35" s="447">
        <f t="shared" si="24"/>
        <v>0.87750000000000006</v>
      </c>
      <c r="F35" s="447">
        <f t="shared" si="24"/>
        <v>0.87750000000000006</v>
      </c>
      <c r="G35" s="447">
        <f t="shared" si="24"/>
        <v>0.87750000000000006</v>
      </c>
      <c r="H35" s="447">
        <f t="shared" si="24"/>
        <v>0.87750000000000006</v>
      </c>
      <c r="I35" s="447">
        <f t="shared" si="24"/>
        <v>0.87750000000000006</v>
      </c>
      <c r="J35" s="447">
        <f t="shared" si="24"/>
        <v>0.87750000000000006</v>
      </c>
      <c r="K35" s="447">
        <f t="shared" si="24"/>
        <v>0.87750000000000006</v>
      </c>
      <c r="L35" s="447">
        <f t="shared" si="24"/>
        <v>0.87750000000000006</v>
      </c>
      <c r="M35" s="447">
        <f t="shared" si="24"/>
        <v>0.87750000000000006</v>
      </c>
      <c r="N35" s="447">
        <f t="shared" si="24"/>
        <v>0.87750000000000006</v>
      </c>
      <c r="O35" s="447">
        <f t="shared" si="24"/>
        <v>0.87750000000000006</v>
      </c>
      <c r="P35" s="447">
        <f t="shared" si="24"/>
        <v>0.87750000000000006</v>
      </c>
      <c r="Q35" s="447">
        <f t="shared" si="24"/>
        <v>0.87750000000000006</v>
      </c>
      <c r="R35" s="447">
        <f t="shared" si="24"/>
        <v>0.87750000000000006</v>
      </c>
      <c r="S35" s="447">
        <f t="shared" si="24"/>
        <v>0.87750000000000006</v>
      </c>
      <c r="T35" s="447">
        <f t="shared" si="24"/>
        <v>0.87750000000000006</v>
      </c>
      <c r="U35" s="447">
        <f t="shared" si="24"/>
        <v>0.87750000000000006</v>
      </c>
      <c r="V35" s="447">
        <f t="shared" si="24"/>
        <v>0.87750000000000006</v>
      </c>
      <c r="W35" s="447">
        <f t="shared" si="24"/>
        <v>0.87750000000000006</v>
      </c>
      <c r="X35" s="447">
        <f t="shared" si="24"/>
        <v>0.87750000000000006</v>
      </c>
      <c r="Y35" s="447">
        <f t="shared" si="24"/>
        <v>0.87750000000000006</v>
      </c>
      <c r="Z35" s="447">
        <f t="shared" si="24"/>
        <v>0.87750000000000006</v>
      </c>
      <c r="AA35" s="447">
        <f t="shared" si="24"/>
        <v>0.87750000000000006</v>
      </c>
      <c r="AB35" s="447">
        <f t="shared" si="24"/>
        <v>0.87750000000000006</v>
      </c>
      <c r="AC35" s="447">
        <f t="shared" si="24"/>
        <v>0.87750000000000006</v>
      </c>
      <c r="AD35" s="447">
        <f t="shared" si="24"/>
        <v>0.87750000000000006</v>
      </c>
      <c r="AE35" s="447">
        <f>(58.5/1000)*15</f>
        <v>0.87750000000000006</v>
      </c>
      <c r="AF35" s="447">
        <f t="shared" ref="AF35:AY36" si="25">(58.5/1000)*15</f>
        <v>0.87750000000000006</v>
      </c>
      <c r="AG35" s="447">
        <f t="shared" si="25"/>
        <v>0.87750000000000006</v>
      </c>
      <c r="AH35" s="447">
        <f t="shared" si="25"/>
        <v>0.87750000000000006</v>
      </c>
      <c r="AI35" s="447">
        <f t="shared" si="25"/>
        <v>0.87750000000000006</v>
      </c>
      <c r="AJ35" s="447">
        <f t="shared" si="25"/>
        <v>0.87750000000000006</v>
      </c>
      <c r="AK35" s="447">
        <f t="shared" si="25"/>
        <v>0.87750000000000006</v>
      </c>
      <c r="AL35" s="447">
        <f t="shared" si="25"/>
        <v>0.87750000000000006</v>
      </c>
      <c r="AM35" s="447">
        <f t="shared" si="25"/>
        <v>0.87750000000000006</v>
      </c>
      <c r="AN35" s="447">
        <f t="shared" si="25"/>
        <v>0.87750000000000006</v>
      </c>
      <c r="AO35" s="447">
        <f t="shared" si="25"/>
        <v>0.87750000000000006</v>
      </c>
      <c r="AP35" s="447">
        <f t="shared" si="25"/>
        <v>0.87750000000000006</v>
      </c>
      <c r="AQ35" s="447">
        <f t="shared" si="25"/>
        <v>0.87750000000000006</v>
      </c>
      <c r="AR35" s="447">
        <f t="shared" si="25"/>
        <v>0.87750000000000006</v>
      </c>
      <c r="AS35" s="447">
        <f t="shared" si="25"/>
        <v>0.87750000000000006</v>
      </c>
      <c r="AT35" s="447">
        <f t="shared" si="25"/>
        <v>0.87750000000000006</v>
      </c>
      <c r="AU35" s="447">
        <f t="shared" si="25"/>
        <v>0.87750000000000006</v>
      </c>
      <c r="AV35" s="447">
        <f t="shared" si="25"/>
        <v>0.87750000000000006</v>
      </c>
      <c r="AW35" s="447">
        <f t="shared" si="25"/>
        <v>0.87750000000000006</v>
      </c>
      <c r="AX35" s="447">
        <f t="shared" si="25"/>
        <v>0.87750000000000006</v>
      </c>
      <c r="AY35" s="448">
        <f t="shared" si="25"/>
        <v>0.87750000000000006</v>
      </c>
    </row>
    <row r="36" spans="1:51" ht="12.75" thickBot="1">
      <c r="A36" s="449" t="s">
        <v>2903</v>
      </c>
      <c r="B36" s="450">
        <f>(58.5/1000)*15</f>
        <v>0.87750000000000006</v>
      </c>
      <c r="C36" s="451">
        <f t="shared" si="24"/>
        <v>0.87750000000000006</v>
      </c>
      <c r="D36" s="451">
        <f t="shared" si="24"/>
        <v>0.87750000000000006</v>
      </c>
      <c r="E36" s="451">
        <f t="shared" si="24"/>
        <v>0.87750000000000006</v>
      </c>
      <c r="F36" s="451">
        <f t="shared" si="24"/>
        <v>0.87750000000000006</v>
      </c>
      <c r="G36" s="451">
        <f t="shared" si="24"/>
        <v>0.87750000000000006</v>
      </c>
      <c r="H36" s="451">
        <f t="shared" si="24"/>
        <v>0.87750000000000006</v>
      </c>
      <c r="I36" s="451">
        <f t="shared" si="24"/>
        <v>0.87750000000000006</v>
      </c>
      <c r="J36" s="451">
        <f t="shared" si="24"/>
        <v>0.87750000000000006</v>
      </c>
      <c r="K36" s="451">
        <f t="shared" si="24"/>
        <v>0.87750000000000006</v>
      </c>
      <c r="L36" s="451">
        <f t="shared" si="24"/>
        <v>0.87750000000000006</v>
      </c>
      <c r="M36" s="451">
        <f t="shared" si="24"/>
        <v>0.87750000000000006</v>
      </c>
      <c r="N36" s="451">
        <f t="shared" si="24"/>
        <v>0.87750000000000006</v>
      </c>
      <c r="O36" s="451">
        <f t="shared" si="24"/>
        <v>0.87750000000000006</v>
      </c>
      <c r="P36" s="451">
        <f t="shared" si="24"/>
        <v>0.87750000000000006</v>
      </c>
      <c r="Q36" s="451">
        <f t="shared" si="24"/>
        <v>0.87750000000000006</v>
      </c>
      <c r="R36" s="451">
        <f t="shared" si="24"/>
        <v>0.87750000000000006</v>
      </c>
      <c r="S36" s="451">
        <f t="shared" si="24"/>
        <v>0.87750000000000006</v>
      </c>
      <c r="T36" s="451">
        <f t="shared" si="24"/>
        <v>0.87750000000000006</v>
      </c>
      <c r="U36" s="451">
        <f t="shared" si="24"/>
        <v>0.87750000000000006</v>
      </c>
      <c r="V36" s="451">
        <f t="shared" si="24"/>
        <v>0.87750000000000006</v>
      </c>
      <c r="W36" s="451">
        <f t="shared" si="24"/>
        <v>0.87750000000000006</v>
      </c>
      <c r="X36" s="451">
        <f t="shared" si="24"/>
        <v>0.87750000000000006</v>
      </c>
      <c r="Y36" s="451">
        <f t="shared" si="24"/>
        <v>0.87750000000000006</v>
      </c>
      <c r="Z36" s="451">
        <f t="shared" si="24"/>
        <v>0.87750000000000006</v>
      </c>
      <c r="AA36" s="451">
        <f t="shared" si="24"/>
        <v>0.87750000000000006</v>
      </c>
      <c r="AB36" s="451">
        <f t="shared" si="24"/>
        <v>0.87750000000000006</v>
      </c>
      <c r="AC36" s="451">
        <f t="shared" si="24"/>
        <v>0.87750000000000006</v>
      </c>
      <c r="AD36" s="451">
        <f t="shared" si="24"/>
        <v>0.87750000000000006</v>
      </c>
      <c r="AE36" s="451">
        <f>(58.5/1000)*15</f>
        <v>0.87750000000000006</v>
      </c>
      <c r="AF36" s="451">
        <f t="shared" si="25"/>
        <v>0.87750000000000006</v>
      </c>
      <c r="AG36" s="451">
        <f t="shared" si="25"/>
        <v>0.87750000000000006</v>
      </c>
      <c r="AH36" s="451">
        <f t="shared" si="25"/>
        <v>0.87750000000000006</v>
      </c>
      <c r="AI36" s="451">
        <f t="shared" si="25"/>
        <v>0.87750000000000006</v>
      </c>
      <c r="AJ36" s="451">
        <f t="shared" si="25"/>
        <v>0.87750000000000006</v>
      </c>
      <c r="AK36" s="451">
        <f t="shared" si="25"/>
        <v>0.87750000000000006</v>
      </c>
      <c r="AL36" s="451">
        <f t="shared" si="25"/>
        <v>0.87750000000000006</v>
      </c>
      <c r="AM36" s="451">
        <f t="shared" si="25"/>
        <v>0.87750000000000006</v>
      </c>
      <c r="AN36" s="451">
        <f t="shared" si="25"/>
        <v>0.87750000000000006</v>
      </c>
      <c r="AO36" s="451">
        <f t="shared" si="25"/>
        <v>0.87750000000000006</v>
      </c>
      <c r="AP36" s="451">
        <f t="shared" si="25"/>
        <v>0.87750000000000006</v>
      </c>
      <c r="AQ36" s="451">
        <f t="shared" si="25"/>
        <v>0.87750000000000006</v>
      </c>
      <c r="AR36" s="451">
        <f t="shared" si="25"/>
        <v>0.87750000000000006</v>
      </c>
      <c r="AS36" s="451">
        <f t="shared" si="25"/>
        <v>0.87750000000000006</v>
      </c>
      <c r="AT36" s="451">
        <f t="shared" si="25"/>
        <v>0.87750000000000006</v>
      </c>
      <c r="AU36" s="451">
        <f t="shared" si="25"/>
        <v>0.87750000000000006</v>
      </c>
      <c r="AV36" s="451">
        <f t="shared" si="25"/>
        <v>0.87750000000000006</v>
      </c>
      <c r="AW36" s="451">
        <f t="shared" si="25"/>
        <v>0.87750000000000006</v>
      </c>
      <c r="AX36" s="451">
        <f t="shared" si="25"/>
        <v>0.87750000000000006</v>
      </c>
      <c r="AY36" s="452">
        <f t="shared" si="25"/>
        <v>0.87750000000000006</v>
      </c>
    </row>
    <row r="37" spans="1:51">
      <c r="B37" s="429"/>
      <c r="C37" s="429"/>
      <c r="D37" s="429"/>
      <c r="E37" s="429"/>
      <c r="F37" s="429"/>
      <c r="G37" s="429"/>
      <c r="H37" s="429"/>
      <c r="I37" s="429"/>
      <c r="J37" s="429"/>
      <c r="K37" s="429"/>
      <c r="L37" s="429"/>
      <c r="M37" s="429"/>
      <c r="N37" s="429"/>
      <c r="O37" s="429"/>
      <c r="P37" s="429"/>
      <c r="Q37" s="429"/>
      <c r="R37" s="429"/>
      <c r="S37" s="429"/>
      <c r="T37" s="429"/>
      <c r="U37" s="429"/>
      <c r="V37" s="429"/>
      <c r="W37" s="429"/>
      <c r="X37" s="429"/>
      <c r="Y37" s="429"/>
      <c r="Z37" s="429"/>
      <c r="AA37" s="429"/>
      <c r="AB37" s="429"/>
      <c r="AC37" s="429"/>
      <c r="AD37" s="429"/>
      <c r="AE37" s="429"/>
    </row>
    <row r="38" spans="1:51" ht="15.75" thickBot="1">
      <c r="A38" s="433" t="s">
        <v>2904</v>
      </c>
      <c r="B38" s="429"/>
      <c r="C38" s="429"/>
      <c r="D38" s="429"/>
      <c r="E38" s="429"/>
      <c r="F38" s="429"/>
      <c r="G38" s="429"/>
      <c r="H38" s="429"/>
      <c r="I38" s="429"/>
      <c r="J38" s="429"/>
      <c r="K38" s="429"/>
      <c r="L38" s="429"/>
      <c r="M38" s="429"/>
      <c r="N38" s="429"/>
      <c r="O38" s="429"/>
      <c r="P38" s="429"/>
      <c r="Q38" s="429"/>
      <c r="R38" s="429"/>
      <c r="S38" s="429"/>
      <c r="T38" s="429"/>
      <c r="U38" s="429"/>
      <c r="V38" s="429"/>
      <c r="W38" s="429"/>
      <c r="X38" s="429"/>
      <c r="Y38" s="429"/>
      <c r="Z38" s="429"/>
      <c r="AA38" s="429"/>
      <c r="AB38" s="429"/>
      <c r="AC38" s="429"/>
      <c r="AD38" s="429"/>
      <c r="AE38" s="429"/>
    </row>
    <row r="39" spans="1:51" ht="12.75" thickBot="1">
      <c r="A39" s="434" t="s">
        <v>2899</v>
      </c>
      <c r="B39" s="435">
        <v>1</v>
      </c>
      <c r="C39" s="436">
        <v>2</v>
      </c>
      <c r="D39" s="436">
        <v>3</v>
      </c>
      <c r="E39" s="436">
        <v>4</v>
      </c>
      <c r="F39" s="436">
        <v>5</v>
      </c>
      <c r="G39" s="436">
        <v>6</v>
      </c>
      <c r="H39" s="436">
        <v>7</v>
      </c>
      <c r="I39" s="436">
        <v>8</v>
      </c>
      <c r="J39" s="436">
        <v>9</v>
      </c>
      <c r="K39" s="436">
        <v>10</v>
      </c>
      <c r="L39" s="436">
        <v>11</v>
      </c>
      <c r="M39" s="436">
        <v>12</v>
      </c>
      <c r="N39" s="436">
        <v>13</v>
      </c>
      <c r="O39" s="436">
        <v>14</v>
      </c>
      <c r="P39" s="436">
        <v>15</v>
      </c>
      <c r="Q39" s="436">
        <v>16</v>
      </c>
      <c r="R39" s="436">
        <v>17</v>
      </c>
      <c r="S39" s="436">
        <v>18</v>
      </c>
      <c r="T39" s="436">
        <v>19</v>
      </c>
      <c r="U39" s="436">
        <v>20</v>
      </c>
      <c r="V39" s="436">
        <v>21</v>
      </c>
      <c r="W39" s="436">
        <v>22</v>
      </c>
      <c r="X39" s="436">
        <v>23</v>
      </c>
      <c r="Y39" s="436">
        <v>24</v>
      </c>
      <c r="Z39" s="436">
        <v>25</v>
      </c>
      <c r="AA39" s="436">
        <v>26</v>
      </c>
      <c r="AB39" s="436">
        <v>27</v>
      </c>
      <c r="AC39" s="436">
        <v>28</v>
      </c>
      <c r="AD39" s="436">
        <v>29</v>
      </c>
      <c r="AE39" s="436">
        <v>30</v>
      </c>
      <c r="AF39" s="436">
        <f t="shared" ref="AF39:AY39" si="26">AE39+1</f>
        <v>31</v>
      </c>
      <c r="AG39" s="436">
        <f t="shared" si="26"/>
        <v>32</v>
      </c>
      <c r="AH39" s="436">
        <f t="shared" si="26"/>
        <v>33</v>
      </c>
      <c r="AI39" s="436">
        <f t="shared" si="26"/>
        <v>34</v>
      </c>
      <c r="AJ39" s="436">
        <f t="shared" si="26"/>
        <v>35</v>
      </c>
      <c r="AK39" s="436">
        <f t="shared" si="26"/>
        <v>36</v>
      </c>
      <c r="AL39" s="436">
        <f t="shared" si="26"/>
        <v>37</v>
      </c>
      <c r="AM39" s="436">
        <f t="shared" si="26"/>
        <v>38</v>
      </c>
      <c r="AN39" s="436">
        <f t="shared" si="26"/>
        <v>39</v>
      </c>
      <c r="AO39" s="436">
        <f t="shared" si="26"/>
        <v>40</v>
      </c>
      <c r="AP39" s="436">
        <f t="shared" si="26"/>
        <v>41</v>
      </c>
      <c r="AQ39" s="436">
        <f t="shared" si="26"/>
        <v>42</v>
      </c>
      <c r="AR39" s="436">
        <f t="shared" si="26"/>
        <v>43</v>
      </c>
      <c r="AS39" s="436">
        <f t="shared" si="26"/>
        <v>44</v>
      </c>
      <c r="AT39" s="436">
        <f t="shared" si="26"/>
        <v>45</v>
      </c>
      <c r="AU39" s="436">
        <f t="shared" si="26"/>
        <v>46</v>
      </c>
      <c r="AV39" s="436">
        <f t="shared" si="26"/>
        <v>47</v>
      </c>
      <c r="AW39" s="436">
        <f t="shared" si="26"/>
        <v>48</v>
      </c>
      <c r="AX39" s="436">
        <f t="shared" si="26"/>
        <v>49</v>
      </c>
      <c r="AY39" s="437">
        <f t="shared" si="26"/>
        <v>50</v>
      </c>
    </row>
    <row r="40" spans="1:51">
      <c r="A40" s="438" t="s">
        <v>2922</v>
      </c>
      <c r="B40" s="439">
        <f t="shared" ref="B40:B47" si="27">B29/(1+$C$3)^(B$16-0.5)</f>
        <v>8.3142880157899599E-2</v>
      </c>
      <c r="C40" s="440">
        <f t="shared" ref="C40:AY45" si="28">(C29/(1+$C$3)^(C$16-0.5)+B40)</f>
        <v>0.16070826239739211</v>
      </c>
      <c r="D40" s="440">
        <f t="shared" si="28"/>
        <v>0.23307999709599747</v>
      </c>
      <c r="E40" s="440">
        <f t="shared" si="28"/>
        <v>0.30114273002703768</v>
      </c>
      <c r="F40" s="440">
        <f t="shared" si="28"/>
        <v>0.36515751643659311</v>
      </c>
      <c r="G40" s="440">
        <f t="shared" si="28"/>
        <v>0.42536143494077922</v>
      </c>
      <c r="H40" s="440">
        <f t="shared" si="28"/>
        <v>0.48257132602867497</v>
      </c>
      <c r="I40" s="440">
        <f t="shared" si="28"/>
        <v>0.536928527800549</v>
      </c>
      <c r="J40" s="440">
        <f t="shared" si="28"/>
        <v>0.58858182701740214</v>
      </c>
      <c r="K40" s="440">
        <f t="shared" si="28"/>
        <v>0.63765893447520172</v>
      </c>
      <c r="L40" s="440">
        <f t="shared" si="28"/>
        <v>0.68429421542850943</v>
      </c>
      <c r="M40" s="440">
        <f t="shared" si="28"/>
        <v>0.72860306354262117</v>
      </c>
      <c r="N40" s="440">
        <f t="shared" si="28"/>
        <v>0.77070681722797341</v>
      </c>
      <c r="O40" s="440">
        <f t="shared" si="28"/>
        <v>0.81071496813382138</v>
      </c>
      <c r="P40" s="440">
        <f t="shared" si="28"/>
        <v>0.84873158476506239</v>
      </c>
      <c r="Q40" s="440">
        <f t="shared" si="28"/>
        <v>0.8847662924723998</v>
      </c>
      <c r="R40" s="440">
        <f t="shared" si="28"/>
        <v>0.91892241352200876</v>
      </c>
      <c r="S40" s="440">
        <f t="shared" si="28"/>
        <v>0.95129788371121149</v>
      </c>
      <c r="T40" s="440">
        <f t="shared" si="28"/>
        <v>0.98198553317965009</v>
      </c>
      <c r="U40" s="440">
        <f t="shared" si="28"/>
        <v>1.0110733525810138</v>
      </c>
      <c r="V40" s="440">
        <f t="shared" si="28"/>
        <v>1.038644745378515</v>
      </c>
      <c r="W40" s="440">
        <f t="shared" si="28"/>
        <v>1.0647787669875208</v>
      </c>
      <c r="X40" s="440">
        <f t="shared" si="28"/>
        <v>1.0895503514510334</v>
      </c>
      <c r="Y40" s="440">
        <f t="shared" si="28"/>
        <v>1.1130305262979647</v>
      </c>
      <c r="Z40" s="440">
        <f t="shared" si="28"/>
        <v>1.1352866162002693</v>
      </c>
      <c r="AA40" s="440">
        <f t="shared" si="28"/>
        <v>1.1563824360128803</v>
      </c>
      <c r="AB40" s="440">
        <f t="shared" si="28"/>
        <v>1.1763784737499523</v>
      </c>
      <c r="AC40" s="440">
        <f t="shared" si="28"/>
        <v>1.1953320640220586</v>
      </c>
      <c r="AD40" s="440">
        <f t="shared" si="28"/>
        <v>1.2132975524316381</v>
      </c>
      <c r="AE40" s="440">
        <f t="shared" si="28"/>
        <v>1.2303264513980641</v>
      </c>
      <c r="AF40" s="440">
        <f t="shared" si="28"/>
        <v>1.2464675878591314</v>
      </c>
      <c r="AG40" s="440">
        <f t="shared" si="28"/>
        <v>1.2617672432724651</v>
      </c>
      <c r="AH40" s="440">
        <f t="shared" si="28"/>
        <v>1.2762692863182792</v>
      </c>
      <c r="AI40" s="440">
        <f t="shared" si="28"/>
        <v>1.2900152986839797</v>
      </c>
      <c r="AJ40" s="440">
        <f t="shared" si="28"/>
        <v>1.3030446942912788</v>
      </c>
      <c r="AK40" s="440">
        <f t="shared" si="28"/>
        <v>1.3153948323076761</v>
      </c>
      <c r="AL40" s="440">
        <f t="shared" si="28"/>
        <v>1.3271011242663464</v>
      </c>
      <c r="AM40" s="440">
        <f t="shared" si="28"/>
        <v>1.3381971356015789</v>
      </c>
      <c r="AN40" s="440">
        <f t="shared" si="28"/>
        <v>1.3487146818908988</v>
      </c>
      <c r="AO40" s="440">
        <f t="shared" si="28"/>
        <v>1.3586839200798277</v>
      </c>
      <c r="AP40" s="440">
        <f t="shared" si="28"/>
        <v>1.3681334349508505</v>
      </c>
      <c r="AQ40" s="440">
        <f t="shared" si="28"/>
        <v>1.3770903210845213</v>
      </c>
      <c r="AR40" s="440">
        <f t="shared" si="28"/>
        <v>1.3855802605477163</v>
      </c>
      <c r="AS40" s="440">
        <f t="shared" si="28"/>
        <v>1.3936275965317875</v>
      </c>
      <c r="AT40" s="440">
        <f t="shared" si="28"/>
        <v>1.4012554031517601</v>
      </c>
      <c r="AU40" s="440">
        <f t="shared" si="28"/>
        <v>1.4084855516067105</v>
      </c>
      <c r="AV40" s="440">
        <f t="shared" si="28"/>
        <v>1.4153387728910236</v>
      </c>
      <c r="AW40" s="440">
        <f t="shared" si="28"/>
        <v>1.4218347172363441</v>
      </c>
      <c r="AX40" s="440">
        <f t="shared" si="28"/>
        <v>1.4279920104546575</v>
      </c>
      <c r="AY40" s="441">
        <f t="shared" si="28"/>
        <v>1.4338283073440541</v>
      </c>
    </row>
    <row r="41" spans="1:51">
      <c r="A41" s="442" t="s">
        <v>2923</v>
      </c>
      <c r="B41" s="446">
        <f t="shared" si="27"/>
        <v>83.142880157899583</v>
      </c>
      <c r="C41" s="447">
        <f t="shared" si="28"/>
        <v>168.53441057976141</v>
      </c>
      <c r="D41" s="447">
        <f t="shared" si="28"/>
        <v>255.33713327310039</v>
      </c>
      <c r="E41" s="447">
        <f t="shared" si="28"/>
        <v>342.85019038251738</v>
      </c>
      <c r="F41" s="447">
        <f t="shared" si="28"/>
        <v>430.46720059461694</v>
      </c>
      <c r="G41" s="447">
        <f t="shared" si="28"/>
        <v>517.67458334521405</v>
      </c>
      <c r="H41" s="447">
        <f t="shared" si="28"/>
        <v>604.04866016790231</v>
      </c>
      <c r="I41" s="447">
        <f t="shared" si="28"/>
        <v>689.22294077369145</v>
      </c>
      <c r="J41" s="447">
        <f t="shared" si="28"/>
        <v>772.90319960289992</v>
      </c>
      <c r="K41" s="447">
        <f t="shared" si="28"/>
        <v>854.84525147923114</v>
      </c>
      <c r="L41" s="447">
        <f t="shared" si="28"/>
        <v>934.84935653622915</v>
      </c>
      <c r="M41" s="447">
        <f t="shared" si="28"/>
        <v>1012.7609731846534</v>
      </c>
      <c r="N41" s="447">
        <f t="shared" si="28"/>
        <v>1086.6108467850554</v>
      </c>
      <c r="O41" s="447">
        <f t="shared" si="28"/>
        <v>1156.61072697501</v>
      </c>
      <c r="P41" s="447">
        <f t="shared" si="28"/>
        <v>1222.96132431146</v>
      </c>
      <c r="Q41" s="447">
        <f t="shared" si="28"/>
        <v>1285.8528857678107</v>
      </c>
      <c r="R41" s="447">
        <f t="shared" si="28"/>
        <v>1345.4657402288062</v>
      </c>
      <c r="S41" s="447">
        <f t="shared" si="28"/>
        <v>1401.9708155472856</v>
      </c>
      <c r="T41" s="447">
        <f t="shared" si="28"/>
        <v>1455.5301286453703</v>
      </c>
      <c r="U41" s="447">
        <f t="shared" si="28"/>
        <v>1506.2972500653557</v>
      </c>
      <c r="V41" s="447">
        <f t="shared" si="28"/>
        <v>1554.4177443023086</v>
      </c>
      <c r="W41" s="447">
        <f t="shared" si="28"/>
        <v>1600.0295871809371</v>
      </c>
      <c r="X41" s="447">
        <f t="shared" si="28"/>
        <v>1643.2635614734759</v>
      </c>
      <c r="Y41" s="447">
        <f t="shared" si="28"/>
        <v>1684.243631892944</v>
      </c>
      <c r="Z41" s="447">
        <f t="shared" si="28"/>
        <v>1723.0873005369897</v>
      </c>
      <c r="AA41" s="447">
        <f t="shared" si="28"/>
        <v>1759.9059438014879</v>
      </c>
      <c r="AB41" s="447">
        <f t="shared" si="28"/>
        <v>1794.8051317299221</v>
      </c>
      <c r="AC41" s="447">
        <f t="shared" si="28"/>
        <v>1827.88493071422</v>
      </c>
      <c r="AD41" s="447">
        <f t="shared" si="28"/>
        <v>1859.2401904149763</v>
      </c>
      <c r="AE41" s="447">
        <f t="shared" si="28"/>
        <v>1888.9608157237501</v>
      </c>
      <c r="AF41" s="447">
        <f t="shared" si="28"/>
        <v>1917.1320245472323</v>
      </c>
      <c r="AG41" s="447">
        <f t="shared" si="28"/>
        <v>1943.8345921524287</v>
      </c>
      <c r="AH41" s="447">
        <f t="shared" si="28"/>
        <v>1969.1450827734679</v>
      </c>
      <c r="AI41" s="447">
        <f t="shared" si="28"/>
        <v>1993.1360691441214</v>
      </c>
      <c r="AJ41" s="447">
        <f t="shared" si="28"/>
        <v>2015.8763405854991</v>
      </c>
      <c r="AK41" s="447">
        <f t="shared" si="28"/>
        <v>2037.4311002455727</v>
      </c>
      <c r="AL41" s="447">
        <f t="shared" si="28"/>
        <v>2057.8621520560691</v>
      </c>
      <c r="AM41" s="447">
        <f t="shared" si="28"/>
        <v>2077.2280779427956</v>
      </c>
      <c r="AN41" s="447">
        <f t="shared" si="28"/>
        <v>2095.5844057975123</v>
      </c>
      <c r="AO41" s="447">
        <f t="shared" si="28"/>
        <v>2112.9837686929786</v>
      </c>
      <c r="AP41" s="447">
        <f t="shared" si="28"/>
        <v>2129.4760557976861</v>
      </c>
      <c r="AQ41" s="447">
        <f t="shared" si="28"/>
        <v>2145.1085554230012</v>
      </c>
      <c r="AR41" s="447">
        <f t="shared" si="28"/>
        <v>2159.9260906128734</v>
      </c>
      <c r="AS41" s="447">
        <f t="shared" si="28"/>
        <v>2173.9711476648849</v>
      </c>
      <c r="AT41" s="447">
        <f t="shared" si="28"/>
        <v>2187.2839979511518</v>
      </c>
      <c r="AU41" s="447">
        <f t="shared" si="28"/>
        <v>2199.9028133883717</v>
      </c>
      <c r="AV41" s="447">
        <f t="shared" si="28"/>
        <v>2211.8637758881059</v>
      </c>
      <c r="AW41" s="447">
        <f t="shared" si="28"/>
        <v>2223.2011811011243</v>
      </c>
      <c r="AX41" s="447">
        <f t="shared" si="28"/>
        <v>2233.9475367532746</v>
      </c>
      <c r="AY41" s="448">
        <f t="shared" si="28"/>
        <v>2244.1336558548387</v>
      </c>
    </row>
    <row r="42" spans="1:51">
      <c r="A42" s="442" t="s">
        <v>2924</v>
      </c>
      <c r="B42" s="446">
        <f t="shared" si="27"/>
        <v>9.9695080143101027</v>
      </c>
      <c r="C42" s="447">
        <f t="shared" si="28"/>
        <v>19.207027936485396</v>
      </c>
      <c r="D42" s="447">
        <f t="shared" si="28"/>
        <v>27.770532681796588</v>
      </c>
      <c r="E42" s="447">
        <f t="shared" si="28"/>
        <v>35.887598791096295</v>
      </c>
      <c r="F42" s="447">
        <f t="shared" si="28"/>
        <v>43.581500316498861</v>
      </c>
      <c r="G42" s="447">
        <f t="shared" si="28"/>
        <v>50.874297970908877</v>
      </c>
      <c r="H42" s="447">
        <f t="shared" si="28"/>
        <v>57.843389446302268</v>
      </c>
      <c r="I42" s="447">
        <f t="shared" si="28"/>
        <v>64.496012816984674</v>
      </c>
      <c r="J42" s="447">
        <f t="shared" si="28"/>
        <v>70.852567898586869</v>
      </c>
      <c r="K42" s="447">
        <f t="shared" si="28"/>
        <v>76.877738592048672</v>
      </c>
      <c r="L42" s="447">
        <f t="shared" si="28"/>
        <v>82.588800860732846</v>
      </c>
      <c r="M42" s="447">
        <f t="shared" si="28"/>
        <v>88.002130025362391</v>
      </c>
      <c r="N42" s="447">
        <f t="shared" si="28"/>
        <v>93.133247716954372</v>
      </c>
      <c r="O42" s="447">
        <f t="shared" si="28"/>
        <v>97.996866381970477</v>
      </c>
      <c r="P42" s="447">
        <f t="shared" si="28"/>
        <v>102.60693146729379</v>
      </c>
      <c r="Q42" s="447">
        <f t="shared" si="28"/>
        <v>106.97666140598888</v>
      </c>
      <c r="R42" s="447">
        <f t="shared" si="28"/>
        <v>111.11858551849608</v>
      </c>
      <c r="S42" s="447">
        <f t="shared" si="28"/>
        <v>115.04457993793417</v>
      </c>
      <c r="T42" s="447">
        <f t="shared" si="28"/>
        <v>118.76590166252005</v>
      </c>
      <c r="U42" s="447">
        <f t="shared" si="28"/>
        <v>122.29322083274363</v>
      </c>
      <c r="V42" s="447">
        <f t="shared" si="28"/>
        <v>125.63665132584654</v>
      </c>
      <c r="W42" s="447">
        <f t="shared" si="28"/>
        <v>128.80577975532799</v>
      </c>
      <c r="X42" s="447">
        <f t="shared" si="28"/>
        <v>131.80969295862792</v>
      </c>
      <c r="Y42" s="447">
        <f t="shared" si="28"/>
        <v>134.65700405180323</v>
      </c>
      <c r="Z42" s="447">
        <f t="shared" si="28"/>
        <v>137.35587712590305</v>
      </c>
      <c r="AA42" s="447">
        <f t="shared" si="28"/>
        <v>139.91405065585548</v>
      </c>
      <c r="AB42" s="447">
        <f t="shared" si="28"/>
        <v>142.33885968898574</v>
      </c>
      <c r="AC42" s="447">
        <f t="shared" si="28"/>
        <v>144.63725687678692</v>
      </c>
      <c r="AD42" s="447">
        <f t="shared" si="28"/>
        <v>146.81583241024776</v>
      </c>
      <c r="AE42" s="447">
        <f t="shared" si="28"/>
        <v>148.88083291589786</v>
      </c>
      <c r="AF42" s="447">
        <f t="shared" si="28"/>
        <v>150.83817936675104</v>
      </c>
      <c r="AG42" s="447">
        <f t="shared" si="28"/>
        <v>152.69348405950285</v>
      </c>
      <c r="AH42" s="447">
        <f t="shared" si="28"/>
        <v>154.45206670666099</v>
      </c>
      <c r="AI42" s="447">
        <f t="shared" si="28"/>
        <v>156.11896968974926</v>
      </c>
      <c r="AJ42" s="447">
        <f t="shared" si="28"/>
        <v>157.6989725173211</v>
      </c>
      <c r="AK42" s="447">
        <f t="shared" si="28"/>
        <v>159.1966055292375</v>
      </c>
      <c r="AL42" s="447">
        <f t="shared" si="28"/>
        <v>160.61616288650424</v>
      </c>
      <c r="AM42" s="447">
        <f t="shared" si="28"/>
        <v>161.96171488391349</v>
      </c>
      <c r="AN42" s="447">
        <f t="shared" si="28"/>
        <v>163.23711962079429</v>
      </c>
      <c r="AO42" s="447">
        <f t="shared" si="28"/>
        <v>164.44603406333533</v>
      </c>
      <c r="AP42" s="447">
        <f t="shared" si="28"/>
        <v>165.59192453019887</v>
      </c>
      <c r="AQ42" s="447">
        <f t="shared" si="28"/>
        <v>166.67807663149134</v>
      </c>
      <c r="AR42" s="447">
        <f t="shared" si="28"/>
        <v>167.70760468958846</v>
      </c>
      <c r="AS42" s="447">
        <f t="shared" si="28"/>
        <v>168.68346066882745</v>
      </c>
      <c r="AT42" s="447">
        <f t="shared" si="28"/>
        <v>169.60844263967007</v>
      </c>
      <c r="AU42" s="447">
        <f t="shared" si="28"/>
        <v>170.48520280160622</v>
      </c>
      <c r="AV42" s="447">
        <f t="shared" si="28"/>
        <v>171.31625508780161</v>
      </c>
      <c r="AW42" s="447">
        <f t="shared" si="28"/>
        <v>172.10398237329488</v>
      </c>
      <c r="AX42" s="447">
        <f t="shared" si="28"/>
        <v>172.85064330741173</v>
      </c>
      <c r="AY42" s="448">
        <f t="shared" si="28"/>
        <v>173.55837878998693</v>
      </c>
    </row>
    <row r="43" spans="1:51">
      <c r="A43" s="442" t="s">
        <v>2925</v>
      </c>
      <c r="B43" s="446">
        <f t="shared" si="27"/>
        <v>9.2028100102799062</v>
      </c>
      <c r="C43" s="447">
        <f t="shared" si="28"/>
        <v>17.724368306785436</v>
      </c>
      <c r="D43" s="447">
        <f t="shared" si="28"/>
        <v>25.614338971004738</v>
      </c>
      <c r="E43" s="447">
        <f t="shared" si="28"/>
        <v>33.092984150359527</v>
      </c>
      <c r="F43" s="447">
        <f t="shared" si="28"/>
        <v>40.181747353539421</v>
      </c>
      <c r="G43" s="447">
        <f t="shared" si="28"/>
        <v>46.900954181198088</v>
      </c>
      <c r="H43" s="447">
        <f t="shared" si="28"/>
        <v>53.322238820759729</v>
      </c>
      <c r="I43" s="447">
        <f t="shared" si="28"/>
        <v>59.509156246227533</v>
      </c>
      <c r="J43" s="447">
        <f t="shared" si="28"/>
        <v>65.373532952832093</v>
      </c>
      <c r="K43" s="447">
        <f t="shared" si="28"/>
        <v>70.932183859566265</v>
      </c>
      <c r="L43" s="447">
        <f t="shared" si="28"/>
        <v>76.201047278271645</v>
      </c>
      <c r="M43" s="447">
        <f t="shared" si="28"/>
        <v>81.195230613537404</v>
      </c>
      <c r="N43" s="447">
        <f t="shared" si="28"/>
        <v>85.929053680140029</v>
      </c>
      <c r="O43" s="447">
        <f t="shared" si="28"/>
        <v>90.416089762227827</v>
      </c>
      <c r="P43" s="447">
        <f t="shared" si="28"/>
        <v>94.66920453197929</v>
      </c>
      <c r="Q43" s="447">
        <f t="shared" si="28"/>
        <v>98.70059293932664</v>
      </c>
      <c r="R43" s="447">
        <f t="shared" si="28"/>
        <v>102.52181417851845</v>
      </c>
      <c r="S43" s="447">
        <f t="shared" si="28"/>
        <v>106.14382483178083</v>
      </c>
      <c r="T43" s="447">
        <f t="shared" si="28"/>
        <v>109.57701028511011</v>
      </c>
      <c r="U43" s="447">
        <f t="shared" si="28"/>
        <v>112.83121450627529</v>
      </c>
      <c r="V43" s="447">
        <f t="shared" si="28"/>
        <v>115.9157682704129</v>
      </c>
      <c r="W43" s="447">
        <f t="shared" si="28"/>
        <v>118.83951591414524</v>
      </c>
      <c r="X43" s="447">
        <f t="shared" si="28"/>
        <v>121.61084069493418</v>
      </c>
      <c r="Y43" s="447">
        <f t="shared" si="28"/>
        <v>124.23768882838341</v>
      </c>
      <c r="Z43" s="447">
        <f t="shared" si="28"/>
        <v>126.72759227241113</v>
      </c>
      <c r="AA43" s="447">
        <f t="shared" si="28"/>
        <v>129.08769032362224</v>
      </c>
      <c r="AB43" s="447">
        <f t="shared" si="28"/>
        <v>131.32475008780338</v>
      </c>
      <c r="AC43" s="447">
        <f t="shared" si="28"/>
        <v>133.44518588323575</v>
      </c>
      <c r="AD43" s="447">
        <f t="shared" si="28"/>
        <v>135.45507763246073</v>
      </c>
      <c r="AE43" s="447">
        <f t="shared" si="28"/>
        <v>137.36018829523323</v>
      </c>
      <c r="AF43" s="447">
        <f t="shared" si="28"/>
        <v>139.16598039264792</v>
      </c>
      <c r="AG43" s="447">
        <f t="shared" si="28"/>
        <v>140.87763166981824</v>
      </c>
      <c r="AH43" s="447">
        <f t="shared" si="28"/>
        <v>142.5000499420176</v>
      </c>
      <c r="AI43" s="447">
        <f t="shared" si="28"/>
        <v>144.03788716685111</v>
      </c>
      <c r="AJ43" s="447">
        <f t="shared" si="28"/>
        <v>145.49555278280704</v>
      </c>
      <c r="AK43" s="447">
        <f t="shared" si="28"/>
        <v>146.87722635243352</v>
      </c>
      <c r="AL43" s="447">
        <f t="shared" si="28"/>
        <v>148.18686954639227</v>
      </c>
      <c r="AM43" s="447">
        <f t="shared" si="28"/>
        <v>149.42823750275127</v>
      </c>
      <c r="AN43" s="447">
        <f t="shared" si="28"/>
        <v>150.60488959408681</v>
      </c>
      <c r="AO43" s="447">
        <f t="shared" si="28"/>
        <v>151.72019963326744</v>
      </c>
      <c r="AP43" s="447">
        <f t="shared" si="28"/>
        <v>152.77736554718271</v>
      </c>
      <c r="AQ43" s="447">
        <f t="shared" si="28"/>
        <v>153.77941854615455</v>
      </c>
      <c r="AR43" s="447">
        <f t="shared" si="28"/>
        <v>154.72923181532215</v>
      </c>
      <c r="AS43" s="447">
        <f t="shared" si="28"/>
        <v>155.62952875292177</v>
      </c>
      <c r="AT43" s="447">
        <f t="shared" si="28"/>
        <v>156.48289077908257</v>
      </c>
      <c r="AU43" s="447">
        <f t="shared" si="28"/>
        <v>157.29176473752881</v>
      </c>
      <c r="AV43" s="447">
        <f t="shared" si="28"/>
        <v>158.05846991141149</v>
      </c>
      <c r="AW43" s="447">
        <f t="shared" si="28"/>
        <v>158.78520467338561</v>
      </c>
      <c r="AX43" s="447">
        <f t="shared" si="28"/>
        <v>159.47405278900089</v>
      </c>
      <c r="AY43" s="448">
        <f t="shared" si="28"/>
        <v>160.12698939147984</v>
      </c>
    </row>
    <row r="44" spans="1:51">
      <c r="A44" s="442" t="s">
        <v>2926</v>
      </c>
      <c r="B44" s="446">
        <f t="shared" si="27"/>
        <v>7.0689328859713552</v>
      </c>
      <c r="C44" s="447">
        <f t="shared" si="28"/>
        <v>14.369698136716529</v>
      </c>
      <c r="D44" s="447">
        <f t="shared" si="28"/>
        <v>21.541967331637562</v>
      </c>
      <c r="E44" s="447">
        <f t="shared" si="28"/>
        <v>28.51267627318699</v>
      </c>
      <c r="F44" s="447">
        <f t="shared" si="28"/>
        <v>35.250642077004798</v>
      </c>
      <c r="G44" s="447">
        <f t="shared" si="28"/>
        <v>41.746987388541662</v>
      </c>
      <c r="H44" s="447">
        <f t="shared" si="28"/>
        <v>47.980700711127561</v>
      </c>
      <c r="I44" s="447">
        <f t="shared" si="28"/>
        <v>53.925864208141782</v>
      </c>
      <c r="J44" s="447">
        <f t="shared" si="28"/>
        <v>59.641723748881354</v>
      </c>
      <c r="K44" s="447">
        <f t="shared" si="28"/>
        <v>65.083644011797688</v>
      </c>
      <c r="L44" s="447">
        <f t="shared" si="28"/>
        <v>70.302178243051259</v>
      </c>
      <c r="M44" s="447">
        <f t="shared" si="28"/>
        <v>75.296787022973902</v>
      </c>
      <c r="N44" s="447">
        <f t="shared" si="28"/>
        <v>80.02975889547298</v>
      </c>
      <c r="O44" s="447">
        <f t="shared" si="28"/>
        <v>84.55046652586843</v>
      </c>
      <c r="P44" s="447">
        <f t="shared" si="28"/>
        <v>88.867652559080511</v>
      </c>
      <c r="Q44" s="447">
        <f t="shared" si="28"/>
        <v>92.986957075656932</v>
      </c>
      <c r="R44" s="447">
        <f t="shared" si="28"/>
        <v>96.884761614834133</v>
      </c>
      <c r="S44" s="447">
        <f t="shared" si="28"/>
        <v>100.57041386849632</v>
      </c>
      <c r="T44" s="447">
        <f t="shared" si="28"/>
        <v>104.05103570691571</v>
      </c>
      <c r="U44" s="447">
        <f t="shared" si="28"/>
        <v>107.35020332627059</v>
      </c>
      <c r="V44" s="447">
        <f t="shared" si="28"/>
        <v>110.47737642518516</v>
      </c>
      <c r="W44" s="447">
        <f t="shared" si="28"/>
        <v>113.44152154263973</v>
      </c>
      <c r="X44" s="447">
        <f t="shared" si="28"/>
        <v>116.25113776771516</v>
      </c>
      <c r="Y44" s="447">
        <f t="shared" si="28"/>
        <v>118.91428110901889</v>
      </c>
      <c r="Z44" s="447">
        <f t="shared" si="28"/>
        <v>121.43858759366697</v>
      </c>
      <c r="AA44" s="447">
        <f t="shared" si="28"/>
        <v>123.83129516205376</v>
      </c>
      <c r="AB44" s="447">
        <f t="shared" si="28"/>
        <v>126.09926442118817</v>
      </c>
      <c r="AC44" s="447">
        <f t="shared" si="28"/>
        <v>128.2489983161023</v>
      </c>
      <c r="AD44" s="447">
        <f t="shared" si="28"/>
        <v>130.28666077573655</v>
      </c>
      <c r="AE44" s="447">
        <f t="shared" si="28"/>
        <v>132.21809438676428</v>
      </c>
      <c r="AF44" s="447">
        <f t="shared" si="28"/>
        <v>134.04883714603227</v>
      </c>
      <c r="AG44" s="447">
        <f t="shared" si="28"/>
        <v>135.78413833965121</v>
      </c>
      <c r="AH44" s="447">
        <f t="shared" si="28"/>
        <v>137.42897359426632</v>
      </c>
      <c r="AI44" s="447">
        <f t="shared" si="28"/>
        <v>138.98805914366454</v>
      </c>
      <c r="AJ44" s="447">
        <f t="shared" si="28"/>
        <v>140.46586535162493</v>
      </c>
      <c r="AK44" s="447">
        <f t="shared" si="28"/>
        <v>141.86662952978642</v>
      </c>
      <c r="AL44" s="447">
        <f t="shared" si="28"/>
        <v>143.19436808728548</v>
      </c>
      <c r="AM44" s="447">
        <f t="shared" si="28"/>
        <v>144.45288804700024</v>
      </c>
      <c r="AN44" s="447">
        <f t="shared" si="28"/>
        <v>145.64579796142181</v>
      </c>
      <c r="AO44" s="447">
        <f t="shared" si="28"/>
        <v>146.77651825945173</v>
      </c>
      <c r="AP44" s="447">
        <f t="shared" si="28"/>
        <v>147.84829105379288</v>
      </c>
      <c r="AQ44" s="447">
        <f t="shared" si="28"/>
        <v>148.86418943705462</v>
      </c>
      <c r="AR44" s="447">
        <f t="shared" si="28"/>
        <v>149.82712629322691</v>
      </c>
      <c r="AS44" s="447">
        <f t="shared" si="28"/>
        <v>150.73986264978831</v>
      </c>
      <c r="AT44" s="447">
        <f t="shared" si="28"/>
        <v>151.60501559439626</v>
      </c>
      <c r="AU44" s="447">
        <f t="shared" si="28"/>
        <v>152.42506577885879</v>
      </c>
      <c r="AV44" s="447">
        <f t="shared" si="28"/>
        <v>153.20236453190384</v>
      </c>
      <c r="AW44" s="447">
        <f t="shared" si="28"/>
        <v>153.93914060114085</v>
      </c>
      <c r="AX44" s="447">
        <f t="shared" si="28"/>
        <v>154.63750654354561</v>
      </c>
      <c r="AY44" s="448">
        <f t="shared" si="28"/>
        <v>155.29946478279183</v>
      </c>
    </row>
    <row r="45" spans="1:51">
      <c r="A45" s="442" t="s">
        <v>2905</v>
      </c>
      <c r="B45" s="443">
        <f t="shared" si="27"/>
        <v>6.1141123369011178E-3</v>
      </c>
      <c r="C45" s="444">
        <f t="shared" si="28"/>
        <v>1.1835653147838862E-2</v>
      </c>
      <c r="D45" s="444">
        <f t="shared" si="28"/>
        <v>1.718893701314065E-2</v>
      </c>
      <c r="E45" s="444">
        <f t="shared" si="28"/>
        <v>2.2163645558166009E-2</v>
      </c>
      <c r="F45" s="444">
        <f t="shared" si="28"/>
        <v>2.6784701836957338E-2</v>
      </c>
      <c r="G45" s="444">
        <f t="shared" si="28"/>
        <v>3.1082908421834338E-2</v>
      </c>
      <c r="H45" s="444">
        <f t="shared" si="28"/>
        <v>3.5157037886172721E-2</v>
      </c>
      <c r="I45" s="444">
        <f t="shared" si="28"/>
        <v>3.9012079195542004E-2</v>
      </c>
      <c r="J45" s="444">
        <f t="shared" si="28"/>
        <v>4.2666146787361234E-2</v>
      </c>
      <c r="K45" s="444">
        <f t="shared" si="28"/>
        <v>4.6123704820036415E-2</v>
      </c>
      <c r="L45" s="444">
        <f t="shared" si="28"/>
        <v>4.9401011012145592E-2</v>
      </c>
      <c r="M45" s="444">
        <f t="shared" ref="M45:AY47" si="29">(M34/(1+$C$3)^(M$16-0.5)+L45)</f>
        <v>5.2507462379073722E-2</v>
      </c>
      <c r="N45" s="444">
        <f t="shared" si="29"/>
        <v>5.5446845168468734E-2</v>
      </c>
      <c r="O45" s="444">
        <f t="shared" si="29"/>
        <v>5.8232989992539834E-2</v>
      </c>
      <c r="P45" s="444">
        <f t="shared" si="29"/>
        <v>6.0869284697021131E-2</v>
      </c>
      <c r="Q45" s="444">
        <f t="shared" si="29"/>
        <v>6.3368142236813835E-2</v>
      </c>
      <c r="R45" s="444">
        <f t="shared" si="29"/>
        <v>6.5736727582588902E-2</v>
      </c>
      <c r="S45" s="444">
        <f t="shared" si="29"/>
        <v>6.7981832175740636E-2</v>
      </c>
      <c r="T45" s="444">
        <f t="shared" si="29"/>
        <v>7.0109893401476872E-2</v>
      </c>
      <c r="U45" s="444">
        <f t="shared" si="29"/>
        <v>7.2127013046724489E-2</v>
      </c>
      <c r="V45" s="444">
        <f t="shared" si="29"/>
        <v>7.4038974795774357E-2</v>
      </c>
      <c r="W45" s="444">
        <f t="shared" si="29"/>
        <v>7.5851260813831103E-2</v>
      </c>
      <c r="X45" s="444">
        <f t="shared" si="29"/>
        <v>7.7569067466017591E-2</v>
      </c>
      <c r="Y45" s="444">
        <f t="shared" si="29"/>
        <v>7.9197320216905259E-2</v>
      </c>
      <c r="Z45" s="444">
        <f t="shared" si="29"/>
        <v>8.0740687753291684E-2</v>
      </c>
      <c r="AA45" s="444">
        <f t="shared" si="29"/>
        <v>8.220359537071957E-2</v>
      </c>
      <c r="AB45" s="444">
        <f t="shared" si="29"/>
        <v>8.3590237662120412E-2</v>
      </c>
      <c r="AC45" s="444">
        <f t="shared" si="29"/>
        <v>8.4904590544964811E-2</v>
      </c>
      <c r="AD45" s="444">
        <f t="shared" si="29"/>
        <v>8.6150422661405004E-2</v>
      </c>
      <c r="AE45" s="444">
        <f t="shared" si="29"/>
        <v>8.7331306184097124E-2</v>
      </c>
      <c r="AF45" s="444">
        <f t="shared" si="29"/>
        <v>8.8450627058686809E-2</v>
      </c>
      <c r="AG45" s="444">
        <f t="shared" si="29"/>
        <v>8.9511594712326323E-2</v>
      </c>
      <c r="AH45" s="444">
        <f t="shared" si="29"/>
        <v>9.0517251256060458E-2</v>
      </c>
      <c r="AI45" s="444">
        <f t="shared" si="29"/>
        <v>9.1470480207467217E-2</v>
      </c>
      <c r="AJ45" s="444">
        <f t="shared" si="29"/>
        <v>9.2374014758563674E-2</v>
      </c>
      <c r="AK45" s="444">
        <f t="shared" si="29"/>
        <v>9.3230445612683538E-2</v>
      </c>
      <c r="AL45" s="444">
        <f t="shared" si="29"/>
        <v>9.4042228412797163E-2</v>
      </c>
      <c r="AM45" s="444">
        <f t="shared" si="29"/>
        <v>9.4811690782573108E-2</v>
      </c>
      <c r="AN45" s="444">
        <f t="shared" si="29"/>
        <v>9.5541039000370212E-2</v>
      </c>
      <c r="AO45" s="444">
        <f t="shared" si="29"/>
        <v>9.6232364325296374E-2</v>
      </c>
      <c r="AP45" s="444">
        <f t="shared" si="29"/>
        <v>9.6887648993472825E-2</v>
      </c>
      <c r="AQ45" s="444">
        <f t="shared" si="29"/>
        <v>9.7508771901696961E-2</v>
      </c>
      <c r="AR45" s="444">
        <f t="shared" si="29"/>
        <v>9.8097513994800406E-2</v>
      </c>
      <c r="AS45" s="444">
        <f t="shared" si="29"/>
        <v>9.8655563372149632E-2</v>
      </c>
      <c r="AT45" s="444">
        <f t="shared" si="29"/>
        <v>9.91845201279309E-2</v>
      </c>
      <c r="AU45" s="444">
        <f t="shared" si="29"/>
        <v>9.9685900939097974E-2</v>
      </c>
      <c r="AV45" s="444">
        <f t="shared" si="29"/>
        <v>0.10016114341413786</v>
      </c>
      <c r="AW45" s="444">
        <f t="shared" si="29"/>
        <v>0.10061161021512352</v>
      </c>
      <c r="AX45" s="444">
        <f t="shared" si="29"/>
        <v>0.10103859296487297</v>
      </c>
      <c r="AY45" s="445">
        <f t="shared" si="29"/>
        <v>0.10144331595041747</v>
      </c>
    </row>
    <row r="46" spans="1:51">
      <c r="A46" s="442" t="s">
        <v>2906</v>
      </c>
      <c r="B46" s="446">
        <f t="shared" si="27"/>
        <v>0.85432063306221828</v>
      </c>
      <c r="C46" s="447">
        <f t="shared" ref="C46:L47" si="30">(C35/(1+$C$3)^(C$16-0.5)+B46)</f>
        <v>1.6641032236425202</v>
      </c>
      <c r="D46" s="447">
        <f t="shared" si="30"/>
        <v>2.4316696602115266</v>
      </c>
      <c r="E46" s="447">
        <f t="shared" si="30"/>
        <v>3.1592207849214855</v>
      </c>
      <c r="F46" s="447">
        <f t="shared" si="30"/>
        <v>3.8488427040778443</v>
      </c>
      <c r="G46" s="447">
        <f t="shared" si="30"/>
        <v>4.502512769628896</v>
      </c>
      <c r="H46" s="447">
        <f t="shared" si="30"/>
        <v>5.1221052488242051</v>
      </c>
      <c r="I46" s="447">
        <f t="shared" si="30"/>
        <v>5.7093966982984323</v>
      </c>
      <c r="J46" s="447">
        <f t="shared" si="30"/>
        <v>6.2660710579896426</v>
      </c>
      <c r="K46" s="447">
        <f t="shared" si="30"/>
        <v>6.7937244794978984</v>
      </c>
      <c r="L46" s="447">
        <f t="shared" si="30"/>
        <v>7.2938699027284732</v>
      </c>
      <c r="M46" s="447">
        <f t="shared" si="29"/>
        <v>7.7679413939422881</v>
      </c>
      <c r="N46" s="447">
        <f t="shared" si="29"/>
        <v>8.2172982576520646</v>
      </c>
      <c r="O46" s="447">
        <f t="shared" si="29"/>
        <v>8.643228934154223</v>
      </c>
      <c r="P46" s="447">
        <f t="shared" si="29"/>
        <v>9.0469546938719088</v>
      </c>
      <c r="Q46" s="447">
        <f t="shared" si="29"/>
        <v>9.4296331391019432</v>
      </c>
      <c r="R46" s="447">
        <f t="shared" si="29"/>
        <v>9.7923615232062406</v>
      </c>
      <c r="S46" s="447">
        <f t="shared" si="29"/>
        <v>10.136179896764817</v>
      </c>
      <c r="T46" s="447">
        <f t="shared" si="29"/>
        <v>10.462074089711335</v>
      </c>
      <c r="U46" s="447">
        <f t="shared" si="29"/>
        <v>10.770978538001872</v>
      </c>
      <c r="V46" s="447">
        <f t="shared" si="29"/>
        <v>11.063778962921813</v>
      </c>
      <c r="W46" s="447">
        <f t="shared" si="29"/>
        <v>11.341314910713226</v>
      </c>
      <c r="X46" s="447">
        <f t="shared" si="29"/>
        <v>11.604382159804613</v>
      </c>
      <c r="Y46" s="447">
        <f t="shared" si="29"/>
        <v>11.853735002545264</v>
      </c>
      <c r="Z46" s="447">
        <f t="shared" si="29"/>
        <v>12.09008840798664</v>
      </c>
      <c r="AA46" s="447">
        <f t="shared" si="29"/>
        <v>12.314120071912114</v>
      </c>
      <c r="AB46" s="447">
        <f t="shared" si="29"/>
        <v>12.526472359993132</v>
      </c>
      <c r="AC46" s="447">
        <f t="shared" si="29"/>
        <v>12.727754149643387</v>
      </c>
      <c r="AD46" s="447">
        <f t="shared" si="29"/>
        <v>12.918542575852159</v>
      </c>
      <c r="AE46" s="447">
        <f t="shared" si="29"/>
        <v>13.099384686002654</v>
      </c>
      <c r="AF46" s="447">
        <f t="shared" si="29"/>
        <v>13.270799008420186</v>
      </c>
      <c r="AG46" s="447">
        <f t="shared" si="29"/>
        <v>13.433277039147702</v>
      </c>
      <c r="AH46" s="447">
        <f t="shared" si="29"/>
        <v>13.5872846512117</v>
      </c>
      <c r="AI46" s="447">
        <f t="shared" si="29"/>
        <v>13.73326343041928</v>
      </c>
      <c r="AJ46" s="447">
        <f t="shared" si="29"/>
        <v>13.871631941516512</v>
      </c>
      <c r="AK46" s="447">
        <f t="shared" si="29"/>
        <v>14.002786928338534</v>
      </c>
      <c r="AL46" s="447">
        <f t="shared" si="29"/>
        <v>14.127104451392583</v>
      </c>
      <c r="AM46" s="447">
        <f t="shared" si="29"/>
        <v>14.244940966135758</v>
      </c>
      <c r="AN46" s="447">
        <f t="shared" si="29"/>
        <v>14.356634345039241</v>
      </c>
      <c r="AO46" s="447">
        <f t="shared" si="29"/>
        <v>14.462504846369557</v>
      </c>
      <c r="AP46" s="447">
        <f t="shared" si="29"/>
        <v>14.562856032464643</v>
      </c>
      <c r="AQ46" s="447">
        <f t="shared" si="29"/>
        <v>14.65797564013771</v>
      </c>
      <c r="AR46" s="447">
        <f t="shared" si="29"/>
        <v>14.748136405704599</v>
      </c>
      <c r="AS46" s="447">
        <f t="shared" si="29"/>
        <v>14.833596847000228</v>
      </c>
      <c r="AT46" s="447">
        <f t="shared" si="29"/>
        <v>14.914602004626417</v>
      </c>
      <c r="AU46" s="447">
        <f t="shared" si="29"/>
        <v>14.991384144556454</v>
      </c>
      <c r="AV46" s="447">
        <f t="shared" si="29"/>
        <v>15.064163424110991</v>
      </c>
      <c r="AW46" s="447">
        <f t="shared" si="29"/>
        <v>15.133148523214818</v>
      </c>
      <c r="AX46" s="447">
        <f t="shared" si="29"/>
        <v>15.198537242744511</v>
      </c>
      <c r="AY46" s="448">
        <f t="shared" si="29"/>
        <v>15.260517071682608</v>
      </c>
    </row>
    <row r="47" spans="1:51" ht="12.75" thickBot="1">
      <c r="A47" s="449" t="s">
        <v>2907</v>
      </c>
      <c r="B47" s="450">
        <f t="shared" si="27"/>
        <v>0.85432063306221828</v>
      </c>
      <c r="C47" s="451">
        <f t="shared" si="30"/>
        <v>1.6641032236425202</v>
      </c>
      <c r="D47" s="451">
        <f t="shared" si="30"/>
        <v>2.4316696602115266</v>
      </c>
      <c r="E47" s="451">
        <f t="shared" si="30"/>
        <v>3.1592207849214855</v>
      </c>
      <c r="F47" s="451">
        <f t="shared" si="30"/>
        <v>3.8488427040778443</v>
      </c>
      <c r="G47" s="451">
        <f t="shared" si="30"/>
        <v>4.502512769628896</v>
      </c>
      <c r="H47" s="451">
        <f t="shared" si="30"/>
        <v>5.1221052488242051</v>
      </c>
      <c r="I47" s="451">
        <f t="shared" si="30"/>
        <v>5.7093966982984323</v>
      </c>
      <c r="J47" s="451">
        <f t="shared" si="30"/>
        <v>6.2660710579896426</v>
      </c>
      <c r="K47" s="451">
        <f t="shared" si="30"/>
        <v>6.7937244794978984</v>
      </c>
      <c r="L47" s="451">
        <f t="shared" si="30"/>
        <v>7.2938699027284732</v>
      </c>
      <c r="M47" s="451">
        <f t="shared" si="29"/>
        <v>7.7679413939422881</v>
      </c>
      <c r="N47" s="451">
        <f t="shared" si="29"/>
        <v>8.2172982576520646</v>
      </c>
      <c r="O47" s="451">
        <f t="shared" si="29"/>
        <v>8.643228934154223</v>
      </c>
      <c r="P47" s="451">
        <f t="shared" si="29"/>
        <v>9.0469546938719088</v>
      </c>
      <c r="Q47" s="451">
        <f t="shared" si="29"/>
        <v>9.4296331391019432</v>
      </c>
      <c r="R47" s="451">
        <f t="shared" si="29"/>
        <v>9.7923615232062406</v>
      </c>
      <c r="S47" s="451">
        <f t="shared" si="29"/>
        <v>10.136179896764817</v>
      </c>
      <c r="T47" s="451">
        <f t="shared" si="29"/>
        <v>10.462074089711335</v>
      </c>
      <c r="U47" s="451">
        <f t="shared" si="29"/>
        <v>10.770978538001872</v>
      </c>
      <c r="V47" s="451">
        <f t="shared" si="29"/>
        <v>11.063778962921813</v>
      </c>
      <c r="W47" s="451">
        <f t="shared" si="29"/>
        <v>11.341314910713226</v>
      </c>
      <c r="X47" s="451">
        <f t="shared" si="29"/>
        <v>11.604382159804613</v>
      </c>
      <c r="Y47" s="451">
        <f t="shared" si="29"/>
        <v>11.853735002545264</v>
      </c>
      <c r="Z47" s="451">
        <f t="shared" si="29"/>
        <v>12.09008840798664</v>
      </c>
      <c r="AA47" s="451">
        <f t="shared" si="29"/>
        <v>12.314120071912114</v>
      </c>
      <c r="AB47" s="451">
        <f t="shared" si="29"/>
        <v>12.526472359993132</v>
      </c>
      <c r="AC47" s="451">
        <f t="shared" si="29"/>
        <v>12.727754149643387</v>
      </c>
      <c r="AD47" s="451">
        <f t="shared" si="29"/>
        <v>12.918542575852159</v>
      </c>
      <c r="AE47" s="451">
        <f t="shared" si="29"/>
        <v>13.099384686002654</v>
      </c>
      <c r="AF47" s="451">
        <f t="shared" si="29"/>
        <v>13.270799008420186</v>
      </c>
      <c r="AG47" s="451">
        <f t="shared" si="29"/>
        <v>13.433277039147702</v>
      </c>
      <c r="AH47" s="451">
        <f t="shared" si="29"/>
        <v>13.5872846512117</v>
      </c>
      <c r="AI47" s="451">
        <f t="shared" si="29"/>
        <v>13.73326343041928</v>
      </c>
      <c r="AJ47" s="451">
        <f t="shared" si="29"/>
        <v>13.871631941516512</v>
      </c>
      <c r="AK47" s="451">
        <f t="shared" si="29"/>
        <v>14.002786928338534</v>
      </c>
      <c r="AL47" s="451">
        <f t="shared" si="29"/>
        <v>14.127104451392583</v>
      </c>
      <c r="AM47" s="451">
        <f t="shared" si="29"/>
        <v>14.244940966135758</v>
      </c>
      <c r="AN47" s="451">
        <f t="shared" si="29"/>
        <v>14.356634345039241</v>
      </c>
      <c r="AO47" s="451">
        <f t="shared" si="29"/>
        <v>14.462504846369557</v>
      </c>
      <c r="AP47" s="451">
        <f t="shared" si="29"/>
        <v>14.562856032464643</v>
      </c>
      <c r="AQ47" s="451">
        <f t="shared" si="29"/>
        <v>14.65797564013771</v>
      </c>
      <c r="AR47" s="451">
        <f t="shared" si="29"/>
        <v>14.748136405704599</v>
      </c>
      <c r="AS47" s="451">
        <f t="shared" si="29"/>
        <v>14.833596847000228</v>
      </c>
      <c r="AT47" s="451">
        <f t="shared" si="29"/>
        <v>14.914602004626417</v>
      </c>
      <c r="AU47" s="451">
        <f t="shared" si="29"/>
        <v>14.991384144556454</v>
      </c>
      <c r="AV47" s="451">
        <f t="shared" si="29"/>
        <v>15.064163424110991</v>
      </c>
      <c r="AW47" s="451">
        <f t="shared" si="29"/>
        <v>15.133148523214818</v>
      </c>
      <c r="AX47" s="451">
        <f t="shared" si="29"/>
        <v>15.198537242744511</v>
      </c>
      <c r="AY47" s="452">
        <f t="shared" si="29"/>
        <v>15.260517071682608</v>
      </c>
    </row>
    <row r="49" spans="1:51" ht="15.75">
      <c r="A49" s="454" t="s">
        <v>2916</v>
      </c>
      <c r="B49" s="453"/>
      <c r="C49" s="453"/>
      <c r="D49" s="453"/>
      <c r="E49" s="453"/>
      <c r="F49" s="453"/>
      <c r="G49" s="453"/>
      <c r="H49" s="453"/>
      <c r="I49" s="453"/>
      <c r="J49" s="453"/>
      <c r="K49" s="453"/>
      <c r="L49" s="453"/>
      <c r="M49" s="453"/>
      <c r="N49" s="453"/>
      <c r="O49" s="453"/>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3"/>
    </row>
    <row r="50" spans="1:51" ht="15.75" thickBot="1">
      <c r="A50" s="433" t="s">
        <v>2898</v>
      </c>
    </row>
    <row r="51" spans="1:51" ht="12.75" thickBot="1">
      <c r="A51" s="434" t="s">
        <v>2899</v>
      </c>
      <c r="B51" s="435">
        <v>2010</v>
      </c>
      <c r="C51" s="436">
        <v>2011</v>
      </c>
      <c r="D51" s="436">
        <v>2012</v>
      </c>
      <c r="E51" s="436">
        <v>2013</v>
      </c>
      <c r="F51" s="436">
        <v>2014</v>
      </c>
      <c r="G51" s="436">
        <v>2015</v>
      </c>
      <c r="H51" s="436">
        <v>2016</v>
      </c>
      <c r="I51" s="436">
        <v>2017</v>
      </c>
      <c r="J51" s="436">
        <v>2018</v>
      </c>
      <c r="K51" s="436">
        <v>2019</v>
      </c>
      <c r="L51" s="436">
        <v>2020</v>
      </c>
      <c r="M51" s="436">
        <v>2021</v>
      </c>
      <c r="N51" s="436">
        <v>2022</v>
      </c>
      <c r="O51" s="436">
        <v>2023</v>
      </c>
      <c r="P51" s="436">
        <v>2024</v>
      </c>
      <c r="Q51" s="436">
        <v>2025</v>
      </c>
      <c r="R51" s="436">
        <v>2026</v>
      </c>
      <c r="S51" s="436">
        <v>2027</v>
      </c>
      <c r="T51" s="436">
        <v>2028</v>
      </c>
      <c r="U51" s="436">
        <v>2029</v>
      </c>
      <c r="V51" s="436">
        <v>2030</v>
      </c>
      <c r="W51" s="436">
        <v>2031</v>
      </c>
      <c r="X51" s="436">
        <v>2032</v>
      </c>
      <c r="Y51" s="436">
        <v>2033</v>
      </c>
      <c r="Z51" s="436">
        <v>2034</v>
      </c>
      <c r="AA51" s="436">
        <v>2035</v>
      </c>
      <c r="AB51" s="436">
        <v>2036</v>
      </c>
      <c r="AC51" s="436">
        <v>2037</v>
      </c>
      <c r="AD51" s="436">
        <v>2038</v>
      </c>
      <c r="AE51" s="436">
        <v>2039</v>
      </c>
      <c r="AF51" s="436">
        <v>2040</v>
      </c>
      <c r="AG51" s="436">
        <v>2041</v>
      </c>
      <c r="AH51" s="436">
        <v>2042</v>
      </c>
      <c r="AI51" s="436">
        <v>2043</v>
      </c>
      <c r="AJ51" s="436">
        <v>2044</v>
      </c>
      <c r="AK51" s="436">
        <v>2045</v>
      </c>
      <c r="AL51" s="436">
        <v>2046</v>
      </c>
      <c r="AM51" s="436">
        <v>2047</v>
      </c>
      <c r="AN51" s="436">
        <v>2048</v>
      </c>
      <c r="AO51" s="436">
        <v>2049</v>
      </c>
      <c r="AP51" s="436">
        <v>2050</v>
      </c>
      <c r="AQ51" s="436">
        <v>2051</v>
      </c>
      <c r="AR51" s="436">
        <v>2052</v>
      </c>
      <c r="AS51" s="436">
        <v>2053</v>
      </c>
      <c r="AT51" s="436">
        <v>2054</v>
      </c>
      <c r="AU51" s="436">
        <v>2055</v>
      </c>
      <c r="AV51" s="436">
        <v>2056</v>
      </c>
      <c r="AW51" s="436">
        <v>2057</v>
      </c>
      <c r="AX51" s="436">
        <v>2058</v>
      </c>
      <c r="AY51" s="437">
        <v>2059</v>
      </c>
    </row>
    <row r="52" spans="1:51">
      <c r="A52" s="438" t="s">
        <v>2910</v>
      </c>
      <c r="B52" s="774">
        <v>8.5398706896551727E-2</v>
      </c>
      <c r="C52" s="775">
        <v>8.4051724137931036E-2</v>
      </c>
      <c r="D52" s="775">
        <v>8.2737068965517233E-2</v>
      </c>
      <c r="E52" s="775">
        <v>8.2090517241379321E-2</v>
      </c>
      <c r="F52" s="775">
        <v>8.1454741379310344E-2</v>
      </c>
      <c r="G52" s="775">
        <v>8.0818965517241367E-2</v>
      </c>
      <c r="H52" s="775">
        <v>8.1023706896551709E-2</v>
      </c>
      <c r="I52" s="775">
        <v>8.1217672413793102E-2</v>
      </c>
      <c r="J52" s="775">
        <v>8.1422413793103443E-2</v>
      </c>
      <c r="K52" s="775">
        <v>8.1616379310344822E-2</v>
      </c>
      <c r="L52" s="775">
        <v>8.1821120689655177E-2</v>
      </c>
      <c r="M52" s="775">
        <v>8.2015086206896542E-2</v>
      </c>
      <c r="N52" s="775">
        <v>8.2219827586206884E-2</v>
      </c>
      <c r="O52" s="775">
        <v>8.2424568965517225E-2</v>
      </c>
      <c r="P52" s="775">
        <v>8.2629310344827595E-2</v>
      </c>
      <c r="Q52" s="775">
        <v>8.2629310344827595E-2</v>
      </c>
      <c r="R52" s="775">
        <v>8.2629310344827595E-2</v>
      </c>
      <c r="S52" s="775">
        <v>8.2629310344827595E-2</v>
      </c>
      <c r="T52" s="775">
        <v>8.2629310344827595E-2</v>
      </c>
      <c r="U52" s="775">
        <v>8.2629310344827595E-2</v>
      </c>
      <c r="V52" s="775">
        <v>8.2629310344827595E-2</v>
      </c>
      <c r="W52" s="775">
        <v>8.2629310344827595E-2</v>
      </c>
      <c r="X52" s="775">
        <v>8.2629310344827595E-2</v>
      </c>
      <c r="Y52" s="775">
        <v>8.2629310344827595E-2</v>
      </c>
      <c r="Z52" s="775">
        <v>8.2629310344827595E-2</v>
      </c>
      <c r="AA52" s="775">
        <v>8.2629310344827595E-2</v>
      </c>
      <c r="AB52" s="775">
        <v>8.2629310344827595E-2</v>
      </c>
      <c r="AC52" s="775">
        <v>8.2629310344827595E-2</v>
      </c>
      <c r="AD52" s="775">
        <v>8.2629310344827595E-2</v>
      </c>
      <c r="AE52" s="775">
        <v>8.2629310344827595E-2</v>
      </c>
      <c r="AF52" s="775">
        <v>8.2629310344827595E-2</v>
      </c>
      <c r="AG52" s="775">
        <v>8.2629310344827595E-2</v>
      </c>
      <c r="AH52" s="775">
        <v>8.2629310344827595E-2</v>
      </c>
      <c r="AI52" s="775">
        <v>8.2629310344827595E-2</v>
      </c>
      <c r="AJ52" s="775">
        <v>8.2629310344827595E-2</v>
      </c>
      <c r="AK52" s="775">
        <v>8.2629310344827595E-2</v>
      </c>
      <c r="AL52" s="775">
        <v>8.2629310344827595E-2</v>
      </c>
      <c r="AM52" s="775">
        <v>8.2629310344827595E-2</v>
      </c>
      <c r="AN52" s="775">
        <v>8.2629310344827595E-2</v>
      </c>
      <c r="AO52" s="775">
        <v>8.2629310344827595E-2</v>
      </c>
      <c r="AP52" s="775">
        <v>8.2629310344827595E-2</v>
      </c>
      <c r="AQ52" s="775">
        <v>8.2629310344827595E-2</v>
      </c>
      <c r="AR52" s="775">
        <v>8.2629310344827595E-2</v>
      </c>
      <c r="AS52" s="775">
        <v>8.2629310344827595E-2</v>
      </c>
      <c r="AT52" s="775">
        <v>8.2629310344827595E-2</v>
      </c>
      <c r="AU52" s="775">
        <v>8.2629310344827595E-2</v>
      </c>
      <c r="AV52" s="775">
        <v>8.2629310344827595E-2</v>
      </c>
      <c r="AW52" s="775">
        <v>8.2629310344827595E-2</v>
      </c>
      <c r="AX52" s="775">
        <v>8.2629310344827595E-2</v>
      </c>
      <c r="AY52" s="776">
        <v>8.2629310344827595E-2</v>
      </c>
    </row>
    <row r="53" spans="1:51">
      <c r="A53" s="442" t="s">
        <v>2911</v>
      </c>
      <c r="B53" s="462">
        <v>85.398706896551715</v>
      </c>
      <c r="C53" s="463">
        <v>92.53232758620689</v>
      </c>
      <c r="D53" s="463">
        <v>99.234913793103431</v>
      </c>
      <c r="E53" s="463">
        <v>105.54956896551724</v>
      </c>
      <c r="F53" s="463">
        <v>111.48706896551724</v>
      </c>
      <c r="G53" s="463">
        <v>117.06896551724137</v>
      </c>
      <c r="H53" s="463">
        <v>122.32758620689654</v>
      </c>
      <c r="I53" s="463">
        <v>127.26293103448276</v>
      </c>
      <c r="J53" s="463">
        <v>131.90732758620689</v>
      </c>
      <c r="K53" s="463">
        <v>136.27155172413794</v>
      </c>
      <c r="L53" s="463">
        <v>140.36637931034483</v>
      </c>
      <c r="M53" s="463">
        <v>144.21336206896549</v>
      </c>
      <c r="N53" s="463">
        <v>144.21336206896549</v>
      </c>
      <c r="O53" s="463">
        <v>144.21336206896549</v>
      </c>
      <c r="P53" s="463">
        <v>144.21336206896549</v>
      </c>
      <c r="Q53" s="463">
        <v>144.21336206896549</v>
      </c>
      <c r="R53" s="463">
        <v>144.21336206896501</v>
      </c>
      <c r="S53" s="463">
        <v>144.21336206896501</v>
      </c>
      <c r="T53" s="463">
        <v>144.21336206896501</v>
      </c>
      <c r="U53" s="463">
        <v>144.21336206896501</v>
      </c>
      <c r="V53" s="463">
        <v>144.21336206896501</v>
      </c>
      <c r="W53" s="463">
        <v>144.21336206896501</v>
      </c>
      <c r="X53" s="463">
        <v>144.21336206896501</v>
      </c>
      <c r="Y53" s="463">
        <v>144.21336206896501</v>
      </c>
      <c r="Z53" s="463">
        <v>144.21336206896501</v>
      </c>
      <c r="AA53" s="463">
        <v>144.21336206896501</v>
      </c>
      <c r="AB53" s="463">
        <v>144.21336206896501</v>
      </c>
      <c r="AC53" s="463">
        <v>144.21336206896501</v>
      </c>
      <c r="AD53" s="463">
        <v>144.21336206896501</v>
      </c>
      <c r="AE53" s="463">
        <v>144.21336206896501</v>
      </c>
      <c r="AF53" s="463">
        <v>144.21336206896501</v>
      </c>
      <c r="AG53" s="463">
        <v>144.21336206896501</v>
      </c>
      <c r="AH53" s="463">
        <v>144.21336206896501</v>
      </c>
      <c r="AI53" s="463">
        <v>144.21336206896501</v>
      </c>
      <c r="AJ53" s="463">
        <v>144.21336206896501</v>
      </c>
      <c r="AK53" s="463">
        <v>144.21336206896501</v>
      </c>
      <c r="AL53" s="463">
        <v>144.21336206896501</v>
      </c>
      <c r="AM53" s="463">
        <v>144.21336206896501</v>
      </c>
      <c r="AN53" s="463">
        <v>144.21336206896501</v>
      </c>
      <c r="AO53" s="463">
        <v>144.21336206896501</v>
      </c>
      <c r="AP53" s="463">
        <v>144.21336206896501</v>
      </c>
      <c r="AQ53" s="463">
        <v>144.21336206896501</v>
      </c>
      <c r="AR53" s="463">
        <v>144.21336206896501</v>
      </c>
      <c r="AS53" s="463">
        <v>144.21336206896501</v>
      </c>
      <c r="AT53" s="463">
        <v>144.21336206896501</v>
      </c>
      <c r="AU53" s="463">
        <v>144.21336206896501</v>
      </c>
      <c r="AV53" s="463">
        <v>144.21336206896501</v>
      </c>
      <c r="AW53" s="463">
        <v>144.21336206896501</v>
      </c>
      <c r="AX53" s="463">
        <v>144.21336206896501</v>
      </c>
      <c r="AY53" s="464">
        <v>144.21336206896501</v>
      </c>
    </row>
    <row r="54" spans="1:51">
      <c r="A54" s="442" t="s">
        <v>2912</v>
      </c>
      <c r="B54" s="462">
        <v>13.64</v>
      </c>
      <c r="C54" s="463">
        <v>13.41</v>
      </c>
      <c r="D54" s="463">
        <v>13.19</v>
      </c>
      <c r="E54" s="463">
        <v>13.19</v>
      </c>
      <c r="F54" s="463">
        <v>13.19</v>
      </c>
      <c r="G54" s="463">
        <v>13.19</v>
      </c>
      <c r="H54" s="463">
        <v>13.27</v>
      </c>
      <c r="I54" s="463">
        <v>13.34</v>
      </c>
      <c r="J54" s="463">
        <v>13.42</v>
      </c>
      <c r="K54" s="463">
        <v>13.42</v>
      </c>
      <c r="L54" s="463">
        <v>13.42</v>
      </c>
      <c r="M54" s="463">
        <v>13.42</v>
      </c>
      <c r="N54" s="463">
        <v>13.42</v>
      </c>
      <c r="O54" s="463">
        <v>13.42</v>
      </c>
      <c r="P54" s="463">
        <v>13.42</v>
      </c>
      <c r="Q54" s="463">
        <v>13.42</v>
      </c>
      <c r="R54" s="463">
        <v>13.42</v>
      </c>
      <c r="S54" s="463">
        <v>13.42</v>
      </c>
      <c r="T54" s="463">
        <v>13.42</v>
      </c>
      <c r="U54" s="463">
        <v>13.42</v>
      </c>
      <c r="V54" s="463">
        <v>13.42</v>
      </c>
      <c r="W54" s="463">
        <v>13.42</v>
      </c>
      <c r="X54" s="463">
        <v>13.42</v>
      </c>
      <c r="Y54" s="463">
        <v>13.42</v>
      </c>
      <c r="Z54" s="463">
        <v>13.42</v>
      </c>
      <c r="AA54" s="463">
        <v>13.42</v>
      </c>
      <c r="AB54" s="463">
        <v>13.42</v>
      </c>
      <c r="AC54" s="463">
        <v>13.42</v>
      </c>
      <c r="AD54" s="463">
        <v>13.42</v>
      </c>
      <c r="AE54" s="463">
        <v>13.42</v>
      </c>
      <c r="AF54" s="463">
        <v>13.42</v>
      </c>
      <c r="AG54" s="463">
        <v>13.42</v>
      </c>
      <c r="AH54" s="463">
        <v>13.42</v>
      </c>
      <c r="AI54" s="463">
        <v>13.42</v>
      </c>
      <c r="AJ54" s="463">
        <v>13.42</v>
      </c>
      <c r="AK54" s="463">
        <v>13.42</v>
      </c>
      <c r="AL54" s="463">
        <v>13.42</v>
      </c>
      <c r="AM54" s="463">
        <v>13.42</v>
      </c>
      <c r="AN54" s="463">
        <v>13.42</v>
      </c>
      <c r="AO54" s="463">
        <v>13.42</v>
      </c>
      <c r="AP54" s="463">
        <v>13.42</v>
      </c>
      <c r="AQ54" s="463">
        <v>13.42</v>
      </c>
      <c r="AR54" s="463">
        <v>13.42</v>
      </c>
      <c r="AS54" s="463">
        <v>13.42</v>
      </c>
      <c r="AT54" s="463">
        <v>13.42</v>
      </c>
      <c r="AU54" s="463">
        <v>13.42</v>
      </c>
      <c r="AV54" s="463">
        <v>13.42</v>
      </c>
      <c r="AW54" s="463">
        <v>13.42</v>
      </c>
      <c r="AX54" s="463">
        <v>13.42</v>
      </c>
      <c r="AY54" s="464">
        <v>13.42</v>
      </c>
    </row>
    <row r="55" spans="1:51">
      <c r="A55" s="442" t="s">
        <v>2913</v>
      </c>
      <c r="B55" s="462">
        <v>12.012499999999999</v>
      </c>
      <c r="C55" s="463">
        <v>11.794166666666667</v>
      </c>
      <c r="D55" s="463">
        <v>11.585833333333333</v>
      </c>
      <c r="E55" s="463">
        <v>11.585833333333333</v>
      </c>
      <c r="F55" s="463">
        <v>11.585833333333333</v>
      </c>
      <c r="G55" s="463">
        <v>11.585833333333333</v>
      </c>
      <c r="H55" s="463">
        <v>11.66</v>
      </c>
      <c r="I55" s="463">
        <v>11.73</v>
      </c>
      <c r="J55" s="463">
        <v>11.804166666666667</v>
      </c>
      <c r="K55" s="463">
        <v>11.804166666666667</v>
      </c>
      <c r="L55" s="463">
        <v>11.804166666666667</v>
      </c>
      <c r="M55" s="463">
        <v>11.804166666666667</v>
      </c>
      <c r="N55" s="463">
        <v>11.804166666666667</v>
      </c>
      <c r="O55" s="463">
        <v>11.804166666666667</v>
      </c>
      <c r="P55" s="463">
        <v>11.804166666666667</v>
      </c>
      <c r="Q55" s="463">
        <v>11.804166666666667</v>
      </c>
      <c r="R55" s="463">
        <v>11.804166666666667</v>
      </c>
      <c r="S55" s="463">
        <v>11.804166666666667</v>
      </c>
      <c r="T55" s="463">
        <v>11.804166666666667</v>
      </c>
      <c r="U55" s="463">
        <v>11.804166666666667</v>
      </c>
      <c r="V55" s="463">
        <v>11.804166666666667</v>
      </c>
      <c r="W55" s="463">
        <v>11.804166666666667</v>
      </c>
      <c r="X55" s="463">
        <v>11.804166666666667</v>
      </c>
      <c r="Y55" s="463">
        <v>11.804166666666667</v>
      </c>
      <c r="Z55" s="463">
        <v>11.804166666666667</v>
      </c>
      <c r="AA55" s="463">
        <v>11.804166666666667</v>
      </c>
      <c r="AB55" s="463">
        <v>11.804166666666667</v>
      </c>
      <c r="AC55" s="463">
        <v>11.804166666666667</v>
      </c>
      <c r="AD55" s="463">
        <v>11.804166666666667</v>
      </c>
      <c r="AE55" s="463">
        <v>11.804166666666667</v>
      </c>
      <c r="AF55" s="463">
        <v>11.804166666666667</v>
      </c>
      <c r="AG55" s="463">
        <v>11.804166666666667</v>
      </c>
      <c r="AH55" s="463">
        <v>11.804166666666667</v>
      </c>
      <c r="AI55" s="463">
        <v>11.804166666666667</v>
      </c>
      <c r="AJ55" s="463">
        <v>11.804166666666667</v>
      </c>
      <c r="AK55" s="463">
        <v>11.804166666666667</v>
      </c>
      <c r="AL55" s="463">
        <v>11.804166666666667</v>
      </c>
      <c r="AM55" s="463">
        <v>11.804166666666667</v>
      </c>
      <c r="AN55" s="463">
        <v>11.804166666666667</v>
      </c>
      <c r="AO55" s="463">
        <v>11.804166666666667</v>
      </c>
      <c r="AP55" s="463">
        <v>11.804166666666667</v>
      </c>
      <c r="AQ55" s="463">
        <v>11.804166666666667</v>
      </c>
      <c r="AR55" s="463">
        <v>11.804166666666667</v>
      </c>
      <c r="AS55" s="463">
        <v>11.804166666666667</v>
      </c>
      <c r="AT55" s="463">
        <v>11.804166666666667</v>
      </c>
      <c r="AU55" s="463">
        <v>11.804166666666667</v>
      </c>
      <c r="AV55" s="463">
        <v>11.804166666666667</v>
      </c>
      <c r="AW55" s="463">
        <v>11.804166666666667</v>
      </c>
      <c r="AX55" s="463">
        <v>11.804166666666699</v>
      </c>
      <c r="AY55" s="464">
        <v>11.804166666666699</v>
      </c>
    </row>
    <row r="56" spans="1:51">
      <c r="A56" s="442" t="s">
        <v>2900</v>
      </c>
      <c r="B56" s="462">
        <v>7.2607266726146298</v>
      </c>
      <c r="C56" s="463">
        <v>7.9112857970161548</v>
      </c>
      <c r="D56" s="463">
        <v>8.1995068031839171</v>
      </c>
      <c r="E56" s="463">
        <v>8.4073776927334265</v>
      </c>
      <c r="F56" s="463">
        <v>8.5736326363918245</v>
      </c>
      <c r="G56" s="463">
        <v>8.7208261649062617</v>
      </c>
      <c r="H56" s="463">
        <v>8.8285181377174773</v>
      </c>
      <c r="I56" s="463">
        <v>8.8829506598476691</v>
      </c>
      <c r="J56" s="463">
        <v>9.0100552678251411</v>
      </c>
      <c r="K56" s="463">
        <v>9.0500408716374903</v>
      </c>
      <c r="L56" s="463">
        <v>9.1558646250250764</v>
      </c>
      <c r="M56" s="463">
        <v>9.244954159045637</v>
      </c>
      <c r="N56" s="463">
        <v>9.2425044625563437</v>
      </c>
      <c r="O56" s="463">
        <v>9.3135366023628183</v>
      </c>
      <c r="P56" s="463">
        <v>9.3834258849192018</v>
      </c>
      <c r="Q56" s="463">
        <v>9.4457625151136106</v>
      </c>
      <c r="R56" s="463">
        <v>9.4294343454096037</v>
      </c>
      <c r="S56" s="463">
        <v>9.4065940080935402</v>
      </c>
      <c r="T56" s="463">
        <v>9.3718934835830296</v>
      </c>
      <c r="U56" s="463">
        <v>9.3718934835830296</v>
      </c>
      <c r="V56" s="463">
        <v>9.3718934835830296</v>
      </c>
      <c r="W56" s="463">
        <v>9.3718934835830296</v>
      </c>
      <c r="X56" s="463">
        <v>9.3718934835830296</v>
      </c>
      <c r="Y56" s="463">
        <v>9.3718934835830296</v>
      </c>
      <c r="Z56" s="463">
        <v>9.3718934835830296</v>
      </c>
      <c r="AA56" s="463">
        <v>9.3718934835830296</v>
      </c>
      <c r="AB56" s="463">
        <v>9.3718934835830296</v>
      </c>
      <c r="AC56" s="463">
        <v>9.3718934835830296</v>
      </c>
      <c r="AD56" s="463">
        <v>9.3718934835830296</v>
      </c>
      <c r="AE56" s="463">
        <v>9.3718934835830296</v>
      </c>
      <c r="AF56" s="463">
        <v>9.3718934835830296</v>
      </c>
      <c r="AG56" s="463">
        <v>9.3718934835830296</v>
      </c>
      <c r="AH56" s="463">
        <v>9.3718934835830296</v>
      </c>
      <c r="AI56" s="463">
        <v>9.3718934835830296</v>
      </c>
      <c r="AJ56" s="463">
        <v>9.3718934835830296</v>
      </c>
      <c r="AK56" s="463">
        <v>9.3718934835830296</v>
      </c>
      <c r="AL56" s="463">
        <v>9.3718934835830296</v>
      </c>
      <c r="AM56" s="463">
        <v>9.3718934835830296</v>
      </c>
      <c r="AN56" s="463">
        <v>9.3718934835830296</v>
      </c>
      <c r="AO56" s="463">
        <v>9.3718934835830296</v>
      </c>
      <c r="AP56" s="463">
        <v>9.3718934835830296</v>
      </c>
      <c r="AQ56" s="463">
        <v>9.3718934835830296</v>
      </c>
      <c r="AR56" s="463">
        <v>9.3718934835830296</v>
      </c>
      <c r="AS56" s="463">
        <v>9.3718934835830296</v>
      </c>
      <c r="AT56" s="463">
        <v>9.3718934835830296</v>
      </c>
      <c r="AU56" s="463">
        <v>9.3718934835830296</v>
      </c>
      <c r="AV56" s="463">
        <v>9.3718934835830296</v>
      </c>
      <c r="AW56" s="463">
        <v>9.3718934835830296</v>
      </c>
      <c r="AX56" s="463">
        <v>9.3718934835830296</v>
      </c>
      <c r="AY56" s="464">
        <v>9.3718934835830296</v>
      </c>
    </row>
    <row r="57" spans="1:51">
      <c r="A57" s="442" t="s">
        <v>2901</v>
      </c>
      <c r="B57" s="443">
        <v>6.28E-3</v>
      </c>
      <c r="C57" s="444">
        <v>6.1999999999999998E-3</v>
      </c>
      <c r="D57" s="444">
        <v>6.1200000000000004E-3</v>
      </c>
      <c r="E57" s="444">
        <v>6.0000000000000001E-3</v>
      </c>
      <c r="F57" s="444">
        <v>5.8799999999999998E-3</v>
      </c>
      <c r="G57" s="444">
        <v>5.77E-3</v>
      </c>
      <c r="H57" s="444">
        <v>5.77E-3</v>
      </c>
      <c r="I57" s="444">
        <v>5.7599999999999995E-3</v>
      </c>
      <c r="J57" s="444">
        <v>5.7599999999999995E-3</v>
      </c>
      <c r="K57" s="444">
        <v>5.7499999999999999E-3</v>
      </c>
      <c r="L57" s="444">
        <v>5.7499999999999999E-3</v>
      </c>
      <c r="M57" s="444">
        <v>5.7499999999999999E-3</v>
      </c>
      <c r="N57" s="444">
        <v>5.7400000000000003E-3</v>
      </c>
      <c r="O57" s="444">
        <v>5.7400000000000003E-3</v>
      </c>
      <c r="P57" s="444">
        <v>5.7300000000000007E-3</v>
      </c>
      <c r="Q57" s="444">
        <v>5.7300000000000007E-3</v>
      </c>
      <c r="R57" s="444">
        <v>5.7300000000000007E-3</v>
      </c>
      <c r="S57" s="444">
        <v>5.7300000000000007E-3</v>
      </c>
      <c r="T57" s="444">
        <v>5.7300000000000007E-3</v>
      </c>
      <c r="U57" s="444">
        <v>5.7300000000000007E-3</v>
      </c>
      <c r="V57" s="444">
        <v>5.7300000000000007E-3</v>
      </c>
      <c r="W57" s="444">
        <v>5.7300000000000007E-3</v>
      </c>
      <c r="X57" s="444">
        <v>5.7300000000000007E-3</v>
      </c>
      <c r="Y57" s="444">
        <v>5.7300000000000007E-3</v>
      </c>
      <c r="Z57" s="444">
        <v>5.7300000000000007E-3</v>
      </c>
      <c r="AA57" s="444">
        <v>5.7300000000000007E-3</v>
      </c>
      <c r="AB57" s="444">
        <v>5.7300000000000007E-3</v>
      </c>
      <c r="AC57" s="444">
        <v>5.7300000000000007E-3</v>
      </c>
      <c r="AD57" s="444">
        <v>5.7300000000000007E-3</v>
      </c>
      <c r="AE57" s="444">
        <v>5.7300000000000007E-3</v>
      </c>
      <c r="AF57" s="444">
        <v>5.7300000000000007E-3</v>
      </c>
      <c r="AG57" s="444">
        <v>5.7300000000000007E-3</v>
      </c>
      <c r="AH57" s="444">
        <v>5.7300000000000007E-3</v>
      </c>
      <c r="AI57" s="444">
        <v>5.7300000000000007E-3</v>
      </c>
      <c r="AJ57" s="444">
        <v>5.7300000000000007E-3</v>
      </c>
      <c r="AK57" s="444">
        <v>5.7300000000000007E-3</v>
      </c>
      <c r="AL57" s="444">
        <v>5.7300000000000007E-3</v>
      </c>
      <c r="AM57" s="444">
        <v>5.7300000000000007E-3</v>
      </c>
      <c r="AN57" s="444">
        <v>5.7300000000000007E-3</v>
      </c>
      <c r="AO57" s="444">
        <v>5.7300000000000007E-3</v>
      </c>
      <c r="AP57" s="444">
        <v>5.7300000000000007E-3</v>
      </c>
      <c r="AQ57" s="444">
        <v>5.7300000000000007E-3</v>
      </c>
      <c r="AR57" s="444">
        <v>5.7300000000000007E-3</v>
      </c>
      <c r="AS57" s="444">
        <v>5.7300000000000007E-3</v>
      </c>
      <c r="AT57" s="444">
        <v>5.7300000000000007E-3</v>
      </c>
      <c r="AU57" s="444">
        <v>5.7300000000000007E-3</v>
      </c>
      <c r="AV57" s="444">
        <v>5.7300000000000007E-3</v>
      </c>
      <c r="AW57" s="444">
        <v>5.7300000000000007E-3</v>
      </c>
      <c r="AX57" s="444">
        <v>5.7300000000000007E-3</v>
      </c>
      <c r="AY57" s="445">
        <v>5.7300000000000007E-3</v>
      </c>
    </row>
    <row r="58" spans="1:51">
      <c r="A58" s="442" t="s">
        <v>2902</v>
      </c>
      <c r="B58" s="446">
        <f>(58.5/1000)*15</f>
        <v>0.87750000000000006</v>
      </c>
      <c r="C58" s="447">
        <f t="shared" ref="C58:AD59" si="31">(58.5/1000)*15</f>
        <v>0.87750000000000006</v>
      </c>
      <c r="D58" s="447">
        <f t="shared" si="31"/>
        <v>0.87750000000000006</v>
      </c>
      <c r="E58" s="447">
        <f t="shared" si="31"/>
        <v>0.87750000000000006</v>
      </c>
      <c r="F58" s="447">
        <f t="shared" si="31"/>
        <v>0.87750000000000006</v>
      </c>
      <c r="G58" s="447">
        <f t="shared" si="31"/>
        <v>0.87750000000000006</v>
      </c>
      <c r="H58" s="447">
        <f t="shared" si="31"/>
        <v>0.87750000000000006</v>
      </c>
      <c r="I58" s="447">
        <f t="shared" si="31"/>
        <v>0.87750000000000006</v>
      </c>
      <c r="J58" s="447">
        <f t="shared" si="31"/>
        <v>0.87750000000000006</v>
      </c>
      <c r="K58" s="447">
        <f t="shared" si="31"/>
        <v>0.87750000000000006</v>
      </c>
      <c r="L58" s="447">
        <f t="shared" si="31"/>
        <v>0.87750000000000006</v>
      </c>
      <c r="M58" s="447">
        <f t="shared" si="31"/>
        <v>0.87750000000000006</v>
      </c>
      <c r="N58" s="447">
        <f t="shared" si="31"/>
        <v>0.87750000000000006</v>
      </c>
      <c r="O58" s="447">
        <f t="shared" si="31"/>
        <v>0.87750000000000006</v>
      </c>
      <c r="P58" s="447">
        <f t="shared" si="31"/>
        <v>0.87750000000000006</v>
      </c>
      <c r="Q58" s="447">
        <f t="shared" si="31"/>
        <v>0.87750000000000006</v>
      </c>
      <c r="R58" s="447">
        <f t="shared" si="31"/>
        <v>0.87750000000000006</v>
      </c>
      <c r="S58" s="447">
        <f t="shared" si="31"/>
        <v>0.87750000000000006</v>
      </c>
      <c r="T58" s="447">
        <f t="shared" si="31"/>
        <v>0.87750000000000006</v>
      </c>
      <c r="U58" s="447">
        <f t="shared" si="31"/>
        <v>0.87750000000000006</v>
      </c>
      <c r="V58" s="447">
        <f t="shared" si="31"/>
        <v>0.87750000000000006</v>
      </c>
      <c r="W58" s="447">
        <f t="shared" si="31"/>
        <v>0.87750000000000006</v>
      </c>
      <c r="X58" s="447">
        <f t="shared" si="31"/>
        <v>0.87750000000000006</v>
      </c>
      <c r="Y58" s="447">
        <f t="shared" si="31"/>
        <v>0.87750000000000006</v>
      </c>
      <c r="Z58" s="447">
        <f t="shared" si="31"/>
        <v>0.87750000000000006</v>
      </c>
      <c r="AA58" s="447">
        <f t="shared" si="31"/>
        <v>0.87750000000000006</v>
      </c>
      <c r="AB58" s="447">
        <f t="shared" si="31"/>
        <v>0.87750000000000006</v>
      </c>
      <c r="AC58" s="447">
        <f t="shared" si="31"/>
        <v>0.87750000000000006</v>
      </c>
      <c r="AD58" s="447">
        <f t="shared" si="31"/>
        <v>0.87750000000000006</v>
      </c>
      <c r="AE58" s="447">
        <f>(58.5/1000)*15</f>
        <v>0.87750000000000006</v>
      </c>
      <c r="AF58" s="447">
        <f t="shared" ref="AF58:AY59" si="32">(58.5/1000)*15</f>
        <v>0.87750000000000006</v>
      </c>
      <c r="AG58" s="447">
        <f t="shared" si="32"/>
        <v>0.87750000000000006</v>
      </c>
      <c r="AH58" s="447">
        <f t="shared" si="32"/>
        <v>0.87750000000000006</v>
      </c>
      <c r="AI58" s="447">
        <f t="shared" si="32"/>
        <v>0.87750000000000006</v>
      </c>
      <c r="AJ58" s="447">
        <f t="shared" si="32"/>
        <v>0.87750000000000006</v>
      </c>
      <c r="AK58" s="447">
        <f t="shared" si="32"/>
        <v>0.87750000000000006</v>
      </c>
      <c r="AL58" s="447">
        <f t="shared" si="32"/>
        <v>0.87750000000000006</v>
      </c>
      <c r="AM58" s="447">
        <f t="shared" si="32"/>
        <v>0.87750000000000006</v>
      </c>
      <c r="AN58" s="447">
        <f t="shared" si="32"/>
        <v>0.87750000000000006</v>
      </c>
      <c r="AO58" s="447">
        <f t="shared" si="32"/>
        <v>0.87750000000000006</v>
      </c>
      <c r="AP58" s="447">
        <f t="shared" si="32"/>
        <v>0.87750000000000006</v>
      </c>
      <c r="AQ58" s="447">
        <f t="shared" si="32"/>
        <v>0.87750000000000006</v>
      </c>
      <c r="AR58" s="447">
        <f t="shared" si="32"/>
        <v>0.87750000000000006</v>
      </c>
      <c r="AS58" s="447">
        <f t="shared" si="32"/>
        <v>0.87750000000000006</v>
      </c>
      <c r="AT58" s="447">
        <f t="shared" si="32"/>
        <v>0.87750000000000006</v>
      </c>
      <c r="AU58" s="447">
        <f t="shared" si="32"/>
        <v>0.87750000000000006</v>
      </c>
      <c r="AV58" s="447">
        <f t="shared" si="32"/>
        <v>0.87750000000000006</v>
      </c>
      <c r="AW58" s="447">
        <f t="shared" si="32"/>
        <v>0.87750000000000006</v>
      </c>
      <c r="AX58" s="447">
        <f t="shared" si="32"/>
        <v>0.87750000000000006</v>
      </c>
      <c r="AY58" s="448">
        <f t="shared" si="32"/>
        <v>0.87750000000000006</v>
      </c>
    </row>
    <row r="59" spans="1:51" ht="12.75" thickBot="1">
      <c r="A59" s="449" t="s">
        <v>2903</v>
      </c>
      <c r="B59" s="450">
        <f>(58.5/1000)*15</f>
        <v>0.87750000000000006</v>
      </c>
      <c r="C59" s="451">
        <f t="shared" si="31"/>
        <v>0.87750000000000006</v>
      </c>
      <c r="D59" s="451">
        <f t="shared" si="31"/>
        <v>0.87750000000000006</v>
      </c>
      <c r="E59" s="451">
        <f t="shared" si="31"/>
        <v>0.87750000000000006</v>
      </c>
      <c r="F59" s="451">
        <f t="shared" si="31"/>
        <v>0.87750000000000006</v>
      </c>
      <c r="G59" s="451">
        <f t="shared" si="31"/>
        <v>0.87750000000000006</v>
      </c>
      <c r="H59" s="451">
        <f t="shared" si="31"/>
        <v>0.87750000000000006</v>
      </c>
      <c r="I59" s="451">
        <f t="shared" si="31"/>
        <v>0.87750000000000006</v>
      </c>
      <c r="J59" s="451">
        <f t="shared" si="31"/>
        <v>0.87750000000000006</v>
      </c>
      <c r="K59" s="451">
        <f t="shared" si="31"/>
        <v>0.87750000000000006</v>
      </c>
      <c r="L59" s="451">
        <f t="shared" si="31"/>
        <v>0.87750000000000006</v>
      </c>
      <c r="M59" s="451">
        <f t="shared" si="31"/>
        <v>0.87750000000000006</v>
      </c>
      <c r="N59" s="451">
        <f t="shared" si="31"/>
        <v>0.87750000000000006</v>
      </c>
      <c r="O59" s="451">
        <f t="shared" si="31"/>
        <v>0.87750000000000006</v>
      </c>
      <c r="P59" s="451">
        <f t="shared" si="31"/>
        <v>0.87750000000000006</v>
      </c>
      <c r="Q59" s="451">
        <f t="shared" si="31"/>
        <v>0.87750000000000006</v>
      </c>
      <c r="R59" s="451">
        <f t="shared" si="31"/>
        <v>0.87750000000000006</v>
      </c>
      <c r="S59" s="451">
        <f t="shared" si="31"/>
        <v>0.87750000000000006</v>
      </c>
      <c r="T59" s="451">
        <f t="shared" si="31"/>
        <v>0.87750000000000006</v>
      </c>
      <c r="U59" s="451">
        <f t="shared" si="31"/>
        <v>0.87750000000000006</v>
      </c>
      <c r="V59" s="451">
        <f t="shared" si="31"/>
        <v>0.87750000000000006</v>
      </c>
      <c r="W59" s="451">
        <f t="shared" si="31"/>
        <v>0.87750000000000006</v>
      </c>
      <c r="X59" s="451">
        <f t="shared" si="31"/>
        <v>0.87750000000000006</v>
      </c>
      <c r="Y59" s="451">
        <f t="shared" si="31"/>
        <v>0.87750000000000006</v>
      </c>
      <c r="Z59" s="451">
        <f t="shared" si="31"/>
        <v>0.87750000000000006</v>
      </c>
      <c r="AA59" s="451">
        <f t="shared" si="31"/>
        <v>0.87750000000000006</v>
      </c>
      <c r="AB59" s="451">
        <f t="shared" si="31"/>
        <v>0.87750000000000006</v>
      </c>
      <c r="AC59" s="451">
        <f t="shared" si="31"/>
        <v>0.87750000000000006</v>
      </c>
      <c r="AD59" s="451">
        <f t="shared" si="31"/>
        <v>0.87750000000000006</v>
      </c>
      <c r="AE59" s="451">
        <f>(58.5/1000)*15</f>
        <v>0.87750000000000006</v>
      </c>
      <c r="AF59" s="451">
        <f t="shared" si="32"/>
        <v>0.87750000000000006</v>
      </c>
      <c r="AG59" s="451">
        <f t="shared" si="32"/>
        <v>0.87750000000000006</v>
      </c>
      <c r="AH59" s="451">
        <f t="shared" si="32"/>
        <v>0.87750000000000006</v>
      </c>
      <c r="AI59" s="451">
        <f t="shared" si="32"/>
        <v>0.87750000000000006</v>
      </c>
      <c r="AJ59" s="451">
        <f t="shared" si="32"/>
        <v>0.87750000000000006</v>
      </c>
      <c r="AK59" s="451">
        <f t="shared" si="32"/>
        <v>0.87750000000000006</v>
      </c>
      <c r="AL59" s="451">
        <f t="shared" si="32"/>
        <v>0.87750000000000006</v>
      </c>
      <c r="AM59" s="451">
        <f t="shared" si="32"/>
        <v>0.87750000000000006</v>
      </c>
      <c r="AN59" s="451">
        <f t="shared" si="32"/>
        <v>0.87750000000000006</v>
      </c>
      <c r="AO59" s="451">
        <f t="shared" si="32"/>
        <v>0.87750000000000006</v>
      </c>
      <c r="AP59" s="451">
        <f t="shared" si="32"/>
        <v>0.87750000000000006</v>
      </c>
      <c r="AQ59" s="451">
        <f t="shared" si="32"/>
        <v>0.87750000000000006</v>
      </c>
      <c r="AR59" s="451">
        <f t="shared" si="32"/>
        <v>0.87750000000000006</v>
      </c>
      <c r="AS59" s="451">
        <f t="shared" si="32"/>
        <v>0.87750000000000006</v>
      </c>
      <c r="AT59" s="451">
        <f t="shared" si="32"/>
        <v>0.87750000000000006</v>
      </c>
      <c r="AU59" s="451">
        <f t="shared" si="32"/>
        <v>0.87750000000000006</v>
      </c>
      <c r="AV59" s="451">
        <f t="shared" si="32"/>
        <v>0.87750000000000006</v>
      </c>
      <c r="AW59" s="451">
        <f t="shared" si="32"/>
        <v>0.87750000000000006</v>
      </c>
      <c r="AX59" s="451">
        <f t="shared" si="32"/>
        <v>0.87750000000000006</v>
      </c>
      <c r="AY59" s="452">
        <f t="shared" si="32"/>
        <v>0.87750000000000006</v>
      </c>
    </row>
    <row r="60" spans="1:51">
      <c r="B60" s="429"/>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row>
    <row r="61" spans="1:51" ht="15.75" thickBot="1">
      <c r="A61" s="433" t="s">
        <v>2904</v>
      </c>
      <c r="B61" s="429"/>
      <c r="C61" s="429"/>
      <c r="D61" s="429"/>
      <c r="E61" s="429"/>
      <c r="F61" s="429"/>
      <c r="G61" s="429"/>
      <c r="H61" s="429"/>
      <c r="I61" s="429"/>
      <c r="J61" s="429"/>
      <c r="K61" s="429"/>
      <c r="L61" s="429"/>
      <c r="M61" s="429"/>
      <c r="N61" s="429"/>
      <c r="O61" s="429"/>
      <c r="P61" s="429"/>
      <c r="Q61" s="429"/>
      <c r="R61" s="429"/>
      <c r="S61" s="429"/>
      <c r="T61" s="429"/>
      <c r="U61" s="429"/>
      <c r="V61" s="429"/>
      <c r="W61" s="429"/>
      <c r="X61" s="429"/>
      <c r="Y61" s="429"/>
      <c r="Z61" s="429"/>
      <c r="AA61" s="429"/>
      <c r="AB61" s="429"/>
      <c r="AC61" s="429"/>
      <c r="AD61" s="429"/>
      <c r="AE61" s="429"/>
    </row>
    <row r="62" spans="1:51" ht="12.75" thickBot="1">
      <c r="A62" s="434" t="s">
        <v>2899</v>
      </c>
      <c r="B62" s="435">
        <v>1</v>
      </c>
      <c r="C62" s="436">
        <v>2</v>
      </c>
      <c r="D62" s="436">
        <v>3</v>
      </c>
      <c r="E62" s="436">
        <v>4</v>
      </c>
      <c r="F62" s="436">
        <v>5</v>
      </c>
      <c r="G62" s="436">
        <v>6</v>
      </c>
      <c r="H62" s="436">
        <v>7</v>
      </c>
      <c r="I62" s="436">
        <v>8</v>
      </c>
      <c r="J62" s="436">
        <v>9</v>
      </c>
      <c r="K62" s="436">
        <v>10</v>
      </c>
      <c r="L62" s="436">
        <v>11</v>
      </c>
      <c r="M62" s="436">
        <v>12</v>
      </c>
      <c r="N62" s="436">
        <v>13</v>
      </c>
      <c r="O62" s="436">
        <v>14</v>
      </c>
      <c r="P62" s="436">
        <v>15</v>
      </c>
      <c r="Q62" s="436">
        <v>16</v>
      </c>
      <c r="R62" s="436">
        <v>17</v>
      </c>
      <c r="S62" s="436">
        <v>18</v>
      </c>
      <c r="T62" s="436">
        <v>19</v>
      </c>
      <c r="U62" s="436">
        <v>20</v>
      </c>
      <c r="V62" s="436">
        <v>21</v>
      </c>
      <c r="W62" s="436">
        <v>22</v>
      </c>
      <c r="X62" s="436">
        <v>23</v>
      </c>
      <c r="Y62" s="436">
        <v>24</v>
      </c>
      <c r="Z62" s="436">
        <v>25</v>
      </c>
      <c r="AA62" s="436">
        <v>26</v>
      </c>
      <c r="AB62" s="436">
        <v>27</v>
      </c>
      <c r="AC62" s="436">
        <v>28</v>
      </c>
      <c r="AD62" s="436">
        <v>29</v>
      </c>
      <c r="AE62" s="436">
        <v>30</v>
      </c>
      <c r="AF62" s="436">
        <f t="shared" ref="AF62:AY62" si="33">AE62+1</f>
        <v>31</v>
      </c>
      <c r="AG62" s="436">
        <f t="shared" si="33"/>
        <v>32</v>
      </c>
      <c r="AH62" s="436">
        <f t="shared" si="33"/>
        <v>33</v>
      </c>
      <c r="AI62" s="436">
        <f t="shared" si="33"/>
        <v>34</v>
      </c>
      <c r="AJ62" s="436">
        <f t="shared" si="33"/>
        <v>35</v>
      </c>
      <c r="AK62" s="436">
        <f t="shared" si="33"/>
        <v>36</v>
      </c>
      <c r="AL62" s="436">
        <f t="shared" si="33"/>
        <v>37</v>
      </c>
      <c r="AM62" s="436">
        <f t="shared" si="33"/>
        <v>38</v>
      </c>
      <c r="AN62" s="436">
        <f t="shared" si="33"/>
        <v>39</v>
      </c>
      <c r="AO62" s="436">
        <f t="shared" si="33"/>
        <v>40</v>
      </c>
      <c r="AP62" s="436">
        <f t="shared" si="33"/>
        <v>41</v>
      </c>
      <c r="AQ62" s="436">
        <f t="shared" si="33"/>
        <v>42</v>
      </c>
      <c r="AR62" s="436">
        <f t="shared" si="33"/>
        <v>43</v>
      </c>
      <c r="AS62" s="436">
        <f t="shared" si="33"/>
        <v>44</v>
      </c>
      <c r="AT62" s="436">
        <f t="shared" si="33"/>
        <v>45</v>
      </c>
      <c r="AU62" s="436">
        <f t="shared" si="33"/>
        <v>46</v>
      </c>
      <c r="AV62" s="436">
        <f t="shared" si="33"/>
        <v>47</v>
      </c>
      <c r="AW62" s="436">
        <f t="shared" si="33"/>
        <v>48</v>
      </c>
      <c r="AX62" s="436">
        <f t="shared" si="33"/>
        <v>49</v>
      </c>
      <c r="AY62" s="437">
        <f t="shared" si="33"/>
        <v>50</v>
      </c>
    </row>
    <row r="63" spans="1:51">
      <c r="A63" s="438" t="s">
        <v>2922</v>
      </c>
      <c r="B63" s="439">
        <f t="shared" ref="B63:B70" si="34">B52/(1+$C$3)^(B$16-0.5)</f>
        <v>8.3142880157899599E-2</v>
      </c>
      <c r="C63" s="440">
        <f t="shared" ref="C63:AY68" si="35">(C52/(1+$C$3)^(C$16-0.5)+B63)</f>
        <v>0.16070826239739211</v>
      </c>
      <c r="D63" s="440">
        <f t="shared" si="35"/>
        <v>0.23307999709599747</v>
      </c>
      <c r="E63" s="440">
        <f t="shared" si="35"/>
        <v>0.30114273002703768</v>
      </c>
      <c r="F63" s="440">
        <f t="shared" si="35"/>
        <v>0.36515751643659311</v>
      </c>
      <c r="G63" s="440">
        <f t="shared" si="35"/>
        <v>0.42536143494077922</v>
      </c>
      <c r="H63" s="440">
        <f t="shared" si="35"/>
        <v>0.48257132602867497</v>
      </c>
      <c r="I63" s="440">
        <f t="shared" si="35"/>
        <v>0.536928527800549</v>
      </c>
      <c r="J63" s="440">
        <f t="shared" si="35"/>
        <v>0.58858182701740214</v>
      </c>
      <c r="K63" s="440">
        <f t="shared" si="35"/>
        <v>0.63765893447520172</v>
      </c>
      <c r="L63" s="440">
        <f t="shared" si="35"/>
        <v>0.68429421542850943</v>
      </c>
      <c r="M63" s="440">
        <f t="shared" si="35"/>
        <v>0.72860306354262117</v>
      </c>
      <c r="N63" s="440">
        <f t="shared" si="35"/>
        <v>0.77070681722797341</v>
      </c>
      <c r="O63" s="440">
        <f t="shared" si="35"/>
        <v>0.81071496813382138</v>
      </c>
      <c r="P63" s="440">
        <f t="shared" si="35"/>
        <v>0.84873158476506239</v>
      </c>
      <c r="Q63" s="440">
        <f t="shared" si="35"/>
        <v>0.8847662924723998</v>
      </c>
      <c r="R63" s="440">
        <f t="shared" si="35"/>
        <v>0.91892241352200876</v>
      </c>
      <c r="S63" s="440">
        <f t="shared" si="35"/>
        <v>0.95129788371121149</v>
      </c>
      <c r="T63" s="440">
        <f t="shared" si="35"/>
        <v>0.98198553317965009</v>
      </c>
      <c r="U63" s="440">
        <f t="shared" si="35"/>
        <v>1.0110733525810138</v>
      </c>
      <c r="V63" s="440">
        <f t="shared" si="35"/>
        <v>1.038644745378515</v>
      </c>
      <c r="W63" s="440">
        <f t="shared" si="35"/>
        <v>1.0647787669875208</v>
      </c>
      <c r="X63" s="440">
        <f t="shared" si="35"/>
        <v>1.0895503514510334</v>
      </c>
      <c r="Y63" s="440">
        <f t="shared" si="35"/>
        <v>1.1130305262979647</v>
      </c>
      <c r="Z63" s="440">
        <f t="shared" si="35"/>
        <v>1.1352866162002693</v>
      </c>
      <c r="AA63" s="440">
        <f t="shared" si="35"/>
        <v>1.1563824360128803</v>
      </c>
      <c r="AB63" s="440">
        <f t="shared" si="35"/>
        <v>1.1763784737499523</v>
      </c>
      <c r="AC63" s="440">
        <f t="shared" si="35"/>
        <v>1.1953320640220586</v>
      </c>
      <c r="AD63" s="440">
        <f t="shared" si="35"/>
        <v>1.2132975524316381</v>
      </c>
      <c r="AE63" s="440">
        <f t="shared" si="35"/>
        <v>1.2303264513980641</v>
      </c>
      <c r="AF63" s="440">
        <f t="shared" si="35"/>
        <v>1.2464675878591314</v>
      </c>
      <c r="AG63" s="440">
        <f t="shared" si="35"/>
        <v>1.2617672432724651</v>
      </c>
      <c r="AH63" s="440">
        <f t="shared" si="35"/>
        <v>1.2762692863182792</v>
      </c>
      <c r="AI63" s="440">
        <f t="shared" si="35"/>
        <v>1.2900152986839797</v>
      </c>
      <c r="AJ63" s="440">
        <f t="shared" si="35"/>
        <v>1.3030446942912788</v>
      </c>
      <c r="AK63" s="440">
        <f t="shared" si="35"/>
        <v>1.3153948323076761</v>
      </c>
      <c r="AL63" s="440">
        <f t="shared" si="35"/>
        <v>1.3271011242663464</v>
      </c>
      <c r="AM63" s="440">
        <f t="shared" si="35"/>
        <v>1.3381971356015789</v>
      </c>
      <c r="AN63" s="440">
        <f t="shared" si="35"/>
        <v>1.3487146818908988</v>
      </c>
      <c r="AO63" s="440">
        <f t="shared" si="35"/>
        <v>1.3586839200798277</v>
      </c>
      <c r="AP63" s="440">
        <f t="shared" si="35"/>
        <v>1.3681334349508505</v>
      </c>
      <c r="AQ63" s="440">
        <f t="shared" si="35"/>
        <v>1.3770903210845213</v>
      </c>
      <c r="AR63" s="440">
        <f t="shared" si="35"/>
        <v>1.3855802605477163</v>
      </c>
      <c r="AS63" s="440">
        <f t="shared" si="35"/>
        <v>1.3936275965317875</v>
      </c>
      <c r="AT63" s="440">
        <f t="shared" si="35"/>
        <v>1.4012554031517601</v>
      </c>
      <c r="AU63" s="440">
        <f t="shared" si="35"/>
        <v>1.4084855516067105</v>
      </c>
      <c r="AV63" s="440">
        <f t="shared" si="35"/>
        <v>1.4153387728910236</v>
      </c>
      <c r="AW63" s="440">
        <f t="shared" si="35"/>
        <v>1.4218347172363441</v>
      </c>
      <c r="AX63" s="440">
        <f t="shared" si="35"/>
        <v>1.4279920104546575</v>
      </c>
      <c r="AY63" s="441">
        <f t="shared" si="35"/>
        <v>1.4338283073440541</v>
      </c>
    </row>
    <row r="64" spans="1:51">
      <c r="A64" s="442" t="s">
        <v>2923</v>
      </c>
      <c r="B64" s="446">
        <f t="shared" si="34"/>
        <v>83.142880157899583</v>
      </c>
      <c r="C64" s="447">
        <f t="shared" si="35"/>
        <v>168.53441057976141</v>
      </c>
      <c r="D64" s="447">
        <f t="shared" si="35"/>
        <v>255.33713327310039</v>
      </c>
      <c r="E64" s="447">
        <f t="shared" si="35"/>
        <v>342.85019038251738</v>
      </c>
      <c r="F64" s="447">
        <f t="shared" si="35"/>
        <v>430.46720059461694</v>
      </c>
      <c r="G64" s="447">
        <f t="shared" si="35"/>
        <v>517.67458334521405</v>
      </c>
      <c r="H64" s="447">
        <f t="shared" si="35"/>
        <v>604.04866016790231</v>
      </c>
      <c r="I64" s="447">
        <f t="shared" si="35"/>
        <v>689.22294077369145</v>
      </c>
      <c r="J64" s="447">
        <f t="shared" si="35"/>
        <v>772.90319960289992</v>
      </c>
      <c r="K64" s="447">
        <f t="shared" si="35"/>
        <v>854.84525147923114</v>
      </c>
      <c r="L64" s="447">
        <f t="shared" si="35"/>
        <v>934.84935653622915</v>
      </c>
      <c r="M64" s="447">
        <f t="shared" si="35"/>
        <v>1012.7609731846534</v>
      </c>
      <c r="N64" s="447">
        <f t="shared" si="35"/>
        <v>1086.6108467850554</v>
      </c>
      <c r="O64" s="447">
        <f t="shared" si="35"/>
        <v>1156.61072697501</v>
      </c>
      <c r="P64" s="447">
        <f t="shared" si="35"/>
        <v>1222.96132431146</v>
      </c>
      <c r="Q64" s="447">
        <f t="shared" si="35"/>
        <v>1285.8528857678107</v>
      </c>
      <c r="R64" s="447">
        <f t="shared" si="35"/>
        <v>1345.4657402288062</v>
      </c>
      <c r="S64" s="447">
        <f t="shared" si="35"/>
        <v>1401.9708155472856</v>
      </c>
      <c r="T64" s="447">
        <f t="shared" si="35"/>
        <v>1455.5301286453703</v>
      </c>
      <c r="U64" s="447">
        <f t="shared" si="35"/>
        <v>1506.2972500653557</v>
      </c>
      <c r="V64" s="447">
        <f t="shared" si="35"/>
        <v>1554.4177443023086</v>
      </c>
      <c r="W64" s="447">
        <f t="shared" si="35"/>
        <v>1600.0295871809371</v>
      </c>
      <c r="X64" s="447">
        <f t="shared" si="35"/>
        <v>1643.2635614734759</v>
      </c>
      <c r="Y64" s="447">
        <f t="shared" si="35"/>
        <v>1684.243631892944</v>
      </c>
      <c r="Z64" s="447">
        <f t="shared" si="35"/>
        <v>1723.0873005369897</v>
      </c>
      <c r="AA64" s="447">
        <f t="shared" si="35"/>
        <v>1759.9059438014879</v>
      </c>
      <c r="AB64" s="447">
        <f t="shared" si="35"/>
        <v>1794.8051317299221</v>
      </c>
      <c r="AC64" s="447">
        <f t="shared" si="35"/>
        <v>1827.88493071422</v>
      </c>
      <c r="AD64" s="447">
        <f t="shared" si="35"/>
        <v>1859.2401904149763</v>
      </c>
      <c r="AE64" s="447">
        <f t="shared" si="35"/>
        <v>1888.9608157237501</v>
      </c>
      <c r="AF64" s="447">
        <f t="shared" si="35"/>
        <v>1917.1320245472323</v>
      </c>
      <c r="AG64" s="447">
        <f t="shared" si="35"/>
        <v>1943.8345921524287</v>
      </c>
      <c r="AH64" s="447">
        <f t="shared" si="35"/>
        <v>1969.1450827734679</v>
      </c>
      <c r="AI64" s="447">
        <f t="shared" si="35"/>
        <v>1993.1360691441214</v>
      </c>
      <c r="AJ64" s="447">
        <f t="shared" si="35"/>
        <v>2015.8763405854991</v>
      </c>
      <c r="AK64" s="447">
        <f t="shared" si="35"/>
        <v>2037.4311002455727</v>
      </c>
      <c r="AL64" s="447">
        <f t="shared" si="35"/>
        <v>2057.8621520560691</v>
      </c>
      <c r="AM64" s="447">
        <f t="shared" si="35"/>
        <v>2077.2280779427956</v>
      </c>
      <c r="AN64" s="447">
        <f t="shared" si="35"/>
        <v>2095.5844057975123</v>
      </c>
      <c r="AO64" s="447">
        <f t="shared" si="35"/>
        <v>2112.9837686929786</v>
      </c>
      <c r="AP64" s="447">
        <f t="shared" si="35"/>
        <v>2129.4760557976861</v>
      </c>
      <c r="AQ64" s="447">
        <f t="shared" si="35"/>
        <v>2145.1085554230012</v>
      </c>
      <c r="AR64" s="447">
        <f t="shared" si="35"/>
        <v>2159.9260906128734</v>
      </c>
      <c r="AS64" s="447">
        <f t="shared" si="35"/>
        <v>2173.9711476648849</v>
      </c>
      <c r="AT64" s="447">
        <f t="shared" si="35"/>
        <v>2187.2839979511518</v>
      </c>
      <c r="AU64" s="447">
        <f t="shared" si="35"/>
        <v>2199.9028133883717</v>
      </c>
      <c r="AV64" s="447">
        <f t="shared" si="35"/>
        <v>2211.8637758881059</v>
      </c>
      <c r="AW64" s="447">
        <f t="shared" si="35"/>
        <v>2223.2011811011243</v>
      </c>
      <c r="AX64" s="447">
        <f t="shared" si="35"/>
        <v>2233.9475367532746</v>
      </c>
      <c r="AY64" s="448">
        <f t="shared" si="35"/>
        <v>2244.1336558548387</v>
      </c>
    </row>
    <row r="65" spans="1:51">
      <c r="A65" s="442" t="s">
        <v>2924</v>
      </c>
      <c r="B65" s="446">
        <f t="shared" si="34"/>
        <v>13.279696222186503</v>
      </c>
      <c r="C65" s="447">
        <f t="shared" si="35"/>
        <v>25.654835298747013</v>
      </c>
      <c r="D65" s="447">
        <f t="shared" si="35"/>
        <v>37.192386635892532</v>
      </c>
      <c r="E65" s="447">
        <f t="shared" si="35"/>
        <v>48.128454254039944</v>
      </c>
      <c r="F65" s="447">
        <f t="shared" si="35"/>
        <v>58.494395124321855</v>
      </c>
      <c r="G65" s="447">
        <f t="shared" si="35"/>
        <v>68.319931494257318</v>
      </c>
      <c r="H65" s="447">
        <f t="shared" si="35"/>
        <v>77.689723173940223</v>
      </c>
      <c r="I65" s="447">
        <f t="shared" si="35"/>
        <v>86.617891761958674</v>
      </c>
      <c r="J65" s="447">
        <f t="shared" si="35"/>
        <v>95.131361741509721</v>
      </c>
      <c r="K65" s="447">
        <f t="shared" si="35"/>
        <v>103.20100153255336</v>
      </c>
      <c r="L65" s="447">
        <f t="shared" si="35"/>
        <v>110.84994920178904</v>
      </c>
      <c r="M65" s="447">
        <f t="shared" si="35"/>
        <v>118.10013656599348</v>
      </c>
      <c r="N65" s="447">
        <f t="shared" si="35"/>
        <v>124.97235207708773</v>
      </c>
      <c r="O65" s="447">
        <f t="shared" si="35"/>
        <v>131.48630042883585</v>
      </c>
      <c r="P65" s="447">
        <f t="shared" si="35"/>
        <v>137.66065905608525</v>
      </c>
      <c r="Q65" s="447">
        <f t="shared" si="35"/>
        <v>143.51313168854912</v>
      </c>
      <c r="R65" s="447">
        <f t="shared" si="35"/>
        <v>149.06049911268551</v>
      </c>
      <c r="S65" s="447">
        <f t="shared" si="35"/>
        <v>154.31866728722235</v>
      </c>
      <c r="T65" s="447">
        <f t="shared" si="35"/>
        <v>159.30271295029047</v>
      </c>
      <c r="U65" s="447">
        <f t="shared" si="35"/>
        <v>164.02692684893321</v>
      </c>
      <c r="V65" s="447">
        <f t="shared" si="35"/>
        <v>168.50485471494531</v>
      </c>
      <c r="W65" s="447">
        <f t="shared" si="35"/>
        <v>172.74933610453024</v>
      </c>
      <c r="X65" s="447">
        <f t="shared" si="35"/>
        <v>176.77254121314155</v>
      </c>
      <c r="Y65" s="447">
        <f t="shared" si="35"/>
        <v>180.58600577106697</v>
      </c>
      <c r="Z65" s="447">
        <f t="shared" si="35"/>
        <v>184.20066411981142</v>
      </c>
      <c r="AA65" s="447">
        <f t="shared" si="35"/>
        <v>187.62688056411898</v>
      </c>
      <c r="AB65" s="447">
        <f t="shared" si="35"/>
        <v>190.87447908952896</v>
      </c>
      <c r="AC65" s="447">
        <f t="shared" si="35"/>
        <v>193.95277153067588</v>
      </c>
      <c r="AD65" s="447">
        <f t="shared" si="35"/>
        <v>196.87058427109949</v>
      </c>
      <c r="AE65" s="447">
        <f t="shared" si="35"/>
        <v>199.63628355112186</v>
      </c>
      <c r="AF65" s="447">
        <f t="shared" si="35"/>
        <v>202.25779945635634</v>
      </c>
      <c r="AG65" s="447">
        <f t="shared" si="35"/>
        <v>204.74264865563075</v>
      </c>
      <c r="AH65" s="447">
        <f t="shared" si="35"/>
        <v>207.09795595352116</v>
      </c>
      <c r="AI65" s="447">
        <f t="shared" si="35"/>
        <v>209.33047471929407</v>
      </c>
      <c r="AJ65" s="447">
        <f t="shared" si="35"/>
        <v>211.44660625083239</v>
      </c>
      <c r="AK65" s="447">
        <f t="shared" si="35"/>
        <v>213.45241812906775</v>
      </c>
      <c r="AL65" s="447">
        <f t="shared" si="35"/>
        <v>215.35366161554677</v>
      </c>
      <c r="AM65" s="447">
        <f t="shared" si="35"/>
        <v>217.15578814301503</v>
      </c>
      <c r="AN65" s="447">
        <f t="shared" si="35"/>
        <v>218.86396494630247</v>
      </c>
      <c r="AO65" s="447">
        <f t="shared" si="35"/>
        <v>220.48308987832849</v>
      </c>
      <c r="AP65" s="447">
        <f t="shared" si="35"/>
        <v>222.0178054537086</v>
      </c>
      <c r="AQ65" s="447">
        <f t="shared" si="35"/>
        <v>223.47251216023005</v>
      </c>
      <c r="AR65" s="447">
        <f t="shared" si="35"/>
        <v>224.85138107636411</v>
      </c>
      <c r="AS65" s="447">
        <f t="shared" si="35"/>
        <v>226.15836583099355</v>
      </c>
      <c r="AT65" s="447">
        <f t="shared" si="35"/>
        <v>227.39721393964706</v>
      </c>
      <c r="AU65" s="447">
        <f t="shared" si="35"/>
        <v>228.57147754974517</v>
      </c>
      <c r="AV65" s="447">
        <f t="shared" si="35"/>
        <v>229.68452362566754</v>
      </c>
      <c r="AW65" s="447">
        <f t="shared" si="35"/>
        <v>230.73954360284515</v>
      </c>
      <c r="AX65" s="447">
        <f t="shared" si="35"/>
        <v>231.73956253855852</v>
      </c>
      <c r="AY65" s="448">
        <f t="shared" si="35"/>
        <v>232.68744778568021</v>
      </c>
    </row>
    <row r="66" spans="1:51">
      <c r="A66" s="442" t="s">
        <v>2925</v>
      </c>
      <c r="B66" s="446">
        <f t="shared" si="34"/>
        <v>11.695187013857431</v>
      </c>
      <c r="C66" s="447">
        <f t="shared" si="35"/>
        <v>22.579187967782417</v>
      </c>
      <c r="D66" s="447">
        <f t="shared" si="35"/>
        <v>32.713543302653164</v>
      </c>
      <c r="E66" s="447">
        <f t="shared" si="35"/>
        <v>42.31956731674866</v>
      </c>
      <c r="F66" s="447">
        <f t="shared" si="35"/>
        <v>51.424803349066664</v>
      </c>
      <c r="G66" s="447">
        <f t="shared" si="35"/>
        <v>60.055358829936814</v>
      </c>
      <c r="H66" s="447">
        <f t="shared" si="35"/>
        <v>68.288348354059096</v>
      </c>
      <c r="I66" s="447">
        <f t="shared" si="35"/>
        <v>76.138979353868422</v>
      </c>
      <c r="J66" s="447">
        <f t="shared" si="35"/>
        <v>83.627386101281516</v>
      </c>
      <c r="K66" s="447">
        <f t="shared" si="35"/>
        <v>90.725401975606729</v>
      </c>
      <c r="L66" s="447">
        <f t="shared" si="35"/>
        <v>97.453379107668539</v>
      </c>
      <c r="M66" s="447">
        <f t="shared" si="35"/>
        <v>103.83060861673187</v>
      </c>
      <c r="N66" s="447">
        <f t="shared" si="35"/>
        <v>109.8753759239009</v>
      </c>
      <c r="O66" s="447">
        <f t="shared" si="35"/>
        <v>115.60501318188103</v>
      </c>
      <c r="P66" s="447">
        <f t="shared" si="35"/>
        <v>121.03594897143566</v>
      </c>
      <c r="Q66" s="447">
        <f t="shared" si="35"/>
        <v>126.18375540703246</v>
      </c>
      <c r="R66" s="447">
        <f t="shared" si="35"/>
        <v>131.06319278674508</v>
      </c>
      <c r="S66" s="447">
        <f t="shared" si="35"/>
        <v>135.68825191443474</v>
      </c>
      <c r="T66" s="447">
        <f t="shared" si="35"/>
        <v>140.0721942155624</v>
      </c>
      <c r="U66" s="447">
        <f t="shared" si="35"/>
        <v>144.22758976165497</v>
      </c>
      <c r="V66" s="447">
        <f t="shared" si="35"/>
        <v>148.16635331245359</v>
      </c>
      <c r="W66" s="447">
        <f t="shared" si="35"/>
        <v>151.89977847908739</v>
      </c>
      <c r="X66" s="447">
        <f t="shared" si="35"/>
        <v>155.43857010622841</v>
      </c>
      <c r="Y66" s="447">
        <f t="shared" si="35"/>
        <v>158.79287496607773</v>
      </c>
      <c r="Z66" s="447">
        <f t="shared" si="35"/>
        <v>161.97231085219082</v>
      </c>
      <c r="AA66" s="447">
        <f t="shared" si="35"/>
        <v>164.98599415656341</v>
      </c>
      <c r="AB66" s="447">
        <f t="shared" si="35"/>
        <v>167.84256600904928</v>
      </c>
      <c r="AC66" s="447">
        <f t="shared" si="35"/>
        <v>170.5502170540596</v>
      </c>
      <c r="AD66" s="447">
        <f t="shared" si="35"/>
        <v>173.11671093558596</v>
      </c>
      <c r="AE66" s="447">
        <f t="shared" si="35"/>
        <v>175.54940655788582</v>
      </c>
      <c r="AF66" s="447">
        <f t="shared" si="35"/>
        <v>177.85527918565819</v>
      </c>
      <c r="AG66" s="447">
        <f t="shared" si="35"/>
        <v>180.04094044421021</v>
      </c>
      <c r="AH66" s="447">
        <f t="shared" si="35"/>
        <v>182.11265727696093</v>
      </c>
      <c r="AI66" s="447">
        <f t="shared" si="35"/>
        <v>184.07636991463934</v>
      </c>
      <c r="AJ66" s="447">
        <f t="shared" si="35"/>
        <v>185.93770890769946</v>
      </c>
      <c r="AK66" s="447">
        <f t="shared" si="35"/>
        <v>187.70201127078963</v>
      </c>
      <c r="AL66" s="447">
        <f t="shared" si="35"/>
        <v>189.37433578556704</v>
      </c>
      <c r="AM66" s="447">
        <f t="shared" si="35"/>
        <v>190.95947750573518</v>
      </c>
      <c r="AN66" s="447">
        <f t="shared" si="35"/>
        <v>192.46198150589456</v>
      </c>
      <c r="AO66" s="447">
        <f t="shared" si="35"/>
        <v>193.88615591362858</v>
      </c>
      <c r="AP66" s="447">
        <f t="shared" si="35"/>
        <v>195.23608426219164</v>
      </c>
      <c r="AQ66" s="447">
        <f t="shared" si="35"/>
        <v>196.51563719921822</v>
      </c>
      <c r="AR66" s="447">
        <f t="shared" si="35"/>
        <v>197.7284835850254</v>
      </c>
      <c r="AS66" s="447">
        <f t="shared" si="35"/>
        <v>198.8781010123308</v>
      </c>
      <c r="AT66" s="447">
        <f t="shared" si="35"/>
        <v>199.96778577754918</v>
      </c>
      <c r="AU66" s="447">
        <f t="shared" si="35"/>
        <v>201.00066233225854</v>
      </c>
      <c r="AV66" s="447">
        <f t="shared" si="35"/>
        <v>201.97969224193568</v>
      </c>
      <c r="AW66" s="447">
        <f t="shared" si="35"/>
        <v>202.90768267764861</v>
      </c>
      <c r="AX66" s="447">
        <f t="shared" si="35"/>
        <v>203.78729446505423</v>
      </c>
      <c r="AY66" s="448">
        <f t="shared" si="35"/>
        <v>204.62104971377994</v>
      </c>
    </row>
    <row r="67" spans="1:51">
      <c r="A67" s="442" t="s">
        <v>2926</v>
      </c>
      <c r="B67" s="446">
        <f t="shared" si="34"/>
        <v>7.0689328859713552</v>
      </c>
      <c r="C67" s="447">
        <f t="shared" si="35"/>
        <v>14.369698136716529</v>
      </c>
      <c r="D67" s="447">
        <f t="shared" si="35"/>
        <v>21.541967331637562</v>
      </c>
      <c r="E67" s="447">
        <f t="shared" si="35"/>
        <v>28.51267627318699</v>
      </c>
      <c r="F67" s="447">
        <f t="shared" si="35"/>
        <v>35.250642077004798</v>
      </c>
      <c r="G67" s="447">
        <f t="shared" si="35"/>
        <v>41.746987388541662</v>
      </c>
      <c r="H67" s="447">
        <f t="shared" si="35"/>
        <v>47.980700711127561</v>
      </c>
      <c r="I67" s="447">
        <f t="shared" si="35"/>
        <v>53.925864208141782</v>
      </c>
      <c r="J67" s="447">
        <f t="shared" si="35"/>
        <v>59.641723748881354</v>
      </c>
      <c r="K67" s="447">
        <f t="shared" si="35"/>
        <v>65.083644011797688</v>
      </c>
      <c r="L67" s="447">
        <f t="shared" si="35"/>
        <v>70.302178243051259</v>
      </c>
      <c r="M67" s="447">
        <f t="shared" si="35"/>
        <v>75.296787022973902</v>
      </c>
      <c r="N67" s="447">
        <f t="shared" si="35"/>
        <v>80.02975889547298</v>
      </c>
      <c r="O67" s="447">
        <f t="shared" si="35"/>
        <v>84.55046652586843</v>
      </c>
      <c r="P67" s="447">
        <f t="shared" si="35"/>
        <v>88.867652559080511</v>
      </c>
      <c r="Q67" s="447">
        <f t="shared" si="35"/>
        <v>92.986957075656932</v>
      </c>
      <c r="R67" s="447">
        <f t="shared" si="35"/>
        <v>96.884761614834133</v>
      </c>
      <c r="S67" s="447">
        <f t="shared" si="35"/>
        <v>100.57041386849632</v>
      </c>
      <c r="T67" s="447">
        <f t="shared" si="35"/>
        <v>104.05103570691571</v>
      </c>
      <c r="U67" s="447">
        <f t="shared" si="35"/>
        <v>107.35020332627059</v>
      </c>
      <c r="V67" s="447">
        <f t="shared" si="35"/>
        <v>110.47737642518516</v>
      </c>
      <c r="W67" s="447">
        <f t="shared" si="35"/>
        <v>113.44152154263973</v>
      </c>
      <c r="X67" s="447">
        <f t="shared" si="35"/>
        <v>116.25113776771516</v>
      </c>
      <c r="Y67" s="447">
        <f t="shared" si="35"/>
        <v>118.91428110901889</v>
      </c>
      <c r="Z67" s="447">
        <f t="shared" si="35"/>
        <v>121.43858759366697</v>
      </c>
      <c r="AA67" s="447">
        <f t="shared" si="35"/>
        <v>123.83129516205376</v>
      </c>
      <c r="AB67" s="447">
        <f t="shared" si="35"/>
        <v>126.09926442118817</v>
      </c>
      <c r="AC67" s="447">
        <f t="shared" si="35"/>
        <v>128.2489983161023</v>
      </c>
      <c r="AD67" s="447">
        <f t="shared" si="35"/>
        <v>130.28666077573655</v>
      </c>
      <c r="AE67" s="447">
        <f t="shared" si="35"/>
        <v>132.21809438676428</v>
      </c>
      <c r="AF67" s="447">
        <f t="shared" si="35"/>
        <v>134.04883714603227</v>
      </c>
      <c r="AG67" s="447">
        <f t="shared" si="35"/>
        <v>135.78413833965121</v>
      </c>
      <c r="AH67" s="447">
        <f t="shared" si="35"/>
        <v>137.42897359426632</v>
      </c>
      <c r="AI67" s="447">
        <f t="shared" si="35"/>
        <v>138.98805914366454</v>
      </c>
      <c r="AJ67" s="447">
        <f t="shared" si="35"/>
        <v>140.46586535162493</v>
      </c>
      <c r="AK67" s="447">
        <f t="shared" si="35"/>
        <v>141.86662952978642</v>
      </c>
      <c r="AL67" s="447">
        <f t="shared" si="35"/>
        <v>143.19436808728548</v>
      </c>
      <c r="AM67" s="447">
        <f t="shared" si="35"/>
        <v>144.45288804700024</v>
      </c>
      <c r="AN67" s="447">
        <f t="shared" si="35"/>
        <v>145.64579796142181</v>
      </c>
      <c r="AO67" s="447">
        <f t="shared" si="35"/>
        <v>146.77651825945173</v>
      </c>
      <c r="AP67" s="447">
        <f t="shared" si="35"/>
        <v>147.84829105379288</v>
      </c>
      <c r="AQ67" s="447">
        <f t="shared" si="35"/>
        <v>148.86418943705462</v>
      </c>
      <c r="AR67" s="447">
        <f t="shared" si="35"/>
        <v>149.82712629322691</v>
      </c>
      <c r="AS67" s="447">
        <f t="shared" si="35"/>
        <v>150.73986264978831</v>
      </c>
      <c r="AT67" s="447">
        <f t="shared" si="35"/>
        <v>151.60501559439626</v>
      </c>
      <c r="AU67" s="447">
        <f t="shared" si="35"/>
        <v>152.42506577885879</v>
      </c>
      <c r="AV67" s="447">
        <f t="shared" si="35"/>
        <v>153.20236453190384</v>
      </c>
      <c r="AW67" s="447">
        <f t="shared" si="35"/>
        <v>153.93914060114085</v>
      </c>
      <c r="AX67" s="447">
        <f t="shared" si="35"/>
        <v>154.63750654354561</v>
      </c>
      <c r="AY67" s="448">
        <f t="shared" si="35"/>
        <v>155.29946478279183</v>
      </c>
    </row>
    <row r="68" spans="1:51">
      <c r="A68" s="442" t="s">
        <v>2905</v>
      </c>
      <c r="B68" s="443">
        <f t="shared" si="34"/>
        <v>6.1141123369011178E-3</v>
      </c>
      <c r="C68" s="444">
        <f t="shared" si="35"/>
        <v>1.1835653147838862E-2</v>
      </c>
      <c r="D68" s="444">
        <f t="shared" si="35"/>
        <v>1.718893701314065E-2</v>
      </c>
      <c r="E68" s="444">
        <f t="shared" si="35"/>
        <v>2.2163645558166009E-2</v>
      </c>
      <c r="F68" s="444">
        <f t="shared" si="35"/>
        <v>2.6784701836957338E-2</v>
      </c>
      <c r="G68" s="444">
        <f t="shared" si="35"/>
        <v>3.1082908421834338E-2</v>
      </c>
      <c r="H68" s="444">
        <f t="shared" si="35"/>
        <v>3.5157037886172721E-2</v>
      </c>
      <c r="I68" s="444">
        <f t="shared" si="35"/>
        <v>3.9012079195542004E-2</v>
      </c>
      <c r="J68" s="444">
        <f t="shared" si="35"/>
        <v>4.2666146787361234E-2</v>
      </c>
      <c r="K68" s="444">
        <f t="shared" si="35"/>
        <v>4.6123704820036415E-2</v>
      </c>
      <c r="L68" s="444">
        <f t="shared" si="35"/>
        <v>4.9401011012145592E-2</v>
      </c>
      <c r="M68" s="444">
        <f t="shared" ref="M68:AY70" si="36">(M57/(1+$C$3)^(M$16-0.5)+L68)</f>
        <v>5.2507462379073722E-2</v>
      </c>
      <c r="N68" s="444">
        <f t="shared" si="36"/>
        <v>5.5446845168468734E-2</v>
      </c>
      <c r="O68" s="444">
        <f t="shared" si="36"/>
        <v>5.8232989992539834E-2</v>
      </c>
      <c r="P68" s="444">
        <f t="shared" si="36"/>
        <v>6.0869284697021131E-2</v>
      </c>
      <c r="Q68" s="444">
        <f t="shared" si="36"/>
        <v>6.3368142236813835E-2</v>
      </c>
      <c r="R68" s="444">
        <f t="shared" si="36"/>
        <v>6.5736727582588902E-2</v>
      </c>
      <c r="S68" s="444">
        <f t="shared" si="36"/>
        <v>6.7981832175740636E-2</v>
      </c>
      <c r="T68" s="444">
        <f t="shared" si="36"/>
        <v>7.0109893401476872E-2</v>
      </c>
      <c r="U68" s="444">
        <f t="shared" si="36"/>
        <v>7.2127013046724489E-2</v>
      </c>
      <c r="V68" s="444">
        <f t="shared" si="36"/>
        <v>7.4038974795774357E-2</v>
      </c>
      <c r="W68" s="444">
        <f t="shared" si="36"/>
        <v>7.5851260813831103E-2</v>
      </c>
      <c r="X68" s="444">
        <f t="shared" si="36"/>
        <v>7.7569067466017591E-2</v>
      </c>
      <c r="Y68" s="444">
        <f t="shared" si="36"/>
        <v>7.9197320216905259E-2</v>
      </c>
      <c r="Z68" s="444">
        <f t="shared" si="36"/>
        <v>8.0740687753291684E-2</v>
      </c>
      <c r="AA68" s="444">
        <f t="shared" si="36"/>
        <v>8.220359537071957E-2</v>
      </c>
      <c r="AB68" s="444">
        <f t="shared" si="36"/>
        <v>8.3590237662120412E-2</v>
      </c>
      <c r="AC68" s="444">
        <f t="shared" si="36"/>
        <v>8.4904590544964811E-2</v>
      </c>
      <c r="AD68" s="444">
        <f t="shared" si="36"/>
        <v>8.6150422661405004E-2</v>
      </c>
      <c r="AE68" s="444">
        <f t="shared" si="36"/>
        <v>8.7331306184097124E-2</v>
      </c>
      <c r="AF68" s="444">
        <f t="shared" si="36"/>
        <v>8.8450627058686809E-2</v>
      </c>
      <c r="AG68" s="444">
        <f t="shared" si="36"/>
        <v>8.9511594712326323E-2</v>
      </c>
      <c r="AH68" s="444">
        <f t="shared" si="36"/>
        <v>9.0517251256060458E-2</v>
      </c>
      <c r="AI68" s="444">
        <f t="shared" si="36"/>
        <v>9.1470480207467217E-2</v>
      </c>
      <c r="AJ68" s="444">
        <f t="shared" si="36"/>
        <v>9.2374014758563674E-2</v>
      </c>
      <c r="AK68" s="444">
        <f t="shared" si="36"/>
        <v>9.3230445612683538E-2</v>
      </c>
      <c r="AL68" s="444">
        <f t="shared" si="36"/>
        <v>9.4042228412797163E-2</v>
      </c>
      <c r="AM68" s="444">
        <f t="shared" si="36"/>
        <v>9.4811690782573108E-2</v>
      </c>
      <c r="AN68" s="444">
        <f t="shared" si="36"/>
        <v>9.5541039000370212E-2</v>
      </c>
      <c r="AO68" s="444">
        <f t="shared" si="36"/>
        <v>9.6232364325296374E-2</v>
      </c>
      <c r="AP68" s="444">
        <f t="shared" si="36"/>
        <v>9.6887648993472825E-2</v>
      </c>
      <c r="AQ68" s="444">
        <f t="shared" si="36"/>
        <v>9.7508771901696961E-2</v>
      </c>
      <c r="AR68" s="444">
        <f t="shared" si="36"/>
        <v>9.8097513994800406E-2</v>
      </c>
      <c r="AS68" s="444">
        <f t="shared" si="36"/>
        <v>9.8655563372149632E-2</v>
      </c>
      <c r="AT68" s="444">
        <f t="shared" si="36"/>
        <v>9.91845201279309E-2</v>
      </c>
      <c r="AU68" s="444">
        <f t="shared" si="36"/>
        <v>9.9685900939097974E-2</v>
      </c>
      <c r="AV68" s="444">
        <f t="shared" si="36"/>
        <v>0.10016114341413786</v>
      </c>
      <c r="AW68" s="444">
        <f t="shared" si="36"/>
        <v>0.10061161021512352</v>
      </c>
      <c r="AX68" s="444">
        <f t="shared" si="36"/>
        <v>0.10103859296487297</v>
      </c>
      <c r="AY68" s="445">
        <f t="shared" si="36"/>
        <v>0.10144331595041747</v>
      </c>
    </row>
    <row r="69" spans="1:51">
      <c r="A69" s="442" t="s">
        <v>2906</v>
      </c>
      <c r="B69" s="446">
        <f t="shared" si="34"/>
        <v>0.85432063306221828</v>
      </c>
      <c r="C69" s="447">
        <f t="shared" ref="C69:AH70" si="37">(C58/(1+$C$3)^(C$16-0.5)+B69)</f>
        <v>1.6641032236425202</v>
      </c>
      <c r="D69" s="447">
        <f t="shared" si="37"/>
        <v>2.4316696602115266</v>
      </c>
      <c r="E69" s="447">
        <f t="shared" si="37"/>
        <v>3.1592207849214855</v>
      </c>
      <c r="F69" s="447">
        <f t="shared" si="37"/>
        <v>3.8488427040778443</v>
      </c>
      <c r="G69" s="447">
        <f t="shared" si="37"/>
        <v>4.502512769628896</v>
      </c>
      <c r="H69" s="447">
        <f t="shared" si="37"/>
        <v>5.1221052488242051</v>
      </c>
      <c r="I69" s="447">
        <f t="shared" si="37"/>
        <v>5.7093966982984323</v>
      </c>
      <c r="J69" s="447">
        <f t="shared" si="37"/>
        <v>6.2660710579896426</v>
      </c>
      <c r="K69" s="447">
        <f t="shared" si="37"/>
        <v>6.7937244794978984</v>
      </c>
      <c r="L69" s="447">
        <f t="shared" si="37"/>
        <v>7.2938699027284732</v>
      </c>
      <c r="M69" s="447">
        <f t="shared" si="37"/>
        <v>7.7679413939422881</v>
      </c>
      <c r="N69" s="447">
        <f t="shared" si="37"/>
        <v>8.2172982576520646</v>
      </c>
      <c r="O69" s="447">
        <f t="shared" si="37"/>
        <v>8.643228934154223</v>
      </c>
      <c r="P69" s="447">
        <f t="shared" si="37"/>
        <v>9.0469546938719088</v>
      </c>
      <c r="Q69" s="447">
        <f t="shared" si="37"/>
        <v>9.4296331391019432</v>
      </c>
      <c r="R69" s="447">
        <f t="shared" si="37"/>
        <v>9.7923615232062406</v>
      </c>
      <c r="S69" s="447">
        <f t="shared" si="37"/>
        <v>10.136179896764817</v>
      </c>
      <c r="T69" s="447">
        <f t="shared" si="37"/>
        <v>10.462074089711335</v>
      </c>
      <c r="U69" s="447">
        <f t="shared" si="37"/>
        <v>10.770978538001872</v>
      </c>
      <c r="V69" s="447">
        <f t="shared" si="37"/>
        <v>11.063778962921813</v>
      </c>
      <c r="W69" s="447">
        <f t="shared" si="37"/>
        <v>11.341314910713226</v>
      </c>
      <c r="X69" s="447">
        <f t="shared" si="37"/>
        <v>11.604382159804613</v>
      </c>
      <c r="Y69" s="447">
        <f t="shared" si="37"/>
        <v>11.853735002545264</v>
      </c>
      <c r="Z69" s="447">
        <f t="shared" si="37"/>
        <v>12.09008840798664</v>
      </c>
      <c r="AA69" s="447">
        <f t="shared" si="37"/>
        <v>12.314120071912114</v>
      </c>
      <c r="AB69" s="447">
        <f t="shared" si="37"/>
        <v>12.526472359993132</v>
      </c>
      <c r="AC69" s="447">
        <f t="shared" si="37"/>
        <v>12.727754149643387</v>
      </c>
      <c r="AD69" s="447">
        <f t="shared" si="37"/>
        <v>12.918542575852159</v>
      </c>
      <c r="AE69" s="447">
        <f t="shared" si="37"/>
        <v>13.099384686002654</v>
      </c>
      <c r="AF69" s="447">
        <f t="shared" si="37"/>
        <v>13.270799008420186</v>
      </c>
      <c r="AG69" s="447">
        <f t="shared" si="37"/>
        <v>13.433277039147702</v>
      </c>
      <c r="AH69" s="447">
        <f t="shared" si="37"/>
        <v>13.5872846512117</v>
      </c>
      <c r="AI69" s="447">
        <f t="shared" si="36"/>
        <v>13.73326343041928</v>
      </c>
      <c r="AJ69" s="447">
        <f t="shared" si="36"/>
        <v>13.871631941516512</v>
      </c>
      <c r="AK69" s="447">
        <f t="shared" si="36"/>
        <v>14.002786928338534</v>
      </c>
      <c r="AL69" s="447">
        <f t="shared" si="36"/>
        <v>14.127104451392583</v>
      </c>
      <c r="AM69" s="447">
        <f t="shared" si="36"/>
        <v>14.244940966135758</v>
      </c>
      <c r="AN69" s="447">
        <f t="shared" si="36"/>
        <v>14.356634345039241</v>
      </c>
      <c r="AO69" s="447">
        <f t="shared" si="36"/>
        <v>14.462504846369557</v>
      </c>
      <c r="AP69" s="447">
        <f t="shared" si="36"/>
        <v>14.562856032464643</v>
      </c>
      <c r="AQ69" s="447">
        <f t="shared" si="36"/>
        <v>14.65797564013771</v>
      </c>
      <c r="AR69" s="447">
        <f t="shared" si="36"/>
        <v>14.748136405704599</v>
      </c>
      <c r="AS69" s="447">
        <f t="shared" si="36"/>
        <v>14.833596847000228</v>
      </c>
      <c r="AT69" s="447">
        <f t="shared" si="36"/>
        <v>14.914602004626417</v>
      </c>
      <c r="AU69" s="447">
        <f t="shared" si="36"/>
        <v>14.991384144556454</v>
      </c>
      <c r="AV69" s="447">
        <f t="shared" si="36"/>
        <v>15.064163424110991</v>
      </c>
      <c r="AW69" s="447">
        <f t="shared" si="36"/>
        <v>15.133148523214818</v>
      </c>
      <c r="AX69" s="447">
        <f t="shared" si="36"/>
        <v>15.198537242744511</v>
      </c>
      <c r="AY69" s="448">
        <f t="shared" si="36"/>
        <v>15.260517071682608</v>
      </c>
    </row>
    <row r="70" spans="1:51" ht="12.75" thickBot="1">
      <c r="A70" s="449" t="s">
        <v>2907</v>
      </c>
      <c r="B70" s="450">
        <f t="shared" si="34"/>
        <v>0.85432063306221828</v>
      </c>
      <c r="C70" s="451">
        <f t="shared" si="37"/>
        <v>1.6641032236425202</v>
      </c>
      <c r="D70" s="451">
        <f t="shared" si="37"/>
        <v>2.4316696602115266</v>
      </c>
      <c r="E70" s="451">
        <f t="shared" si="37"/>
        <v>3.1592207849214855</v>
      </c>
      <c r="F70" s="451">
        <f t="shared" si="37"/>
        <v>3.8488427040778443</v>
      </c>
      <c r="G70" s="451">
        <f t="shared" si="37"/>
        <v>4.502512769628896</v>
      </c>
      <c r="H70" s="451">
        <f t="shared" si="37"/>
        <v>5.1221052488242051</v>
      </c>
      <c r="I70" s="451">
        <f t="shared" si="37"/>
        <v>5.7093966982984323</v>
      </c>
      <c r="J70" s="451">
        <f t="shared" si="37"/>
        <v>6.2660710579896426</v>
      </c>
      <c r="K70" s="451">
        <f t="shared" si="37"/>
        <v>6.7937244794978984</v>
      </c>
      <c r="L70" s="451">
        <f t="shared" si="37"/>
        <v>7.2938699027284732</v>
      </c>
      <c r="M70" s="451">
        <f t="shared" si="37"/>
        <v>7.7679413939422881</v>
      </c>
      <c r="N70" s="451">
        <f t="shared" si="37"/>
        <v>8.2172982576520646</v>
      </c>
      <c r="O70" s="451">
        <f t="shared" si="37"/>
        <v>8.643228934154223</v>
      </c>
      <c r="P70" s="451">
        <f t="shared" si="37"/>
        <v>9.0469546938719088</v>
      </c>
      <c r="Q70" s="451">
        <f t="shared" si="37"/>
        <v>9.4296331391019432</v>
      </c>
      <c r="R70" s="451">
        <f t="shared" si="37"/>
        <v>9.7923615232062406</v>
      </c>
      <c r="S70" s="451">
        <f t="shared" si="37"/>
        <v>10.136179896764817</v>
      </c>
      <c r="T70" s="451">
        <f t="shared" si="37"/>
        <v>10.462074089711335</v>
      </c>
      <c r="U70" s="451">
        <f t="shared" si="37"/>
        <v>10.770978538001872</v>
      </c>
      <c r="V70" s="451">
        <f t="shared" si="37"/>
        <v>11.063778962921813</v>
      </c>
      <c r="W70" s="451">
        <f t="shared" si="37"/>
        <v>11.341314910713226</v>
      </c>
      <c r="X70" s="451">
        <f t="shared" si="37"/>
        <v>11.604382159804613</v>
      </c>
      <c r="Y70" s="451">
        <f t="shared" si="37"/>
        <v>11.853735002545264</v>
      </c>
      <c r="Z70" s="451">
        <f t="shared" si="37"/>
        <v>12.09008840798664</v>
      </c>
      <c r="AA70" s="451">
        <f t="shared" si="37"/>
        <v>12.314120071912114</v>
      </c>
      <c r="AB70" s="451">
        <f t="shared" si="37"/>
        <v>12.526472359993132</v>
      </c>
      <c r="AC70" s="451">
        <f t="shared" si="37"/>
        <v>12.727754149643387</v>
      </c>
      <c r="AD70" s="451">
        <f t="shared" si="37"/>
        <v>12.918542575852159</v>
      </c>
      <c r="AE70" s="451">
        <f t="shared" si="37"/>
        <v>13.099384686002654</v>
      </c>
      <c r="AF70" s="451">
        <f t="shared" si="37"/>
        <v>13.270799008420186</v>
      </c>
      <c r="AG70" s="451">
        <f t="shared" si="37"/>
        <v>13.433277039147702</v>
      </c>
      <c r="AH70" s="451">
        <f t="shared" si="37"/>
        <v>13.5872846512117</v>
      </c>
      <c r="AI70" s="451">
        <f t="shared" si="36"/>
        <v>13.73326343041928</v>
      </c>
      <c r="AJ70" s="451">
        <f t="shared" si="36"/>
        <v>13.871631941516512</v>
      </c>
      <c r="AK70" s="451">
        <f t="shared" si="36"/>
        <v>14.002786928338534</v>
      </c>
      <c r="AL70" s="451">
        <f t="shared" si="36"/>
        <v>14.127104451392583</v>
      </c>
      <c r="AM70" s="451">
        <f t="shared" si="36"/>
        <v>14.244940966135758</v>
      </c>
      <c r="AN70" s="451">
        <f t="shared" si="36"/>
        <v>14.356634345039241</v>
      </c>
      <c r="AO70" s="451">
        <f t="shared" si="36"/>
        <v>14.462504846369557</v>
      </c>
      <c r="AP70" s="451">
        <f t="shared" si="36"/>
        <v>14.562856032464643</v>
      </c>
      <c r="AQ70" s="451">
        <f t="shared" si="36"/>
        <v>14.65797564013771</v>
      </c>
      <c r="AR70" s="451">
        <f t="shared" si="36"/>
        <v>14.748136405704599</v>
      </c>
      <c r="AS70" s="451">
        <f t="shared" si="36"/>
        <v>14.833596847000228</v>
      </c>
      <c r="AT70" s="451">
        <f t="shared" si="36"/>
        <v>14.914602004626417</v>
      </c>
      <c r="AU70" s="451">
        <f t="shared" si="36"/>
        <v>14.991384144556454</v>
      </c>
      <c r="AV70" s="451">
        <f t="shared" si="36"/>
        <v>15.064163424110991</v>
      </c>
      <c r="AW70" s="451">
        <f t="shared" si="36"/>
        <v>15.133148523214818</v>
      </c>
      <c r="AX70" s="451">
        <f t="shared" si="36"/>
        <v>15.198537242744511</v>
      </c>
      <c r="AY70" s="452">
        <f t="shared" si="36"/>
        <v>15.260517071682608</v>
      </c>
    </row>
    <row r="72" spans="1:51" ht="15.75">
      <c r="A72" s="454" t="s">
        <v>3299</v>
      </c>
      <c r="B72" s="453"/>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453"/>
      <c r="AK72" s="453"/>
      <c r="AL72" s="453"/>
      <c r="AM72" s="453"/>
      <c r="AN72" s="453"/>
      <c r="AO72" s="453"/>
      <c r="AP72" s="453"/>
      <c r="AQ72" s="453"/>
      <c r="AR72" s="453"/>
      <c r="AS72" s="453"/>
      <c r="AT72" s="453"/>
      <c r="AU72" s="453"/>
      <c r="AV72" s="453"/>
      <c r="AW72" s="453"/>
      <c r="AX72" s="453"/>
      <c r="AY72" s="453"/>
    </row>
    <row r="73" spans="1:51" ht="15.75" thickBot="1">
      <c r="A73" s="433" t="s">
        <v>2898</v>
      </c>
    </row>
    <row r="74" spans="1:51" ht="12.75" thickBot="1">
      <c r="A74" s="434" t="s">
        <v>2899</v>
      </c>
      <c r="B74" s="435">
        <v>2010</v>
      </c>
      <c r="C74" s="436">
        <v>2011</v>
      </c>
      <c r="D74" s="436">
        <v>2012</v>
      </c>
      <c r="E74" s="436">
        <v>2013</v>
      </c>
      <c r="F74" s="436">
        <v>2014</v>
      </c>
      <c r="G74" s="436">
        <v>2015</v>
      </c>
      <c r="H74" s="436">
        <v>2016</v>
      </c>
      <c r="I74" s="436">
        <v>2017</v>
      </c>
      <c r="J74" s="436">
        <v>2018</v>
      </c>
      <c r="K74" s="436">
        <v>2019</v>
      </c>
      <c r="L74" s="436">
        <v>2020</v>
      </c>
      <c r="M74" s="436">
        <v>2021</v>
      </c>
      <c r="N74" s="436">
        <v>2022</v>
      </c>
      <c r="O74" s="436">
        <v>2023</v>
      </c>
      <c r="P74" s="436">
        <v>2024</v>
      </c>
      <c r="Q74" s="436">
        <v>2025</v>
      </c>
      <c r="R74" s="436">
        <v>2026</v>
      </c>
      <c r="S74" s="436">
        <v>2027</v>
      </c>
      <c r="T74" s="436">
        <v>2028</v>
      </c>
      <c r="U74" s="436">
        <v>2029</v>
      </c>
      <c r="V74" s="436">
        <v>2030</v>
      </c>
      <c r="W74" s="436">
        <v>2031</v>
      </c>
      <c r="X74" s="436">
        <v>2032</v>
      </c>
      <c r="Y74" s="436">
        <v>2033</v>
      </c>
      <c r="Z74" s="436">
        <v>2034</v>
      </c>
      <c r="AA74" s="436">
        <v>2035</v>
      </c>
      <c r="AB74" s="436">
        <v>2036</v>
      </c>
      <c r="AC74" s="436">
        <v>2037</v>
      </c>
      <c r="AD74" s="436">
        <v>2038</v>
      </c>
      <c r="AE74" s="436">
        <v>2039</v>
      </c>
      <c r="AF74" s="436">
        <v>2040</v>
      </c>
      <c r="AG74" s="436">
        <v>2041</v>
      </c>
      <c r="AH74" s="436">
        <v>2042</v>
      </c>
      <c r="AI74" s="436">
        <v>2043</v>
      </c>
      <c r="AJ74" s="436">
        <v>2044</v>
      </c>
      <c r="AK74" s="436">
        <v>2045</v>
      </c>
      <c r="AL74" s="436">
        <v>2046</v>
      </c>
      <c r="AM74" s="436">
        <v>2047</v>
      </c>
      <c r="AN74" s="436">
        <v>2048</v>
      </c>
      <c r="AO74" s="436">
        <v>2049</v>
      </c>
      <c r="AP74" s="436">
        <v>2050</v>
      </c>
      <c r="AQ74" s="436">
        <v>2051</v>
      </c>
      <c r="AR74" s="436">
        <v>2052</v>
      </c>
      <c r="AS74" s="436">
        <v>2053</v>
      </c>
      <c r="AT74" s="436">
        <v>2054</v>
      </c>
      <c r="AU74" s="436">
        <v>2055</v>
      </c>
      <c r="AV74" s="436">
        <v>2056</v>
      </c>
      <c r="AW74" s="436">
        <v>2057</v>
      </c>
      <c r="AX74" s="436">
        <v>2058</v>
      </c>
      <c r="AY74" s="437">
        <v>2059</v>
      </c>
    </row>
    <row r="75" spans="1:51">
      <c r="A75" s="438" t="s">
        <v>2910</v>
      </c>
      <c r="B75" s="771">
        <v>6.8310458518556105E-2</v>
      </c>
      <c r="C75" s="772">
        <v>6.6934254603542631E-2</v>
      </c>
      <c r="D75" s="772">
        <v>6.5592258751792754E-2</v>
      </c>
      <c r="E75" s="772">
        <v>6.5435755251657166E-2</v>
      </c>
      <c r="F75" s="772">
        <v>6.5279251751521564E-2</v>
      </c>
      <c r="G75" s="772">
        <v>6.5131643636398229E-2</v>
      </c>
      <c r="H75" s="772">
        <v>6.5288147136533831E-2</v>
      </c>
      <c r="I75" s="772">
        <v>6.5451665544625004E-2</v>
      </c>
      <c r="J75" s="772">
        <v>6.560628856770391E-2</v>
      </c>
      <c r="K75" s="772">
        <v>6.5771687452851779E-2</v>
      </c>
      <c r="L75" s="772">
        <v>6.5935205860942953E-2</v>
      </c>
      <c r="M75" s="772">
        <v>6.6091709361078541E-2</v>
      </c>
      <c r="N75" s="772">
        <v>6.6255227769169728E-2</v>
      </c>
      <c r="O75" s="772">
        <v>6.642062665431761E-2</v>
      </c>
      <c r="P75" s="772">
        <v>6.6586025539465465E-2</v>
      </c>
      <c r="Q75" s="772">
        <v>6.6586025539465465E-2</v>
      </c>
      <c r="R75" s="772">
        <v>6.6586025539465465E-2</v>
      </c>
      <c r="S75" s="772">
        <v>6.6586025539465465E-2</v>
      </c>
      <c r="T75" s="772">
        <v>6.6586025539465465E-2</v>
      </c>
      <c r="U75" s="772">
        <v>6.6586025539465465E-2</v>
      </c>
      <c r="V75" s="772">
        <v>6.6586025539465465E-2</v>
      </c>
      <c r="W75" s="772">
        <v>6.6586025539465465E-2</v>
      </c>
      <c r="X75" s="772">
        <v>6.6586025539465465E-2</v>
      </c>
      <c r="Y75" s="772">
        <v>6.6586025539465465E-2</v>
      </c>
      <c r="Z75" s="772">
        <v>6.6586025539465465E-2</v>
      </c>
      <c r="AA75" s="772">
        <v>6.6586025539465465E-2</v>
      </c>
      <c r="AB75" s="772">
        <v>6.6586025539465465E-2</v>
      </c>
      <c r="AC75" s="772">
        <v>6.6586025539465465E-2</v>
      </c>
      <c r="AD75" s="772">
        <v>6.6586025539465465E-2</v>
      </c>
      <c r="AE75" s="772">
        <v>6.6586025539465465E-2</v>
      </c>
      <c r="AF75" s="772">
        <v>6.6586025539465465E-2</v>
      </c>
      <c r="AG75" s="772">
        <v>6.6586025539465465E-2</v>
      </c>
      <c r="AH75" s="772">
        <v>6.6586025539465465E-2</v>
      </c>
      <c r="AI75" s="772">
        <v>6.6586025539465465E-2</v>
      </c>
      <c r="AJ75" s="772">
        <v>6.6586025539465465E-2</v>
      </c>
      <c r="AK75" s="772">
        <v>6.6586025539465465E-2</v>
      </c>
      <c r="AL75" s="772">
        <v>6.6586025539465465E-2</v>
      </c>
      <c r="AM75" s="772">
        <v>6.6586025539465465E-2</v>
      </c>
      <c r="AN75" s="772">
        <v>6.6586025539465465E-2</v>
      </c>
      <c r="AO75" s="772">
        <v>6.6586025539465465E-2</v>
      </c>
      <c r="AP75" s="772">
        <v>6.6586025539465465E-2</v>
      </c>
      <c r="AQ75" s="772">
        <v>6.6586025539465465E-2</v>
      </c>
      <c r="AR75" s="772">
        <v>6.6586025539465465E-2</v>
      </c>
      <c r="AS75" s="772">
        <v>6.6586025539465465E-2</v>
      </c>
      <c r="AT75" s="772">
        <v>6.6586025539465465E-2</v>
      </c>
      <c r="AU75" s="772">
        <v>6.6586025539465465E-2</v>
      </c>
      <c r="AV75" s="772">
        <v>6.6586025539465465E-2</v>
      </c>
      <c r="AW75" s="772">
        <v>6.6586025539465465E-2</v>
      </c>
      <c r="AX75" s="772">
        <v>6.6586025539465465E-2</v>
      </c>
      <c r="AY75" s="773">
        <v>6.6586025539465465E-2</v>
      </c>
    </row>
    <row r="76" spans="1:51">
      <c r="A76" s="442" t="s">
        <v>2911</v>
      </c>
      <c r="B76" s="462">
        <v>85.398706896551715</v>
      </c>
      <c r="C76" s="463">
        <v>92.53232758620689</v>
      </c>
      <c r="D76" s="463">
        <v>99.234913793103431</v>
      </c>
      <c r="E76" s="463">
        <v>105.54956896551724</v>
      </c>
      <c r="F76" s="463">
        <v>111.48706896551724</v>
      </c>
      <c r="G76" s="463">
        <v>117.06896551724137</v>
      </c>
      <c r="H76" s="463">
        <v>122.32758620689654</v>
      </c>
      <c r="I76" s="463">
        <v>127.26293103448276</v>
      </c>
      <c r="J76" s="463">
        <v>131.90732758620689</v>
      </c>
      <c r="K76" s="463">
        <v>136.27155172413794</v>
      </c>
      <c r="L76" s="463">
        <v>140.36637931034483</v>
      </c>
      <c r="M76" s="463">
        <v>144.21336206896549</v>
      </c>
      <c r="N76" s="463">
        <v>144.21336206896549</v>
      </c>
      <c r="O76" s="463">
        <v>144.21336206896549</v>
      </c>
      <c r="P76" s="463">
        <v>144.21336206896549</v>
      </c>
      <c r="Q76" s="463">
        <v>144.21336206896549</v>
      </c>
      <c r="R76" s="463">
        <v>144.21336206896501</v>
      </c>
      <c r="S76" s="463">
        <v>144.21336206896501</v>
      </c>
      <c r="T76" s="463">
        <v>144.21336206896501</v>
      </c>
      <c r="U76" s="463">
        <v>144.21336206896501</v>
      </c>
      <c r="V76" s="463">
        <v>144.21336206896501</v>
      </c>
      <c r="W76" s="463">
        <v>144.21336206896501</v>
      </c>
      <c r="X76" s="463">
        <v>144.21336206896501</v>
      </c>
      <c r="Y76" s="463">
        <v>144.21336206896501</v>
      </c>
      <c r="Z76" s="463">
        <v>144.21336206896501</v>
      </c>
      <c r="AA76" s="463">
        <v>144.21336206896501</v>
      </c>
      <c r="AB76" s="463">
        <v>144.21336206896501</v>
      </c>
      <c r="AC76" s="463">
        <v>144.21336206896501</v>
      </c>
      <c r="AD76" s="463">
        <v>144.21336206896501</v>
      </c>
      <c r="AE76" s="463">
        <v>144.21336206896501</v>
      </c>
      <c r="AF76" s="463">
        <v>144.21336206896501</v>
      </c>
      <c r="AG76" s="463">
        <v>144.21336206896501</v>
      </c>
      <c r="AH76" s="463">
        <v>144.21336206896501</v>
      </c>
      <c r="AI76" s="463">
        <v>144.21336206896501</v>
      </c>
      <c r="AJ76" s="463">
        <v>144.21336206896501</v>
      </c>
      <c r="AK76" s="463">
        <v>144.21336206896501</v>
      </c>
      <c r="AL76" s="463">
        <v>144.21336206896501</v>
      </c>
      <c r="AM76" s="463">
        <v>144.21336206896501</v>
      </c>
      <c r="AN76" s="463">
        <v>144.21336206896501</v>
      </c>
      <c r="AO76" s="463">
        <v>144.21336206896501</v>
      </c>
      <c r="AP76" s="463">
        <v>144.21336206896501</v>
      </c>
      <c r="AQ76" s="463">
        <v>144.21336206896501</v>
      </c>
      <c r="AR76" s="463">
        <v>144.21336206896501</v>
      </c>
      <c r="AS76" s="463">
        <v>144.21336206896501</v>
      </c>
      <c r="AT76" s="463">
        <v>144.21336206896501</v>
      </c>
      <c r="AU76" s="463">
        <v>144.21336206896501</v>
      </c>
      <c r="AV76" s="463">
        <v>144.21336206896501</v>
      </c>
      <c r="AW76" s="463">
        <v>144.21336206896501</v>
      </c>
      <c r="AX76" s="463">
        <v>144.21336206896501</v>
      </c>
      <c r="AY76" s="464">
        <v>144.21336206896501</v>
      </c>
    </row>
    <row r="77" spans="1:51">
      <c r="A77" s="442" t="s">
        <v>2912</v>
      </c>
      <c r="B77" s="462">
        <v>10.24</v>
      </c>
      <c r="C77" s="463">
        <v>10.01</v>
      </c>
      <c r="D77" s="463">
        <v>9.7899999999999991</v>
      </c>
      <c r="E77" s="463">
        <v>9.7899999999999991</v>
      </c>
      <c r="F77" s="463">
        <v>9.7899999999999991</v>
      </c>
      <c r="G77" s="463">
        <v>9.7899999999999991</v>
      </c>
      <c r="H77" s="463">
        <v>9.8699999999999992</v>
      </c>
      <c r="I77" s="463">
        <v>9.94</v>
      </c>
      <c r="J77" s="463">
        <v>10.02</v>
      </c>
      <c r="K77" s="463">
        <v>10.02</v>
      </c>
      <c r="L77" s="463">
        <v>10.02</v>
      </c>
      <c r="M77" s="463">
        <v>10.02</v>
      </c>
      <c r="N77" s="463">
        <v>10.02</v>
      </c>
      <c r="O77" s="463">
        <v>10.02</v>
      </c>
      <c r="P77" s="463">
        <v>10.02</v>
      </c>
      <c r="Q77" s="463">
        <v>10.02</v>
      </c>
      <c r="R77" s="463">
        <v>10.02</v>
      </c>
      <c r="S77" s="463">
        <v>10.02</v>
      </c>
      <c r="T77" s="463">
        <v>10.02</v>
      </c>
      <c r="U77" s="463">
        <v>10.02</v>
      </c>
      <c r="V77" s="463">
        <v>10.02</v>
      </c>
      <c r="W77" s="463">
        <v>10.02</v>
      </c>
      <c r="X77" s="463">
        <v>10.02</v>
      </c>
      <c r="Y77" s="463">
        <v>10.02</v>
      </c>
      <c r="Z77" s="463">
        <v>10.02</v>
      </c>
      <c r="AA77" s="463">
        <v>10.02</v>
      </c>
      <c r="AB77" s="463">
        <v>10.02</v>
      </c>
      <c r="AC77" s="463">
        <v>10.02</v>
      </c>
      <c r="AD77" s="463">
        <v>10.02</v>
      </c>
      <c r="AE77" s="463">
        <v>10.02</v>
      </c>
      <c r="AF77" s="463">
        <v>10.02</v>
      </c>
      <c r="AG77" s="463">
        <v>10.02</v>
      </c>
      <c r="AH77" s="463">
        <v>10.02</v>
      </c>
      <c r="AI77" s="463">
        <v>10.02</v>
      </c>
      <c r="AJ77" s="463">
        <v>10.02</v>
      </c>
      <c r="AK77" s="463">
        <v>10.02</v>
      </c>
      <c r="AL77" s="463">
        <v>10.02</v>
      </c>
      <c r="AM77" s="463">
        <v>10.02</v>
      </c>
      <c r="AN77" s="463">
        <v>10.02</v>
      </c>
      <c r="AO77" s="463">
        <v>10.02</v>
      </c>
      <c r="AP77" s="463">
        <v>10.02</v>
      </c>
      <c r="AQ77" s="463">
        <v>10.02</v>
      </c>
      <c r="AR77" s="463">
        <v>10.02</v>
      </c>
      <c r="AS77" s="463">
        <v>10.02</v>
      </c>
      <c r="AT77" s="463">
        <v>10.02</v>
      </c>
      <c r="AU77" s="463">
        <v>10.02</v>
      </c>
      <c r="AV77" s="463">
        <v>10.02</v>
      </c>
      <c r="AW77" s="463">
        <v>10.02</v>
      </c>
      <c r="AX77" s="463">
        <v>10.02</v>
      </c>
      <c r="AY77" s="464">
        <v>10.02</v>
      </c>
    </row>
    <row r="78" spans="1:51">
      <c r="A78" s="442" t="s">
        <v>2913</v>
      </c>
      <c r="B78" s="462">
        <v>9.4525000000000006</v>
      </c>
      <c r="C78" s="463">
        <v>9.2341666666666669</v>
      </c>
      <c r="D78" s="463">
        <v>9.02</v>
      </c>
      <c r="E78" s="463">
        <v>9.02</v>
      </c>
      <c r="F78" s="463">
        <v>9.02</v>
      </c>
      <c r="G78" s="463">
        <v>9.02</v>
      </c>
      <c r="H78" s="463">
        <v>9.0941666666666663</v>
      </c>
      <c r="I78" s="463">
        <v>9.2441666666666666</v>
      </c>
      <c r="J78" s="463">
        <v>9.2441666666666666</v>
      </c>
      <c r="K78" s="463">
        <v>9.2441666666666666</v>
      </c>
      <c r="L78" s="463">
        <v>9.2441666666666666</v>
      </c>
      <c r="M78" s="463">
        <v>9.2441666666666666</v>
      </c>
      <c r="N78" s="463">
        <v>9.2441666666666666</v>
      </c>
      <c r="O78" s="463">
        <v>9.2441666666666666</v>
      </c>
      <c r="P78" s="463">
        <v>9.2441666666666666</v>
      </c>
      <c r="Q78" s="463">
        <v>9.2441666666666666</v>
      </c>
      <c r="R78" s="463">
        <v>9.2441666666666666</v>
      </c>
      <c r="S78" s="463">
        <v>9.2441666666666666</v>
      </c>
      <c r="T78" s="463">
        <v>9.2441666666666666</v>
      </c>
      <c r="U78" s="463">
        <v>9.2441666666666666</v>
      </c>
      <c r="V78" s="463">
        <v>9.2441666666666666</v>
      </c>
      <c r="W78" s="463">
        <v>9.2441666666666666</v>
      </c>
      <c r="X78" s="463">
        <v>9.2441666666666666</v>
      </c>
      <c r="Y78" s="463">
        <v>9.2441666666666666</v>
      </c>
      <c r="Z78" s="463">
        <v>9.2441666666666666</v>
      </c>
      <c r="AA78" s="463">
        <v>9.2441666666666666</v>
      </c>
      <c r="AB78" s="463">
        <v>9.2441666666666666</v>
      </c>
      <c r="AC78" s="463">
        <v>9.2441666666666666</v>
      </c>
      <c r="AD78" s="463">
        <v>9.2441666666666666</v>
      </c>
      <c r="AE78" s="463">
        <v>9.2441666666666666</v>
      </c>
      <c r="AF78" s="463">
        <v>9.2441666666666666</v>
      </c>
      <c r="AG78" s="463">
        <v>9.2441666666666666</v>
      </c>
      <c r="AH78" s="463">
        <v>9.2441666666666666</v>
      </c>
      <c r="AI78" s="463">
        <v>9.2441666666666666</v>
      </c>
      <c r="AJ78" s="463">
        <v>9.2441666666666666</v>
      </c>
      <c r="AK78" s="463">
        <v>9.2441666666666666</v>
      </c>
      <c r="AL78" s="463">
        <v>9.2441666666666666</v>
      </c>
      <c r="AM78" s="463">
        <v>9.2441666666666666</v>
      </c>
      <c r="AN78" s="463">
        <v>9.2441666666666666</v>
      </c>
      <c r="AO78" s="463">
        <v>9.2441666666666666</v>
      </c>
      <c r="AP78" s="463">
        <v>9.2441666666666666</v>
      </c>
      <c r="AQ78" s="463">
        <v>9.2441666666666666</v>
      </c>
      <c r="AR78" s="463">
        <v>9.2441666666666666</v>
      </c>
      <c r="AS78" s="463">
        <v>9.2441666666666666</v>
      </c>
      <c r="AT78" s="463">
        <v>9.2441666666666666</v>
      </c>
      <c r="AU78" s="463">
        <v>9.2441666666666666</v>
      </c>
      <c r="AV78" s="463">
        <v>9.2441666666666666</v>
      </c>
      <c r="AW78" s="463">
        <v>9.2441666666666666</v>
      </c>
      <c r="AX78" s="463">
        <v>9.2441666666666702</v>
      </c>
      <c r="AY78" s="464">
        <v>9.2441666666666702</v>
      </c>
    </row>
    <row r="79" spans="1:51">
      <c r="A79" s="442" t="s">
        <v>2900</v>
      </c>
      <c r="B79" s="462">
        <v>7.2607266726146298</v>
      </c>
      <c r="C79" s="463">
        <v>7.9112857970161548</v>
      </c>
      <c r="D79" s="463">
        <v>8.1995068031839171</v>
      </c>
      <c r="E79" s="463">
        <v>8.4073776927334265</v>
      </c>
      <c r="F79" s="463">
        <v>8.5736326363918245</v>
      </c>
      <c r="G79" s="463">
        <v>8.7208261649062617</v>
      </c>
      <c r="H79" s="463">
        <v>8.8285181377174773</v>
      </c>
      <c r="I79" s="463">
        <v>8.8829506598476691</v>
      </c>
      <c r="J79" s="463">
        <v>9.0100552678251411</v>
      </c>
      <c r="K79" s="463">
        <v>9.0500408716374903</v>
      </c>
      <c r="L79" s="463">
        <v>9.1558646250250764</v>
      </c>
      <c r="M79" s="463">
        <v>9.244954159045637</v>
      </c>
      <c r="N79" s="463">
        <v>9.2425044625563437</v>
      </c>
      <c r="O79" s="463">
        <v>9.3135366023628183</v>
      </c>
      <c r="P79" s="463">
        <v>9.3834258849192018</v>
      </c>
      <c r="Q79" s="463">
        <v>9.4457625151136106</v>
      </c>
      <c r="R79" s="463">
        <v>9.4294343454096037</v>
      </c>
      <c r="S79" s="463">
        <v>9.4065940080935402</v>
      </c>
      <c r="T79" s="463">
        <v>9.3718934835830296</v>
      </c>
      <c r="U79" s="463">
        <v>9.3718934835830296</v>
      </c>
      <c r="V79" s="463">
        <v>9.3718934835830296</v>
      </c>
      <c r="W79" s="463">
        <v>9.3718934835830296</v>
      </c>
      <c r="X79" s="463">
        <v>9.3718934835830296</v>
      </c>
      <c r="Y79" s="463">
        <v>9.3718934835830296</v>
      </c>
      <c r="Z79" s="463">
        <v>9.3718934835830296</v>
      </c>
      <c r="AA79" s="463">
        <v>9.3718934835830296</v>
      </c>
      <c r="AB79" s="463">
        <v>9.3718934835830296</v>
      </c>
      <c r="AC79" s="463">
        <v>9.3718934835830296</v>
      </c>
      <c r="AD79" s="463">
        <v>9.3718934835830296</v>
      </c>
      <c r="AE79" s="463">
        <v>9.3718934835830296</v>
      </c>
      <c r="AF79" s="463">
        <v>9.3718934835830296</v>
      </c>
      <c r="AG79" s="463">
        <v>9.3718934835830296</v>
      </c>
      <c r="AH79" s="463">
        <v>9.3718934835830296</v>
      </c>
      <c r="AI79" s="463">
        <v>9.3718934835830296</v>
      </c>
      <c r="AJ79" s="463">
        <v>9.3718934835830296</v>
      </c>
      <c r="AK79" s="463">
        <v>9.3718934835830296</v>
      </c>
      <c r="AL79" s="463">
        <v>9.3718934835830296</v>
      </c>
      <c r="AM79" s="463">
        <v>9.3718934835830296</v>
      </c>
      <c r="AN79" s="463">
        <v>9.3718934835830296</v>
      </c>
      <c r="AO79" s="463">
        <v>9.3718934835830296</v>
      </c>
      <c r="AP79" s="463">
        <v>9.3718934835830296</v>
      </c>
      <c r="AQ79" s="463">
        <v>9.3718934835830296</v>
      </c>
      <c r="AR79" s="463">
        <v>9.3718934835830296</v>
      </c>
      <c r="AS79" s="463">
        <v>9.3718934835830296</v>
      </c>
      <c r="AT79" s="463">
        <v>9.3718934835830296</v>
      </c>
      <c r="AU79" s="463">
        <v>9.3718934835830296</v>
      </c>
      <c r="AV79" s="463">
        <v>9.3718934835830296</v>
      </c>
      <c r="AW79" s="463">
        <v>9.3718934835830296</v>
      </c>
      <c r="AX79" s="463">
        <v>9.3718934835830296</v>
      </c>
      <c r="AY79" s="464">
        <v>9.3718934835830296</v>
      </c>
    </row>
    <row r="80" spans="1:51">
      <c r="A80" s="442" t="s">
        <v>2901</v>
      </c>
      <c r="B80" s="443">
        <v>6.28E-3</v>
      </c>
      <c r="C80" s="444">
        <v>6.1999999999999998E-3</v>
      </c>
      <c r="D80" s="444">
        <v>6.1200000000000004E-3</v>
      </c>
      <c r="E80" s="444">
        <v>6.0000000000000001E-3</v>
      </c>
      <c r="F80" s="444">
        <v>5.8799999999999998E-3</v>
      </c>
      <c r="G80" s="444">
        <v>5.77E-3</v>
      </c>
      <c r="H80" s="444">
        <v>5.77E-3</v>
      </c>
      <c r="I80" s="444">
        <v>5.7599999999999995E-3</v>
      </c>
      <c r="J80" s="444">
        <v>5.7599999999999995E-3</v>
      </c>
      <c r="K80" s="444">
        <v>5.7499999999999999E-3</v>
      </c>
      <c r="L80" s="444">
        <v>5.7499999999999999E-3</v>
      </c>
      <c r="M80" s="444">
        <v>5.7499999999999999E-3</v>
      </c>
      <c r="N80" s="444">
        <v>5.7400000000000003E-3</v>
      </c>
      <c r="O80" s="444">
        <v>5.7400000000000003E-3</v>
      </c>
      <c r="P80" s="444">
        <v>5.7300000000000007E-3</v>
      </c>
      <c r="Q80" s="444">
        <v>5.7300000000000007E-3</v>
      </c>
      <c r="R80" s="444">
        <v>5.7300000000000007E-3</v>
      </c>
      <c r="S80" s="444">
        <v>5.7300000000000007E-3</v>
      </c>
      <c r="T80" s="444">
        <v>5.7300000000000007E-3</v>
      </c>
      <c r="U80" s="444">
        <v>5.7300000000000007E-3</v>
      </c>
      <c r="V80" s="444">
        <v>5.7300000000000007E-3</v>
      </c>
      <c r="W80" s="444">
        <v>5.7300000000000007E-3</v>
      </c>
      <c r="X80" s="444">
        <v>5.7300000000000007E-3</v>
      </c>
      <c r="Y80" s="444">
        <v>5.7300000000000007E-3</v>
      </c>
      <c r="Z80" s="444">
        <v>5.7300000000000007E-3</v>
      </c>
      <c r="AA80" s="444">
        <v>5.7300000000000007E-3</v>
      </c>
      <c r="AB80" s="444">
        <v>5.7300000000000007E-3</v>
      </c>
      <c r="AC80" s="444">
        <v>5.7300000000000007E-3</v>
      </c>
      <c r="AD80" s="444">
        <v>5.7300000000000007E-3</v>
      </c>
      <c r="AE80" s="444">
        <v>5.7300000000000007E-3</v>
      </c>
      <c r="AF80" s="444">
        <v>5.7300000000000007E-3</v>
      </c>
      <c r="AG80" s="444">
        <v>5.7300000000000007E-3</v>
      </c>
      <c r="AH80" s="444">
        <v>5.7300000000000007E-3</v>
      </c>
      <c r="AI80" s="444">
        <v>5.7300000000000007E-3</v>
      </c>
      <c r="AJ80" s="444">
        <v>5.7300000000000007E-3</v>
      </c>
      <c r="AK80" s="444">
        <v>5.7300000000000007E-3</v>
      </c>
      <c r="AL80" s="444">
        <v>5.7300000000000007E-3</v>
      </c>
      <c r="AM80" s="444">
        <v>5.7300000000000007E-3</v>
      </c>
      <c r="AN80" s="444">
        <v>5.7300000000000007E-3</v>
      </c>
      <c r="AO80" s="444">
        <v>5.7300000000000007E-3</v>
      </c>
      <c r="AP80" s="444">
        <v>5.7300000000000007E-3</v>
      </c>
      <c r="AQ80" s="444">
        <v>5.7300000000000007E-3</v>
      </c>
      <c r="AR80" s="444">
        <v>5.7300000000000007E-3</v>
      </c>
      <c r="AS80" s="444">
        <v>5.7300000000000007E-3</v>
      </c>
      <c r="AT80" s="444">
        <v>5.7300000000000007E-3</v>
      </c>
      <c r="AU80" s="444">
        <v>5.7300000000000007E-3</v>
      </c>
      <c r="AV80" s="444">
        <v>5.7300000000000007E-3</v>
      </c>
      <c r="AW80" s="444">
        <v>5.7300000000000007E-3</v>
      </c>
      <c r="AX80" s="444">
        <v>5.7300000000000007E-3</v>
      </c>
      <c r="AY80" s="445">
        <v>5.7300000000000007E-3</v>
      </c>
    </row>
    <row r="81" spans="1:51">
      <c r="A81" s="442" t="s">
        <v>2902</v>
      </c>
      <c r="B81" s="446">
        <f>(58.5/1000)*15</f>
        <v>0.87750000000000006</v>
      </c>
      <c r="C81" s="447">
        <f t="shared" ref="C81:AD82" si="38">(58.5/1000)*15</f>
        <v>0.87750000000000006</v>
      </c>
      <c r="D81" s="447">
        <f t="shared" si="38"/>
        <v>0.87750000000000006</v>
      </c>
      <c r="E81" s="447">
        <f t="shared" si="38"/>
        <v>0.87750000000000006</v>
      </c>
      <c r="F81" s="447">
        <f t="shared" si="38"/>
        <v>0.87750000000000006</v>
      </c>
      <c r="G81" s="447">
        <f t="shared" si="38"/>
        <v>0.87750000000000006</v>
      </c>
      <c r="H81" s="447">
        <f t="shared" si="38"/>
        <v>0.87750000000000006</v>
      </c>
      <c r="I81" s="447">
        <f t="shared" si="38"/>
        <v>0.87750000000000006</v>
      </c>
      <c r="J81" s="447">
        <f t="shared" si="38"/>
        <v>0.87750000000000006</v>
      </c>
      <c r="K81" s="447">
        <f t="shared" si="38"/>
        <v>0.87750000000000006</v>
      </c>
      <c r="L81" s="447">
        <f t="shared" si="38"/>
        <v>0.87750000000000006</v>
      </c>
      <c r="M81" s="447">
        <f t="shared" si="38"/>
        <v>0.87750000000000006</v>
      </c>
      <c r="N81" s="447">
        <f t="shared" si="38"/>
        <v>0.87750000000000006</v>
      </c>
      <c r="O81" s="447">
        <f t="shared" si="38"/>
        <v>0.87750000000000006</v>
      </c>
      <c r="P81" s="447">
        <f t="shared" si="38"/>
        <v>0.87750000000000006</v>
      </c>
      <c r="Q81" s="447">
        <f t="shared" si="38"/>
        <v>0.87750000000000006</v>
      </c>
      <c r="R81" s="447">
        <f t="shared" si="38"/>
        <v>0.87750000000000006</v>
      </c>
      <c r="S81" s="447">
        <f t="shared" si="38"/>
        <v>0.87750000000000006</v>
      </c>
      <c r="T81" s="447">
        <f t="shared" si="38"/>
        <v>0.87750000000000006</v>
      </c>
      <c r="U81" s="447">
        <f t="shared" si="38"/>
        <v>0.87750000000000006</v>
      </c>
      <c r="V81" s="447">
        <f t="shared" si="38"/>
        <v>0.87750000000000006</v>
      </c>
      <c r="W81" s="447">
        <f t="shared" si="38"/>
        <v>0.87750000000000006</v>
      </c>
      <c r="X81" s="447">
        <f t="shared" si="38"/>
        <v>0.87750000000000006</v>
      </c>
      <c r="Y81" s="447">
        <f t="shared" si="38"/>
        <v>0.87750000000000006</v>
      </c>
      <c r="Z81" s="447">
        <f t="shared" si="38"/>
        <v>0.87750000000000006</v>
      </c>
      <c r="AA81" s="447">
        <f t="shared" si="38"/>
        <v>0.87750000000000006</v>
      </c>
      <c r="AB81" s="447">
        <f t="shared" si="38"/>
        <v>0.87750000000000006</v>
      </c>
      <c r="AC81" s="447">
        <f t="shared" si="38"/>
        <v>0.87750000000000006</v>
      </c>
      <c r="AD81" s="447">
        <f t="shared" si="38"/>
        <v>0.87750000000000006</v>
      </c>
      <c r="AE81" s="447">
        <f>(58.5/1000)*15</f>
        <v>0.87750000000000006</v>
      </c>
      <c r="AF81" s="447">
        <f t="shared" ref="AF81:AY82" si="39">(58.5/1000)*15</f>
        <v>0.87750000000000006</v>
      </c>
      <c r="AG81" s="447">
        <f t="shared" si="39"/>
        <v>0.87750000000000006</v>
      </c>
      <c r="AH81" s="447">
        <f t="shared" si="39"/>
        <v>0.87750000000000006</v>
      </c>
      <c r="AI81" s="447">
        <f t="shared" si="39"/>
        <v>0.87750000000000006</v>
      </c>
      <c r="AJ81" s="447">
        <f t="shared" si="39"/>
        <v>0.87750000000000006</v>
      </c>
      <c r="AK81" s="447">
        <f t="shared" si="39"/>
        <v>0.87750000000000006</v>
      </c>
      <c r="AL81" s="447">
        <f t="shared" si="39"/>
        <v>0.87750000000000006</v>
      </c>
      <c r="AM81" s="447">
        <f t="shared" si="39"/>
        <v>0.87750000000000006</v>
      </c>
      <c r="AN81" s="447">
        <f t="shared" si="39"/>
        <v>0.87750000000000006</v>
      </c>
      <c r="AO81" s="447">
        <f t="shared" si="39"/>
        <v>0.87750000000000006</v>
      </c>
      <c r="AP81" s="447">
        <f t="shared" si="39"/>
        <v>0.87750000000000006</v>
      </c>
      <c r="AQ81" s="447">
        <f t="shared" si="39"/>
        <v>0.87750000000000006</v>
      </c>
      <c r="AR81" s="447">
        <f t="shared" si="39"/>
        <v>0.87750000000000006</v>
      </c>
      <c r="AS81" s="447">
        <f t="shared" si="39"/>
        <v>0.87750000000000006</v>
      </c>
      <c r="AT81" s="447">
        <f t="shared" si="39"/>
        <v>0.87750000000000006</v>
      </c>
      <c r="AU81" s="447">
        <f t="shared" si="39"/>
        <v>0.87750000000000006</v>
      </c>
      <c r="AV81" s="447">
        <f t="shared" si="39"/>
        <v>0.87750000000000006</v>
      </c>
      <c r="AW81" s="447">
        <f t="shared" si="39"/>
        <v>0.87750000000000006</v>
      </c>
      <c r="AX81" s="447">
        <f t="shared" si="39"/>
        <v>0.87750000000000006</v>
      </c>
      <c r="AY81" s="448">
        <f t="shared" si="39"/>
        <v>0.87750000000000006</v>
      </c>
    </row>
    <row r="82" spans="1:51" ht="12.75" thickBot="1">
      <c r="A82" s="449" t="s">
        <v>2903</v>
      </c>
      <c r="B82" s="450">
        <f>(58.5/1000)*15</f>
        <v>0.87750000000000006</v>
      </c>
      <c r="C82" s="451">
        <f t="shared" si="38"/>
        <v>0.87750000000000006</v>
      </c>
      <c r="D82" s="451">
        <f t="shared" si="38"/>
        <v>0.87750000000000006</v>
      </c>
      <c r="E82" s="451">
        <f t="shared" si="38"/>
        <v>0.87750000000000006</v>
      </c>
      <c r="F82" s="451">
        <f t="shared" si="38"/>
        <v>0.87750000000000006</v>
      </c>
      <c r="G82" s="451">
        <f t="shared" si="38"/>
        <v>0.87750000000000006</v>
      </c>
      <c r="H82" s="451">
        <f t="shared" si="38"/>
        <v>0.87750000000000006</v>
      </c>
      <c r="I82" s="451">
        <f t="shared" si="38"/>
        <v>0.87750000000000006</v>
      </c>
      <c r="J82" s="451">
        <f t="shared" si="38"/>
        <v>0.87750000000000006</v>
      </c>
      <c r="K82" s="451">
        <f t="shared" si="38"/>
        <v>0.87750000000000006</v>
      </c>
      <c r="L82" s="451">
        <f t="shared" si="38"/>
        <v>0.87750000000000006</v>
      </c>
      <c r="M82" s="451">
        <f t="shared" si="38"/>
        <v>0.87750000000000006</v>
      </c>
      <c r="N82" s="451">
        <f t="shared" si="38"/>
        <v>0.87750000000000006</v>
      </c>
      <c r="O82" s="451">
        <f t="shared" si="38"/>
        <v>0.87750000000000006</v>
      </c>
      <c r="P82" s="451">
        <f t="shared" si="38"/>
        <v>0.87750000000000006</v>
      </c>
      <c r="Q82" s="451">
        <f t="shared" si="38"/>
        <v>0.87750000000000006</v>
      </c>
      <c r="R82" s="451">
        <f t="shared" si="38"/>
        <v>0.87750000000000006</v>
      </c>
      <c r="S82" s="451">
        <f t="shared" si="38"/>
        <v>0.87750000000000006</v>
      </c>
      <c r="T82" s="451">
        <f t="shared" si="38"/>
        <v>0.87750000000000006</v>
      </c>
      <c r="U82" s="451">
        <f t="shared" si="38"/>
        <v>0.87750000000000006</v>
      </c>
      <c r="V82" s="451">
        <f t="shared" si="38"/>
        <v>0.87750000000000006</v>
      </c>
      <c r="W82" s="451">
        <f t="shared" si="38"/>
        <v>0.87750000000000006</v>
      </c>
      <c r="X82" s="451">
        <f t="shared" si="38"/>
        <v>0.87750000000000006</v>
      </c>
      <c r="Y82" s="451">
        <f t="shared" si="38"/>
        <v>0.87750000000000006</v>
      </c>
      <c r="Z82" s="451">
        <f t="shared" si="38"/>
        <v>0.87750000000000006</v>
      </c>
      <c r="AA82" s="451">
        <f t="shared" si="38"/>
        <v>0.87750000000000006</v>
      </c>
      <c r="AB82" s="451">
        <f t="shared" si="38"/>
        <v>0.87750000000000006</v>
      </c>
      <c r="AC82" s="451">
        <f t="shared" si="38"/>
        <v>0.87750000000000006</v>
      </c>
      <c r="AD82" s="451">
        <f t="shared" si="38"/>
        <v>0.87750000000000006</v>
      </c>
      <c r="AE82" s="451">
        <f>(58.5/1000)*15</f>
        <v>0.87750000000000006</v>
      </c>
      <c r="AF82" s="451">
        <f t="shared" si="39"/>
        <v>0.87750000000000006</v>
      </c>
      <c r="AG82" s="451">
        <f t="shared" si="39"/>
        <v>0.87750000000000006</v>
      </c>
      <c r="AH82" s="451">
        <f t="shared" si="39"/>
        <v>0.87750000000000006</v>
      </c>
      <c r="AI82" s="451">
        <f t="shared" si="39"/>
        <v>0.87750000000000006</v>
      </c>
      <c r="AJ82" s="451">
        <f t="shared" si="39"/>
        <v>0.87750000000000006</v>
      </c>
      <c r="AK82" s="451">
        <f t="shared" si="39"/>
        <v>0.87750000000000006</v>
      </c>
      <c r="AL82" s="451">
        <f t="shared" si="39"/>
        <v>0.87750000000000006</v>
      </c>
      <c r="AM82" s="451">
        <f t="shared" si="39"/>
        <v>0.87750000000000006</v>
      </c>
      <c r="AN82" s="451">
        <f t="shared" si="39"/>
        <v>0.87750000000000006</v>
      </c>
      <c r="AO82" s="451">
        <f t="shared" si="39"/>
        <v>0.87750000000000006</v>
      </c>
      <c r="AP82" s="451">
        <f t="shared" si="39"/>
        <v>0.87750000000000006</v>
      </c>
      <c r="AQ82" s="451">
        <f t="shared" si="39"/>
        <v>0.87750000000000006</v>
      </c>
      <c r="AR82" s="451">
        <f t="shared" si="39"/>
        <v>0.87750000000000006</v>
      </c>
      <c r="AS82" s="451">
        <f t="shared" si="39"/>
        <v>0.87750000000000006</v>
      </c>
      <c r="AT82" s="451">
        <f t="shared" si="39"/>
        <v>0.87750000000000006</v>
      </c>
      <c r="AU82" s="451">
        <f t="shared" si="39"/>
        <v>0.87750000000000006</v>
      </c>
      <c r="AV82" s="451">
        <f t="shared" si="39"/>
        <v>0.87750000000000006</v>
      </c>
      <c r="AW82" s="451">
        <f t="shared" si="39"/>
        <v>0.87750000000000006</v>
      </c>
      <c r="AX82" s="451">
        <f t="shared" si="39"/>
        <v>0.87750000000000006</v>
      </c>
      <c r="AY82" s="452">
        <f t="shared" si="39"/>
        <v>0.87750000000000006</v>
      </c>
    </row>
    <row r="83" spans="1:51">
      <c r="B83" s="429"/>
      <c r="C83" s="429"/>
      <c r="D83" s="429"/>
      <c r="E83" s="429"/>
      <c r="F83" s="429"/>
      <c r="G83" s="429"/>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row>
    <row r="84" spans="1:51" ht="15.75" thickBot="1">
      <c r="A84" s="433" t="s">
        <v>2904</v>
      </c>
      <c r="B84" s="429"/>
      <c r="C84" s="429"/>
      <c r="D84" s="429"/>
      <c r="E84" s="429"/>
      <c r="F84" s="429"/>
      <c r="G84" s="429"/>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row>
    <row r="85" spans="1:51" ht="12.75" thickBot="1">
      <c r="A85" s="434" t="s">
        <v>2899</v>
      </c>
      <c r="B85" s="435">
        <v>1</v>
      </c>
      <c r="C85" s="436">
        <v>2</v>
      </c>
      <c r="D85" s="436">
        <v>3</v>
      </c>
      <c r="E85" s="436">
        <v>4</v>
      </c>
      <c r="F85" s="436">
        <v>5</v>
      </c>
      <c r="G85" s="436">
        <v>6</v>
      </c>
      <c r="H85" s="436">
        <v>7</v>
      </c>
      <c r="I85" s="436">
        <v>8</v>
      </c>
      <c r="J85" s="436">
        <v>9</v>
      </c>
      <c r="K85" s="436">
        <v>10</v>
      </c>
      <c r="L85" s="436">
        <v>11</v>
      </c>
      <c r="M85" s="436">
        <v>12</v>
      </c>
      <c r="N85" s="436">
        <v>13</v>
      </c>
      <c r="O85" s="436">
        <v>14</v>
      </c>
      <c r="P85" s="436">
        <v>15</v>
      </c>
      <c r="Q85" s="436">
        <v>16</v>
      </c>
      <c r="R85" s="436">
        <v>17</v>
      </c>
      <c r="S85" s="436">
        <v>18</v>
      </c>
      <c r="T85" s="436">
        <v>19</v>
      </c>
      <c r="U85" s="436">
        <v>20</v>
      </c>
      <c r="V85" s="436">
        <v>21</v>
      </c>
      <c r="W85" s="436">
        <v>22</v>
      </c>
      <c r="X85" s="436">
        <v>23</v>
      </c>
      <c r="Y85" s="436">
        <v>24</v>
      </c>
      <c r="Z85" s="436">
        <v>25</v>
      </c>
      <c r="AA85" s="436">
        <v>26</v>
      </c>
      <c r="AB85" s="436">
        <v>27</v>
      </c>
      <c r="AC85" s="436">
        <v>28</v>
      </c>
      <c r="AD85" s="436">
        <v>29</v>
      </c>
      <c r="AE85" s="436">
        <v>30</v>
      </c>
      <c r="AF85" s="436">
        <f t="shared" ref="AF85:AY85" si="40">AE85+1</f>
        <v>31</v>
      </c>
      <c r="AG85" s="436">
        <f t="shared" si="40"/>
        <v>32</v>
      </c>
      <c r="AH85" s="436">
        <f t="shared" si="40"/>
        <v>33</v>
      </c>
      <c r="AI85" s="436">
        <f t="shared" si="40"/>
        <v>34</v>
      </c>
      <c r="AJ85" s="436">
        <f t="shared" si="40"/>
        <v>35</v>
      </c>
      <c r="AK85" s="436">
        <f t="shared" si="40"/>
        <v>36</v>
      </c>
      <c r="AL85" s="436">
        <f t="shared" si="40"/>
        <v>37</v>
      </c>
      <c r="AM85" s="436">
        <f t="shared" si="40"/>
        <v>38</v>
      </c>
      <c r="AN85" s="436">
        <f t="shared" si="40"/>
        <v>39</v>
      </c>
      <c r="AO85" s="436">
        <f t="shared" si="40"/>
        <v>40</v>
      </c>
      <c r="AP85" s="436">
        <f t="shared" si="40"/>
        <v>41</v>
      </c>
      <c r="AQ85" s="436">
        <f t="shared" si="40"/>
        <v>42</v>
      </c>
      <c r="AR85" s="436">
        <f t="shared" si="40"/>
        <v>43</v>
      </c>
      <c r="AS85" s="436">
        <f t="shared" si="40"/>
        <v>44</v>
      </c>
      <c r="AT85" s="436">
        <f t="shared" si="40"/>
        <v>45</v>
      </c>
      <c r="AU85" s="436">
        <f t="shared" si="40"/>
        <v>46</v>
      </c>
      <c r="AV85" s="436">
        <f t="shared" si="40"/>
        <v>47</v>
      </c>
      <c r="AW85" s="436">
        <f t="shared" si="40"/>
        <v>48</v>
      </c>
      <c r="AX85" s="436">
        <f t="shared" si="40"/>
        <v>49</v>
      </c>
      <c r="AY85" s="437">
        <f t="shared" si="40"/>
        <v>50</v>
      </c>
    </row>
    <row r="86" spans="1:51">
      <c r="A86" s="438" t="s">
        <v>2922</v>
      </c>
      <c r="B86" s="439">
        <f t="shared" ref="B86:B93" si="41">B75/(1+$C$3)^(B$16-0.5)</f>
        <v>6.6506021841986604E-2</v>
      </c>
      <c r="C86" s="440">
        <f t="shared" ref="C86:AY91" si="42">(C75/(1+$C$3)^(C$16-0.5)+B86)</f>
        <v>0.12827490399744898</v>
      </c>
      <c r="D86" s="440">
        <f t="shared" si="42"/>
        <v>0.18564973740670915</v>
      </c>
      <c r="E86" s="440">
        <f t="shared" si="42"/>
        <v>0.23990370587347698</v>
      </c>
      <c r="F86" s="440">
        <f t="shared" si="42"/>
        <v>0.29120627325122672</v>
      </c>
      <c r="G86" s="440">
        <f t="shared" si="42"/>
        <v>0.33972434249937733</v>
      </c>
      <c r="H86" s="440">
        <f t="shared" si="42"/>
        <v>0.38582353901948346</v>
      </c>
      <c r="I86" s="440">
        <f t="shared" si="42"/>
        <v>0.42962889916558616</v>
      </c>
      <c r="J86" s="440">
        <f t="shared" si="42"/>
        <v>0.47124865834523672</v>
      </c>
      <c r="K86" s="440">
        <f t="shared" si="42"/>
        <v>0.51079812378440359</v>
      </c>
      <c r="L86" s="440">
        <f t="shared" si="42"/>
        <v>0.54837896873154479</v>
      </c>
      <c r="M86" s="440">
        <f t="shared" si="42"/>
        <v>0.584085174103256</v>
      </c>
      <c r="N86" s="440">
        <f t="shared" si="42"/>
        <v>0.61801365427958765</v>
      </c>
      <c r="O86" s="440">
        <f t="shared" si="42"/>
        <v>0.65025363427340055</v>
      </c>
      <c r="P86" s="440">
        <f t="shared" si="42"/>
        <v>0.6808889547833743</v>
      </c>
      <c r="Q86" s="440">
        <f t="shared" si="42"/>
        <v>0.70992717327624033</v>
      </c>
      <c r="R86" s="440">
        <f t="shared" si="42"/>
        <v>0.73745155099459681</v>
      </c>
      <c r="S86" s="440">
        <f t="shared" si="42"/>
        <v>0.76354100854754137</v>
      </c>
      <c r="T86" s="440">
        <f t="shared" si="42"/>
        <v>0.78827035219962149</v>
      </c>
      <c r="U86" s="440">
        <f t="shared" si="42"/>
        <v>0.81171048836273063</v>
      </c>
      <c r="V86" s="440">
        <f t="shared" si="42"/>
        <v>0.83392862690596203</v>
      </c>
      <c r="W86" s="440">
        <f t="shared" si="42"/>
        <v>0.85498847386637089</v>
      </c>
      <c r="X86" s="440">
        <f t="shared" si="42"/>
        <v>0.87495041411320396</v>
      </c>
      <c r="Y86" s="440">
        <f t="shared" si="42"/>
        <v>0.89387168448934906</v>
      </c>
      <c r="Z86" s="440">
        <f t="shared" si="42"/>
        <v>0.91180653792645339</v>
      </c>
      <c r="AA86" s="440">
        <f t="shared" si="42"/>
        <v>0.92880639900427742</v>
      </c>
      <c r="AB86" s="440">
        <f t="shared" si="42"/>
        <v>0.94492001140031912</v>
      </c>
      <c r="AC86" s="440">
        <f t="shared" si="42"/>
        <v>0.96019357765249136</v>
      </c>
      <c r="AD86" s="440">
        <f t="shared" si="42"/>
        <v>0.97467089163559306</v>
      </c>
      <c r="AE86" s="440">
        <f t="shared" si="42"/>
        <v>0.98839346413142404</v>
      </c>
      <c r="AF86" s="440">
        <f t="shared" si="42"/>
        <v>1.0014006418525909</v>
      </c>
      <c r="AG86" s="440">
        <f t="shared" si="42"/>
        <v>1.0137297202612798</v>
      </c>
      <c r="AH86" s="440">
        <f t="shared" si="42"/>
        <v>1.0254160505064827</v>
      </c>
      <c r="AI86" s="440">
        <f t="shared" si="42"/>
        <v>1.0364931407862956</v>
      </c>
      <c r="AJ86" s="440">
        <f t="shared" si="42"/>
        <v>1.0469927524259288</v>
      </c>
      <c r="AK86" s="440">
        <f t="shared" si="42"/>
        <v>1.0569449909469082</v>
      </c>
      <c r="AL86" s="440">
        <f t="shared" si="42"/>
        <v>1.0663783923885948</v>
      </c>
      <c r="AM86" s="440">
        <f t="shared" si="42"/>
        <v>1.07532000512953</v>
      </c>
      <c r="AN86" s="440">
        <f t="shared" si="42"/>
        <v>1.0837954674432126</v>
      </c>
      <c r="AO86" s="440">
        <f t="shared" si="42"/>
        <v>1.0918290810106843</v>
      </c>
      <c r="AP86" s="440">
        <f t="shared" si="42"/>
        <v>1.099443880600705</v>
      </c>
      <c r="AQ86" s="440">
        <f t="shared" si="42"/>
        <v>1.106661700117312</v>
      </c>
      <c r="AR86" s="440">
        <f t="shared" si="42"/>
        <v>1.1135032352041434</v>
      </c>
      <c r="AS86" s="440">
        <f t="shared" si="42"/>
        <v>1.1199881025850262</v>
      </c>
      <c r="AT86" s="440">
        <f t="shared" si="42"/>
        <v>1.1261348963109816</v>
      </c>
      <c r="AU86" s="440">
        <f t="shared" si="42"/>
        <v>1.1319612410749202</v>
      </c>
      <c r="AV86" s="440">
        <f t="shared" si="42"/>
        <v>1.1374838427469001</v>
      </c>
      <c r="AW86" s="440">
        <f t="shared" si="42"/>
        <v>1.1427185362748431</v>
      </c>
      <c r="AX86" s="440">
        <f t="shared" si="42"/>
        <v>1.1476803310880592</v>
      </c>
      <c r="AY86" s="441">
        <f t="shared" si="42"/>
        <v>1.1523834541337616</v>
      </c>
    </row>
    <row r="87" spans="1:51">
      <c r="A87" s="442" t="s">
        <v>2923</v>
      </c>
      <c r="B87" s="446">
        <f t="shared" si="41"/>
        <v>83.142880157899583</v>
      </c>
      <c r="C87" s="447">
        <f t="shared" si="42"/>
        <v>168.53441057976141</v>
      </c>
      <c r="D87" s="447">
        <f t="shared" si="42"/>
        <v>255.33713327310039</v>
      </c>
      <c r="E87" s="447">
        <f t="shared" si="42"/>
        <v>342.85019038251738</v>
      </c>
      <c r="F87" s="447">
        <f t="shared" si="42"/>
        <v>430.46720059461694</v>
      </c>
      <c r="G87" s="447">
        <f t="shared" si="42"/>
        <v>517.67458334521405</v>
      </c>
      <c r="H87" s="447">
        <f t="shared" si="42"/>
        <v>604.04866016790231</v>
      </c>
      <c r="I87" s="447">
        <f t="shared" si="42"/>
        <v>689.22294077369145</v>
      </c>
      <c r="J87" s="447">
        <f t="shared" si="42"/>
        <v>772.90319960289992</v>
      </c>
      <c r="K87" s="447">
        <f t="shared" si="42"/>
        <v>854.84525147923114</v>
      </c>
      <c r="L87" s="447">
        <f t="shared" si="42"/>
        <v>934.84935653622915</v>
      </c>
      <c r="M87" s="447">
        <f t="shared" si="42"/>
        <v>1012.7609731846534</v>
      </c>
      <c r="N87" s="447">
        <f t="shared" si="42"/>
        <v>1086.6108467850554</v>
      </c>
      <c r="O87" s="447">
        <f t="shared" si="42"/>
        <v>1156.61072697501</v>
      </c>
      <c r="P87" s="447">
        <f t="shared" si="42"/>
        <v>1222.96132431146</v>
      </c>
      <c r="Q87" s="447">
        <f t="shared" si="42"/>
        <v>1285.8528857678107</v>
      </c>
      <c r="R87" s="447">
        <f t="shared" si="42"/>
        <v>1345.4657402288062</v>
      </c>
      <c r="S87" s="447">
        <f t="shared" si="42"/>
        <v>1401.9708155472856</v>
      </c>
      <c r="T87" s="447">
        <f t="shared" si="42"/>
        <v>1455.5301286453703</v>
      </c>
      <c r="U87" s="447">
        <f t="shared" si="42"/>
        <v>1506.2972500653557</v>
      </c>
      <c r="V87" s="447">
        <f t="shared" si="42"/>
        <v>1554.4177443023086</v>
      </c>
      <c r="W87" s="447">
        <f t="shared" si="42"/>
        <v>1600.0295871809371</v>
      </c>
      <c r="X87" s="447">
        <f t="shared" si="42"/>
        <v>1643.2635614734759</v>
      </c>
      <c r="Y87" s="447">
        <f t="shared" si="42"/>
        <v>1684.243631892944</v>
      </c>
      <c r="Z87" s="447">
        <f t="shared" si="42"/>
        <v>1723.0873005369897</v>
      </c>
      <c r="AA87" s="447">
        <f t="shared" si="42"/>
        <v>1759.9059438014879</v>
      </c>
      <c r="AB87" s="447">
        <f t="shared" si="42"/>
        <v>1794.8051317299221</v>
      </c>
      <c r="AC87" s="447">
        <f t="shared" si="42"/>
        <v>1827.88493071422</v>
      </c>
      <c r="AD87" s="447">
        <f t="shared" si="42"/>
        <v>1859.2401904149763</v>
      </c>
      <c r="AE87" s="447">
        <f t="shared" si="42"/>
        <v>1888.9608157237501</v>
      </c>
      <c r="AF87" s="447">
        <f t="shared" si="42"/>
        <v>1917.1320245472323</v>
      </c>
      <c r="AG87" s="447">
        <f t="shared" si="42"/>
        <v>1943.8345921524287</v>
      </c>
      <c r="AH87" s="447">
        <f t="shared" si="42"/>
        <v>1969.1450827734679</v>
      </c>
      <c r="AI87" s="447">
        <f t="shared" si="42"/>
        <v>1993.1360691441214</v>
      </c>
      <c r="AJ87" s="447">
        <f t="shared" si="42"/>
        <v>2015.8763405854991</v>
      </c>
      <c r="AK87" s="447">
        <f t="shared" si="42"/>
        <v>2037.4311002455727</v>
      </c>
      <c r="AL87" s="447">
        <f t="shared" si="42"/>
        <v>2057.8621520560691</v>
      </c>
      <c r="AM87" s="447">
        <f t="shared" si="42"/>
        <v>2077.2280779427956</v>
      </c>
      <c r="AN87" s="447">
        <f t="shared" si="42"/>
        <v>2095.5844057975123</v>
      </c>
      <c r="AO87" s="447">
        <f t="shared" si="42"/>
        <v>2112.9837686929786</v>
      </c>
      <c r="AP87" s="447">
        <f t="shared" si="42"/>
        <v>2129.4760557976861</v>
      </c>
      <c r="AQ87" s="447">
        <f t="shared" si="42"/>
        <v>2145.1085554230012</v>
      </c>
      <c r="AR87" s="447">
        <f t="shared" si="42"/>
        <v>2159.9260906128734</v>
      </c>
      <c r="AS87" s="447">
        <f t="shared" si="42"/>
        <v>2173.9711476648849</v>
      </c>
      <c r="AT87" s="447">
        <f t="shared" si="42"/>
        <v>2187.2839979511518</v>
      </c>
      <c r="AU87" s="447">
        <f t="shared" si="42"/>
        <v>2199.9028133883717</v>
      </c>
      <c r="AV87" s="447">
        <f t="shared" si="42"/>
        <v>2211.8637758881059</v>
      </c>
      <c r="AW87" s="447">
        <f t="shared" si="42"/>
        <v>2223.2011811011243</v>
      </c>
      <c r="AX87" s="447">
        <f t="shared" si="42"/>
        <v>2233.9475367532746</v>
      </c>
      <c r="AY87" s="448">
        <f t="shared" si="42"/>
        <v>2244.1336558548387</v>
      </c>
    </row>
    <row r="88" spans="1:51">
      <c r="A88" s="442" t="s">
        <v>2924</v>
      </c>
      <c r="B88" s="446">
        <f t="shared" si="41"/>
        <v>9.9695080143101027</v>
      </c>
      <c r="C88" s="447">
        <f t="shared" si="42"/>
        <v>19.207027936485396</v>
      </c>
      <c r="D88" s="447">
        <f t="shared" si="42"/>
        <v>27.770532681796588</v>
      </c>
      <c r="E88" s="447">
        <f t="shared" si="42"/>
        <v>35.887598791096295</v>
      </c>
      <c r="F88" s="447">
        <f t="shared" si="42"/>
        <v>43.581500316498861</v>
      </c>
      <c r="G88" s="447">
        <f t="shared" si="42"/>
        <v>50.874297970908877</v>
      </c>
      <c r="H88" s="447">
        <f t="shared" si="42"/>
        <v>57.843389446302268</v>
      </c>
      <c r="I88" s="447">
        <f t="shared" si="42"/>
        <v>64.496012816984674</v>
      </c>
      <c r="J88" s="447">
        <f t="shared" si="42"/>
        <v>70.852567898586869</v>
      </c>
      <c r="K88" s="447">
        <f t="shared" si="42"/>
        <v>76.877738592048672</v>
      </c>
      <c r="L88" s="447">
        <f t="shared" si="42"/>
        <v>82.588800860732846</v>
      </c>
      <c r="M88" s="447">
        <f t="shared" si="42"/>
        <v>88.002130025362391</v>
      </c>
      <c r="N88" s="447">
        <f t="shared" si="42"/>
        <v>93.133247716954372</v>
      </c>
      <c r="O88" s="447">
        <f t="shared" si="42"/>
        <v>97.996866381970477</v>
      </c>
      <c r="P88" s="447">
        <f t="shared" si="42"/>
        <v>102.60693146729379</v>
      </c>
      <c r="Q88" s="447">
        <f t="shared" si="42"/>
        <v>106.97666140598888</v>
      </c>
      <c r="R88" s="447">
        <f t="shared" si="42"/>
        <v>111.11858551849608</v>
      </c>
      <c r="S88" s="447">
        <f t="shared" si="42"/>
        <v>115.04457993793417</v>
      </c>
      <c r="T88" s="447">
        <f t="shared" si="42"/>
        <v>118.76590166252005</v>
      </c>
      <c r="U88" s="447">
        <f t="shared" si="42"/>
        <v>122.29322083274363</v>
      </c>
      <c r="V88" s="447">
        <f t="shared" si="42"/>
        <v>125.63665132584654</v>
      </c>
      <c r="W88" s="447">
        <f t="shared" si="42"/>
        <v>128.80577975532799</v>
      </c>
      <c r="X88" s="447">
        <f t="shared" si="42"/>
        <v>131.80969295862792</v>
      </c>
      <c r="Y88" s="447">
        <f t="shared" si="42"/>
        <v>134.65700405180323</v>
      </c>
      <c r="Z88" s="447">
        <f t="shared" si="42"/>
        <v>137.35587712590305</v>
      </c>
      <c r="AA88" s="447">
        <f t="shared" si="42"/>
        <v>139.91405065585548</v>
      </c>
      <c r="AB88" s="447">
        <f t="shared" si="42"/>
        <v>142.33885968898574</v>
      </c>
      <c r="AC88" s="447">
        <f t="shared" si="42"/>
        <v>144.63725687678692</v>
      </c>
      <c r="AD88" s="447">
        <f t="shared" si="42"/>
        <v>146.81583241024776</v>
      </c>
      <c r="AE88" s="447">
        <f t="shared" si="42"/>
        <v>148.88083291589786</v>
      </c>
      <c r="AF88" s="447">
        <f t="shared" si="42"/>
        <v>150.83817936675104</v>
      </c>
      <c r="AG88" s="447">
        <f t="shared" si="42"/>
        <v>152.69348405950285</v>
      </c>
      <c r="AH88" s="447">
        <f t="shared" si="42"/>
        <v>154.45206670666099</v>
      </c>
      <c r="AI88" s="447">
        <f t="shared" si="42"/>
        <v>156.11896968974926</v>
      </c>
      <c r="AJ88" s="447">
        <f t="shared" si="42"/>
        <v>157.6989725173211</v>
      </c>
      <c r="AK88" s="447">
        <f t="shared" si="42"/>
        <v>159.1966055292375</v>
      </c>
      <c r="AL88" s="447">
        <f t="shared" si="42"/>
        <v>160.61616288650424</v>
      </c>
      <c r="AM88" s="447">
        <f t="shared" si="42"/>
        <v>161.96171488391349</v>
      </c>
      <c r="AN88" s="447">
        <f t="shared" si="42"/>
        <v>163.23711962079429</v>
      </c>
      <c r="AO88" s="447">
        <f t="shared" si="42"/>
        <v>164.44603406333533</v>
      </c>
      <c r="AP88" s="447">
        <f t="shared" si="42"/>
        <v>165.59192453019887</v>
      </c>
      <c r="AQ88" s="447">
        <f t="shared" si="42"/>
        <v>166.67807663149134</v>
      </c>
      <c r="AR88" s="447">
        <f t="shared" si="42"/>
        <v>167.70760468958846</v>
      </c>
      <c r="AS88" s="447">
        <f t="shared" si="42"/>
        <v>168.68346066882745</v>
      </c>
      <c r="AT88" s="447">
        <f t="shared" si="42"/>
        <v>169.60844263967007</v>
      </c>
      <c r="AU88" s="447">
        <f t="shared" si="42"/>
        <v>170.48520280160622</v>
      </c>
      <c r="AV88" s="447">
        <f t="shared" si="42"/>
        <v>171.31625508780161</v>
      </c>
      <c r="AW88" s="447">
        <f t="shared" si="42"/>
        <v>172.10398237329488</v>
      </c>
      <c r="AX88" s="447">
        <f t="shared" si="42"/>
        <v>172.85064330741173</v>
      </c>
      <c r="AY88" s="448">
        <f t="shared" si="42"/>
        <v>173.55837878998693</v>
      </c>
    </row>
    <row r="89" spans="1:51">
      <c r="A89" s="442" t="s">
        <v>2925</v>
      </c>
      <c r="B89" s="446">
        <f t="shared" si="41"/>
        <v>9.2028100102799062</v>
      </c>
      <c r="C89" s="447">
        <f t="shared" si="42"/>
        <v>17.724368306785436</v>
      </c>
      <c r="D89" s="447">
        <f t="shared" si="42"/>
        <v>25.614338971004738</v>
      </c>
      <c r="E89" s="447">
        <f t="shared" si="42"/>
        <v>33.092984150359527</v>
      </c>
      <c r="F89" s="447">
        <f t="shared" si="42"/>
        <v>40.181747353539421</v>
      </c>
      <c r="G89" s="447">
        <f t="shared" si="42"/>
        <v>46.900954181198088</v>
      </c>
      <c r="H89" s="447">
        <f t="shared" si="42"/>
        <v>53.322238820759729</v>
      </c>
      <c r="I89" s="447">
        <f t="shared" si="42"/>
        <v>59.509156246227533</v>
      </c>
      <c r="J89" s="447">
        <f t="shared" si="42"/>
        <v>65.373532952832093</v>
      </c>
      <c r="K89" s="447">
        <f t="shared" si="42"/>
        <v>70.932183859566265</v>
      </c>
      <c r="L89" s="447">
        <f t="shared" si="42"/>
        <v>76.201047278271645</v>
      </c>
      <c r="M89" s="447">
        <f t="shared" si="42"/>
        <v>81.195230613537404</v>
      </c>
      <c r="N89" s="447">
        <f t="shared" si="42"/>
        <v>85.929053680140029</v>
      </c>
      <c r="O89" s="447">
        <f t="shared" si="42"/>
        <v>90.416089762227827</v>
      </c>
      <c r="P89" s="447">
        <f t="shared" si="42"/>
        <v>94.66920453197929</v>
      </c>
      <c r="Q89" s="447">
        <f t="shared" si="42"/>
        <v>98.70059293932664</v>
      </c>
      <c r="R89" s="447">
        <f t="shared" si="42"/>
        <v>102.52181417851845</v>
      </c>
      <c r="S89" s="447">
        <f t="shared" si="42"/>
        <v>106.14382483178083</v>
      </c>
      <c r="T89" s="447">
        <f t="shared" si="42"/>
        <v>109.57701028511011</v>
      </c>
      <c r="U89" s="447">
        <f t="shared" si="42"/>
        <v>112.83121450627529</v>
      </c>
      <c r="V89" s="447">
        <f t="shared" si="42"/>
        <v>115.9157682704129</v>
      </c>
      <c r="W89" s="447">
        <f t="shared" si="42"/>
        <v>118.83951591414524</v>
      </c>
      <c r="X89" s="447">
        <f t="shared" si="42"/>
        <v>121.61084069493418</v>
      </c>
      <c r="Y89" s="447">
        <f t="shared" si="42"/>
        <v>124.23768882838341</v>
      </c>
      <c r="Z89" s="447">
        <f t="shared" si="42"/>
        <v>126.72759227241113</v>
      </c>
      <c r="AA89" s="447">
        <f t="shared" si="42"/>
        <v>129.08769032362224</v>
      </c>
      <c r="AB89" s="447">
        <f t="shared" si="42"/>
        <v>131.32475008780338</v>
      </c>
      <c r="AC89" s="447">
        <f t="shared" si="42"/>
        <v>133.44518588323575</v>
      </c>
      <c r="AD89" s="447">
        <f t="shared" si="42"/>
        <v>135.45507763246073</v>
      </c>
      <c r="AE89" s="447">
        <f t="shared" si="42"/>
        <v>137.36018829523323</v>
      </c>
      <c r="AF89" s="447">
        <f t="shared" si="42"/>
        <v>139.16598039264792</v>
      </c>
      <c r="AG89" s="447">
        <f t="shared" si="42"/>
        <v>140.87763166981824</v>
      </c>
      <c r="AH89" s="447">
        <f t="shared" si="42"/>
        <v>142.5000499420176</v>
      </c>
      <c r="AI89" s="447">
        <f t="shared" si="42"/>
        <v>144.03788716685111</v>
      </c>
      <c r="AJ89" s="447">
        <f t="shared" si="42"/>
        <v>145.49555278280704</v>
      </c>
      <c r="AK89" s="447">
        <f t="shared" si="42"/>
        <v>146.87722635243352</v>
      </c>
      <c r="AL89" s="447">
        <f t="shared" si="42"/>
        <v>148.18686954639227</v>
      </c>
      <c r="AM89" s="447">
        <f t="shared" si="42"/>
        <v>149.42823750275127</v>
      </c>
      <c r="AN89" s="447">
        <f t="shared" si="42"/>
        <v>150.60488959408681</v>
      </c>
      <c r="AO89" s="447">
        <f t="shared" si="42"/>
        <v>151.72019963326744</v>
      </c>
      <c r="AP89" s="447">
        <f t="shared" si="42"/>
        <v>152.77736554718271</v>
      </c>
      <c r="AQ89" s="447">
        <f t="shared" si="42"/>
        <v>153.77941854615455</v>
      </c>
      <c r="AR89" s="447">
        <f t="shared" si="42"/>
        <v>154.72923181532215</v>
      </c>
      <c r="AS89" s="447">
        <f t="shared" si="42"/>
        <v>155.62952875292177</v>
      </c>
      <c r="AT89" s="447">
        <f t="shared" si="42"/>
        <v>156.48289077908257</v>
      </c>
      <c r="AU89" s="447">
        <f t="shared" si="42"/>
        <v>157.29176473752881</v>
      </c>
      <c r="AV89" s="447">
        <f t="shared" si="42"/>
        <v>158.05846991141149</v>
      </c>
      <c r="AW89" s="447">
        <f t="shared" si="42"/>
        <v>158.78520467338561</v>
      </c>
      <c r="AX89" s="447">
        <f t="shared" si="42"/>
        <v>159.47405278900089</v>
      </c>
      <c r="AY89" s="448">
        <f t="shared" si="42"/>
        <v>160.12698939147984</v>
      </c>
    </row>
    <row r="90" spans="1:51">
      <c r="A90" s="442" t="s">
        <v>2926</v>
      </c>
      <c r="B90" s="446">
        <f t="shared" si="41"/>
        <v>7.0689328859713552</v>
      </c>
      <c r="C90" s="447">
        <f t="shared" si="42"/>
        <v>14.369698136716529</v>
      </c>
      <c r="D90" s="447">
        <f t="shared" si="42"/>
        <v>21.541967331637562</v>
      </c>
      <c r="E90" s="447">
        <f t="shared" si="42"/>
        <v>28.51267627318699</v>
      </c>
      <c r="F90" s="447">
        <f t="shared" si="42"/>
        <v>35.250642077004798</v>
      </c>
      <c r="G90" s="447">
        <f t="shared" si="42"/>
        <v>41.746987388541662</v>
      </c>
      <c r="H90" s="447">
        <f t="shared" si="42"/>
        <v>47.980700711127561</v>
      </c>
      <c r="I90" s="447">
        <f t="shared" si="42"/>
        <v>53.925864208141782</v>
      </c>
      <c r="J90" s="447">
        <f t="shared" si="42"/>
        <v>59.641723748881354</v>
      </c>
      <c r="K90" s="447">
        <f t="shared" si="42"/>
        <v>65.083644011797688</v>
      </c>
      <c r="L90" s="447">
        <f t="shared" si="42"/>
        <v>70.302178243051259</v>
      </c>
      <c r="M90" s="447">
        <f t="shared" si="42"/>
        <v>75.296787022973902</v>
      </c>
      <c r="N90" s="447">
        <f t="shared" si="42"/>
        <v>80.02975889547298</v>
      </c>
      <c r="O90" s="447">
        <f t="shared" si="42"/>
        <v>84.55046652586843</v>
      </c>
      <c r="P90" s="447">
        <f t="shared" si="42"/>
        <v>88.867652559080511</v>
      </c>
      <c r="Q90" s="447">
        <f t="shared" si="42"/>
        <v>92.986957075656932</v>
      </c>
      <c r="R90" s="447">
        <f t="shared" si="42"/>
        <v>96.884761614834133</v>
      </c>
      <c r="S90" s="447">
        <f t="shared" si="42"/>
        <v>100.57041386849632</v>
      </c>
      <c r="T90" s="447">
        <f t="shared" si="42"/>
        <v>104.05103570691571</v>
      </c>
      <c r="U90" s="447">
        <f t="shared" si="42"/>
        <v>107.35020332627059</v>
      </c>
      <c r="V90" s="447">
        <f t="shared" si="42"/>
        <v>110.47737642518516</v>
      </c>
      <c r="W90" s="447">
        <f t="shared" si="42"/>
        <v>113.44152154263973</v>
      </c>
      <c r="X90" s="447">
        <f t="shared" si="42"/>
        <v>116.25113776771516</v>
      </c>
      <c r="Y90" s="447">
        <f t="shared" si="42"/>
        <v>118.91428110901889</v>
      </c>
      <c r="Z90" s="447">
        <f t="shared" si="42"/>
        <v>121.43858759366697</v>
      </c>
      <c r="AA90" s="447">
        <f t="shared" si="42"/>
        <v>123.83129516205376</v>
      </c>
      <c r="AB90" s="447">
        <f t="shared" si="42"/>
        <v>126.09926442118817</v>
      </c>
      <c r="AC90" s="447">
        <f t="shared" si="42"/>
        <v>128.2489983161023</v>
      </c>
      <c r="AD90" s="447">
        <f t="shared" si="42"/>
        <v>130.28666077573655</v>
      </c>
      <c r="AE90" s="447">
        <f t="shared" si="42"/>
        <v>132.21809438676428</v>
      </c>
      <c r="AF90" s="447">
        <f t="shared" si="42"/>
        <v>134.04883714603227</v>
      </c>
      <c r="AG90" s="447">
        <f t="shared" si="42"/>
        <v>135.78413833965121</v>
      </c>
      <c r="AH90" s="447">
        <f t="shared" si="42"/>
        <v>137.42897359426632</v>
      </c>
      <c r="AI90" s="447">
        <f t="shared" si="42"/>
        <v>138.98805914366454</v>
      </c>
      <c r="AJ90" s="447">
        <f t="shared" si="42"/>
        <v>140.46586535162493</v>
      </c>
      <c r="AK90" s="447">
        <f t="shared" si="42"/>
        <v>141.86662952978642</v>
      </c>
      <c r="AL90" s="447">
        <f t="shared" si="42"/>
        <v>143.19436808728548</v>
      </c>
      <c r="AM90" s="447">
        <f t="shared" si="42"/>
        <v>144.45288804700024</v>
      </c>
      <c r="AN90" s="447">
        <f t="shared" si="42"/>
        <v>145.64579796142181</v>
      </c>
      <c r="AO90" s="447">
        <f t="shared" si="42"/>
        <v>146.77651825945173</v>
      </c>
      <c r="AP90" s="447">
        <f t="shared" si="42"/>
        <v>147.84829105379288</v>
      </c>
      <c r="AQ90" s="447">
        <f t="shared" si="42"/>
        <v>148.86418943705462</v>
      </c>
      <c r="AR90" s="447">
        <f t="shared" si="42"/>
        <v>149.82712629322691</v>
      </c>
      <c r="AS90" s="447">
        <f t="shared" si="42"/>
        <v>150.73986264978831</v>
      </c>
      <c r="AT90" s="447">
        <f t="shared" si="42"/>
        <v>151.60501559439626</v>
      </c>
      <c r="AU90" s="447">
        <f t="shared" si="42"/>
        <v>152.42506577885879</v>
      </c>
      <c r="AV90" s="447">
        <f t="shared" si="42"/>
        <v>153.20236453190384</v>
      </c>
      <c r="AW90" s="447">
        <f t="shared" si="42"/>
        <v>153.93914060114085</v>
      </c>
      <c r="AX90" s="447">
        <f t="shared" si="42"/>
        <v>154.63750654354561</v>
      </c>
      <c r="AY90" s="448">
        <f t="shared" si="42"/>
        <v>155.29946478279183</v>
      </c>
    </row>
    <row r="91" spans="1:51">
      <c r="A91" s="442" t="s">
        <v>2905</v>
      </c>
      <c r="B91" s="443">
        <f t="shared" si="41"/>
        <v>6.1141123369011178E-3</v>
      </c>
      <c r="C91" s="444">
        <f t="shared" si="42"/>
        <v>1.1835653147838862E-2</v>
      </c>
      <c r="D91" s="444">
        <f t="shared" si="42"/>
        <v>1.718893701314065E-2</v>
      </c>
      <c r="E91" s="444">
        <f t="shared" si="42"/>
        <v>2.2163645558166009E-2</v>
      </c>
      <c r="F91" s="444">
        <f t="shared" si="42"/>
        <v>2.6784701836957338E-2</v>
      </c>
      <c r="G91" s="444">
        <f t="shared" si="42"/>
        <v>3.1082908421834338E-2</v>
      </c>
      <c r="H91" s="444">
        <f t="shared" si="42"/>
        <v>3.5157037886172721E-2</v>
      </c>
      <c r="I91" s="444">
        <f t="shared" si="42"/>
        <v>3.9012079195542004E-2</v>
      </c>
      <c r="J91" s="444">
        <f t="shared" si="42"/>
        <v>4.2666146787361234E-2</v>
      </c>
      <c r="K91" s="444">
        <f t="shared" si="42"/>
        <v>4.6123704820036415E-2</v>
      </c>
      <c r="L91" s="444">
        <f t="shared" si="42"/>
        <v>4.9401011012145592E-2</v>
      </c>
      <c r="M91" s="444">
        <f t="shared" ref="M91:AY93" si="43">(M80/(1+$C$3)^(M$16-0.5)+L91)</f>
        <v>5.2507462379073722E-2</v>
      </c>
      <c r="N91" s="444">
        <f t="shared" si="43"/>
        <v>5.5446845168468734E-2</v>
      </c>
      <c r="O91" s="444">
        <f t="shared" si="43"/>
        <v>5.8232989992539834E-2</v>
      </c>
      <c r="P91" s="444">
        <f t="shared" si="43"/>
        <v>6.0869284697021131E-2</v>
      </c>
      <c r="Q91" s="444">
        <f t="shared" si="43"/>
        <v>6.3368142236813835E-2</v>
      </c>
      <c r="R91" s="444">
        <f t="shared" si="43"/>
        <v>6.5736727582588902E-2</v>
      </c>
      <c r="S91" s="444">
        <f t="shared" si="43"/>
        <v>6.7981832175740636E-2</v>
      </c>
      <c r="T91" s="444">
        <f t="shared" si="43"/>
        <v>7.0109893401476872E-2</v>
      </c>
      <c r="U91" s="444">
        <f t="shared" si="43"/>
        <v>7.2127013046724489E-2</v>
      </c>
      <c r="V91" s="444">
        <f t="shared" si="43"/>
        <v>7.4038974795774357E-2</v>
      </c>
      <c r="W91" s="444">
        <f t="shared" si="43"/>
        <v>7.5851260813831103E-2</v>
      </c>
      <c r="X91" s="444">
        <f t="shared" si="43"/>
        <v>7.7569067466017591E-2</v>
      </c>
      <c r="Y91" s="444">
        <f t="shared" si="43"/>
        <v>7.9197320216905259E-2</v>
      </c>
      <c r="Z91" s="444">
        <f t="shared" si="43"/>
        <v>8.0740687753291684E-2</v>
      </c>
      <c r="AA91" s="444">
        <f t="shared" si="43"/>
        <v>8.220359537071957E-2</v>
      </c>
      <c r="AB91" s="444">
        <f t="shared" si="43"/>
        <v>8.3590237662120412E-2</v>
      </c>
      <c r="AC91" s="444">
        <f t="shared" si="43"/>
        <v>8.4904590544964811E-2</v>
      </c>
      <c r="AD91" s="444">
        <f t="shared" si="43"/>
        <v>8.6150422661405004E-2</v>
      </c>
      <c r="AE91" s="444">
        <f t="shared" si="43"/>
        <v>8.7331306184097124E-2</v>
      </c>
      <c r="AF91" s="444">
        <f t="shared" si="43"/>
        <v>8.8450627058686809E-2</v>
      </c>
      <c r="AG91" s="444">
        <f t="shared" si="43"/>
        <v>8.9511594712326323E-2</v>
      </c>
      <c r="AH91" s="444">
        <f t="shared" si="43"/>
        <v>9.0517251256060458E-2</v>
      </c>
      <c r="AI91" s="444">
        <f t="shared" si="43"/>
        <v>9.1470480207467217E-2</v>
      </c>
      <c r="AJ91" s="444">
        <f t="shared" si="43"/>
        <v>9.2374014758563674E-2</v>
      </c>
      <c r="AK91" s="444">
        <f t="shared" si="43"/>
        <v>9.3230445612683538E-2</v>
      </c>
      <c r="AL91" s="444">
        <f t="shared" si="43"/>
        <v>9.4042228412797163E-2</v>
      </c>
      <c r="AM91" s="444">
        <f t="shared" si="43"/>
        <v>9.4811690782573108E-2</v>
      </c>
      <c r="AN91" s="444">
        <f t="shared" si="43"/>
        <v>9.5541039000370212E-2</v>
      </c>
      <c r="AO91" s="444">
        <f t="shared" si="43"/>
        <v>9.6232364325296374E-2</v>
      </c>
      <c r="AP91" s="444">
        <f t="shared" si="43"/>
        <v>9.6887648993472825E-2</v>
      </c>
      <c r="AQ91" s="444">
        <f t="shared" si="43"/>
        <v>9.7508771901696961E-2</v>
      </c>
      <c r="AR91" s="444">
        <f t="shared" si="43"/>
        <v>9.8097513994800406E-2</v>
      </c>
      <c r="AS91" s="444">
        <f t="shared" si="43"/>
        <v>9.8655563372149632E-2</v>
      </c>
      <c r="AT91" s="444">
        <f t="shared" si="43"/>
        <v>9.91845201279309E-2</v>
      </c>
      <c r="AU91" s="444">
        <f t="shared" si="43"/>
        <v>9.9685900939097974E-2</v>
      </c>
      <c r="AV91" s="444">
        <f t="shared" si="43"/>
        <v>0.10016114341413786</v>
      </c>
      <c r="AW91" s="444">
        <f t="shared" si="43"/>
        <v>0.10061161021512352</v>
      </c>
      <c r="AX91" s="444">
        <f t="shared" si="43"/>
        <v>0.10103859296487297</v>
      </c>
      <c r="AY91" s="445">
        <f t="shared" si="43"/>
        <v>0.10144331595041747</v>
      </c>
    </row>
    <row r="92" spans="1:51">
      <c r="A92" s="442" t="s">
        <v>2906</v>
      </c>
      <c r="B92" s="446">
        <f t="shared" si="41"/>
        <v>0.85432063306221828</v>
      </c>
      <c r="C92" s="447">
        <f t="shared" ref="C92:AH93" si="44">(C81/(1+$C$3)^(C$16-0.5)+B92)</f>
        <v>1.6641032236425202</v>
      </c>
      <c r="D92" s="447">
        <f t="shared" si="44"/>
        <v>2.4316696602115266</v>
      </c>
      <c r="E92" s="447">
        <f t="shared" si="44"/>
        <v>3.1592207849214855</v>
      </c>
      <c r="F92" s="447">
        <f t="shared" si="44"/>
        <v>3.8488427040778443</v>
      </c>
      <c r="G92" s="447">
        <f t="shared" si="44"/>
        <v>4.502512769628896</v>
      </c>
      <c r="H92" s="447">
        <f t="shared" si="44"/>
        <v>5.1221052488242051</v>
      </c>
      <c r="I92" s="447">
        <f t="shared" si="44"/>
        <v>5.7093966982984323</v>
      </c>
      <c r="J92" s="447">
        <f t="shared" si="44"/>
        <v>6.2660710579896426</v>
      </c>
      <c r="K92" s="447">
        <f t="shared" si="44"/>
        <v>6.7937244794978984</v>
      </c>
      <c r="L92" s="447">
        <f t="shared" si="44"/>
        <v>7.2938699027284732</v>
      </c>
      <c r="M92" s="447">
        <f t="shared" si="44"/>
        <v>7.7679413939422881</v>
      </c>
      <c r="N92" s="447">
        <f t="shared" si="44"/>
        <v>8.2172982576520646</v>
      </c>
      <c r="O92" s="447">
        <f t="shared" si="44"/>
        <v>8.643228934154223</v>
      </c>
      <c r="P92" s="447">
        <f t="shared" si="44"/>
        <v>9.0469546938719088</v>
      </c>
      <c r="Q92" s="447">
        <f t="shared" si="44"/>
        <v>9.4296331391019432</v>
      </c>
      <c r="R92" s="447">
        <f t="shared" si="44"/>
        <v>9.7923615232062406</v>
      </c>
      <c r="S92" s="447">
        <f t="shared" si="44"/>
        <v>10.136179896764817</v>
      </c>
      <c r="T92" s="447">
        <f t="shared" si="44"/>
        <v>10.462074089711335</v>
      </c>
      <c r="U92" s="447">
        <f t="shared" si="44"/>
        <v>10.770978538001872</v>
      </c>
      <c r="V92" s="447">
        <f t="shared" si="44"/>
        <v>11.063778962921813</v>
      </c>
      <c r="W92" s="447">
        <f t="shared" si="44"/>
        <v>11.341314910713226</v>
      </c>
      <c r="X92" s="447">
        <f t="shared" si="44"/>
        <v>11.604382159804613</v>
      </c>
      <c r="Y92" s="447">
        <f t="shared" si="44"/>
        <v>11.853735002545264</v>
      </c>
      <c r="Z92" s="447">
        <f t="shared" si="44"/>
        <v>12.09008840798664</v>
      </c>
      <c r="AA92" s="447">
        <f t="shared" si="44"/>
        <v>12.314120071912114</v>
      </c>
      <c r="AB92" s="447">
        <f t="shared" si="44"/>
        <v>12.526472359993132</v>
      </c>
      <c r="AC92" s="447">
        <f t="shared" si="44"/>
        <v>12.727754149643387</v>
      </c>
      <c r="AD92" s="447">
        <f t="shared" si="44"/>
        <v>12.918542575852159</v>
      </c>
      <c r="AE92" s="447">
        <f t="shared" si="44"/>
        <v>13.099384686002654</v>
      </c>
      <c r="AF92" s="447">
        <f t="shared" si="44"/>
        <v>13.270799008420186</v>
      </c>
      <c r="AG92" s="447">
        <f t="shared" si="44"/>
        <v>13.433277039147702</v>
      </c>
      <c r="AH92" s="447">
        <f t="shared" si="44"/>
        <v>13.5872846512117</v>
      </c>
      <c r="AI92" s="447">
        <f t="shared" si="43"/>
        <v>13.73326343041928</v>
      </c>
      <c r="AJ92" s="447">
        <f t="shared" si="43"/>
        <v>13.871631941516512</v>
      </c>
      <c r="AK92" s="447">
        <f t="shared" si="43"/>
        <v>14.002786928338534</v>
      </c>
      <c r="AL92" s="447">
        <f t="shared" si="43"/>
        <v>14.127104451392583</v>
      </c>
      <c r="AM92" s="447">
        <f t="shared" si="43"/>
        <v>14.244940966135758</v>
      </c>
      <c r="AN92" s="447">
        <f t="shared" si="43"/>
        <v>14.356634345039241</v>
      </c>
      <c r="AO92" s="447">
        <f t="shared" si="43"/>
        <v>14.462504846369557</v>
      </c>
      <c r="AP92" s="447">
        <f t="shared" si="43"/>
        <v>14.562856032464643</v>
      </c>
      <c r="AQ92" s="447">
        <f t="shared" si="43"/>
        <v>14.65797564013771</v>
      </c>
      <c r="AR92" s="447">
        <f t="shared" si="43"/>
        <v>14.748136405704599</v>
      </c>
      <c r="AS92" s="447">
        <f t="shared" si="43"/>
        <v>14.833596847000228</v>
      </c>
      <c r="AT92" s="447">
        <f t="shared" si="43"/>
        <v>14.914602004626417</v>
      </c>
      <c r="AU92" s="447">
        <f t="shared" si="43"/>
        <v>14.991384144556454</v>
      </c>
      <c r="AV92" s="447">
        <f t="shared" si="43"/>
        <v>15.064163424110991</v>
      </c>
      <c r="AW92" s="447">
        <f t="shared" si="43"/>
        <v>15.133148523214818</v>
      </c>
      <c r="AX92" s="447">
        <f t="shared" si="43"/>
        <v>15.198537242744511</v>
      </c>
      <c r="AY92" s="448">
        <f t="shared" si="43"/>
        <v>15.260517071682608</v>
      </c>
    </row>
    <row r="93" spans="1:51" ht="12.75" thickBot="1">
      <c r="A93" s="449" t="s">
        <v>2907</v>
      </c>
      <c r="B93" s="450">
        <f t="shared" si="41"/>
        <v>0.85432063306221828</v>
      </c>
      <c r="C93" s="451">
        <f t="shared" si="44"/>
        <v>1.6641032236425202</v>
      </c>
      <c r="D93" s="451">
        <f t="shared" si="44"/>
        <v>2.4316696602115266</v>
      </c>
      <c r="E93" s="451">
        <f t="shared" si="44"/>
        <v>3.1592207849214855</v>
      </c>
      <c r="F93" s="451">
        <f t="shared" si="44"/>
        <v>3.8488427040778443</v>
      </c>
      <c r="G93" s="451">
        <f t="shared" si="44"/>
        <v>4.502512769628896</v>
      </c>
      <c r="H93" s="451">
        <f t="shared" si="44"/>
        <v>5.1221052488242051</v>
      </c>
      <c r="I93" s="451">
        <f t="shared" si="44"/>
        <v>5.7093966982984323</v>
      </c>
      <c r="J93" s="451">
        <f t="shared" si="44"/>
        <v>6.2660710579896426</v>
      </c>
      <c r="K93" s="451">
        <f t="shared" si="44"/>
        <v>6.7937244794978984</v>
      </c>
      <c r="L93" s="451">
        <f t="shared" si="44"/>
        <v>7.2938699027284732</v>
      </c>
      <c r="M93" s="451">
        <f t="shared" si="44"/>
        <v>7.7679413939422881</v>
      </c>
      <c r="N93" s="451">
        <f t="shared" si="44"/>
        <v>8.2172982576520646</v>
      </c>
      <c r="O93" s="451">
        <f t="shared" si="44"/>
        <v>8.643228934154223</v>
      </c>
      <c r="P93" s="451">
        <f t="shared" si="44"/>
        <v>9.0469546938719088</v>
      </c>
      <c r="Q93" s="451">
        <f t="shared" si="44"/>
        <v>9.4296331391019432</v>
      </c>
      <c r="R93" s="451">
        <f t="shared" si="44"/>
        <v>9.7923615232062406</v>
      </c>
      <c r="S93" s="451">
        <f t="shared" si="44"/>
        <v>10.136179896764817</v>
      </c>
      <c r="T93" s="451">
        <f t="shared" si="44"/>
        <v>10.462074089711335</v>
      </c>
      <c r="U93" s="451">
        <f t="shared" si="44"/>
        <v>10.770978538001872</v>
      </c>
      <c r="V93" s="451">
        <f t="shared" si="44"/>
        <v>11.063778962921813</v>
      </c>
      <c r="W93" s="451">
        <f t="shared" si="44"/>
        <v>11.341314910713226</v>
      </c>
      <c r="X93" s="451">
        <f t="shared" si="44"/>
        <v>11.604382159804613</v>
      </c>
      <c r="Y93" s="451">
        <f t="shared" si="44"/>
        <v>11.853735002545264</v>
      </c>
      <c r="Z93" s="451">
        <f t="shared" si="44"/>
        <v>12.09008840798664</v>
      </c>
      <c r="AA93" s="451">
        <f t="shared" si="44"/>
        <v>12.314120071912114</v>
      </c>
      <c r="AB93" s="451">
        <f t="shared" si="44"/>
        <v>12.526472359993132</v>
      </c>
      <c r="AC93" s="451">
        <f t="shared" si="44"/>
        <v>12.727754149643387</v>
      </c>
      <c r="AD93" s="451">
        <f t="shared" si="44"/>
        <v>12.918542575852159</v>
      </c>
      <c r="AE93" s="451">
        <f t="shared" si="44"/>
        <v>13.099384686002654</v>
      </c>
      <c r="AF93" s="451">
        <f t="shared" si="44"/>
        <v>13.270799008420186</v>
      </c>
      <c r="AG93" s="451">
        <f t="shared" si="44"/>
        <v>13.433277039147702</v>
      </c>
      <c r="AH93" s="451">
        <f t="shared" si="44"/>
        <v>13.5872846512117</v>
      </c>
      <c r="AI93" s="451">
        <f t="shared" si="43"/>
        <v>13.73326343041928</v>
      </c>
      <c r="AJ93" s="451">
        <f t="shared" si="43"/>
        <v>13.871631941516512</v>
      </c>
      <c r="AK93" s="451">
        <f t="shared" si="43"/>
        <v>14.002786928338534</v>
      </c>
      <c r="AL93" s="451">
        <f t="shared" si="43"/>
        <v>14.127104451392583</v>
      </c>
      <c r="AM93" s="451">
        <f t="shared" si="43"/>
        <v>14.244940966135758</v>
      </c>
      <c r="AN93" s="451">
        <f t="shared" si="43"/>
        <v>14.356634345039241</v>
      </c>
      <c r="AO93" s="451">
        <f t="shared" si="43"/>
        <v>14.462504846369557</v>
      </c>
      <c r="AP93" s="451">
        <f t="shared" si="43"/>
        <v>14.562856032464643</v>
      </c>
      <c r="AQ93" s="451">
        <f t="shared" si="43"/>
        <v>14.65797564013771</v>
      </c>
      <c r="AR93" s="451">
        <f t="shared" si="43"/>
        <v>14.748136405704599</v>
      </c>
      <c r="AS93" s="451">
        <f t="shared" si="43"/>
        <v>14.833596847000228</v>
      </c>
      <c r="AT93" s="451">
        <f t="shared" si="43"/>
        <v>14.914602004626417</v>
      </c>
      <c r="AU93" s="451">
        <f t="shared" si="43"/>
        <v>14.991384144556454</v>
      </c>
      <c r="AV93" s="451">
        <f t="shared" si="43"/>
        <v>15.064163424110991</v>
      </c>
      <c r="AW93" s="451">
        <f t="shared" si="43"/>
        <v>15.133148523214818</v>
      </c>
      <c r="AX93" s="451">
        <f t="shared" si="43"/>
        <v>15.198537242744511</v>
      </c>
      <c r="AY93" s="452">
        <f t="shared" si="43"/>
        <v>15.260517071682608</v>
      </c>
    </row>
    <row r="95" spans="1:51" ht="15.75">
      <c r="A95" s="454" t="s">
        <v>2918</v>
      </c>
      <c r="B95" s="453"/>
      <c r="C95" s="453"/>
      <c r="D95" s="453"/>
      <c r="E95" s="453"/>
      <c r="F95" s="453"/>
      <c r="G95" s="453"/>
      <c r="H95" s="453"/>
      <c r="I95" s="453"/>
      <c r="J95" s="453"/>
      <c r="K95" s="453"/>
      <c r="L95" s="453"/>
      <c r="M95" s="453"/>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c r="AW95" s="453"/>
      <c r="AX95" s="453"/>
      <c r="AY95" s="453"/>
    </row>
    <row r="96" spans="1:51" ht="15.75" thickBot="1">
      <c r="A96" s="433" t="s">
        <v>2898</v>
      </c>
    </row>
    <row r="97" spans="1:51" ht="12.75" thickBot="1">
      <c r="A97" s="434" t="s">
        <v>2899</v>
      </c>
      <c r="B97" s="435">
        <v>2010</v>
      </c>
      <c r="C97" s="436">
        <v>2011</v>
      </c>
      <c r="D97" s="436">
        <v>2012</v>
      </c>
      <c r="E97" s="436">
        <v>2013</v>
      </c>
      <c r="F97" s="436">
        <v>2014</v>
      </c>
      <c r="G97" s="436">
        <v>2015</v>
      </c>
      <c r="H97" s="436">
        <v>2016</v>
      </c>
      <c r="I97" s="436">
        <v>2017</v>
      </c>
      <c r="J97" s="436">
        <v>2018</v>
      </c>
      <c r="K97" s="436">
        <v>2019</v>
      </c>
      <c r="L97" s="436">
        <v>2020</v>
      </c>
      <c r="M97" s="436">
        <v>2021</v>
      </c>
      <c r="N97" s="436">
        <v>2022</v>
      </c>
      <c r="O97" s="436">
        <v>2023</v>
      </c>
      <c r="P97" s="436">
        <v>2024</v>
      </c>
      <c r="Q97" s="436">
        <v>2025</v>
      </c>
      <c r="R97" s="436">
        <v>2026</v>
      </c>
      <c r="S97" s="436">
        <v>2027</v>
      </c>
      <c r="T97" s="436">
        <v>2028</v>
      </c>
      <c r="U97" s="436">
        <v>2029</v>
      </c>
      <c r="V97" s="436">
        <v>2030</v>
      </c>
      <c r="W97" s="436">
        <v>2031</v>
      </c>
      <c r="X97" s="436">
        <v>2032</v>
      </c>
      <c r="Y97" s="436">
        <v>2033</v>
      </c>
      <c r="Z97" s="436">
        <v>2034</v>
      </c>
      <c r="AA97" s="436">
        <v>2035</v>
      </c>
      <c r="AB97" s="436">
        <v>2036</v>
      </c>
      <c r="AC97" s="436">
        <v>2037</v>
      </c>
      <c r="AD97" s="436">
        <v>2038</v>
      </c>
      <c r="AE97" s="436">
        <v>2039</v>
      </c>
      <c r="AF97" s="436">
        <v>2040</v>
      </c>
      <c r="AG97" s="436">
        <v>2041</v>
      </c>
      <c r="AH97" s="436">
        <v>2042</v>
      </c>
      <c r="AI97" s="436">
        <v>2043</v>
      </c>
      <c r="AJ97" s="436">
        <v>2044</v>
      </c>
      <c r="AK97" s="436">
        <v>2045</v>
      </c>
      <c r="AL97" s="436">
        <v>2046</v>
      </c>
      <c r="AM97" s="436">
        <v>2047</v>
      </c>
      <c r="AN97" s="436">
        <v>2048</v>
      </c>
      <c r="AO97" s="436">
        <v>2049</v>
      </c>
      <c r="AP97" s="436">
        <v>2050</v>
      </c>
      <c r="AQ97" s="436">
        <v>2051</v>
      </c>
      <c r="AR97" s="436">
        <v>2052</v>
      </c>
      <c r="AS97" s="436">
        <v>2053</v>
      </c>
      <c r="AT97" s="436">
        <v>2054</v>
      </c>
      <c r="AU97" s="436">
        <v>2055</v>
      </c>
      <c r="AV97" s="436">
        <v>2056</v>
      </c>
      <c r="AW97" s="436">
        <v>2057</v>
      </c>
      <c r="AX97" s="436">
        <v>2058</v>
      </c>
      <c r="AY97" s="437">
        <v>2059</v>
      </c>
    </row>
    <row r="98" spans="1:51">
      <c r="A98" s="438" t="s">
        <v>2910</v>
      </c>
      <c r="B98" s="771">
        <v>6.8310458518556105E-2</v>
      </c>
      <c r="C98" s="772">
        <v>6.6934254603542631E-2</v>
      </c>
      <c r="D98" s="772">
        <v>6.5592258751792754E-2</v>
      </c>
      <c r="E98" s="772">
        <v>6.5435755251657166E-2</v>
      </c>
      <c r="F98" s="772">
        <v>6.5279251751521564E-2</v>
      </c>
      <c r="G98" s="772">
        <v>6.5131643636398229E-2</v>
      </c>
      <c r="H98" s="772">
        <v>6.5288147136533831E-2</v>
      </c>
      <c r="I98" s="772">
        <v>6.5451665544625004E-2</v>
      </c>
      <c r="J98" s="772">
        <v>6.560628856770391E-2</v>
      </c>
      <c r="K98" s="772">
        <v>6.5771687452851779E-2</v>
      </c>
      <c r="L98" s="772">
        <v>6.5935205860942953E-2</v>
      </c>
      <c r="M98" s="772">
        <v>6.6091709361078541E-2</v>
      </c>
      <c r="N98" s="772">
        <v>6.6255227769169728E-2</v>
      </c>
      <c r="O98" s="772">
        <v>6.642062665431761E-2</v>
      </c>
      <c r="P98" s="772">
        <v>6.6586025539465465E-2</v>
      </c>
      <c r="Q98" s="772">
        <v>6.6586025539465465E-2</v>
      </c>
      <c r="R98" s="772">
        <v>6.6586025539465465E-2</v>
      </c>
      <c r="S98" s="772">
        <v>6.6586025539465465E-2</v>
      </c>
      <c r="T98" s="772">
        <v>6.6586025539465465E-2</v>
      </c>
      <c r="U98" s="772">
        <v>6.6586025539465465E-2</v>
      </c>
      <c r="V98" s="772">
        <v>6.6586025539465465E-2</v>
      </c>
      <c r="W98" s="772">
        <v>6.6586025539465465E-2</v>
      </c>
      <c r="X98" s="772">
        <v>6.6586025539465465E-2</v>
      </c>
      <c r="Y98" s="772">
        <v>6.6586025539465465E-2</v>
      </c>
      <c r="Z98" s="772">
        <v>6.6586025539465465E-2</v>
      </c>
      <c r="AA98" s="772">
        <v>6.6586025539465465E-2</v>
      </c>
      <c r="AB98" s="772">
        <v>6.6586025539465465E-2</v>
      </c>
      <c r="AC98" s="772">
        <v>6.6586025539465465E-2</v>
      </c>
      <c r="AD98" s="772">
        <v>6.6586025539465465E-2</v>
      </c>
      <c r="AE98" s="772">
        <v>6.6586025539465465E-2</v>
      </c>
      <c r="AF98" s="772">
        <v>6.6586025539465465E-2</v>
      </c>
      <c r="AG98" s="772">
        <v>6.6586025539465465E-2</v>
      </c>
      <c r="AH98" s="772">
        <v>6.6586025539465465E-2</v>
      </c>
      <c r="AI98" s="772">
        <v>6.6586025539465465E-2</v>
      </c>
      <c r="AJ98" s="772">
        <v>6.6586025539465465E-2</v>
      </c>
      <c r="AK98" s="772">
        <v>6.6586025539465465E-2</v>
      </c>
      <c r="AL98" s="772">
        <v>6.6586025539465465E-2</v>
      </c>
      <c r="AM98" s="772">
        <v>6.6586025539465465E-2</v>
      </c>
      <c r="AN98" s="772">
        <v>6.6586025539465465E-2</v>
      </c>
      <c r="AO98" s="772">
        <v>6.6586025539465465E-2</v>
      </c>
      <c r="AP98" s="772">
        <v>6.6586025539465465E-2</v>
      </c>
      <c r="AQ98" s="772">
        <v>6.6586025539465465E-2</v>
      </c>
      <c r="AR98" s="772">
        <v>6.6586025539465465E-2</v>
      </c>
      <c r="AS98" s="772">
        <v>6.6586025539465465E-2</v>
      </c>
      <c r="AT98" s="772">
        <v>6.6586025539465465E-2</v>
      </c>
      <c r="AU98" s="772">
        <v>6.6586025539465465E-2</v>
      </c>
      <c r="AV98" s="772">
        <v>6.6586025539465465E-2</v>
      </c>
      <c r="AW98" s="772">
        <v>6.6586025539465465E-2</v>
      </c>
      <c r="AX98" s="772">
        <v>6.6586025539465465E-2</v>
      </c>
      <c r="AY98" s="773">
        <v>6.6586025539465465E-2</v>
      </c>
    </row>
    <row r="99" spans="1:51">
      <c r="A99" s="442" t="s">
        <v>2911</v>
      </c>
      <c r="B99" s="462">
        <v>85.398706896551715</v>
      </c>
      <c r="C99" s="463">
        <v>92.53232758620689</v>
      </c>
      <c r="D99" s="463">
        <v>99.234913793103431</v>
      </c>
      <c r="E99" s="463">
        <v>105.54956896551724</v>
      </c>
      <c r="F99" s="463">
        <v>111.48706896551724</v>
      </c>
      <c r="G99" s="463">
        <v>117.06896551724137</v>
      </c>
      <c r="H99" s="463">
        <v>122.32758620689654</v>
      </c>
      <c r="I99" s="463">
        <v>127.26293103448276</v>
      </c>
      <c r="J99" s="463">
        <v>131.90732758620689</v>
      </c>
      <c r="K99" s="463">
        <v>136.27155172413794</v>
      </c>
      <c r="L99" s="463">
        <v>140.36637931034483</v>
      </c>
      <c r="M99" s="463">
        <v>144.21336206896549</v>
      </c>
      <c r="N99" s="463">
        <v>144.21336206896549</v>
      </c>
      <c r="O99" s="463">
        <v>144.21336206896549</v>
      </c>
      <c r="P99" s="463">
        <v>144.21336206896549</v>
      </c>
      <c r="Q99" s="463">
        <v>144.21336206896549</v>
      </c>
      <c r="R99" s="463">
        <v>144.21336206896501</v>
      </c>
      <c r="S99" s="463">
        <v>144.21336206896501</v>
      </c>
      <c r="T99" s="463">
        <v>144.21336206896501</v>
      </c>
      <c r="U99" s="463">
        <v>144.21336206896501</v>
      </c>
      <c r="V99" s="463">
        <v>144.21336206896501</v>
      </c>
      <c r="W99" s="463">
        <v>144.21336206896501</v>
      </c>
      <c r="X99" s="463">
        <v>144.21336206896501</v>
      </c>
      <c r="Y99" s="463">
        <v>144.21336206896501</v>
      </c>
      <c r="Z99" s="463">
        <v>144.21336206896501</v>
      </c>
      <c r="AA99" s="463">
        <v>144.21336206896501</v>
      </c>
      <c r="AB99" s="463">
        <v>144.21336206896501</v>
      </c>
      <c r="AC99" s="463">
        <v>144.21336206896501</v>
      </c>
      <c r="AD99" s="463">
        <v>144.21336206896501</v>
      </c>
      <c r="AE99" s="463">
        <v>144.21336206896501</v>
      </c>
      <c r="AF99" s="463">
        <v>144.21336206896501</v>
      </c>
      <c r="AG99" s="463">
        <v>144.21336206896501</v>
      </c>
      <c r="AH99" s="463">
        <v>144.21336206896501</v>
      </c>
      <c r="AI99" s="463">
        <v>144.21336206896501</v>
      </c>
      <c r="AJ99" s="463">
        <v>144.21336206896501</v>
      </c>
      <c r="AK99" s="463">
        <v>144.21336206896501</v>
      </c>
      <c r="AL99" s="463">
        <v>144.21336206896501</v>
      </c>
      <c r="AM99" s="463">
        <v>144.21336206896501</v>
      </c>
      <c r="AN99" s="463">
        <v>144.21336206896501</v>
      </c>
      <c r="AO99" s="463">
        <v>144.21336206896501</v>
      </c>
      <c r="AP99" s="463">
        <v>144.21336206896501</v>
      </c>
      <c r="AQ99" s="463">
        <v>144.21336206896501</v>
      </c>
      <c r="AR99" s="463">
        <v>144.21336206896501</v>
      </c>
      <c r="AS99" s="463">
        <v>144.21336206896501</v>
      </c>
      <c r="AT99" s="463">
        <v>144.21336206896501</v>
      </c>
      <c r="AU99" s="463">
        <v>144.21336206896501</v>
      </c>
      <c r="AV99" s="463">
        <v>144.21336206896501</v>
      </c>
      <c r="AW99" s="463">
        <v>144.21336206896501</v>
      </c>
      <c r="AX99" s="463">
        <v>144.21336206896501</v>
      </c>
      <c r="AY99" s="464">
        <v>144.21336206896501</v>
      </c>
    </row>
    <row r="100" spans="1:51">
      <c r="A100" s="442" t="s">
        <v>2912</v>
      </c>
      <c r="B100" s="462">
        <v>10.24</v>
      </c>
      <c r="C100" s="463">
        <v>10.01</v>
      </c>
      <c r="D100" s="463">
        <v>9.7899999999999991</v>
      </c>
      <c r="E100" s="463">
        <v>9.7899999999999991</v>
      </c>
      <c r="F100" s="463">
        <v>9.7899999999999991</v>
      </c>
      <c r="G100" s="463">
        <v>9.7899999999999991</v>
      </c>
      <c r="H100" s="463">
        <v>9.8699999999999992</v>
      </c>
      <c r="I100" s="463">
        <v>9.94</v>
      </c>
      <c r="J100" s="463">
        <v>10.02</v>
      </c>
      <c r="K100" s="463">
        <v>10.02</v>
      </c>
      <c r="L100" s="463">
        <v>10.02</v>
      </c>
      <c r="M100" s="463">
        <v>10.02</v>
      </c>
      <c r="N100" s="463">
        <v>10.02</v>
      </c>
      <c r="O100" s="463">
        <v>10.02</v>
      </c>
      <c r="P100" s="463">
        <v>10.02</v>
      </c>
      <c r="Q100" s="463">
        <v>10.02</v>
      </c>
      <c r="R100" s="463">
        <v>10.02</v>
      </c>
      <c r="S100" s="463">
        <v>10.02</v>
      </c>
      <c r="T100" s="463">
        <v>10.02</v>
      </c>
      <c r="U100" s="463">
        <v>10.02</v>
      </c>
      <c r="V100" s="463">
        <v>10.02</v>
      </c>
      <c r="W100" s="463">
        <v>10.02</v>
      </c>
      <c r="X100" s="463">
        <v>10.02</v>
      </c>
      <c r="Y100" s="463">
        <v>10.02</v>
      </c>
      <c r="Z100" s="463">
        <v>10.02</v>
      </c>
      <c r="AA100" s="463">
        <v>10.02</v>
      </c>
      <c r="AB100" s="463">
        <v>10.02</v>
      </c>
      <c r="AC100" s="463">
        <v>10.02</v>
      </c>
      <c r="AD100" s="463">
        <v>10.02</v>
      </c>
      <c r="AE100" s="463">
        <v>10.02</v>
      </c>
      <c r="AF100" s="463">
        <v>10.02</v>
      </c>
      <c r="AG100" s="463">
        <v>10.02</v>
      </c>
      <c r="AH100" s="463">
        <v>10.02</v>
      </c>
      <c r="AI100" s="463">
        <v>10.02</v>
      </c>
      <c r="AJ100" s="463">
        <v>10.02</v>
      </c>
      <c r="AK100" s="463">
        <v>10.02</v>
      </c>
      <c r="AL100" s="463">
        <v>10.02</v>
      </c>
      <c r="AM100" s="463">
        <v>10.02</v>
      </c>
      <c r="AN100" s="463">
        <v>10.02</v>
      </c>
      <c r="AO100" s="463">
        <v>10.02</v>
      </c>
      <c r="AP100" s="463">
        <v>10.02</v>
      </c>
      <c r="AQ100" s="463">
        <v>10.02</v>
      </c>
      <c r="AR100" s="463">
        <v>10.02</v>
      </c>
      <c r="AS100" s="463">
        <v>10.02</v>
      </c>
      <c r="AT100" s="463">
        <v>10.02</v>
      </c>
      <c r="AU100" s="463">
        <v>10.02</v>
      </c>
      <c r="AV100" s="463">
        <v>10.02</v>
      </c>
      <c r="AW100" s="463">
        <v>10.02</v>
      </c>
      <c r="AX100" s="463">
        <v>10.02</v>
      </c>
      <c r="AY100" s="464">
        <v>10.02</v>
      </c>
    </row>
    <row r="101" spans="1:51">
      <c r="A101" s="442" t="s">
        <v>2913</v>
      </c>
      <c r="B101" s="462">
        <v>9.4525000000000006</v>
      </c>
      <c r="C101" s="463">
        <v>9.2341666666666669</v>
      </c>
      <c r="D101" s="463">
        <v>9.02</v>
      </c>
      <c r="E101" s="463">
        <v>9.02</v>
      </c>
      <c r="F101" s="463">
        <v>9.02</v>
      </c>
      <c r="G101" s="463">
        <v>9.02</v>
      </c>
      <c r="H101" s="463">
        <v>9.0941666666666663</v>
      </c>
      <c r="I101" s="463">
        <v>9.2441666666666666</v>
      </c>
      <c r="J101" s="463">
        <v>9.2441666666666666</v>
      </c>
      <c r="K101" s="463">
        <v>9.2441666666666666</v>
      </c>
      <c r="L101" s="463">
        <v>9.2441666666666666</v>
      </c>
      <c r="M101" s="463">
        <v>9.2441666666666666</v>
      </c>
      <c r="N101" s="463">
        <v>9.2441666666666666</v>
      </c>
      <c r="O101" s="463">
        <v>9.2441666666666666</v>
      </c>
      <c r="P101" s="463">
        <v>9.2441666666666666</v>
      </c>
      <c r="Q101" s="463">
        <v>9.2441666666666666</v>
      </c>
      <c r="R101" s="463">
        <v>9.2441666666666666</v>
      </c>
      <c r="S101" s="463">
        <v>9.2441666666666666</v>
      </c>
      <c r="T101" s="463">
        <v>9.2441666666666666</v>
      </c>
      <c r="U101" s="463">
        <v>9.2441666666666666</v>
      </c>
      <c r="V101" s="463">
        <v>9.2441666666666666</v>
      </c>
      <c r="W101" s="463">
        <v>9.2441666666666666</v>
      </c>
      <c r="X101" s="463">
        <v>9.2441666666666666</v>
      </c>
      <c r="Y101" s="463">
        <v>9.2441666666666666</v>
      </c>
      <c r="Z101" s="463">
        <v>9.2441666666666666</v>
      </c>
      <c r="AA101" s="463">
        <v>9.2441666666666666</v>
      </c>
      <c r="AB101" s="463">
        <v>9.2441666666666666</v>
      </c>
      <c r="AC101" s="463">
        <v>9.2441666666666666</v>
      </c>
      <c r="AD101" s="463">
        <v>9.2441666666666666</v>
      </c>
      <c r="AE101" s="463">
        <v>9.2441666666666666</v>
      </c>
      <c r="AF101" s="463">
        <v>9.2441666666666666</v>
      </c>
      <c r="AG101" s="463">
        <v>9.2441666666666666</v>
      </c>
      <c r="AH101" s="463">
        <v>9.2441666666666666</v>
      </c>
      <c r="AI101" s="463">
        <v>9.2441666666666666</v>
      </c>
      <c r="AJ101" s="463">
        <v>9.2441666666666666</v>
      </c>
      <c r="AK101" s="463">
        <v>9.2441666666666666</v>
      </c>
      <c r="AL101" s="463">
        <v>9.2441666666666666</v>
      </c>
      <c r="AM101" s="463">
        <v>9.2441666666666666</v>
      </c>
      <c r="AN101" s="463">
        <v>9.2441666666666666</v>
      </c>
      <c r="AO101" s="463">
        <v>9.2441666666666666</v>
      </c>
      <c r="AP101" s="463">
        <v>9.2441666666666666</v>
      </c>
      <c r="AQ101" s="463">
        <v>9.2441666666666666</v>
      </c>
      <c r="AR101" s="463">
        <v>9.2441666666666666</v>
      </c>
      <c r="AS101" s="463">
        <v>9.2441666666666666</v>
      </c>
      <c r="AT101" s="463">
        <v>9.2441666666666666</v>
      </c>
      <c r="AU101" s="463">
        <v>9.2441666666666666</v>
      </c>
      <c r="AV101" s="463">
        <v>9.2441666666666666</v>
      </c>
      <c r="AW101" s="463">
        <v>9.2441666666666666</v>
      </c>
      <c r="AX101" s="463">
        <v>9.2441666666666702</v>
      </c>
      <c r="AY101" s="464">
        <v>9.2441666666666702</v>
      </c>
    </row>
    <row r="102" spans="1:51">
      <c r="A102" s="442" t="s">
        <v>2900</v>
      </c>
      <c r="B102" s="462">
        <v>7.2607266726146298</v>
      </c>
      <c r="C102" s="463">
        <v>7.9112857970161548</v>
      </c>
      <c r="D102" s="463">
        <v>8.1995068031839171</v>
      </c>
      <c r="E102" s="463">
        <v>8.4073776927334265</v>
      </c>
      <c r="F102" s="463">
        <v>8.5736326363918245</v>
      </c>
      <c r="G102" s="463">
        <v>8.7208261649062617</v>
      </c>
      <c r="H102" s="463">
        <v>8.8285181377174773</v>
      </c>
      <c r="I102" s="463">
        <v>8.8829506598476691</v>
      </c>
      <c r="J102" s="463">
        <v>9.0100552678251411</v>
      </c>
      <c r="K102" s="463">
        <v>9.0500408716374903</v>
      </c>
      <c r="L102" s="463">
        <v>9.1558646250250764</v>
      </c>
      <c r="M102" s="463">
        <v>9.244954159045637</v>
      </c>
      <c r="N102" s="463">
        <v>9.2425044625563437</v>
      </c>
      <c r="O102" s="463">
        <v>9.3135366023628183</v>
      </c>
      <c r="P102" s="463">
        <v>9.3834258849192018</v>
      </c>
      <c r="Q102" s="463">
        <v>9.4457625151136106</v>
      </c>
      <c r="R102" s="463">
        <v>9.4294343454096037</v>
      </c>
      <c r="S102" s="463">
        <v>9.4065940080935402</v>
      </c>
      <c r="T102" s="463">
        <v>9.3718934835830296</v>
      </c>
      <c r="U102" s="463">
        <v>9.3718934835830296</v>
      </c>
      <c r="V102" s="463">
        <v>9.3718934835830296</v>
      </c>
      <c r="W102" s="463">
        <v>9.3718934835830296</v>
      </c>
      <c r="X102" s="463">
        <v>9.3718934835830296</v>
      </c>
      <c r="Y102" s="463">
        <v>9.3718934835830296</v>
      </c>
      <c r="Z102" s="463">
        <v>9.3718934835830296</v>
      </c>
      <c r="AA102" s="463">
        <v>9.3718934835830296</v>
      </c>
      <c r="AB102" s="463">
        <v>9.3718934835830296</v>
      </c>
      <c r="AC102" s="463">
        <v>9.3718934835830296</v>
      </c>
      <c r="AD102" s="463">
        <v>9.3718934835830296</v>
      </c>
      <c r="AE102" s="463">
        <v>9.3718934835830296</v>
      </c>
      <c r="AF102" s="463">
        <v>9.3718934835830296</v>
      </c>
      <c r="AG102" s="463">
        <v>9.3718934835830296</v>
      </c>
      <c r="AH102" s="463">
        <v>9.3718934835830296</v>
      </c>
      <c r="AI102" s="463">
        <v>9.3718934835830296</v>
      </c>
      <c r="AJ102" s="463">
        <v>9.3718934835830296</v>
      </c>
      <c r="AK102" s="463">
        <v>9.3718934835830296</v>
      </c>
      <c r="AL102" s="463">
        <v>9.3718934835830296</v>
      </c>
      <c r="AM102" s="463">
        <v>9.3718934835830296</v>
      </c>
      <c r="AN102" s="463">
        <v>9.3718934835830296</v>
      </c>
      <c r="AO102" s="463">
        <v>9.3718934835830296</v>
      </c>
      <c r="AP102" s="463">
        <v>9.3718934835830296</v>
      </c>
      <c r="AQ102" s="463">
        <v>9.3718934835830296</v>
      </c>
      <c r="AR102" s="463">
        <v>9.3718934835830296</v>
      </c>
      <c r="AS102" s="463">
        <v>9.3718934835830296</v>
      </c>
      <c r="AT102" s="463">
        <v>9.3718934835830296</v>
      </c>
      <c r="AU102" s="463">
        <v>9.3718934835830296</v>
      </c>
      <c r="AV102" s="463">
        <v>9.3718934835830296</v>
      </c>
      <c r="AW102" s="463">
        <v>9.3718934835830296</v>
      </c>
      <c r="AX102" s="463">
        <v>9.3718934835830296</v>
      </c>
      <c r="AY102" s="464">
        <v>9.3718934835830296</v>
      </c>
    </row>
    <row r="103" spans="1:51">
      <c r="A103" s="442" t="s">
        <v>2901</v>
      </c>
      <c r="B103" s="443">
        <v>6.28E-3</v>
      </c>
      <c r="C103" s="444">
        <v>6.1999999999999998E-3</v>
      </c>
      <c r="D103" s="444">
        <v>6.1200000000000004E-3</v>
      </c>
      <c r="E103" s="444">
        <v>6.0000000000000001E-3</v>
      </c>
      <c r="F103" s="444">
        <v>5.8799999999999998E-3</v>
      </c>
      <c r="G103" s="444">
        <v>5.77E-3</v>
      </c>
      <c r="H103" s="444">
        <v>5.77E-3</v>
      </c>
      <c r="I103" s="444">
        <v>5.7599999999999995E-3</v>
      </c>
      <c r="J103" s="444">
        <v>5.7599999999999995E-3</v>
      </c>
      <c r="K103" s="444">
        <v>5.7499999999999999E-3</v>
      </c>
      <c r="L103" s="444">
        <v>5.7499999999999999E-3</v>
      </c>
      <c r="M103" s="444">
        <v>5.7499999999999999E-3</v>
      </c>
      <c r="N103" s="444">
        <v>5.7400000000000003E-3</v>
      </c>
      <c r="O103" s="444">
        <v>5.7400000000000003E-3</v>
      </c>
      <c r="P103" s="444">
        <v>5.7300000000000007E-3</v>
      </c>
      <c r="Q103" s="444">
        <v>5.7300000000000007E-3</v>
      </c>
      <c r="R103" s="444">
        <v>5.7300000000000007E-3</v>
      </c>
      <c r="S103" s="444">
        <v>5.7300000000000007E-3</v>
      </c>
      <c r="T103" s="444">
        <v>5.7300000000000007E-3</v>
      </c>
      <c r="U103" s="444">
        <v>5.7300000000000007E-3</v>
      </c>
      <c r="V103" s="444">
        <v>5.7300000000000007E-3</v>
      </c>
      <c r="W103" s="444">
        <v>5.7300000000000007E-3</v>
      </c>
      <c r="X103" s="444">
        <v>5.7300000000000007E-3</v>
      </c>
      <c r="Y103" s="444">
        <v>5.7300000000000007E-3</v>
      </c>
      <c r="Z103" s="444">
        <v>5.7300000000000007E-3</v>
      </c>
      <c r="AA103" s="444">
        <v>5.7300000000000007E-3</v>
      </c>
      <c r="AB103" s="444">
        <v>5.7300000000000007E-3</v>
      </c>
      <c r="AC103" s="444">
        <v>5.7300000000000007E-3</v>
      </c>
      <c r="AD103" s="444">
        <v>5.7300000000000007E-3</v>
      </c>
      <c r="AE103" s="444">
        <v>5.7300000000000007E-3</v>
      </c>
      <c r="AF103" s="444">
        <v>5.7300000000000007E-3</v>
      </c>
      <c r="AG103" s="444">
        <v>5.7300000000000007E-3</v>
      </c>
      <c r="AH103" s="444">
        <v>5.7300000000000007E-3</v>
      </c>
      <c r="AI103" s="444">
        <v>5.7300000000000007E-3</v>
      </c>
      <c r="AJ103" s="444">
        <v>5.7300000000000007E-3</v>
      </c>
      <c r="AK103" s="444">
        <v>5.7300000000000007E-3</v>
      </c>
      <c r="AL103" s="444">
        <v>5.7300000000000007E-3</v>
      </c>
      <c r="AM103" s="444">
        <v>5.7300000000000007E-3</v>
      </c>
      <c r="AN103" s="444">
        <v>5.7300000000000007E-3</v>
      </c>
      <c r="AO103" s="444">
        <v>5.7300000000000007E-3</v>
      </c>
      <c r="AP103" s="444">
        <v>5.7300000000000007E-3</v>
      </c>
      <c r="AQ103" s="444">
        <v>5.7300000000000007E-3</v>
      </c>
      <c r="AR103" s="444">
        <v>5.7300000000000007E-3</v>
      </c>
      <c r="AS103" s="444">
        <v>5.7300000000000007E-3</v>
      </c>
      <c r="AT103" s="444">
        <v>5.7300000000000007E-3</v>
      </c>
      <c r="AU103" s="444">
        <v>5.7300000000000007E-3</v>
      </c>
      <c r="AV103" s="444">
        <v>5.7300000000000007E-3</v>
      </c>
      <c r="AW103" s="444">
        <v>5.7300000000000007E-3</v>
      </c>
      <c r="AX103" s="444">
        <v>5.7300000000000007E-3</v>
      </c>
      <c r="AY103" s="445">
        <v>5.7300000000000007E-3</v>
      </c>
    </row>
    <row r="104" spans="1:51">
      <c r="A104" s="442" t="s">
        <v>2902</v>
      </c>
      <c r="B104" s="446">
        <f>(58.5/1000)*15</f>
        <v>0.87750000000000006</v>
      </c>
      <c r="C104" s="447">
        <f t="shared" ref="C104:AD105" si="45">(58.5/1000)*15</f>
        <v>0.87750000000000006</v>
      </c>
      <c r="D104" s="447">
        <f t="shared" si="45"/>
        <v>0.87750000000000006</v>
      </c>
      <c r="E104" s="447">
        <f t="shared" si="45"/>
        <v>0.87750000000000006</v>
      </c>
      <c r="F104" s="447">
        <f t="shared" si="45"/>
        <v>0.87750000000000006</v>
      </c>
      <c r="G104" s="447">
        <f t="shared" si="45"/>
        <v>0.87750000000000006</v>
      </c>
      <c r="H104" s="447">
        <f t="shared" si="45"/>
        <v>0.87750000000000006</v>
      </c>
      <c r="I104" s="447">
        <f t="shared" si="45"/>
        <v>0.87750000000000006</v>
      </c>
      <c r="J104" s="447">
        <f t="shared" si="45"/>
        <v>0.87750000000000006</v>
      </c>
      <c r="K104" s="447">
        <f t="shared" si="45"/>
        <v>0.87750000000000006</v>
      </c>
      <c r="L104" s="447">
        <f t="shared" si="45"/>
        <v>0.87750000000000006</v>
      </c>
      <c r="M104" s="447">
        <f t="shared" si="45"/>
        <v>0.87750000000000006</v>
      </c>
      <c r="N104" s="447">
        <f t="shared" si="45"/>
        <v>0.87750000000000006</v>
      </c>
      <c r="O104" s="447">
        <f t="shared" si="45"/>
        <v>0.87750000000000006</v>
      </c>
      <c r="P104" s="447">
        <f t="shared" si="45"/>
        <v>0.87750000000000006</v>
      </c>
      <c r="Q104" s="447">
        <f t="shared" si="45"/>
        <v>0.87750000000000006</v>
      </c>
      <c r="R104" s="447">
        <f t="shared" si="45"/>
        <v>0.87750000000000006</v>
      </c>
      <c r="S104" s="447">
        <f t="shared" si="45"/>
        <v>0.87750000000000006</v>
      </c>
      <c r="T104" s="447">
        <f t="shared" si="45"/>
        <v>0.87750000000000006</v>
      </c>
      <c r="U104" s="447">
        <f t="shared" si="45"/>
        <v>0.87750000000000006</v>
      </c>
      <c r="V104" s="447">
        <f t="shared" si="45"/>
        <v>0.87750000000000006</v>
      </c>
      <c r="W104" s="447">
        <f t="shared" si="45"/>
        <v>0.87750000000000006</v>
      </c>
      <c r="X104" s="447">
        <f t="shared" si="45"/>
        <v>0.87750000000000006</v>
      </c>
      <c r="Y104" s="447">
        <f t="shared" si="45"/>
        <v>0.87750000000000006</v>
      </c>
      <c r="Z104" s="447">
        <f t="shared" si="45"/>
        <v>0.87750000000000006</v>
      </c>
      <c r="AA104" s="447">
        <f t="shared" si="45"/>
        <v>0.87750000000000006</v>
      </c>
      <c r="AB104" s="447">
        <f t="shared" si="45"/>
        <v>0.87750000000000006</v>
      </c>
      <c r="AC104" s="447">
        <f t="shared" si="45"/>
        <v>0.87750000000000006</v>
      </c>
      <c r="AD104" s="447">
        <f t="shared" si="45"/>
        <v>0.87750000000000006</v>
      </c>
      <c r="AE104" s="447">
        <f>(58.5/1000)*15</f>
        <v>0.87750000000000006</v>
      </c>
      <c r="AF104" s="447">
        <f t="shared" ref="AF104:AY105" si="46">(58.5/1000)*15</f>
        <v>0.87750000000000006</v>
      </c>
      <c r="AG104" s="447">
        <f t="shared" si="46"/>
        <v>0.87750000000000006</v>
      </c>
      <c r="AH104" s="447">
        <f t="shared" si="46"/>
        <v>0.87750000000000006</v>
      </c>
      <c r="AI104" s="447">
        <f t="shared" si="46"/>
        <v>0.87750000000000006</v>
      </c>
      <c r="AJ104" s="447">
        <f t="shared" si="46"/>
        <v>0.87750000000000006</v>
      </c>
      <c r="AK104" s="447">
        <f t="shared" si="46"/>
        <v>0.87750000000000006</v>
      </c>
      <c r="AL104" s="447">
        <f t="shared" si="46"/>
        <v>0.87750000000000006</v>
      </c>
      <c r="AM104" s="447">
        <f t="shared" si="46"/>
        <v>0.87750000000000006</v>
      </c>
      <c r="AN104" s="447">
        <f t="shared" si="46"/>
        <v>0.87750000000000006</v>
      </c>
      <c r="AO104" s="447">
        <f t="shared" si="46"/>
        <v>0.87750000000000006</v>
      </c>
      <c r="AP104" s="447">
        <f t="shared" si="46"/>
        <v>0.87750000000000006</v>
      </c>
      <c r="AQ104" s="447">
        <f t="shared" si="46"/>
        <v>0.87750000000000006</v>
      </c>
      <c r="AR104" s="447">
        <f t="shared" si="46"/>
        <v>0.87750000000000006</v>
      </c>
      <c r="AS104" s="447">
        <f t="shared" si="46"/>
        <v>0.87750000000000006</v>
      </c>
      <c r="AT104" s="447">
        <f t="shared" si="46"/>
        <v>0.87750000000000006</v>
      </c>
      <c r="AU104" s="447">
        <f t="shared" si="46"/>
        <v>0.87750000000000006</v>
      </c>
      <c r="AV104" s="447">
        <f t="shared" si="46"/>
        <v>0.87750000000000006</v>
      </c>
      <c r="AW104" s="447">
        <f t="shared" si="46"/>
        <v>0.87750000000000006</v>
      </c>
      <c r="AX104" s="447">
        <f t="shared" si="46"/>
        <v>0.87750000000000006</v>
      </c>
      <c r="AY104" s="448">
        <f t="shared" si="46"/>
        <v>0.87750000000000006</v>
      </c>
    </row>
    <row r="105" spans="1:51" ht="12.75" thickBot="1">
      <c r="A105" s="449" t="s">
        <v>2903</v>
      </c>
      <c r="B105" s="450">
        <f>(58.5/1000)*15</f>
        <v>0.87750000000000006</v>
      </c>
      <c r="C105" s="451">
        <f t="shared" si="45"/>
        <v>0.87750000000000006</v>
      </c>
      <c r="D105" s="451">
        <f t="shared" si="45"/>
        <v>0.87750000000000006</v>
      </c>
      <c r="E105" s="451">
        <f t="shared" si="45"/>
        <v>0.87750000000000006</v>
      </c>
      <c r="F105" s="451">
        <f t="shared" si="45"/>
        <v>0.87750000000000006</v>
      </c>
      <c r="G105" s="451">
        <f t="shared" si="45"/>
        <v>0.87750000000000006</v>
      </c>
      <c r="H105" s="451">
        <f t="shared" si="45"/>
        <v>0.87750000000000006</v>
      </c>
      <c r="I105" s="451">
        <f t="shared" si="45"/>
        <v>0.87750000000000006</v>
      </c>
      <c r="J105" s="451">
        <f t="shared" si="45"/>
        <v>0.87750000000000006</v>
      </c>
      <c r="K105" s="451">
        <f t="shared" si="45"/>
        <v>0.87750000000000006</v>
      </c>
      <c r="L105" s="451">
        <f t="shared" si="45"/>
        <v>0.87750000000000006</v>
      </c>
      <c r="M105" s="451">
        <f t="shared" si="45"/>
        <v>0.87750000000000006</v>
      </c>
      <c r="N105" s="451">
        <f t="shared" si="45"/>
        <v>0.87750000000000006</v>
      </c>
      <c r="O105" s="451">
        <f t="shared" si="45"/>
        <v>0.87750000000000006</v>
      </c>
      <c r="P105" s="451">
        <f t="shared" si="45"/>
        <v>0.87750000000000006</v>
      </c>
      <c r="Q105" s="451">
        <f t="shared" si="45"/>
        <v>0.87750000000000006</v>
      </c>
      <c r="R105" s="451">
        <f t="shared" si="45"/>
        <v>0.87750000000000006</v>
      </c>
      <c r="S105" s="451">
        <f t="shared" si="45"/>
        <v>0.87750000000000006</v>
      </c>
      <c r="T105" s="451">
        <f t="shared" si="45"/>
        <v>0.87750000000000006</v>
      </c>
      <c r="U105" s="451">
        <f t="shared" si="45"/>
        <v>0.87750000000000006</v>
      </c>
      <c r="V105" s="451">
        <f t="shared" si="45"/>
        <v>0.87750000000000006</v>
      </c>
      <c r="W105" s="451">
        <f t="shared" si="45"/>
        <v>0.87750000000000006</v>
      </c>
      <c r="X105" s="451">
        <f t="shared" si="45"/>
        <v>0.87750000000000006</v>
      </c>
      <c r="Y105" s="451">
        <f t="shared" si="45"/>
        <v>0.87750000000000006</v>
      </c>
      <c r="Z105" s="451">
        <f t="shared" si="45"/>
        <v>0.87750000000000006</v>
      </c>
      <c r="AA105" s="451">
        <f t="shared" si="45"/>
        <v>0.87750000000000006</v>
      </c>
      <c r="AB105" s="451">
        <f t="shared" si="45"/>
        <v>0.87750000000000006</v>
      </c>
      <c r="AC105" s="451">
        <f t="shared" si="45"/>
        <v>0.87750000000000006</v>
      </c>
      <c r="AD105" s="451">
        <f t="shared" si="45"/>
        <v>0.87750000000000006</v>
      </c>
      <c r="AE105" s="451">
        <f>(58.5/1000)*15</f>
        <v>0.87750000000000006</v>
      </c>
      <c r="AF105" s="451">
        <f t="shared" si="46"/>
        <v>0.87750000000000006</v>
      </c>
      <c r="AG105" s="451">
        <f t="shared" si="46"/>
        <v>0.87750000000000006</v>
      </c>
      <c r="AH105" s="451">
        <f t="shared" si="46"/>
        <v>0.87750000000000006</v>
      </c>
      <c r="AI105" s="451">
        <f t="shared" si="46"/>
        <v>0.87750000000000006</v>
      </c>
      <c r="AJ105" s="451">
        <f t="shared" si="46"/>
        <v>0.87750000000000006</v>
      </c>
      <c r="AK105" s="451">
        <f t="shared" si="46"/>
        <v>0.87750000000000006</v>
      </c>
      <c r="AL105" s="451">
        <f t="shared" si="46"/>
        <v>0.87750000000000006</v>
      </c>
      <c r="AM105" s="451">
        <f t="shared" si="46"/>
        <v>0.87750000000000006</v>
      </c>
      <c r="AN105" s="451">
        <f t="shared" si="46"/>
        <v>0.87750000000000006</v>
      </c>
      <c r="AO105" s="451">
        <f t="shared" si="46"/>
        <v>0.87750000000000006</v>
      </c>
      <c r="AP105" s="451">
        <f t="shared" si="46"/>
        <v>0.87750000000000006</v>
      </c>
      <c r="AQ105" s="451">
        <f t="shared" si="46"/>
        <v>0.87750000000000006</v>
      </c>
      <c r="AR105" s="451">
        <f t="shared" si="46"/>
        <v>0.87750000000000006</v>
      </c>
      <c r="AS105" s="451">
        <f t="shared" si="46"/>
        <v>0.87750000000000006</v>
      </c>
      <c r="AT105" s="451">
        <f t="shared" si="46"/>
        <v>0.87750000000000006</v>
      </c>
      <c r="AU105" s="451">
        <f t="shared" si="46"/>
        <v>0.87750000000000006</v>
      </c>
      <c r="AV105" s="451">
        <f t="shared" si="46"/>
        <v>0.87750000000000006</v>
      </c>
      <c r="AW105" s="451">
        <f t="shared" si="46"/>
        <v>0.87750000000000006</v>
      </c>
      <c r="AX105" s="451">
        <f t="shared" si="46"/>
        <v>0.87750000000000006</v>
      </c>
      <c r="AY105" s="452">
        <f t="shared" si="46"/>
        <v>0.87750000000000006</v>
      </c>
    </row>
    <row r="106" spans="1:51">
      <c r="B106" s="429"/>
      <c r="C106" s="429"/>
      <c r="D106" s="429"/>
      <c r="E106" s="429"/>
      <c r="F106" s="429"/>
      <c r="G106" s="429"/>
      <c r="H106" s="429"/>
      <c r="I106" s="429"/>
      <c r="J106" s="429"/>
      <c r="K106" s="429"/>
      <c r="L106" s="429"/>
      <c r="M106" s="429"/>
      <c r="N106" s="429"/>
      <c r="O106" s="429"/>
      <c r="P106" s="429"/>
      <c r="Q106" s="429"/>
      <c r="R106" s="429"/>
      <c r="S106" s="429"/>
      <c r="T106" s="429"/>
      <c r="U106" s="429"/>
      <c r="V106" s="429"/>
      <c r="W106" s="429"/>
      <c r="X106" s="429"/>
      <c r="Y106" s="429"/>
      <c r="Z106" s="429"/>
      <c r="AA106" s="429"/>
      <c r="AB106" s="429"/>
      <c r="AC106" s="429"/>
      <c r="AD106" s="429"/>
      <c r="AE106" s="429"/>
    </row>
    <row r="107" spans="1:51" ht="15.75" thickBot="1">
      <c r="A107" s="433" t="s">
        <v>2904</v>
      </c>
      <c r="B107" s="429"/>
      <c r="C107" s="429"/>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row>
    <row r="108" spans="1:51" ht="12.75" thickBot="1">
      <c r="A108" s="434" t="s">
        <v>2899</v>
      </c>
      <c r="B108" s="435">
        <v>1</v>
      </c>
      <c r="C108" s="436">
        <v>2</v>
      </c>
      <c r="D108" s="436">
        <v>3</v>
      </c>
      <c r="E108" s="436">
        <v>4</v>
      </c>
      <c r="F108" s="436">
        <v>5</v>
      </c>
      <c r="G108" s="436">
        <v>6</v>
      </c>
      <c r="H108" s="436">
        <v>7</v>
      </c>
      <c r="I108" s="436">
        <v>8</v>
      </c>
      <c r="J108" s="436">
        <v>9</v>
      </c>
      <c r="K108" s="436">
        <v>10</v>
      </c>
      <c r="L108" s="436">
        <v>11</v>
      </c>
      <c r="M108" s="436">
        <v>12</v>
      </c>
      <c r="N108" s="436">
        <v>13</v>
      </c>
      <c r="O108" s="436">
        <v>14</v>
      </c>
      <c r="P108" s="436">
        <v>15</v>
      </c>
      <c r="Q108" s="436">
        <v>16</v>
      </c>
      <c r="R108" s="436">
        <v>17</v>
      </c>
      <c r="S108" s="436">
        <v>18</v>
      </c>
      <c r="T108" s="436">
        <v>19</v>
      </c>
      <c r="U108" s="436">
        <v>20</v>
      </c>
      <c r="V108" s="436">
        <v>21</v>
      </c>
      <c r="W108" s="436">
        <v>22</v>
      </c>
      <c r="X108" s="436">
        <v>23</v>
      </c>
      <c r="Y108" s="436">
        <v>24</v>
      </c>
      <c r="Z108" s="436">
        <v>25</v>
      </c>
      <c r="AA108" s="436">
        <v>26</v>
      </c>
      <c r="AB108" s="436">
        <v>27</v>
      </c>
      <c r="AC108" s="436">
        <v>28</v>
      </c>
      <c r="AD108" s="436">
        <v>29</v>
      </c>
      <c r="AE108" s="436">
        <v>30</v>
      </c>
      <c r="AF108" s="436">
        <f t="shared" ref="AF108:AY108" si="47">AE108+1</f>
        <v>31</v>
      </c>
      <c r="AG108" s="436">
        <f t="shared" si="47"/>
        <v>32</v>
      </c>
      <c r="AH108" s="436">
        <f t="shared" si="47"/>
        <v>33</v>
      </c>
      <c r="AI108" s="436">
        <f t="shared" si="47"/>
        <v>34</v>
      </c>
      <c r="AJ108" s="436">
        <f t="shared" si="47"/>
        <v>35</v>
      </c>
      <c r="AK108" s="436">
        <f t="shared" si="47"/>
        <v>36</v>
      </c>
      <c r="AL108" s="436">
        <f t="shared" si="47"/>
        <v>37</v>
      </c>
      <c r="AM108" s="436">
        <f t="shared" si="47"/>
        <v>38</v>
      </c>
      <c r="AN108" s="436">
        <f t="shared" si="47"/>
        <v>39</v>
      </c>
      <c r="AO108" s="436">
        <f t="shared" si="47"/>
        <v>40</v>
      </c>
      <c r="AP108" s="436">
        <f t="shared" si="47"/>
        <v>41</v>
      </c>
      <c r="AQ108" s="436">
        <f t="shared" si="47"/>
        <v>42</v>
      </c>
      <c r="AR108" s="436">
        <f t="shared" si="47"/>
        <v>43</v>
      </c>
      <c r="AS108" s="436">
        <f t="shared" si="47"/>
        <v>44</v>
      </c>
      <c r="AT108" s="436">
        <f t="shared" si="47"/>
        <v>45</v>
      </c>
      <c r="AU108" s="436">
        <f t="shared" si="47"/>
        <v>46</v>
      </c>
      <c r="AV108" s="436">
        <f t="shared" si="47"/>
        <v>47</v>
      </c>
      <c r="AW108" s="436">
        <f t="shared" si="47"/>
        <v>48</v>
      </c>
      <c r="AX108" s="436">
        <f t="shared" si="47"/>
        <v>49</v>
      </c>
      <c r="AY108" s="437">
        <f t="shared" si="47"/>
        <v>50</v>
      </c>
    </row>
    <row r="109" spans="1:51">
      <c r="A109" s="438" t="s">
        <v>2922</v>
      </c>
      <c r="B109" s="439">
        <v>8.5000000000000006E-2</v>
      </c>
      <c r="C109" s="440">
        <f t="shared" ref="C109:AY114" si="48">(C98/(1+$C$3)^(C$16-0.5)+B109)</f>
        <v>0.14676888215546238</v>
      </c>
      <c r="D109" s="440">
        <f t="shared" si="48"/>
        <v>0.20414371556472255</v>
      </c>
      <c r="E109" s="440">
        <f t="shared" si="48"/>
        <v>0.25839768403149038</v>
      </c>
      <c r="F109" s="440">
        <f t="shared" si="48"/>
        <v>0.30970025140924012</v>
      </c>
      <c r="G109" s="440">
        <f t="shared" si="48"/>
        <v>0.35821832065739073</v>
      </c>
      <c r="H109" s="440">
        <f t="shared" si="48"/>
        <v>0.40431751717749687</v>
      </c>
      <c r="I109" s="440">
        <f t="shared" si="48"/>
        <v>0.44812287732359957</v>
      </c>
      <c r="J109" s="440">
        <f t="shared" si="48"/>
        <v>0.48974263650325012</v>
      </c>
      <c r="K109" s="440">
        <f t="shared" si="48"/>
        <v>0.52929210194241694</v>
      </c>
      <c r="L109" s="440">
        <f t="shared" si="48"/>
        <v>0.56687294688955814</v>
      </c>
      <c r="M109" s="440">
        <f t="shared" si="48"/>
        <v>0.60257915226126935</v>
      </c>
      <c r="N109" s="440">
        <f t="shared" si="48"/>
        <v>0.636507632437601</v>
      </c>
      <c r="O109" s="440">
        <f t="shared" si="48"/>
        <v>0.6687476124314139</v>
      </c>
      <c r="P109" s="440">
        <f t="shared" si="48"/>
        <v>0.69938293294138765</v>
      </c>
      <c r="Q109" s="440">
        <f t="shared" si="48"/>
        <v>0.72842115143425368</v>
      </c>
      <c r="R109" s="440">
        <f t="shared" si="48"/>
        <v>0.75594552915261015</v>
      </c>
      <c r="S109" s="440">
        <f t="shared" si="48"/>
        <v>0.78203498670555471</v>
      </c>
      <c r="T109" s="440">
        <f t="shared" si="48"/>
        <v>0.80676433035763484</v>
      </c>
      <c r="U109" s="440">
        <f t="shared" si="48"/>
        <v>0.83020446652074398</v>
      </c>
      <c r="V109" s="440">
        <f t="shared" si="48"/>
        <v>0.85242260506397538</v>
      </c>
      <c r="W109" s="440">
        <f t="shared" si="48"/>
        <v>0.87348245202438424</v>
      </c>
      <c r="X109" s="440">
        <f t="shared" si="48"/>
        <v>0.8934443922712173</v>
      </c>
      <c r="Y109" s="440">
        <f t="shared" si="48"/>
        <v>0.91236566264736241</v>
      </c>
      <c r="Z109" s="440">
        <f t="shared" si="48"/>
        <v>0.93030051608446673</v>
      </c>
      <c r="AA109" s="440">
        <f t="shared" si="48"/>
        <v>0.94730037716229076</v>
      </c>
      <c r="AB109" s="440">
        <f t="shared" si="48"/>
        <v>0.96341398955833246</v>
      </c>
      <c r="AC109" s="440">
        <f t="shared" si="48"/>
        <v>0.97868755581050471</v>
      </c>
      <c r="AD109" s="440">
        <f t="shared" si="48"/>
        <v>0.99316486979360641</v>
      </c>
      <c r="AE109" s="440">
        <f t="shared" si="48"/>
        <v>1.0068874422894374</v>
      </c>
      <c r="AF109" s="440">
        <f t="shared" si="48"/>
        <v>1.0198946200106043</v>
      </c>
      <c r="AG109" s="440">
        <f t="shared" si="48"/>
        <v>1.0322236984192932</v>
      </c>
      <c r="AH109" s="440">
        <f t="shared" si="48"/>
        <v>1.043910028664496</v>
      </c>
      <c r="AI109" s="440">
        <f t="shared" si="48"/>
        <v>1.054987118944309</v>
      </c>
      <c r="AJ109" s="440">
        <f t="shared" si="48"/>
        <v>1.0654867305839422</v>
      </c>
      <c r="AK109" s="440">
        <f t="shared" si="48"/>
        <v>1.0754389691049215</v>
      </c>
      <c r="AL109" s="440">
        <f t="shared" si="48"/>
        <v>1.0848723705466081</v>
      </c>
      <c r="AM109" s="440">
        <f t="shared" si="48"/>
        <v>1.0938139832875433</v>
      </c>
      <c r="AN109" s="440">
        <f t="shared" si="48"/>
        <v>1.102289445601226</v>
      </c>
      <c r="AO109" s="440">
        <f t="shared" si="48"/>
        <v>1.1103230591686977</v>
      </c>
      <c r="AP109" s="440">
        <f t="shared" si="48"/>
        <v>1.1179378587587183</v>
      </c>
      <c r="AQ109" s="440">
        <f t="shared" si="48"/>
        <v>1.1251556782753254</v>
      </c>
      <c r="AR109" s="440">
        <f t="shared" si="48"/>
        <v>1.1319972133621568</v>
      </c>
      <c r="AS109" s="440">
        <f t="shared" si="48"/>
        <v>1.1384820807430396</v>
      </c>
      <c r="AT109" s="440">
        <f t="shared" si="48"/>
        <v>1.144628874468995</v>
      </c>
      <c r="AU109" s="440">
        <f t="shared" si="48"/>
        <v>1.1504552192329336</v>
      </c>
      <c r="AV109" s="440">
        <f t="shared" si="48"/>
        <v>1.1559778209049134</v>
      </c>
      <c r="AW109" s="440">
        <f t="shared" si="48"/>
        <v>1.1612125144328564</v>
      </c>
      <c r="AX109" s="440">
        <f t="shared" si="48"/>
        <v>1.1661743092460726</v>
      </c>
      <c r="AY109" s="441">
        <f t="shared" si="48"/>
        <v>1.170877432291775</v>
      </c>
    </row>
    <row r="110" spans="1:51">
      <c r="A110" s="442" t="s">
        <v>2923</v>
      </c>
      <c r="B110" s="446">
        <f t="shared" ref="B110:B116" si="49">B99/(1+$C$3)^(B$16-0.5)</f>
        <v>83.142880157899583</v>
      </c>
      <c r="C110" s="447">
        <f t="shared" si="48"/>
        <v>168.53441057976141</v>
      </c>
      <c r="D110" s="447">
        <f t="shared" si="48"/>
        <v>255.33713327310039</v>
      </c>
      <c r="E110" s="447">
        <f t="shared" si="48"/>
        <v>342.85019038251738</v>
      </c>
      <c r="F110" s="447">
        <f t="shared" si="48"/>
        <v>430.46720059461694</v>
      </c>
      <c r="G110" s="447">
        <f t="shared" si="48"/>
        <v>517.67458334521405</v>
      </c>
      <c r="H110" s="447">
        <f t="shared" si="48"/>
        <v>604.04866016790231</v>
      </c>
      <c r="I110" s="447">
        <f t="shared" si="48"/>
        <v>689.22294077369145</v>
      </c>
      <c r="J110" s="447">
        <f t="shared" si="48"/>
        <v>772.90319960289992</v>
      </c>
      <c r="K110" s="447">
        <f t="shared" si="48"/>
        <v>854.84525147923114</v>
      </c>
      <c r="L110" s="447">
        <f t="shared" si="48"/>
        <v>934.84935653622915</v>
      </c>
      <c r="M110" s="447">
        <f t="shared" si="48"/>
        <v>1012.7609731846534</v>
      </c>
      <c r="N110" s="447">
        <f t="shared" si="48"/>
        <v>1086.6108467850554</v>
      </c>
      <c r="O110" s="447">
        <f t="shared" si="48"/>
        <v>1156.61072697501</v>
      </c>
      <c r="P110" s="447">
        <f t="shared" si="48"/>
        <v>1222.96132431146</v>
      </c>
      <c r="Q110" s="447">
        <f t="shared" si="48"/>
        <v>1285.8528857678107</v>
      </c>
      <c r="R110" s="447">
        <f t="shared" si="48"/>
        <v>1345.4657402288062</v>
      </c>
      <c r="S110" s="447">
        <f t="shared" si="48"/>
        <v>1401.9708155472856</v>
      </c>
      <c r="T110" s="447">
        <f t="shared" si="48"/>
        <v>1455.5301286453703</v>
      </c>
      <c r="U110" s="447">
        <f t="shared" si="48"/>
        <v>1506.2972500653557</v>
      </c>
      <c r="V110" s="447">
        <f t="shared" si="48"/>
        <v>1554.4177443023086</v>
      </c>
      <c r="W110" s="447">
        <f t="shared" si="48"/>
        <v>1600.0295871809371</v>
      </c>
      <c r="X110" s="447">
        <f t="shared" si="48"/>
        <v>1643.2635614734759</v>
      </c>
      <c r="Y110" s="447">
        <f t="shared" si="48"/>
        <v>1684.243631892944</v>
      </c>
      <c r="Z110" s="447">
        <f t="shared" si="48"/>
        <v>1723.0873005369897</v>
      </c>
      <c r="AA110" s="447">
        <f t="shared" si="48"/>
        <v>1759.9059438014879</v>
      </c>
      <c r="AB110" s="447">
        <f t="shared" si="48"/>
        <v>1794.8051317299221</v>
      </c>
      <c r="AC110" s="447">
        <f t="shared" si="48"/>
        <v>1827.88493071422</v>
      </c>
      <c r="AD110" s="447">
        <f t="shared" si="48"/>
        <v>1859.2401904149763</v>
      </c>
      <c r="AE110" s="447">
        <f t="shared" si="48"/>
        <v>1888.9608157237501</v>
      </c>
      <c r="AF110" s="447">
        <f t="shared" si="48"/>
        <v>1917.1320245472323</v>
      </c>
      <c r="AG110" s="447">
        <f t="shared" si="48"/>
        <v>1943.8345921524287</v>
      </c>
      <c r="AH110" s="447">
        <f t="shared" si="48"/>
        <v>1969.1450827734679</v>
      </c>
      <c r="AI110" s="447">
        <f t="shared" si="48"/>
        <v>1993.1360691441214</v>
      </c>
      <c r="AJ110" s="447">
        <f t="shared" si="48"/>
        <v>2015.8763405854991</v>
      </c>
      <c r="AK110" s="447">
        <f t="shared" si="48"/>
        <v>2037.4311002455727</v>
      </c>
      <c r="AL110" s="447">
        <f t="shared" si="48"/>
        <v>2057.8621520560691</v>
      </c>
      <c r="AM110" s="447">
        <f t="shared" si="48"/>
        <v>2077.2280779427956</v>
      </c>
      <c r="AN110" s="447">
        <f t="shared" si="48"/>
        <v>2095.5844057975123</v>
      </c>
      <c r="AO110" s="447">
        <f t="shared" si="48"/>
        <v>2112.9837686929786</v>
      </c>
      <c r="AP110" s="447">
        <f t="shared" si="48"/>
        <v>2129.4760557976861</v>
      </c>
      <c r="AQ110" s="447">
        <f t="shared" si="48"/>
        <v>2145.1085554230012</v>
      </c>
      <c r="AR110" s="447">
        <f t="shared" si="48"/>
        <v>2159.9260906128734</v>
      </c>
      <c r="AS110" s="447">
        <f t="shared" si="48"/>
        <v>2173.9711476648849</v>
      </c>
      <c r="AT110" s="447">
        <f t="shared" si="48"/>
        <v>2187.2839979511518</v>
      </c>
      <c r="AU110" s="447">
        <f t="shared" si="48"/>
        <v>2199.9028133883717</v>
      </c>
      <c r="AV110" s="447">
        <f t="shared" si="48"/>
        <v>2211.8637758881059</v>
      </c>
      <c r="AW110" s="447">
        <f t="shared" si="48"/>
        <v>2223.2011811011243</v>
      </c>
      <c r="AX110" s="447">
        <f t="shared" si="48"/>
        <v>2233.9475367532746</v>
      </c>
      <c r="AY110" s="448">
        <f t="shared" si="48"/>
        <v>2244.1336558548387</v>
      </c>
    </row>
    <row r="111" spans="1:51">
      <c r="A111" s="442" t="s">
        <v>2924</v>
      </c>
      <c r="B111" s="446">
        <f t="shared" si="49"/>
        <v>9.9695080143101027</v>
      </c>
      <c r="C111" s="447">
        <f t="shared" si="48"/>
        <v>19.207027936485396</v>
      </c>
      <c r="D111" s="447">
        <f t="shared" si="48"/>
        <v>27.770532681796588</v>
      </c>
      <c r="E111" s="447">
        <f t="shared" si="48"/>
        <v>35.887598791096295</v>
      </c>
      <c r="F111" s="447">
        <f t="shared" si="48"/>
        <v>43.581500316498861</v>
      </c>
      <c r="G111" s="447">
        <f t="shared" si="48"/>
        <v>50.874297970908877</v>
      </c>
      <c r="H111" s="447">
        <f t="shared" si="48"/>
        <v>57.843389446302268</v>
      </c>
      <c r="I111" s="447">
        <f t="shared" si="48"/>
        <v>64.496012816984674</v>
      </c>
      <c r="J111" s="447">
        <f t="shared" si="48"/>
        <v>70.852567898586869</v>
      </c>
      <c r="K111" s="447">
        <f t="shared" si="48"/>
        <v>76.877738592048672</v>
      </c>
      <c r="L111" s="447">
        <f t="shared" si="48"/>
        <v>82.588800860732846</v>
      </c>
      <c r="M111" s="447">
        <f t="shared" si="48"/>
        <v>88.002130025362391</v>
      </c>
      <c r="N111" s="447">
        <f t="shared" si="48"/>
        <v>93.133247716954372</v>
      </c>
      <c r="O111" s="447">
        <f t="shared" si="48"/>
        <v>97.996866381970477</v>
      </c>
      <c r="P111" s="447">
        <f t="shared" si="48"/>
        <v>102.60693146729379</v>
      </c>
      <c r="Q111" s="447">
        <f t="shared" si="48"/>
        <v>106.97666140598888</v>
      </c>
      <c r="R111" s="447">
        <f t="shared" si="48"/>
        <v>111.11858551849608</v>
      </c>
      <c r="S111" s="447">
        <f t="shared" si="48"/>
        <v>115.04457993793417</v>
      </c>
      <c r="T111" s="447">
        <f t="shared" si="48"/>
        <v>118.76590166252005</v>
      </c>
      <c r="U111" s="447">
        <f t="shared" si="48"/>
        <v>122.29322083274363</v>
      </c>
      <c r="V111" s="447">
        <f t="shared" si="48"/>
        <v>125.63665132584654</v>
      </c>
      <c r="W111" s="447">
        <f t="shared" si="48"/>
        <v>128.80577975532799</v>
      </c>
      <c r="X111" s="447">
        <f t="shared" si="48"/>
        <v>131.80969295862792</v>
      </c>
      <c r="Y111" s="447">
        <f t="shared" si="48"/>
        <v>134.65700405180323</v>
      </c>
      <c r="Z111" s="447">
        <f t="shared" si="48"/>
        <v>137.35587712590305</v>
      </c>
      <c r="AA111" s="447">
        <f t="shared" si="48"/>
        <v>139.91405065585548</v>
      </c>
      <c r="AB111" s="447">
        <f t="shared" si="48"/>
        <v>142.33885968898574</v>
      </c>
      <c r="AC111" s="447">
        <f t="shared" si="48"/>
        <v>144.63725687678692</v>
      </c>
      <c r="AD111" s="447">
        <f t="shared" si="48"/>
        <v>146.81583241024776</v>
      </c>
      <c r="AE111" s="447">
        <f t="shared" si="48"/>
        <v>148.88083291589786</v>
      </c>
      <c r="AF111" s="447">
        <f t="shared" si="48"/>
        <v>150.83817936675104</v>
      </c>
      <c r="AG111" s="447">
        <f t="shared" si="48"/>
        <v>152.69348405950285</v>
      </c>
      <c r="AH111" s="447">
        <f t="shared" si="48"/>
        <v>154.45206670666099</v>
      </c>
      <c r="AI111" s="447">
        <f t="shared" si="48"/>
        <v>156.11896968974926</v>
      </c>
      <c r="AJ111" s="447">
        <f t="shared" si="48"/>
        <v>157.6989725173211</v>
      </c>
      <c r="AK111" s="447">
        <f t="shared" si="48"/>
        <v>159.1966055292375</v>
      </c>
      <c r="AL111" s="447">
        <f t="shared" si="48"/>
        <v>160.61616288650424</v>
      </c>
      <c r="AM111" s="447">
        <f t="shared" si="48"/>
        <v>161.96171488391349</v>
      </c>
      <c r="AN111" s="447">
        <f t="shared" si="48"/>
        <v>163.23711962079429</v>
      </c>
      <c r="AO111" s="447">
        <f t="shared" si="48"/>
        <v>164.44603406333533</v>
      </c>
      <c r="AP111" s="447">
        <f t="shared" si="48"/>
        <v>165.59192453019887</v>
      </c>
      <c r="AQ111" s="447">
        <f t="shared" si="48"/>
        <v>166.67807663149134</v>
      </c>
      <c r="AR111" s="447">
        <f t="shared" si="48"/>
        <v>167.70760468958846</v>
      </c>
      <c r="AS111" s="447">
        <f t="shared" si="48"/>
        <v>168.68346066882745</v>
      </c>
      <c r="AT111" s="447">
        <f t="shared" si="48"/>
        <v>169.60844263967007</v>
      </c>
      <c r="AU111" s="447">
        <f t="shared" si="48"/>
        <v>170.48520280160622</v>
      </c>
      <c r="AV111" s="447">
        <f t="shared" si="48"/>
        <v>171.31625508780161</v>
      </c>
      <c r="AW111" s="447">
        <f t="shared" si="48"/>
        <v>172.10398237329488</v>
      </c>
      <c r="AX111" s="447">
        <f t="shared" si="48"/>
        <v>172.85064330741173</v>
      </c>
      <c r="AY111" s="448">
        <f t="shared" si="48"/>
        <v>173.55837878998693</v>
      </c>
    </row>
    <row r="112" spans="1:51">
      <c r="A112" s="442" t="s">
        <v>2925</v>
      </c>
      <c r="B112" s="446">
        <f t="shared" si="49"/>
        <v>9.2028100102799062</v>
      </c>
      <c r="C112" s="447">
        <f t="shared" si="48"/>
        <v>17.724368306785436</v>
      </c>
      <c r="D112" s="447">
        <f t="shared" si="48"/>
        <v>25.614338971004738</v>
      </c>
      <c r="E112" s="447">
        <f t="shared" si="48"/>
        <v>33.092984150359527</v>
      </c>
      <c r="F112" s="447">
        <f t="shared" si="48"/>
        <v>40.181747353539421</v>
      </c>
      <c r="G112" s="447">
        <f t="shared" si="48"/>
        <v>46.900954181198088</v>
      </c>
      <c r="H112" s="447">
        <f t="shared" si="48"/>
        <v>53.322238820759729</v>
      </c>
      <c r="I112" s="447">
        <f t="shared" si="48"/>
        <v>59.509156246227533</v>
      </c>
      <c r="J112" s="447">
        <f t="shared" si="48"/>
        <v>65.373532952832093</v>
      </c>
      <c r="K112" s="447">
        <f t="shared" si="48"/>
        <v>70.932183859566265</v>
      </c>
      <c r="L112" s="447">
        <f t="shared" si="48"/>
        <v>76.201047278271645</v>
      </c>
      <c r="M112" s="447">
        <f t="shared" si="48"/>
        <v>81.195230613537404</v>
      </c>
      <c r="N112" s="447">
        <f t="shared" si="48"/>
        <v>85.929053680140029</v>
      </c>
      <c r="O112" s="447">
        <f t="shared" si="48"/>
        <v>90.416089762227827</v>
      </c>
      <c r="P112" s="447">
        <f t="shared" si="48"/>
        <v>94.66920453197929</v>
      </c>
      <c r="Q112" s="447">
        <f t="shared" si="48"/>
        <v>98.70059293932664</v>
      </c>
      <c r="R112" s="447">
        <f t="shared" si="48"/>
        <v>102.52181417851845</v>
      </c>
      <c r="S112" s="447">
        <f t="shared" si="48"/>
        <v>106.14382483178083</v>
      </c>
      <c r="T112" s="447">
        <f t="shared" si="48"/>
        <v>109.57701028511011</v>
      </c>
      <c r="U112" s="447">
        <f t="shared" si="48"/>
        <v>112.83121450627529</v>
      </c>
      <c r="V112" s="447">
        <f t="shared" si="48"/>
        <v>115.9157682704129</v>
      </c>
      <c r="W112" s="447">
        <f t="shared" si="48"/>
        <v>118.83951591414524</v>
      </c>
      <c r="X112" s="447">
        <f t="shared" si="48"/>
        <v>121.61084069493418</v>
      </c>
      <c r="Y112" s="447">
        <f t="shared" si="48"/>
        <v>124.23768882838341</v>
      </c>
      <c r="Z112" s="447">
        <f t="shared" si="48"/>
        <v>126.72759227241113</v>
      </c>
      <c r="AA112" s="447">
        <f t="shared" si="48"/>
        <v>129.08769032362224</v>
      </c>
      <c r="AB112" s="447">
        <f t="shared" si="48"/>
        <v>131.32475008780338</v>
      </c>
      <c r="AC112" s="447">
        <f t="shared" si="48"/>
        <v>133.44518588323575</v>
      </c>
      <c r="AD112" s="447">
        <f t="shared" si="48"/>
        <v>135.45507763246073</v>
      </c>
      <c r="AE112" s="447">
        <f t="shared" si="48"/>
        <v>137.36018829523323</v>
      </c>
      <c r="AF112" s="447">
        <f t="shared" si="48"/>
        <v>139.16598039264792</v>
      </c>
      <c r="AG112" s="447">
        <f t="shared" si="48"/>
        <v>140.87763166981824</v>
      </c>
      <c r="AH112" s="447">
        <f t="shared" si="48"/>
        <v>142.5000499420176</v>
      </c>
      <c r="AI112" s="447">
        <f t="shared" si="48"/>
        <v>144.03788716685111</v>
      </c>
      <c r="AJ112" s="447">
        <f t="shared" si="48"/>
        <v>145.49555278280704</v>
      </c>
      <c r="AK112" s="447">
        <f t="shared" si="48"/>
        <v>146.87722635243352</v>
      </c>
      <c r="AL112" s="447">
        <f t="shared" si="48"/>
        <v>148.18686954639227</v>
      </c>
      <c r="AM112" s="447">
        <f t="shared" si="48"/>
        <v>149.42823750275127</v>
      </c>
      <c r="AN112" s="447">
        <f t="shared" si="48"/>
        <v>150.60488959408681</v>
      </c>
      <c r="AO112" s="447">
        <f t="shared" si="48"/>
        <v>151.72019963326744</v>
      </c>
      <c r="AP112" s="447">
        <f t="shared" si="48"/>
        <v>152.77736554718271</v>
      </c>
      <c r="AQ112" s="447">
        <f t="shared" si="48"/>
        <v>153.77941854615455</v>
      </c>
      <c r="AR112" s="447">
        <f t="shared" si="48"/>
        <v>154.72923181532215</v>
      </c>
      <c r="AS112" s="447">
        <f t="shared" si="48"/>
        <v>155.62952875292177</v>
      </c>
      <c r="AT112" s="447">
        <f t="shared" si="48"/>
        <v>156.48289077908257</v>
      </c>
      <c r="AU112" s="447">
        <f t="shared" si="48"/>
        <v>157.29176473752881</v>
      </c>
      <c r="AV112" s="447">
        <f t="shared" si="48"/>
        <v>158.05846991141149</v>
      </c>
      <c r="AW112" s="447">
        <f t="shared" si="48"/>
        <v>158.78520467338561</v>
      </c>
      <c r="AX112" s="447">
        <f t="shared" si="48"/>
        <v>159.47405278900089</v>
      </c>
      <c r="AY112" s="448">
        <f t="shared" si="48"/>
        <v>160.12698939147984</v>
      </c>
    </row>
    <row r="113" spans="1:51">
      <c r="A113" s="442" t="s">
        <v>2926</v>
      </c>
      <c r="B113" s="446">
        <f t="shared" si="49"/>
        <v>7.0689328859713552</v>
      </c>
      <c r="C113" s="447">
        <f t="shared" si="48"/>
        <v>14.369698136716529</v>
      </c>
      <c r="D113" s="447">
        <f t="shared" si="48"/>
        <v>21.541967331637562</v>
      </c>
      <c r="E113" s="447">
        <f t="shared" si="48"/>
        <v>28.51267627318699</v>
      </c>
      <c r="F113" s="447">
        <f t="shared" si="48"/>
        <v>35.250642077004798</v>
      </c>
      <c r="G113" s="447">
        <f t="shared" si="48"/>
        <v>41.746987388541662</v>
      </c>
      <c r="H113" s="447">
        <f t="shared" si="48"/>
        <v>47.980700711127561</v>
      </c>
      <c r="I113" s="447">
        <f t="shared" si="48"/>
        <v>53.925864208141782</v>
      </c>
      <c r="J113" s="447">
        <f t="shared" si="48"/>
        <v>59.641723748881354</v>
      </c>
      <c r="K113" s="447">
        <f t="shared" si="48"/>
        <v>65.083644011797688</v>
      </c>
      <c r="L113" s="447">
        <f t="shared" si="48"/>
        <v>70.302178243051259</v>
      </c>
      <c r="M113" s="447">
        <f t="shared" si="48"/>
        <v>75.296787022973902</v>
      </c>
      <c r="N113" s="447">
        <f t="shared" si="48"/>
        <v>80.02975889547298</v>
      </c>
      <c r="O113" s="447">
        <f t="shared" si="48"/>
        <v>84.55046652586843</v>
      </c>
      <c r="P113" s="447">
        <f t="shared" si="48"/>
        <v>88.867652559080511</v>
      </c>
      <c r="Q113" s="447">
        <f t="shared" si="48"/>
        <v>92.986957075656932</v>
      </c>
      <c r="R113" s="447">
        <f t="shared" si="48"/>
        <v>96.884761614834133</v>
      </c>
      <c r="S113" s="447">
        <f t="shared" si="48"/>
        <v>100.57041386849632</v>
      </c>
      <c r="T113" s="447">
        <f t="shared" si="48"/>
        <v>104.05103570691571</v>
      </c>
      <c r="U113" s="447">
        <f t="shared" si="48"/>
        <v>107.35020332627059</v>
      </c>
      <c r="V113" s="447">
        <f t="shared" si="48"/>
        <v>110.47737642518516</v>
      </c>
      <c r="W113" s="447">
        <f t="shared" si="48"/>
        <v>113.44152154263973</v>
      </c>
      <c r="X113" s="447">
        <f t="shared" si="48"/>
        <v>116.25113776771516</v>
      </c>
      <c r="Y113" s="447">
        <f t="shared" si="48"/>
        <v>118.91428110901889</v>
      </c>
      <c r="Z113" s="447">
        <f t="shared" si="48"/>
        <v>121.43858759366697</v>
      </c>
      <c r="AA113" s="447">
        <f t="shared" si="48"/>
        <v>123.83129516205376</v>
      </c>
      <c r="AB113" s="447">
        <f t="shared" si="48"/>
        <v>126.09926442118817</v>
      </c>
      <c r="AC113" s="447">
        <f t="shared" si="48"/>
        <v>128.2489983161023</v>
      </c>
      <c r="AD113" s="447">
        <f t="shared" si="48"/>
        <v>130.28666077573655</v>
      </c>
      <c r="AE113" s="447">
        <f t="shared" si="48"/>
        <v>132.21809438676428</v>
      </c>
      <c r="AF113" s="447">
        <f t="shared" si="48"/>
        <v>134.04883714603227</v>
      </c>
      <c r="AG113" s="447">
        <f t="shared" si="48"/>
        <v>135.78413833965121</v>
      </c>
      <c r="AH113" s="447">
        <f t="shared" si="48"/>
        <v>137.42897359426632</v>
      </c>
      <c r="AI113" s="447">
        <f t="shared" si="48"/>
        <v>138.98805914366454</v>
      </c>
      <c r="AJ113" s="447">
        <f t="shared" si="48"/>
        <v>140.46586535162493</v>
      </c>
      <c r="AK113" s="447">
        <f t="shared" si="48"/>
        <v>141.86662952978642</v>
      </c>
      <c r="AL113" s="447">
        <f t="shared" si="48"/>
        <v>143.19436808728548</v>
      </c>
      <c r="AM113" s="447">
        <f t="shared" si="48"/>
        <v>144.45288804700024</v>
      </c>
      <c r="AN113" s="447">
        <f t="shared" si="48"/>
        <v>145.64579796142181</v>
      </c>
      <c r="AO113" s="447">
        <f t="shared" si="48"/>
        <v>146.77651825945173</v>
      </c>
      <c r="AP113" s="447">
        <f t="shared" si="48"/>
        <v>147.84829105379288</v>
      </c>
      <c r="AQ113" s="447">
        <f t="shared" si="48"/>
        <v>148.86418943705462</v>
      </c>
      <c r="AR113" s="447">
        <f t="shared" si="48"/>
        <v>149.82712629322691</v>
      </c>
      <c r="AS113" s="447">
        <f t="shared" si="48"/>
        <v>150.73986264978831</v>
      </c>
      <c r="AT113" s="447">
        <f t="shared" si="48"/>
        <v>151.60501559439626</v>
      </c>
      <c r="AU113" s="447">
        <f t="shared" si="48"/>
        <v>152.42506577885879</v>
      </c>
      <c r="AV113" s="447">
        <f t="shared" si="48"/>
        <v>153.20236453190384</v>
      </c>
      <c r="AW113" s="447">
        <f t="shared" si="48"/>
        <v>153.93914060114085</v>
      </c>
      <c r="AX113" s="447">
        <f t="shared" si="48"/>
        <v>154.63750654354561</v>
      </c>
      <c r="AY113" s="448">
        <f t="shared" si="48"/>
        <v>155.29946478279183</v>
      </c>
    </row>
    <row r="114" spans="1:51">
      <c r="A114" s="442" t="s">
        <v>2905</v>
      </c>
      <c r="B114" s="443">
        <f t="shared" si="49"/>
        <v>6.1141123369011178E-3</v>
      </c>
      <c r="C114" s="444">
        <f t="shared" si="48"/>
        <v>1.1835653147838862E-2</v>
      </c>
      <c r="D114" s="444">
        <f t="shared" si="48"/>
        <v>1.718893701314065E-2</v>
      </c>
      <c r="E114" s="444">
        <f t="shared" si="48"/>
        <v>2.2163645558166009E-2</v>
      </c>
      <c r="F114" s="444">
        <f t="shared" si="48"/>
        <v>2.6784701836957338E-2</v>
      </c>
      <c r="G114" s="444">
        <f t="shared" si="48"/>
        <v>3.1082908421834338E-2</v>
      </c>
      <c r="H114" s="444">
        <f t="shared" si="48"/>
        <v>3.5157037886172721E-2</v>
      </c>
      <c r="I114" s="444">
        <f t="shared" si="48"/>
        <v>3.9012079195542004E-2</v>
      </c>
      <c r="J114" s="444">
        <f t="shared" si="48"/>
        <v>4.2666146787361234E-2</v>
      </c>
      <c r="K114" s="444">
        <f t="shared" si="48"/>
        <v>4.6123704820036415E-2</v>
      </c>
      <c r="L114" s="444">
        <f t="shared" si="48"/>
        <v>4.9401011012145592E-2</v>
      </c>
      <c r="M114" s="444">
        <f t="shared" ref="M114:AY116" si="50">(M103/(1+$C$3)^(M$16-0.5)+L114)</f>
        <v>5.2507462379073722E-2</v>
      </c>
      <c r="N114" s="444">
        <f t="shared" si="50"/>
        <v>5.5446845168468734E-2</v>
      </c>
      <c r="O114" s="444">
        <f t="shared" si="50"/>
        <v>5.8232989992539834E-2</v>
      </c>
      <c r="P114" s="444">
        <f t="shared" si="50"/>
        <v>6.0869284697021131E-2</v>
      </c>
      <c r="Q114" s="444">
        <f t="shared" si="50"/>
        <v>6.3368142236813835E-2</v>
      </c>
      <c r="R114" s="444">
        <f t="shared" si="50"/>
        <v>6.5736727582588902E-2</v>
      </c>
      <c r="S114" s="444">
        <f t="shared" si="50"/>
        <v>6.7981832175740636E-2</v>
      </c>
      <c r="T114" s="444">
        <f t="shared" si="50"/>
        <v>7.0109893401476872E-2</v>
      </c>
      <c r="U114" s="444">
        <f t="shared" si="50"/>
        <v>7.2127013046724489E-2</v>
      </c>
      <c r="V114" s="444">
        <f t="shared" si="50"/>
        <v>7.4038974795774357E-2</v>
      </c>
      <c r="W114" s="444">
        <f t="shared" si="50"/>
        <v>7.5851260813831103E-2</v>
      </c>
      <c r="X114" s="444">
        <f t="shared" si="50"/>
        <v>7.7569067466017591E-2</v>
      </c>
      <c r="Y114" s="444">
        <f t="shared" si="50"/>
        <v>7.9197320216905259E-2</v>
      </c>
      <c r="Z114" s="444">
        <f t="shared" si="50"/>
        <v>8.0740687753291684E-2</v>
      </c>
      <c r="AA114" s="444">
        <f t="shared" si="50"/>
        <v>8.220359537071957E-2</v>
      </c>
      <c r="AB114" s="444">
        <f t="shared" si="50"/>
        <v>8.3590237662120412E-2</v>
      </c>
      <c r="AC114" s="444">
        <f t="shared" si="50"/>
        <v>8.4904590544964811E-2</v>
      </c>
      <c r="AD114" s="444">
        <f t="shared" si="50"/>
        <v>8.6150422661405004E-2</v>
      </c>
      <c r="AE114" s="444">
        <f t="shared" si="50"/>
        <v>8.7331306184097124E-2</v>
      </c>
      <c r="AF114" s="444">
        <f t="shared" si="50"/>
        <v>8.8450627058686809E-2</v>
      </c>
      <c r="AG114" s="444">
        <f t="shared" si="50"/>
        <v>8.9511594712326323E-2</v>
      </c>
      <c r="AH114" s="444">
        <f t="shared" si="50"/>
        <v>9.0517251256060458E-2</v>
      </c>
      <c r="AI114" s="444">
        <f t="shared" si="50"/>
        <v>9.1470480207467217E-2</v>
      </c>
      <c r="AJ114" s="444">
        <f t="shared" si="50"/>
        <v>9.2374014758563674E-2</v>
      </c>
      <c r="AK114" s="444">
        <f t="shared" si="50"/>
        <v>9.3230445612683538E-2</v>
      </c>
      <c r="AL114" s="444">
        <f t="shared" si="50"/>
        <v>9.4042228412797163E-2</v>
      </c>
      <c r="AM114" s="444">
        <f t="shared" si="50"/>
        <v>9.4811690782573108E-2</v>
      </c>
      <c r="AN114" s="444">
        <f t="shared" si="50"/>
        <v>9.5541039000370212E-2</v>
      </c>
      <c r="AO114" s="444">
        <f t="shared" si="50"/>
        <v>9.6232364325296374E-2</v>
      </c>
      <c r="AP114" s="444">
        <f t="shared" si="50"/>
        <v>9.6887648993472825E-2</v>
      </c>
      <c r="AQ114" s="444">
        <f t="shared" si="50"/>
        <v>9.7508771901696961E-2</v>
      </c>
      <c r="AR114" s="444">
        <f t="shared" si="50"/>
        <v>9.8097513994800406E-2</v>
      </c>
      <c r="AS114" s="444">
        <f t="shared" si="50"/>
        <v>9.8655563372149632E-2</v>
      </c>
      <c r="AT114" s="444">
        <f t="shared" si="50"/>
        <v>9.91845201279309E-2</v>
      </c>
      <c r="AU114" s="444">
        <f t="shared" si="50"/>
        <v>9.9685900939097974E-2</v>
      </c>
      <c r="AV114" s="444">
        <f t="shared" si="50"/>
        <v>0.10016114341413786</v>
      </c>
      <c r="AW114" s="444">
        <f t="shared" si="50"/>
        <v>0.10061161021512352</v>
      </c>
      <c r="AX114" s="444">
        <f t="shared" si="50"/>
        <v>0.10103859296487297</v>
      </c>
      <c r="AY114" s="445">
        <f t="shared" si="50"/>
        <v>0.10144331595041747</v>
      </c>
    </row>
    <row r="115" spans="1:51">
      <c r="A115" s="442" t="s">
        <v>2906</v>
      </c>
      <c r="B115" s="446">
        <f t="shared" si="49"/>
        <v>0.85432063306221828</v>
      </c>
      <c r="C115" s="447">
        <f t="shared" ref="C115:AH116" si="51">(C104/(1+$C$3)^(C$16-0.5)+B115)</f>
        <v>1.6641032236425202</v>
      </c>
      <c r="D115" s="447">
        <f t="shared" si="51"/>
        <v>2.4316696602115266</v>
      </c>
      <c r="E115" s="447">
        <f t="shared" si="51"/>
        <v>3.1592207849214855</v>
      </c>
      <c r="F115" s="447">
        <f t="shared" si="51"/>
        <v>3.8488427040778443</v>
      </c>
      <c r="G115" s="447">
        <f t="shared" si="51"/>
        <v>4.502512769628896</v>
      </c>
      <c r="H115" s="447">
        <f t="shared" si="51"/>
        <v>5.1221052488242051</v>
      </c>
      <c r="I115" s="447">
        <f t="shared" si="51"/>
        <v>5.7093966982984323</v>
      </c>
      <c r="J115" s="447">
        <f t="shared" si="51"/>
        <v>6.2660710579896426</v>
      </c>
      <c r="K115" s="447">
        <f t="shared" si="51"/>
        <v>6.7937244794978984</v>
      </c>
      <c r="L115" s="447">
        <f t="shared" si="51"/>
        <v>7.2938699027284732</v>
      </c>
      <c r="M115" s="447">
        <f t="shared" si="51"/>
        <v>7.7679413939422881</v>
      </c>
      <c r="N115" s="447">
        <f t="shared" si="51"/>
        <v>8.2172982576520646</v>
      </c>
      <c r="O115" s="447">
        <f t="shared" si="51"/>
        <v>8.643228934154223</v>
      </c>
      <c r="P115" s="447">
        <f t="shared" si="51"/>
        <v>9.0469546938719088</v>
      </c>
      <c r="Q115" s="447">
        <f t="shared" si="51"/>
        <v>9.4296331391019432</v>
      </c>
      <c r="R115" s="447">
        <f t="shared" si="51"/>
        <v>9.7923615232062406</v>
      </c>
      <c r="S115" s="447">
        <f t="shared" si="51"/>
        <v>10.136179896764817</v>
      </c>
      <c r="T115" s="447">
        <f t="shared" si="51"/>
        <v>10.462074089711335</v>
      </c>
      <c r="U115" s="447">
        <f t="shared" si="51"/>
        <v>10.770978538001872</v>
      </c>
      <c r="V115" s="447">
        <f t="shared" si="51"/>
        <v>11.063778962921813</v>
      </c>
      <c r="W115" s="447">
        <f t="shared" si="51"/>
        <v>11.341314910713226</v>
      </c>
      <c r="X115" s="447">
        <f t="shared" si="51"/>
        <v>11.604382159804613</v>
      </c>
      <c r="Y115" s="447">
        <f t="shared" si="51"/>
        <v>11.853735002545264</v>
      </c>
      <c r="Z115" s="447">
        <f t="shared" si="51"/>
        <v>12.09008840798664</v>
      </c>
      <c r="AA115" s="447">
        <f t="shared" si="51"/>
        <v>12.314120071912114</v>
      </c>
      <c r="AB115" s="447">
        <f t="shared" si="51"/>
        <v>12.526472359993132</v>
      </c>
      <c r="AC115" s="447">
        <f t="shared" si="51"/>
        <v>12.727754149643387</v>
      </c>
      <c r="AD115" s="447">
        <f t="shared" si="51"/>
        <v>12.918542575852159</v>
      </c>
      <c r="AE115" s="447">
        <f t="shared" si="51"/>
        <v>13.099384686002654</v>
      </c>
      <c r="AF115" s="447">
        <f t="shared" si="51"/>
        <v>13.270799008420186</v>
      </c>
      <c r="AG115" s="447">
        <f t="shared" si="51"/>
        <v>13.433277039147702</v>
      </c>
      <c r="AH115" s="447">
        <f t="shared" si="51"/>
        <v>13.5872846512117</v>
      </c>
      <c r="AI115" s="447">
        <f t="shared" si="50"/>
        <v>13.73326343041928</v>
      </c>
      <c r="AJ115" s="447">
        <f t="shared" si="50"/>
        <v>13.871631941516512</v>
      </c>
      <c r="AK115" s="447">
        <f t="shared" si="50"/>
        <v>14.002786928338534</v>
      </c>
      <c r="AL115" s="447">
        <f t="shared" si="50"/>
        <v>14.127104451392583</v>
      </c>
      <c r="AM115" s="447">
        <f t="shared" si="50"/>
        <v>14.244940966135758</v>
      </c>
      <c r="AN115" s="447">
        <f t="shared" si="50"/>
        <v>14.356634345039241</v>
      </c>
      <c r="AO115" s="447">
        <f t="shared" si="50"/>
        <v>14.462504846369557</v>
      </c>
      <c r="AP115" s="447">
        <f t="shared" si="50"/>
        <v>14.562856032464643</v>
      </c>
      <c r="AQ115" s="447">
        <f t="shared" si="50"/>
        <v>14.65797564013771</v>
      </c>
      <c r="AR115" s="447">
        <f t="shared" si="50"/>
        <v>14.748136405704599</v>
      </c>
      <c r="AS115" s="447">
        <f t="shared" si="50"/>
        <v>14.833596847000228</v>
      </c>
      <c r="AT115" s="447">
        <f t="shared" si="50"/>
        <v>14.914602004626417</v>
      </c>
      <c r="AU115" s="447">
        <f t="shared" si="50"/>
        <v>14.991384144556454</v>
      </c>
      <c r="AV115" s="447">
        <f t="shared" si="50"/>
        <v>15.064163424110991</v>
      </c>
      <c r="AW115" s="447">
        <f t="shared" si="50"/>
        <v>15.133148523214818</v>
      </c>
      <c r="AX115" s="447">
        <f t="shared" si="50"/>
        <v>15.198537242744511</v>
      </c>
      <c r="AY115" s="448">
        <f t="shared" si="50"/>
        <v>15.260517071682608</v>
      </c>
    </row>
    <row r="116" spans="1:51" ht="12.75" thickBot="1">
      <c r="A116" s="449" t="s">
        <v>2907</v>
      </c>
      <c r="B116" s="450">
        <f t="shared" si="49"/>
        <v>0.85432063306221828</v>
      </c>
      <c r="C116" s="451">
        <f t="shared" si="51"/>
        <v>1.6641032236425202</v>
      </c>
      <c r="D116" s="451">
        <f t="shared" si="51"/>
        <v>2.4316696602115266</v>
      </c>
      <c r="E116" s="451">
        <f t="shared" si="51"/>
        <v>3.1592207849214855</v>
      </c>
      <c r="F116" s="451">
        <f t="shared" si="51"/>
        <v>3.8488427040778443</v>
      </c>
      <c r="G116" s="451">
        <f t="shared" si="51"/>
        <v>4.502512769628896</v>
      </c>
      <c r="H116" s="451">
        <f t="shared" si="51"/>
        <v>5.1221052488242051</v>
      </c>
      <c r="I116" s="451">
        <f t="shared" si="51"/>
        <v>5.7093966982984323</v>
      </c>
      <c r="J116" s="451">
        <f t="shared" si="51"/>
        <v>6.2660710579896426</v>
      </c>
      <c r="K116" s="451">
        <f t="shared" si="51"/>
        <v>6.7937244794978984</v>
      </c>
      <c r="L116" s="451">
        <f t="shared" si="51"/>
        <v>7.2938699027284732</v>
      </c>
      <c r="M116" s="451">
        <f t="shared" si="51"/>
        <v>7.7679413939422881</v>
      </c>
      <c r="N116" s="451">
        <f t="shared" si="51"/>
        <v>8.2172982576520646</v>
      </c>
      <c r="O116" s="451">
        <f t="shared" si="51"/>
        <v>8.643228934154223</v>
      </c>
      <c r="P116" s="451">
        <f t="shared" si="51"/>
        <v>9.0469546938719088</v>
      </c>
      <c r="Q116" s="451">
        <f t="shared" si="51"/>
        <v>9.4296331391019432</v>
      </c>
      <c r="R116" s="451">
        <f t="shared" si="51"/>
        <v>9.7923615232062406</v>
      </c>
      <c r="S116" s="451">
        <f t="shared" si="51"/>
        <v>10.136179896764817</v>
      </c>
      <c r="T116" s="451">
        <f t="shared" si="51"/>
        <v>10.462074089711335</v>
      </c>
      <c r="U116" s="451">
        <f t="shared" si="51"/>
        <v>10.770978538001872</v>
      </c>
      <c r="V116" s="451">
        <f t="shared" si="51"/>
        <v>11.063778962921813</v>
      </c>
      <c r="W116" s="451">
        <f t="shared" si="51"/>
        <v>11.341314910713226</v>
      </c>
      <c r="X116" s="451">
        <f t="shared" si="51"/>
        <v>11.604382159804613</v>
      </c>
      <c r="Y116" s="451">
        <f t="shared" si="51"/>
        <v>11.853735002545264</v>
      </c>
      <c r="Z116" s="451">
        <f t="shared" si="51"/>
        <v>12.09008840798664</v>
      </c>
      <c r="AA116" s="451">
        <f t="shared" si="51"/>
        <v>12.314120071912114</v>
      </c>
      <c r="AB116" s="451">
        <f t="shared" si="51"/>
        <v>12.526472359993132</v>
      </c>
      <c r="AC116" s="451">
        <f t="shared" si="51"/>
        <v>12.727754149643387</v>
      </c>
      <c r="AD116" s="451">
        <f t="shared" si="51"/>
        <v>12.918542575852159</v>
      </c>
      <c r="AE116" s="451">
        <f t="shared" si="51"/>
        <v>13.099384686002654</v>
      </c>
      <c r="AF116" s="451">
        <f t="shared" si="51"/>
        <v>13.270799008420186</v>
      </c>
      <c r="AG116" s="451">
        <f t="shared" si="51"/>
        <v>13.433277039147702</v>
      </c>
      <c r="AH116" s="451">
        <f t="shared" si="51"/>
        <v>13.5872846512117</v>
      </c>
      <c r="AI116" s="451">
        <f t="shared" si="50"/>
        <v>13.73326343041928</v>
      </c>
      <c r="AJ116" s="451">
        <f t="shared" si="50"/>
        <v>13.871631941516512</v>
      </c>
      <c r="AK116" s="451">
        <f t="shared" si="50"/>
        <v>14.002786928338534</v>
      </c>
      <c r="AL116" s="451">
        <f t="shared" si="50"/>
        <v>14.127104451392583</v>
      </c>
      <c r="AM116" s="451">
        <f t="shared" si="50"/>
        <v>14.244940966135758</v>
      </c>
      <c r="AN116" s="451">
        <f t="shared" si="50"/>
        <v>14.356634345039241</v>
      </c>
      <c r="AO116" s="451">
        <f t="shared" si="50"/>
        <v>14.462504846369557</v>
      </c>
      <c r="AP116" s="451">
        <f t="shared" si="50"/>
        <v>14.562856032464643</v>
      </c>
      <c r="AQ116" s="451">
        <f t="shared" si="50"/>
        <v>14.65797564013771</v>
      </c>
      <c r="AR116" s="451">
        <f t="shared" si="50"/>
        <v>14.748136405704599</v>
      </c>
      <c r="AS116" s="451">
        <f t="shared" si="50"/>
        <v>14.833596847000228</v>
      </c>
      <c r="AT116" s="451">
        <f t="shared" si="50"/>
        <v>14.914602004626417</v>
      </c>
      <c r="AU116" s="451">
        <f t="shared" si="50"/>
        <v>14.991384144556454</v>
      </c>
      <c r="AV116" s="451">
        <f t="shared" si="50"/>
        <v>15.064163424110991</v>
      </c>
      <c r="AW116" s="451">
        <f t="shared" si="50"/>
        <v>15.133148523214818</v>
      </c>
      <c r="AX116" s="451">
        <f t="shared" si="50"/>
        <v>15.198537242744511</v>
      </c>
      <c r="AY116" s="452">
        <f t="shared" si="50"/>
        <v>15.260517071682608</v>
      </c>
    </row>
    <row r="118" spans="1:51" ht="15.75">
      <c r="A118" s="454" t="s">
        <v>2915</v>
      </c>
      <c r="B118" s="453"/>
      <c r="C118" s="453"/>
      <c r="D118" s="453"/>
      <c r="E118" s="453"/>
      <c r="F118" s="453"/>
      <c r="G118" s="453"/>
      <c r="H118" s="453"/>
      <c r="I118" s="453"/>
      <c r="J118" s="453"/>
      <c r="K118" s="453"/>
      <c r="L118" s="453"/>
      <c r="M118" s="453"/>
      <c r="N118" s="453"/>
      <c r="O118" s="453"/>
      <c r="P118" s="453"/>
      <c r="Q118" s="453"/>
      <c r="R118" s="453"/>
      <c r="S118" s="453"/>
      <c r="T118" s="453"/>
      <c r="U118" s="453"/>
      <c r="V118" s="453"/>
      <c r="W118" s="453"/>
      <c r="X118" s="453"/>
      <c r="Y118" s="453"/>
      <c r="Z118" s="453"/>
      <c r="AA118" s="453"/>
      <c r="AB118" s="453"/>
      <c r="AC118" s="453"/>
      <c r="AD118" s="453"/>
      <c r="AE118" s="453"/>
      <c r="AF118" s="453"/>
      <c r="AG118" s="453"/>
      <c r="AH118" s="453"/>
      <c r="AI118" s="453"/>
      <c r="AJ118" s="453"/>
      <c r="AK118" s="453"/>
      <c r="AL118" s="453"/>
      <c r="AM118" s="453"/>
      <c r="AN118" s="453"/>
      <c r="AO118" s="453"/>
      <c r="AP118" s="453"/>
      <c r="AQ118" s="453"/>
      <c r="AR118" s="453"/>
      <c r="AS118" s="453"/>
      <c r="AT118" s="453"/>
      <c r="AU118" s="453"/>
      <c r="AV118" s="453"/>
      <c r="AW118" s="453"/>
      <c r="AX118" s="453"/>
      <c r="AY118" s="453"/>
    </row>
    <row r="119" spans="1:51" ht="15.75" thickBot="1">
      <c r="A119" s="433" t="s">
        <v>2898</v>
      </c>
    </row>
    <row r="120" spans="1:51" ht="12.75" thickBot="1">
      <c r="A120" s="434" t="s">
        <v>2899</v>
      </c>
      <c r="B120" s="435">
        <v>2010</v>
      </c>
      <c r="C120" s="436">
        <v>2011</v>
      </c>
      <c r="D120" s="436">
        <v>2012</v>
      </c>
      <c r="E120" s="436">
        <v>2013</v>
      </c>
      <c r="F120" s="436">
        <v>2014</v>
      </c>
      <c r="G120" s="436">
        <v>2015</v>
      </c>
      <c r="H120" s="436">
        <v>2016</v>
      </c>
      <c r="I120" s="436">
        <v>2017</v>
      </c>
      <c r="J120" s="436">
        <v>2018</v>
      </c>
      <c r="K120" s="436">
        <v>2019</v>
      </c>
      <c r="L120" s="436">
        <v>2020</v>
      </c>
      <c r="M120" s="436">
        <v>2021</v>
      </c>
      <c r="N120" s="436">
        <v>2022</v>
      </c>
      <c r="O120" s="436">
        <v>2023</v>
      </c>
      <c r="P120" s="436">
        <v>2024</v>
      </c>
      <c r="Q120" s="436">
        <v>2025</v>
      </c>
      <c r="R120" s="436">
        <v>2026</v>
      </c>
      <c r="S120" s="436">
        <v>2027</v>
      </c>
      <c r="T120" s="436">
        <v>2028</v>
      </c>
      <c r="U120" s="436">
        <v>2029</v>
      </c>
      <c r="V120" s="436">
        <v>2030</v>
      </c>
      <c r="W120" s="436">
        <v>2031</v>
      </c>
      <c r="X120" s="436">
        <v>2032</v>
      </c>
      <c r="Y120" s="436">
        <v>2033</v>
      </c>
      <c r="Z120" s="436">
        <v>2034</v>
      </c>
      <c r="AA120" s="436">
        <v>2035</v>
      </c>
      <c r="AB120" s="436">
        <v>2036</v>
      </c>
      <c r="AC120" s="436">
        <v>2037</v>
      </c>
      <c r="AD120" s="436">
        <v>2038</v>
      </c>
      <c r="AE120" s="436">
        <v>2039</v>
      </c>
      <c r="AF120" s="436">
        <v>2040</v>
      </c>
      <c r="AG120" s="436">
        <v>2041</v>
      </c>
      <c r="AH120" s="436">
        <v>2042</v>
      </c>
      <c r="AI120" s="436">
        <v>2043</v>
      </c>
      <c r="AJ120" s="436">
        <v>2044</v>
      </c>
      <c r="AK120" s="436">
        <v>2045</v>
      </c>
      <c r="AL120" s="436">
        <v>2046</v>
      </c>
      <c r="AM120" s="436">
        <v>2047</v>
      </c>
      <c r="AN120" s="436">
        <v>2048</v>
      </c>
      <c r="AO120" s="436">
        <v>2049</v>
      </c>
      <c r="AP120" s="436">
        <v>2050</v>
      </c>
      <c r="AQ120" s="436">
        <v>2051</v>
      </c>
      <c r="AR120" s="436">
        <v>2052</v>
      </c>
      <c r="AS120" s="436">
        <v>2053</v>
      </c>
      <c r="AT120" s="436">
        <v>2054</v>
      </c>
      <c r="AU120" s="436">
        <v>2055</v>
      </c>
      <c r="AV120" s="436">
        <v>2056</v>
      </c>
      <c r="AW120" s="436">
        <v>2057</v>
      </c>
      <c r="AX120" s="436">
        <v>2058</v>
      </c>
      <c r="AY120" s="437">
        <v>2059</v>
      </c>
    </row>
    <row r="121" spans="1:51">
      <c r="A121" s="438" t="s">
        <v>2910</v>
      </c>
      <c r="B121" s="774">
        <v>8.5398706896551727E-2</v>
      </c>
      <c r="C121" s="775">
        <v>8.4051724137931036E-2</v>
      </c>
      <c r="D121" s="775">
        <v>8.2737068965517233E-2</v>
      </c>
      <c r="E121" s="775">
        <v>8.2090517241379321E-2</v>
      </c>
      <c r="F121" s="775">
        <v>8.1454741379310344E-2</v>
      </c>
      <c r="G121" s="775">
        <v>8.0818965517241367E-2</v>
      </c>
      <c r="H121" s="775">
        <v>8.1023706896551709E-2</v>
      </c>
      <c r="I121" s="775">
        <v>8.1217672413793102E-2</v>
      </c>
      <c r="J121" s="775">
        <v>8.1422413793103443E-2</v>
      </c>
      <c r="K121" s="775">
        <v>8.1616379310344822E-2</v>
      </c>
      <c r="L121" s="775">
        <v>8.1821120689655177E-2</v>
      </c>
      <c r="M121" s="775">
        <v>8.2015086206896542E-2</v>
      </c>
      <c r="N121" s="775">
        <v>8.2219827586206884E-2</v>
      </c>
      <c r="O121" s="775">
        <v>8.2424568965517225E-2</v>
      </c>
      <c r="P121" s="775">
        <v>8.2629310344827595E-2</v>
      </c>
      <c r="Q121" s="775">
        <v>8.2629310344827595E-2</v>
      </c>
      <c r="R121" s="775">
        <v>8.2629310344827595E-2</v>
      </c>
      <c r="S121" s="775">
        <v>8.2629310344827595E-2</v>
      </c>
      <c r="T121" s="775">
        <v>8.2629310344827595E-2</v>
      </c>
      <c r="U121" s="775">
        <v>8.2629310344827595E-2</v>
      </c>
      <c r="V121" s="775">
        <v>8.2629310344827595E-2</v>
      </c>
      <c r="W121" s="775">
        <v>8.2629310344827595E-2</v>
      </c>
      <c r="X121" s="775">
        <v>8.2629310344827595E-2</v>
      </c>
      <c r="Y121" s="775">
        <v>8.2629310344827595E-2</v>
      </c>
      <c r="Z121" s="775">
        <v>8.2629310344827595E-2</v>
      </c>
      <c r="AA121" s="775">
        <v>8.2629310344827595E-2</v>
      </c>
      <c r="AB121" s="775">
        <v>8.2629310344827595E-2</v>
      </c>
      <c r="AC121" s="775">
        <v>8.2629310344827595E-2</v>
      </c>
      <c r="AD121" s="775">
        <v>8.2629310344827595E-2</v>
      </c>
      <c r="AE121" s="775">
        <v>8.2629310344827595E-2</v>
      </c>
      <c r="AF121" s="775">
        <v>8.2629310344827595E-2</v>
      </c>
      <c r="AG121" s="775">
        <v>8.2629310344827595E-2</v>
      </c>
      <c r="AH121" s="775">
        <v>8.2629310344827595E-2</v>
      </c>
      <c r="AI121" s="775">
        <v>8.2629310344827595E-2</v>
      </c>
      <c r="AJ121" s="775">
        <v>8.2629310344827595E-2</v>
      </c>
      <c r="AK121" s="775">
        <v>8.2629310344827595E-2</v>
      </c>
      <c r="AL121" s="775">
        <v>8.2629310344827595E-2</v>
      </c>
      <c r="AM121" s="775">
        <v>8.2629310344827595E-2</v>
      </c>
      <c r="AN121" s="775">
        <v>8.2629310344827595E-2</v>
      </c>
      <c r="AO121" s="775">
        <v>8.2629310344827595E-2</v>
      </c>
      <c r="AP121" s="775">
        <v>8.2629310344827595E-2</v>
      </c>
      <c r="AQ121" s="775">
        <v>8.2629310344827595E-2</v>
      </c>
      <c r="AR121" s="775">
        <v>8.2629310344827595E-2</v>
      </c>
      <c r="AS121" s="775">
        <v>8.2629310344827595E-2</v>
      </c>
      <c r="AT121" s="775">
        <v>8.2629310344827595E-2</v>
      </c>
      <c r="AU121" s="775">
        <v>8.2629310344827595E-2</v>
      </c>
      <c r="AV121" s="775">
        <v>8.2629310344827595E-2</v>
      </c>
      <c r="AW121" s="775">
        <v>8.2629310344827595E-2</v>
      </c>
      <c r="AX121" s="775">
        <v>8.2629310344827595E-2</v>
      </c>
      <c r="AY121" s="776">
        <v>8.2629310344827595E-2</v>
      </c>
    </row>
    <row r="122" spans="1:51">
      <c r="A122" s="442" t="s">
        <v>2911</v>
      </c>
      <c r="B122" s="462">
        <v>85.398706896551715</v>
      </c>
      <c r="C122" s="463">
        <v>92.53232758620689</v>
      </c>
      <c r="D122" s="463">
        <v>99.234913793103431</v>
      </c>
      <c r="E122" s="463">
        <v>105.54956896551724</v>
      </c>
      <c r="F122" s="463">
        <v>111.48706896551724</v>
      </c>
      <c r="G122" s="463">
        <v>117.06896551724137</v>
      </c>
      <c r="H122" s="463">
        <v>122.32758620689654</v>
      </c>
      <c r="I122" s="463">
        <v>127.26293103448276</v>
      </c>
      <c r="J122" s="463">
        <v>131.90732758620689</v>
      </c>
      <c r="K122" s="463">
        <v>136.27155172413794</v>
      </c>
      <c r="L122" s="463">
        <v>140.36637931034483</v>
      </c>
      <c r="M122" s="463">
        <v>144.21336206896549</v>
      </c>
      <c r="N122" s="463">
        <v>144.21336206896549</v>
      </c>
      <c r="O122" s="463">
        <v>144.21336206896549</v>
      </c>
      <c r="P122" s="463">
        <v>144.21336206896549</v>
      </c>
      <c r="Q122" s="463">
        <v>144.21336206896549</v>
      </c>
      <c r="R122" s="463">
        <v>144.21336206896501</v>
      </c>
      <c r="S122" s="463">
        <v>144.21336206896501</v>
      </c>
      <c r="T122" s="463">
        <v>144.21336206896501</v>
      </c>
      <c r="U122" s="463">
        <v>144.21336206896501</v>
      </c>
      <c r="V122" s="463">
        <v>144.21336206896501</v>
      </c>
      <c r="W122" s="463">
        <v>144.21336206896501</v>
      </c>
      <c r="X122" s="463">
        <v>144.21336206896501</v>
      </c>
      <c r="Y122" s="463">
        <v>144.21336206896501</v>
      </c>
      <c r="Z122" s="463">
        <v>144.21336206896501</v>
      </c>
      <c r="AA122" s="463">
        <v>144.21336206896501</v>
      </c>
      <c r="AB122" s="463">
        <v>144.21336206896501</v>
      </c>
      <c r="AC122" s="463">
        <v>144.21336206896501</v>
      </c>
      <c r="AD122" s="463">
        <v>144.21336206896501</v>
      </c>
      <c r="AE122" s="463">
        <v>144.21336206896501</v>
      </c>
      <c r="AF122" s="463">
        <v>144.21336206896501</v>
      </c>
      <c r="AG122" s="463">
        <v>144.21336206896501</v>
      </c>
      <c r="AH122" s="463">
        <v>144.21336206896501</v>
      </c>
      <c r="AI122" s="463">
        <v>144.21336206896501</v>
      </c>
      <c r="AJ122" s="463">
        <v>144.21336206896501</v>
      </c>
      <c r="AK122" s="463">
        <v>144.21336206896501</v>
      </c>
      <c r="AL122" s="463">
        <v>144.21336206896501</v>
      </c>
      <c r="AM122" s="463">
        <v>144.21336206896501</v>
      </c>
      <c r="AN122" s="463">
        <v>144.21336206896501</v>
      </c>
      <c r="AO122" s="463">
        <v>144.21336206896501</v>
      </c>
      <c r="AP122" s="463">
        <v>144.21336206896501</v>
      </c>
      <c r="AQ122" s="463">
        <v>144.21336206896501</v>
      </c>
      <c r="AR122" s="463">
        <v>144.21336206896501</v>
      </c>
      <c r="AS122" s="463">
        <v>144.21336206896501</v>
      </c>
      <c r="AT122" s="463">
        <v>144.21336206896501</v>
      </c>
      <c r="AU122" s="463">
        <v>144.21336206896501</v>
      </c>
      <c r="AV122" s="463">
        <v>144.21336206896501</v>
      </c>
      <c r="AW122" s="463">
        <v>144.21336206896501</v>
      </c>
      <c r="AX122" s="463">
        <v>144.21336206896501</v>
      </c>
      <c r="AY122" s="464">
        <v>144.21336206896501</v>
      </c>
    </row>
    <row r="123" spans="1:51">
      <c r="A123" s="442" t="s">
        <v>2912</v>
      </c>
      <c r="B123" s="462">
        <v>13.64</v>
      </c>
      <c r="C123" s="463">
        <v>13.41</v>
      </c>
      <c r="D123" s="463">
        <v>13.19</v>
      </c>
      <c r="E123" s="463">
        <v>13.19</v>
      </c>
      <c r="F123" s="463">
        <v>13.19</v>
      </c>
      <c r="G123" s="463">
        <v>13.19</v>
      </c>
      <c r="H123" s="463">
        <v>13.27</v>
      </c>
      <c r="I123" s="463">
        <v>13.34</v>
      </c>
      <c r="J123" s="463">
        <v>13.42</v>
      </c>
      <c r="K123" s="463">
        <v>13.42</v>
      </c>
      <c r="L123" s="463">
        <v>13.42</v>
      </c>
      <c r="M123" s="463">
        <v>13.42</v>
      </c>
      <c r="N123" s="463">
        <v>13.42</v>
      </c>
      <c r="O123" s="463">
        <v>13.42</v>
      </c>
      <c r="P123" s="463">
        <v>13.42</v>
      </c>
      <c r="Q123" s="463">
        <v>13.42</v>
      </c>
      <c r="R123" s="463">
        <v>13.42</v>
      </c>
      <c r="S123" s="463">
        <v>13.42</v>
      </c>
      <c r="T123" s="463">
        <v>13.42</v>
      </c>
      <c r="U123" s="463">
        <v>13.42</v>
      </c>
      <c r="V123" s="463">
        <v>13.42</v>
      </c>
      <c r="W123" s="463">
        <v>13.42</v>
      </c>
      <c r="X123" s="463">
        <v>13.42</v>
      </c>
      <c r="Y123" s="463">
        <v>13.42</v>
      </c>
      <c r="Z123" s="463">
        <v>13.42</v>
      </c>
      <c r="AA123" s="463">
        <v>13.42</v>
      </c>
      <c r="AB123" s="463">
        <v>13.42</v>
      </c>
      <c r="AC123" s="463">
        <v>13.42</v>
      </c>
      <c r="AD123" s="463">
        <v>13.42</v>
      </c>
      <c r="AE123" s="463">
        <v>13.42</v>
      </c>
      <c r="AF123" s="463">
        <v>13.42</v>
      </c>
      <c r="AG123" s="463">
        <v>13.42</v>
      </c>
      <c r="AH123" s="463">
        <v>13.42</v>
      </c>
      <c r="AI123" s="463">
        <v>13.42</v>
      </c>
      <c r="AJ123" s="463">
        <v>13.42</v>
      </c>
      <c r="AK123" s="463">
        <v>13.42</v>
      </c>
      <c r="AL123" s="463">
        <v>13.42</v>
      </c>
      <c r="AM123" s="463">
        <v>13.42</v>
      </c>
      <c r="AN123" s="463">
        <v>13.42</v>
      </c>
      <c r="AO123" s="463">
        <v>13.42</v>
      </c>
      <c r="AP123" s="463">
        <v>13.42</v>
      </c>
      <c r="AQ123" s="463">
        <v>13.42</v>
      </c>
      <c r="AR123" s="463">
        <v>13.42</v>
      </c>
      <c r="AS123" s="463">
        <v>13.42</v>
      </c>
      <c r="AT123" s="463">
        <v>13.42</v>
      </c>
      <c r="AU123" s="463">
        <v>13.42</v>
      </c>
      <c r="AV123" s="463">
        <v>13.42</v>
      </c>
      <c r="AW123" s="463">
        <v>13.42</v>
      </c>
      <c r="AX123" s="463">
        <v>13.42</v>
      </c>
      <c r="AY123" s="464">
        <v>13.42</v>
      </c>
    </row>
    <row r="124" spans="1:51">
      <c r="A124" s="442" t="s">
        <v>2913</v>
      </c>
      <c r="B124" s="462">
        <v>12.012499999999999</v>
      </c>
      <c r="C124" s="463">
        <v>11.794166666666667</v>
      </c>
      <c r="D124" s="463">
        <v>11.585833333333333</v>
      </c>
      <c r="E124" s="463">
        <v>11.585833333333333</v>
      </c>
      <c r="F124" s="463">
        <v>11.585833333333333</v>
      </c>
      <c r="G124" s="463">
        <v>11.585833333333333</v>
      </c>
      <c r="H124" s="463">
        <v>11.66</v>
      </c>
      <c r="I124" s="463">
        <v>11.73</v>
      </c>
      <c r="J124" s="463">
        <v>11.804166666666667</v>
      </c>
      <c r="K124" s="463">
        <v>11.804166666666667</v>
      </c>
      <c r="L124" s="463">
        <v>11.804166666666667</v>
      </c>
      <c r="M124" s="463">
        <v>11.804166666666667</v>
      </c>
      <c r="N124" s="463">
        <v>11.804166666666667</v>
      </c>
      <c r="O124" s="463">
        <v>11.804166666666667</v>
      </c>
      <c r="P124" s="463">
        <v>11.804166666666667</v>
      </c>
      <c r="Q124" s="463">
        <v>11.804166666666667</v>
      </c>
      <c r="R124" s="463">
        <v>11.804166666666667</v>
      </c>
      <c r="S124" s="463">
        <v>11.804166666666667</v>
      </c>
      <c r="T124" s="463">
        <v>11.804166666666667</v>
      </c>
      <c r="U124" s="463">
        <v>11.804166666666667</v>
      </c>
      <c r="V124" s="463">
        <v>11.804166666666667</v>
      </c>
      <c r="W124" s="463">
        <v>11.804166666666667</v>
      </c>
      <c r="X124" s="463">
        <v>11.804166666666667</v>
      </c>
      <c r="Y124" s="463">
        <v>11.804166666666667</v>
      </c>
      <c r="Z124" s="463">
        <v>11.804166666666667</v>
      </c>
      <c r="AA124" s="463">
        <v>11.804166666666667</v>
      </c>
      <c r="AB124" s="463">
        <v>11.804166666666667</v>
      </c>
      <c r="AC124" s="463">
        <v>11.804166666666667</v>
      </c>
      <c r="AD124" s="463">
        <v>11.804166666666667</v>
      </c>
      <c r="AE124" s="463">
        <v>11.804166666666667</v>
      </c>
      <c r="AF124" s="463">
        <v>11.804166666666667</v>
      </c>
      <c r="AG124" s="463">
        <v>11.804166666666667</v>
      </c>
      <c r="AH124" s="463">
        <v>11.804166666666667</v>
      </c>
      <c r="AI124" s="463">
        <v>11.804166666666667</v>
      </c>
      <c r="AJ124" s="463">
        <v>11.804166666666667</v>
      </c>
      <c r="AK124" s="463">
        <v>11.804166666666667</v>
      </c>
      <c r="AL124" s="463">
        <v>11.804166666666667</v>
      </c>
      <c r="AM124" s="463">
        <v>11.804166666666667</v>
      </c>
      <c r="AN124" s="463">
        <v>11.804166666666667</v>
      </c>
      <c r="AO124" s="463">
        <v>11.804166666666667</v>
      </c>
      <c r="AP124" s="463">
        <v>11.804166666666667</v>
      </c>
      <c r="AQ124" s="463">
        <v>11.804166666666667</v>
      </c>
      <c r="AR124" s="463">
        <v>11.804166666666667</v>
      </c>
      <c r="AS124" s="463">
        <v>11.804166666666667</v>
      </c>
      <c r="AT124" s="463">
        <v>11.804166666666667</v>
      </c>
      <c r="AU124" s="463">
        <v>11.804166666666667</v>
      </c>
      <c r="AV124" s="463">
        <v>11.804166666666667</v>
      </c>
      <c r="AW124" s="463">
        <v>11.804166666666667</v>
      </c>
      <c r="AX124" s="463">
        <v>11.804166666666699</v>
      </c>
      <c r="AY124" s="464">
        <v>11.804166666666699</v>
      </c>
    </row>
    <row r="125" spans="1:51">
      <c r="A125" s="442" t="s">
        <v>2900</v>
      </c>
      <c r="B125" s="462">
        <v>7.2607266726146298</v>
      </c>
      <c r="C125" s="463">
        <v>7.9112857970161548</v>
      </c>
      <c r="D125" s="463">
        <v>8.1995068031839171</v>
      </c>
      <c r="E125" s="463">
        <v>8.4073776927334265</v>
      </c>
      <c r="F125" s="463">
        <v>8.5736326363918245</v>
      </c>
      <c r="G125" s="463">
        <v>8.7208261649062617</v>
      </c>
      <c r="H125" s="463">
        <v>8.8285181377174773</v>
      </c>
      <c r="I125" s="463">
        <v>8.8829506598476691</v>
      </c>
      <c r="J125" s="463">
        <v>9.0100552678251411</v>
      </c>
      <c r="K125" s="463">
        <v>9.0500408716374903</v>
      </c>
      <c r="L125" s="463">
        <v>9.1558646250250764</v>
      </c>
      <c r="M125" s="463">
        <v>9.244954159045637</v>
      </c>
      <c r="N125" s="463">
        <v>9.2425044625563437</v>
      </c>
      <c r="O125" s="463">
        <v>9.3135366023628183</v>
      </c>
      <c r="P125" s="463">
        <v>9.3834258849192018</v>
      </c>
      <c r="Q125" s="463">
        <v>9.4457625151136106</v>
      </c>
      <c r="R125" s="463">
        <v>9.4294343454096037</v>
      </c>
      <c r="S125" s="463">
        <v>9.4065940080935402</v>
      </c>
      <c r="T125" s="463">
        <v>9.3718934835830296</v>
      </c>
      <c r="U125" s="463">
        <v>9.3718934835830296</v>
      </c>
      <c r="V125" s="463">
        <v>9.3718934835830296</v>
      </c>
      <c r="W125" s="463">
        <v>9.3718934835830296</v>
      </c>
      <c r="X125" s="463">
        <v>9.3718934835830296</v>
      </c>
      <c r="Y125" s="463">
        <v>9.3718934835830296</v>
      </c>
      <c r="Z125" s="463">
        <v>9.3718934835830296</v>
      </c>
      <c r="AA125" s="463">
        <v>9.3718934835830296</v>
      </c>
      <c r="AB125" s="463">
        <v>9.3718934835830296</v>
      </c>
      <c r="AC125" s="463">
        <v>9.3718934835830296</v>
      </c>
      <c r="AD125" s="463">
        <v>9.3718934835830296</v>
      </c>
      <c r="AE125" s="463">
        <v>9.3718934835830296</v>
      </c>
      <c r="AF125" s="463">
        <v>9.3718934835830296</v>
      </c>
      <c r="AG125" s="463">
        <v>9.3718934835830296</v>
      </c>
      <c r="AH125" s="463">
        <v>9.3718934835830296</v>
      </c>
      <c r="AI125" s="463">
        <v>9.3718934835830296</v>
      </c>
      <c r="AJ125" s="463">
        <v>9.3718934835830296</v>
      </c>
      <c r="AK125" s="463">
        <v>9.3718934835830296</v>
      </c>
      <c r="AL125" s="463">
        <v>9.3718934835830296</v>
      </c>
      <c r="AM125" s="463">
        <v>9.3718934835830296</v>
      </c>
      <c r="AN125" s="463">
        <v>9.3718934835830296</v>
      </c>
      <c r="AO125" s="463">
        <v>9.3718934835830296</v>
      </c>
      <c r="AP125" s="463">
        <v>9.3718934835830296</v>
      </c>
      <c r="AQ125" s="463">
        <v>9.3718934835830296</v>
      </c>
      <c r="AR125" s="463">
        <v>9.3718934835830296</v>
      </c>
      <c r="AS125" s="463">
        <v>9.3718934835830296</v>
      </c>
      <c r="AT125" s="463">
        <v>9.3718934835830296</v>
      </c>
      <c r="AU125" s="463">
        <v>9.3718934835830296</v>
      </c>
      <c r="AV125" s="463">
        <v>9.3718934835830296</v>
      </c>
      <c r="AW125" s="463">
        <v>9.3718934835830296</v>
      </c>
      <c r="AX125" s="463">
        <v>9.3718934835830296</v>
      </c>
      <c r="AY125" s="464">
        <v>9.3718934835830296</v>
      </c>
    </row>
    <row r="126" spans="1:51">
      <c r="A126" s="442" t="s">
        <v>2901</v>
      </c>
      <c r="B126" s="443">
        <v>6.28E-3</v>
      </c>
      <c r="C126" s="444">
        <v>6.1999999999999998E-3</v>
      </c>
      <c r="D126" s="444">
        <v>6.1200000000000004E-3</v>
      </c>
      <c r="E126" s="444">
        <v>6.0000000000000001E-3</v>
      </c>
      <c r="F126" s="444">
        <v>5.8799999999999998E-3</v>
      </c>
      <c r="G126" s="444">
        <v>5.77E-3</v>
      </c>
      <c r="H126" s="444">
        <v>5.77E-3</v>
      </c>
      <c r="I126" s="444">
        <v>5.7599999999999995E-3</v>
      </c>
      <c r="J126" s="444">
        <v>5.7599999999999995E-3</v>
      </c>
      <c r="K126" s="444">
        <v>5.7499999999999999E-3</v>
      </c>
      <c r="L126" s="444">
        <v>5.7499999999999999E-3</v>
      </c>
      <c r="M126" s="444">
        <v>5.7499999999999999E-3</v>
      </c>
      <c r="N126" s="444">
        <v>5.7400000000000003E-3</v>
      </c>
      <c r="O126" s="444">
        <v>5.7400000000000003E-3</v>
      </c>
      <c r="P126" s="444">
        <v>5.7300000000000007E-3</v>
      </c>
      <c r="Q126" s="444">
        <v>5.7300000000000007E-3</v>
      </c>
      <c r="R126" s="444">
        <v>5.7300000000000007E-3</v>
      </c>
      <c r="S126" s="444">
        <v>5.7300000000000007E-3</v>
      </c>
      <c r="T126" s="444">
        <v>5.7300000000000007E-3</v>
      </c>
      <c r="U126" s="444">
        <v>5.7300000000000007E-3</v>
      </c>
      <c r="V126" s="444">
        <v>5.7300000000000007E-3</v>
      </c>
      <c r="W126" s="444">
        <v>5.7300000000000007E-3</v>
      </c>
      <c r="X126" s="444">
        <v>5.7300000000000007E-3</v>
      </c>
      <c r="Y126" s="444">
        <v>5.7300000000000007E-3</v>
      </c>
      <c r="Z126" s="444">
        <v>5.7300000000000007E-3</v>
      </c>
      <c r="AA126" s="444">
        <v>5.7300000000000007E-3</v>
      </c>
      <c r="AB126" s="444">
        <v>5.7300000000000007E-3</v>
      </c>
      <c r="AC126" s="444">
        <v>5.7300000000000007E-3</v>
      </c>
      <c r="AD126" s="444">
        <v>5.7300000000000007E-3</v>
      </c>
      <c r="AE126" s="444">
        <v>5.7300000000000007E-3</v>
      </c>
      <c r="AF126" s="444">
        <v>5.7300000000000007E-3</v>
      </c>
      <c r="AG126" s="444">
        <v>5.7300000000000007E-3</v>
      </c>
      <c r="AH126" s="444">
        <v>5.7300000000000007E-3</v>
      </c>
      <c r="AI126" s="444">
        <v>5.7300000000000007E-3</v>
      </c>
      <c r="AJ126" s="444">
        <v>5.7300000000000007E-3</v>
      </c>
      <c r="AK126" s="444">
        <v>5.7300000000000007E-3</v>
      </c>
      <c r="AL126" s="444">
        <v>5.7300000000000007E-3</v>
      </c>
      <c r="AM126" s="444">
        <v>5.7300000000000007E-3</v>
      </c>
      <c r="AN126" s="444">
        <v>5.7300000000000007E-3</v>
      </c>
      <c r="AO126" s="444">
        <v>5.7300000000000007E-3</v>
      </c>
      <c r="AP126" s="444">
        <v>5.7300000000000007E-3</v>
      </c>
      <c r="AQ126" s="444">
        <v>5.7300000000000007E-3</v>
      </c>
      <c r="AR126" s="444">
        <v>5.7300000000000007E-3</v>
      </c>
      <c r="AS126" s="444">
        <v>5.7300000000000007E-3</v>
      </c>
      <c r="AT126" s="444">
        <v>5.7300000000000007E-3</v>
      </c>
      <c r="AU126" s="444">
        <v>5.7300000000000007E-3</v>
      </c>
      <c r="AV126" s="444">
        <v>5.7300000000000007E-3</v>
      </c>
      <c r="AW126" s="444">
        <v>5.7300000000000007E-3</v>
      </c>
      <c r="AX126" s="444">
        <v>5.7300000000000007E-3</v>
      </c>
      <c r="AY126" s="445">
        <v>5.7300000000000007E-3</v>
      </c>
    </row>
    <row r="127" spans="1:51">
      <c r="A127" s="442" t="s">
        <v>2902</v>
      </c>
      <c r="B127" s="446">
        <f>(58.5/1000)*15</f>
        <v>0.87750000000000006</v>
      </c>
      <c r="C127" s="447">
        <f t="shared" ref="C127:AD128" si="52">(58.5/1000)*15</f>
        <v>0.87750000000000006</v>
      </c>
      <c r="D127" s="447">
        <f t="shared" si="52"/>
        <v>0.87750000000000006</v>
      </c>
      <c r="E127" s="447">
        <f t="shared" si="52"/>
        <v>0.87750000000000006</v>
      </c>
      <c r="F127" s="447">
        <f t="shared" si="52"/>
        <v>0.87750000000000006</v>
      </c>
      <c r="G127" s="447">
        <f t="shared" si="52"/>
        <v>0.87750000000000006</v>
      </c>
      <c r="H127" s="447">
        <f t="shared" si="52"/>
        <v>0.87750000000000006</v>
      </c>
      <c r="I127" s="447">
        <f t="shared" si="52"/>
        <v>0.87750000000000006</v>
      </c>
      <c r="J127" s="447">
        <f t="shared" si="52"/>
        <v>0.87750000000000006</v>
      </c>
      <c r="K127" s="447">
        <f t="shared" si="52"/>
        <v>0.87750000000000006</v>
      </c>
      <c r="L127" s="447">
        <f t="shared" si="52"/>
        <v>0.87750000000000006</v>
      </c>
      <c r="M127" s="447">
        <f t="shared" si="52"/>
        <v>0.87750000000000006</v>
      </c>
      <c r="N127" s="447">
        <f t="shared" si="52"/>
        <v>0.87750000000000006</v>
      </c>
      <c r="O127" s="447">
        <f t="shared" si="52"/>
        <v>0.87750000000000006</v>
      </c>
      <c r="P127" s="447">
        <f t="shared" si="52"/>
        <v>0.87750000000000006</v>
      </c>
      <c r="Q127" s="447">
        <f t="shared" si="52"/>
        <v>0.87750000000000006</v>
      </c>
      <c r="R127" s="447">
        <f t="shared" si="52"/>
        <v>0.87750000000000006</v>
      </c>
      <c r="S127" s="447">
        <f t="shared" si="52"/>
        <v>0.87750000000000006</v>
      </c>
      <c r="T127" s="447">
        <f t="shared" si="52"/>
        <v>0.87750000000000006</v>
      </c>
      <c r="U127" s="447">
        <f t="shared" si="52"/>
        <v>0.87750000000000006</v>
      </c>
      <c r="V127" s="447">
        <f t="shared" si="52"/>
        <v>0.87750000000000006</v>
      </c>
      <c r="W127" s="447">
        <f t="shared" si="52"/>
        <v>0.87750000000000006</v>
      </c>
      <c r="X127" s="447">
        <f t="shared" si="52"/>
        <v>0.87750000000000006</v>
      </c>
      <c r="Y127" s="447">
        <f t="shared" si="52"/>
        <v>0.87750000000000006</v>
      </c>
      <c r="Z127" s="447">
        <f t="shared" si="52"/>
        <v>0.87750000000000006</v>
      </c>
      <c r="AA127" s="447">
        <f t="shared" si="52"/>
        <v>0.87750000000000006</v>
      </c>
      <c r="AB127" s="447">
        <f t="shared" si="52"/>
        <v>0.87750000000000006</v>
      </c>
      <c r="AC127" s="447">
        <f t="shared" si="52"/>
        <v>0.87750000000000006</v>
      </c>
      <c r="AD127" s="447">
        <f t="shared" si="52"/>
        <v>0.87750000000000006</v>
      </c>
      <c r="AE127" s="447">
        <f>(58.5/1000)*15</f>
        <v>0.87750000000000006</v>
      </c>
      <c r="AF127" s="447">
        <f t="shared" ref="AF127:AY128" si="53">(58.5/1000)*15</f>
        <v>0.87750000000000006</v>
      </c>
      <c r="AG127" s="447">
        <f t="shared" si="53"/>
        <v>0.87750000000000006</v>
      </c>
      <c r="AH127" s="447">
        <f t="shared" si="53"/>
        <v>0.87750000000000006</v>
      </c>
      <c r="AI127" s="447">
        <f t="shared" si="53"/>
        <v>0.87750000000000006</v>
      </c>
      <c r="AJ127" s="447">
        <f t="shared" si="53"/>
        <v>0.87750000000000006</v>
      </c>
      <c r="AK127" s="447">
        <f t="shared" si="53"/>
        <v>0.87750000000000006</v>
      </c>
      <c r="AL127" s="447">
        <f t="shared" si="53"/>
        <v>0.87750000000000006</v>
      </c>
      <c r="AM127" s="447">
        <f t="shared" si="53"/>
        <v>0.87750000000000006</v>
      </c>
      <c r="AN127" s="447">
        <f t="shared" si="53"/>
        <v>0.87750000000000006</v>
      </c>
      <c r="AO127" s="447">
        <f t="shared" si="53"/>
        <v>0.87750000000000006</v>
      </c>
      <c r="AP127" s="447">
        <f t="shared" si="53"/>
        <v>0.87750000000000006</v>
      </c>
      <c r="AQ127" s="447">
        <f t="shared" si="53"/>
        <v>0.87750000000000006</v>
      </c>
      <c r="AR127" s="447">
        <f t="shared" si="53"/>
        <v>0.87750000000000006</v>
      </c>
      <c r="AS127" s="447">
        <f t="shared" si="53"/>
        <v>0.87750000000000006</v>
      </c>
      <c r="AT127" s="447">
        <f t="shared" si="53"/>
        <v>0.87750000000000006</v>
      </c>
      <c r="AU127" s="447">
        <f t="shared" si="53"/>
        <v>0.87750000000000006</v>
      </c>
      <c r="AV127" s="447">
        <f t="shared" si="53"/>
        <v>0.87750000000000006</v>
      </c>
      <c r="AW127" s="447">
        <f t="shared" si="53"/>
        <v>0.87750000000000006</v>
      </c>
      <c r="AX127" s="447">
        <f t="shared" si="53"/>
        <v>0.87750000000000006</v>
      </c>
      <c r="AY127" s="448">
        <f t="shared" si="53"/>
        <v>0.87750000000000006</v>
      </c>
    </row>
    <row r="128" spans="1:51" ht="12.75" thickBot="1">
      <c r="A128" s="449" t="s">
        <v>2903</v>
      </c>
      <c r="B128" s="450">
        <f>(58.5/1000)*15</f>
        <v>0.87750000000000006</v>
      </c>
      <c r="C128" s="451">
        <f t="shared" si="52"/>
        <v>0.87750000000000006</v>
      </c>
      <c r="D128" s="451">
        <f t="shared" si="52"/>
        <v>0.87750000000000006</v>
      </c>
      <c r="E128" s="451">
        <f t="shared" si="52"/>
        <v>0.87750000000000006</v>
      </c>
      <c r="F128" s="451">
        <f t="shared" si="52"/>
        <v>0.87750000000000006</v>
      </c>
      <c r="G128" s="451">
        <f t="shared" si="52"/>
        <v>0.87750000000000006</v>
      </c>
      <c r="H128" s="451">
        <f t="shared" si="52"/>
        <v>0.87750000000000006</v>
      </c>
      <c r="I128" s="451">
        <f t="shared" si="52"/>
        <v>0.87750000000000006</v>
      </c>
      <c r="J128" s="451">
        <f t="shared" si="52"/>
        <v>0.87750000000000006</v>
      </c>
      <c r="K128" s="451">
        <f t="shared" si="52"/>
        <v>0.87750000000000006</v>
      </c>
      <c r="L128" s="451">
        <f t="shared" si="52"/>
        <v>0.87750000000000006</v>
      </c>
      <c r="M128" s="451">
        <f t="shared" si="52"/>
        <v>0.87750000000000006</v>
      </c>
      <c r="N128" s="451">
        <f t="shared" si="52"/>
        <v>0.87750000000000006</v>
      </c>
      <c r="O128" s="451">
        <f t="shared" si="52"/>
        <v>0.87750000000000006</v>
      </c>
      <c r="P128" s="451">
        <f t="shared" si="52"/>
        <v>0.87750000000000006</v>
      </c>
      <c r="Q128" s="451">
        <f t="shared" si="52"/>
        <v>0.87750000000000006</v>
      </c>
      <c r="R128" s="451">
        <f t="shared" si="52"/>
        <v>0.87750000000000006</v>
      </c>
      <c r="S128" s="451">
        <f t="shared" si="52"/>
        <v>0.87750000000000006</v>
      </c>
      <c r="T128" s="451">
        <f t="shared" si="52"/>
        <v>0.87750000000000006</v>
      </c>
      <c r="U128" s="451">
        <f t="shared" si="52"/>
        <v>0.87750000000000006</v>
      </c>
      <c r="V128" s="451">
        <f t="shared" si="52"/>
        <v>0.87750000000000006</v>
      </c>
      <c r="W128" s="451">
        <f t="shared" si="52"/>
        <v>0.87750000000000006</v>
      </c>
      <c r="X128" s="451">
        <f t="shared" si="52"/>
        <v>0.87750000000000006</v>
      </c>
      <c r="Y128" s="451">
        <f t="shared" si="52"/>
        <v>0.87750000000000006</v>
      </c>
      <c r="Z128" s="451">
        <f t="shared" si="52"/>
        <v>0.87750000000000006</v>
      </c>
      <c r="AA128" s="451">
        <f t="shared" si="52"/>
        <v>0.87750000000000006</v>
      </c>
      <c r="AB128" s="451">
        <f t="shared" si="52"/>
        <v>0.87750000000000006</v>
      </c>
      <c r="AC128" s="451">
        <f t="shared" si="52"/>
        <v>0.87750000000000006</v>
      </c>
      <c r="AD128" s="451">
        <f t="shared" si="52"/>
        <v>0.87750000000000006</v>
      </c>
      <c r="AE128" s="451">
        <f>(58.5/1000)*15</f>
        <v>0.87750000000000006</v>
      </c>
      <c r="AF128" s="451">
        <f t="shared" si="53"/>
        <v>0.87750000000000006</v>
      </c>
      <c r="AG128" s="451">
        <f t="shared" si="53"/>
        <v>0.87750000000000006</v>
      </c>
      <c r="AH128" s="451">
        <f t="shared" si="53"/>
        <v>0.87750000000000006</v>
      </c>
      <c r="AI128" s="451">
        <f t="shared" si="53"/>
        <v>0.87750000000000006</v>
      </c>
      <c r="AJ128" s="451">
        <f t="shared" si="53"/>
        <v>0.87750000000000006</v>
      </c>
      <c r="AK128" s="451">
        <f t="shared" si="53"/>
        <v>0.87750000000000006</v>
      </c>
      <c r="AL128" s="451">
        <f t="shared" si="53"/>
        <v>0.87750000000000006</v>
      </c>
      <c r="AM128" s="451">
        <f t="shared" si="53"/>
        <v>0.87750000000000006</v>
      </c>
      <c r="AN128" s="451">
        <f t="shared" si="53"/>
        <v>0.87750000000000006</v>
      </c>
      <c r="AO128" s="451">
        <f t="shared" si="53"/>
        <v>0.87750000000000006</v>
      </c>
      <c r="AP128" s="451">
        <f t="shared" si="53"/>
        <v>0.87750000000000006</v>
      </c>
      <c r="AQ128" s="451">
        <f t="shared" si="53"/>
        <v>0.87750000000000006</v>
      </c>
      <c r="AR128" s="451">
        <f t="shared" si="53"/>
        <v>0.87750000000000006</v>
      </c>
      <c r="AS128" s="451">
        <f t="shared" si="53"/>
        <v>0.87750000000000006</v>
      </c>
      <c r="AT128" s="451">
        <f t="shared" si="53"/>
        <v>0.87750000000000006</v>
      </c>
      <c r="AU128" s="451">
        <f t="shared" si="53"/>
        <v>0.87750000000000006</v>
      </c>
      <c r="AV128" s="451">
        <f t="shared" si="53"/>
        <v>0.87750000000000006</v>
      </c>
      <c r="AW128" s="451">
        <f t="shared" si="53"/>
        <v>0.87750000000000006</v>
      </c>
      <c r="AX128" s="451">
        <f t="shared" si="53"/>
        <v>0.87750000000000006</v>
      </c>
      <c r="AY128" s="452">
        <f t="shared" si="53"/>
        <v>0.87750000000000006</v>
      </c>
    </row>
    <row r="129" spans="1:51">
      <c r="B129" s="429"/>
      <c r="C129" s="429"/>
      <c r="D129" s="429"/>
      <c r="E129" s="429"/>
      <c r="F129" s="429"/>
      <c r="G129" s="429"/>
      <c r="H129" s="429"/>
      <c r="I129" s="429"/>
      <c r="J129" s="429"/>
      <c r="K129" s="429"/>
      <c r="L129" s="429"/>
      <c r="M129" s="429"/>
      <c r="N129" s="429"/>
      <c r="O129" s="429"/>
      <c r="P129" s="429"/>
      <c r="Q129" s="429"/>
      <c r="R129" s="429"/>
      <c r="S129" s="429"/>
      <c r="T129" s="429"/>
      <c r="U129" s="429"/>
      <c r="V129" s="429"/>
      <c r="W129" s="429"/>
      <c r="X129" s="429"/>
      <c r="Y129" s="429"/>
      <c r="Z129" s="429"/>
      <c r="AA129" s="429"/>
      <c r="AB129" s="429"/>
      <c r="AC129" s="429"/>
      <c r="AD129" s="429"/>
      <c r="AE129" s="429"/>
    </row>
    <row r="130" spans="1:51" ht="15.75" thickBot="1">
      <c r="A130" s="433" t="s">
        <v>2904</v>
      </c>
      <c r="B130" s="429"/>
      <c r="C130" s="429"/>
      <c r="D130" s="429"/>
      <c r="E130" s="429"/>
      <c r="F130" s="429"/>
      <c r="G130" s="429"/>
      <c r="H130" s="429"/>
      <c r="I130" s="429"/>
      <c r="J130" s="429"/>
      <c r="K130" s="429"/>
      <c r="L130" s="429"/>
      <c r="M130" s="429"/>
      <c r="N130" s="429"/>
      <c r="O130" s="429"/>
      <c r="P130" s="429"/>
      <c r="Q130" s="429"/>
      <c r="R130" s="429"/>
      <c r="S130" s="429"/>
      <c r="T130" s="429"/>
      <c r="U130" s="429"/>
      <c r="V130" s="429"/>
      <c r="W130" s="429"/>
      <c r="X130" s="429"/>
      <c r="Y130" s="429"/>
      <c r="Z130" s="429"/>
      <c r="AA130" s="429"/>
      <c r="AB130" s="429"/>
      <c r="AC130" s="429"/>
      <c r="AD130" s="429"/>
      <c r="AE130" s="429"/>
    </row>
    <row r="131" spans="1:51" ht="12.75" thickBot="1">
      <c r="A131" s="434" t="s">
        <v>2899</v>
      </c>
      <c r="B131" s="435">
        <v>1</v>
      </c>
      <c r="C131" s="436">
        <v>2</v>
      </c>
      <c r="D131" s="436">
        <v>3</v>
      </c>
      <c r="E131" s="436">
        <v>4</v>
      </c>
      <c r="F131" s="436">
        <v>5</v>
      </c>
      <c r="G131" s="436">
        <v>6</v>
      </c>
      <c r="H131" s="436">
        <v>7</v>
      </c>
      <c r="I131" s="436">
        <v>8</v>
      </c>
      <c r="J131" s="436">
        <v>9</v>
      </c>
      <c r="K131" s="436">
        <v>10</v>
      </c>
      <c r="L131" s="436">
        <v>11</v>
      </c>
      <c r="M131" s="436">
        <v>12</v>
      </c>
      <c r="N131" s="436">
        <v>13</v>
      </c>
      <c r="O131" s="436">
        <v>14</v>
      </c>
      <c r="P131" s="436">
        <v>15</v>
      </c>
      <c r="Q131" s="436">
        <v>16</v>
      </c>
      <c r="R131" s="436">
        <v>17</v>
      </c>
      <c r="S131" s="436">
        <v>18</v>
      </c>
      <c r="T131" s="436">
        <v>19</v>
      </c>
      <c r="U131" s="436">
        <v>20</v>
      </c>
      <c r="V131" s="436">
        <v>21</v>
      </c>
      <c r="W131" s="436">
        <v>22</v>
      </c>
      <c r="X131" s="436">
        <v>23</v>
      </c>
      <c r="Y131" s="436">
        <v>24</v>
      </c>
      <c r="Z131" s="436">
        <v>25</v>
      </c>
      <c r="AA131" s="436">
        <v>26</v>
      </c>
      <c r="AB131" s="436">
        <v>27</v>
      </c>
      <c r="AC131" s="436">
        <v>28</v>
      </c>
      <c r="AD131" s="436">
        <v>29</v>
      </c>
      <c r="AE131" s="436">
        <v>30</v>
      </c>
      <c r="AF131" s="436">
        <f t="shared" ref="AF131:AY131" si="54">AE131+1</f>
        <v>31</v>
      </c>
      <c r="AG131" s="436">
        <f t="shared" si="54"/>
        <v>32</v>
      </c>
      <c r="AH131" s="436">
        <f t="shared" si="54"/>
        <v>33</v>
      </c>
      <c r="AI131" s="436">
        <f t="shared" si="54"/>
        <v>34</v>
      </c>
      <c r="AJ131" s="436">
        <f t="shared" si="54"/>
        <v>35</v>
      </c>
      <c r="AK131" s="436">
        <f t="shared" si="54"/>
        <v>36</v>
      </c>
      <c r="AL131" s="436">
        <f t="shared" si="54"/>
        <v>37</v>
      </c>
      <c r="AM131" s="436">
        <f t="shared" si="54"/>
        <v>38</v>
      </c>
      <c r="AN131" s="436">
        <f t="shared" si="54"/>
        <v>39</v>
      </c>
      <c r="AO131" s="436">
        <f t="shared" si="54"/>
        <v>40</v>
      </c>
      <c r="AP131" s="436">
        <f t="shared" si="54"/>
        <v>41</v>
      </c>
      <c r="AQ131" s="436">
        <f t="shared" si="54"/>
        <v>42</v>
      </c>
      <c r="AR131" s="436">
        <f t="shared" si="54"/>
        <v>43</v>
      </c>
      <c r="AS131" s="436">
        <f t="shared" si="54"/>
        <v>44</v>
      </c>
      <c r="AT131" s="436">
        <f t="shared" si="54"/>
        <v>45</v>
      </c>
      <c r="AU131" s="436">
        <f t="shared" si="54"/>
        <v>46</v>
      </c>
      <c r="AV131" s="436">
        <f t="shared" si="54"/>
        <v>47</v>
      </c>
      <c r="AW131" s="436">
        <f t="shared" si="54"/>
        <v>48</v>
      </c>
      <c r="AX131" s="436">
        <f t="shared" si="54"/>
        <v>49</v>
      </c>
      <c r="AY131" s="437">
        <f t="shared" si="54"/>
        <v>50</v>
      </c>
    </row>
    <row r="132" spans="1:51">
      <c r="A132" s="438" t="s">
        <v>2922</v>
      </c>
      <c r="B132" s="439">
        <v>8.5000000000000006E-2</v>
      </c>
      <c r="C132" s="440">
        <f t="shared" ref="C132:AY137" si="55">(C121/(1+$C$3)^(C$16-0.5)+B132)</f>
        <v>0.16256538223949252</v>
      </c>
      <c r="D132" s="440">
        <f t="shared" si="55"/>
        <v>0.23493711693809788</v>
      </c>
      <c r="E132" s="440">
        <f t="shared" si="55"/>
        <v>0.30299984986913808</v>
      </c>
      <c r="F132" s="440">
        <f t="shared" si="55"/>
        <v>0.36701463627869352</v>
      </c>
      <c r="G132" s="440">
        <f t="shared" si="55"/>
        <v>0.42721855478287962</v>
      </c>
      <c r="H132" s="440">
        <f t="shared" si="55"/>
        <v>0.48442844587077538</v>
      </c>
      <c r="I132" s="440">
        <f t="shared" si="55"/>
        <v>0.53878564764264947</v>
      </c>
      <c r="J132" s="440">
        <f t="shared" si="55"/>
        <v>0.5904389468595026</v>
      </c>
      <c r="K132" s="440">
        <f t="shared" si="55"/>
        <v>0.63951605431730218</v>
      </c>
      <c r="L132" s="440">
        <f t="shared" si="55"/>
        <v>0.6861513352706099</v>
      </c>
      <c r="M132" s="440">
        <f t="shared" si="55"/>
        <v>0.73046018338472163</v>
      </c>
      <c r="N132" s="440">
        <f t="shared" si="55"/>
        <v>0.77256393707007387</v>
      </c>
      <c r="O132" s="440">
        <f t="shared" si="55"/>
        <v>0.81257208797592184</v>
      </c>
      <c r="P132" s="440">
        <f t="shared" si="55"/>
        <v>0.85058870460716285</v>
      </c>
      <c r="Q132" s="440">
        <f t="shared" si="55"/>
        <v>0.88662341231450026</v>
      </c>
      <c r="R132" s="440">
        <f t="shared" si="55"/>
        <v>0.92077953336410923</v>
      </c>
      <c r="S132" s="440">
        <f t="shared" si="55"/>
        <v>0.95315500355331195</v>
      </c>
      <c r="T132" s="440">
        <f t="shared" si="55"/>
        <v>0.98384265302175056</v>
      </c>
      <c r="U132" s="440">
        <f t="shared" si="55"/>
        <v>1.0129304724231143</v>
      </c>
      <c r="V132" s="440">
        <f t="shared" si="55"/>
        <v>1.0405018652206155</v>
      </c>
      <c r="W132" s="440">
        <f t="shared" si="55"/>
        <v>1.0666358868296213</v>
      </c>
      <c r="X132" s="440">
        <f t="shared" si="55"/>
        <v>1.0914074712931339</v>
      </c>
      <c r="Y132" s="440">
        <f t="shared" si="55"/>
        <v>1.1148876461400652</v>
      </c>
      <c r="Z132" s="440">
        <f t="shared" si="55"/>
        <v>1.1371437360423697</v>
      </c>
      <c r="AA132" s="440">
        <f t="shared" si="55"/>
        <v>1.1582395558549807</v>
      </c>
      <c r="AB132" s="440">
        <f t="shared" si="55"/>
        <v>1.1782355935920528</v>
      </c>
      <c r="AC132" s="440">
        <f t="shared" si="55"/>
        <v>1.1971891838641591</v>
      </c>
      <c r="AD132" s="440">
        <f t="shared" si="55"/>
        <v>1.2151546722737385</v>
      </c>
      <c r="AE132" s="440">
        <f t="shared" si="55"/>
        <v>1.2321835712401645</v>
      </c>
      <c r="AF132" s="440">
        <f t="shared" si="55"/>
        <v>1.2483247077012318</v>
      </c>
      <c r="AG132" s="440">
        <f t="shared" si="55"/>
        <v>1.2636243631145656</v>
      </c>
      <c r="AH132" s="440">
        <f t="shared" si="55"/>
        <v>1.2781264061603796</v>
      </c>
      <c r="AI132" s="440">
        <f t="shared" si="55"/>
        <v>1.2918724185260801</v>
      </c>
      <c r="AJ132" s="440">
        <f t="shared" si="55"/>
        <v>1.3049018141333792</v>
      </c>
      <c r="AK132" s="440">
        <f t="shared" si="55"/>
        <v>1.3172519521497765</v>
      </c>
      <c r="AL132" s="440">
        <f t="shared" si="55"/>
        <v>1.3289582441084469</v>
      </c>
      <c r="AM132" s="440">
        <f t="shared" si="55"/>
        <v>1.3400542554436794</v>
      </c>
      <c r="AN132" s="440">
        <f t="shared" si="55"/>
        <v>1.3505718017329993</v>
      </c>
      <c r="AO132" s="440">
        <f t="shared" si="55"/>
        <v>1.3605410399219282</v>
      </c>
      <c r="AP132" s="440">
        <f t="shared" si="55"/>
        <v>1.369990554792951</v>
      </c>
      <c r="AQ132" s="440">
        <f t="shared" si="55"/>
        <v>1.3789474409266218</v>
      </c>
      <c r="AR132" s="440">
        <f t="shared" si="55"/>
        <v>1.3874373803898168</v>
      </c>
      <c r="AS132" s="440">
        <f t="shared" si="55"/>
        <v>1.3954847163738879</v>
      </c>
      <c r="AT132" s="440">
        <f t="shared" si="55"/>
        <v>1.4031125229938606</v>
      </c>
      <c r="AU132" s="440">
        <f t="shared" si="55"/>
        <v>1.410342671448811</v>
      </c>
      <c r="AV132" s="440">
        <f t="shared" si="55"/>
        <v>1.4171958927331241</v>
      </c>
      <c r="AW132" s="440">
        <f t="shared" si="55"/>
        <v>1.4236918370784446</v>
      </c>
      <c r="AX132" s="440">
        <f t="shared" si="55"/>
        <v>1.429849130296758</v>
      </c>
      <c r="AY132" s="441">
        <f t="shared" si="55"/>
        <v>1.4356854271861546</v>
      </c>
    </row>
    <row r="133" spans="1:51">
      <c r="A133" s="442" t="s">
        <v>2923</v>
      </c>
      <c r="B133" s="446">
        <f t="shared" ref="B133:B139" si="56">B122/(1+$C$3)^(B$16-0.5)</f>
        <v>83.142880157899583</v>
      </c>
      <c r="C133" s="447">
        <f t="shared" si="55"/>
        <v>168.53441057976141</v>
      </c>
      <c r="D133" s="447">
        <f t="shared" si="55"/>
        <v>255.33713327310039</v>
      </c>
      <c r="E133" s="447">
        <f t="shared" si="55"/>
        <v>342.85019038251738</v>
      </c>
      <c r="F133" s="447">
        <f t="shared" si="55"/>
        <v>430.46720059461694</v>
      </c>
      <c r="G133" s="447">
        <f t="shared" si="55"/>
        <v>517.67458334521405</v>
      </c>
      <c r="H133" s="447">
        <f t="shared" si="55"/>
        <v>604.04866016790231</v>
      </c>
      <c r="I133" s="447">
        <f t="shared" si="55"/>
        <v>689.22294077369145</v>
      </c>
      <c r="J133" s="447">
        <f t="shared" si="55"/>
        <v>772.90319960289992</v>
      </c>
      <c r="K133" s="447">
        <f t="shared" si="55"/>
        <v>854.84525147923114</v>
      </c>
      <c r="L133" s="447">
        <f t="shared" si="55"/>
        <v>934.84935653622915</v>
      </c>
      <c r="M133" s="447">
        <f t="shared" si="55"/>
        <v>1012.7609731846534</v>
      </c>
      <c r="N133" s="447">
        <f t="shared" si="55"/>
        <v>1086.6108467850554</v>
      </c>
      <c r="O133" s="447">
        <f t="shared" si="55"/>
        <v>1156.61072697501</v>
      </c>
      <c r="P133" s="447">
        <f t="shared" si="55"/>
        <v>1222.96132431146</v>
      </c>
      <c r="Q133" s="447">
        <f t="shared" si="55"/>
        <v>1285.8528857678107</v>
      </c>
      <c r="R133" s="447">
        <f t="shared" si="55"/>
        <v>1345.4657402288062</v>
      </c>
      <c r="S133" s="447">
        <f t="shared" si="55"/>
        <v>1401.9708155472856</v>
      </c>
      <c r="T133" s="447">
        <f t="shared" si="55"/>
        <v>1455.5301286453703</v>
      </c>
      <c r="U133" s="447">
        <f t="shared" si="55"/>
        <v>1506.2972500653557</v>
      </c>
      <c r="V133" s="447">
        <f t="shared" si="55"/>
        <v>1554.4177443023086</v>
      </c>
      <c r="W133" s="447">
        <f t="shared" si="55"/>
        <v>1600.0295871809371</v>
      </c>
      <c r="X133" s="447">
        <f t="shared" si="55"/>
        <v>1643.2635614734759</v>
      </c>
      <c r="Y133" s="447">
        <f t="shared" si="55"/>
        <v>1684.243631892944</v>
      </c>
      <c r="Z133" s="447">
        <f t="shared" si="55"/>
        <v>1723.0873005369897</v>
      </c>
      <c r="AA133" s="447">
        <f t="shared" si="55"/>
        <v>1759.9059438014879</v>
      </c>
      <c r="AB133" s="447">
        <f t="shared" si="55"/>
        <v>1794.8051317299221</v>
      </c>
      <c r="AC133" s="447">
        <f t="shared" si="55"/>
        <v>1827.88493071422</v>
      </c>
      <c r="AD133" s="447">
        <f t="shared" si="55"/>
        <v>1859.2401904149763</v>
      </c>
      <c r="AE133" s="447">
        <f t="shared" si="55"/>
        <v>1888.9608157237501</v>
      </c>
      <c r="AF133" s="447">
        <f t="shared" si="55"/>
        <v>1917.1320245472323</v>
      </c>
      <c r="AG133" s="447">
        <f t="shared" si="55"/>
        <v>1943.8345921524287</v>
      </c>
      <c r="AH133" s="447">
        <f t="shared" si="55"/>
        <v>1969.1450827734679</v>
      </c>
      <c r="AI133" s="447">
        <f t="shared" si="55"/>
        <v>1993.1360691441214</v>
      </c>
      <c r="AJ133" s="447">
        <f t="shared" si="55"/>
        <v>2015.8763405854991</v>
      </c>
      <c r="AK133" s="447">
        <f t="shared" si="55"/>
        <v>2037.4311002455727</v>
      </c>
      <c r="AL133" s="447">
        <f t="shared" si="55"/>
        <v>2057.8621520560691</v>
      </c>
      <c r="AM133" s="447">
        <f t="shared" si="55"/>
        <v>2077.2280779427956</v>
      </c>
      <c r="AN133" s="447">
        <f t="shared" si="55"/>
        <v>2095.5844057975123</v>
      </c>
      <c r="AO133" s="447">
        <f t="shared" si="55"/>
        <v>2112.9837686929786</v>
      </c>
      <c r="AP133" s="447">
        <f t="shared" si="55"/>
        <v>2129.4760557976861</v>
      </c>
      <c r="AQ133" s="447">
        <f t="shared" si="55"/>
        <v>2145.1085554230012</v>
      </c>
      <c r="AR133" s="447">
        <f t="shared" si="55"/>
        <v>2159.9260906128734</v>
      </c>
      <c r="AS133" s="447">
        <f t="shared" si="55"/>
        <v>2173.9711476648849</v>
      </c>
      <c r="AT133" s="447">
        <f t="shared" si="55"/>
        <v>2187.2839979511518</v>
      </c>
      <c r="AU133" s="447">
        <f t="shared" si="55"/>
        <v>2199.9028133883717</v>
      </c>
      <c r="AV133" s="447">
        <f t="shared" si="55"/>
        <v>2211.8637758881059</v>
      </c>
      <c r="AW133" s="447">
        <f t="shared" si="55"/>
        <v>2223.2011811011243</v>
      </c>
      <c r="AX133" s="447">
        <f t="shared" si="55"/>
        <v>2233.9475367532746</v>
      </c>
      <c r="AY133" s="448">
        <f t="shared" si="55"/>
        <v>2244.1336558548387</v>
      </c>
    </row>
    <row r="134" spans="1:51">
      <c r="A134" s="442" t="s">
        <v>2924</v>
      </c>
      <c r="B134" s="446">
        <f t="shared" si="56"/>
        <v>13.279696222186503</v>
      </c>
      <c r="C134" s="447">
        <f t="shared" si="55"/>
        <v>25.654835298747013</v>
      </c>
      <c r="D134" s="447">
        <f t="shared" si="55"/>
        <v>37.192386635892532</v>
      </c>
      <c r="E134" s="447">
        <f t="shared" si="55"/>
        <v>48.128454254039944</v>
      </c>
      <c r="F134" s="447">
        <f t="shared" si="55"/>
        <v>58.494395124321855</v>
      </c>
      <c r="G134" s="447">
        <f t="shared" si="55"/>
        <v>68.319931494257318</v>
      </c>
      <c r="H134" s="447">
        <f t="shared" si="55"/>
        <v>77.689723173940223</v>
      </c>
      <c r="I134" s="447">
        <f t="shared" si="55"/>
        <v>86.617891761958674</v>
      </c>
      <c r="J134" s="447">
        <f t="shared" si="55"/>
        <v>95.131361741509721</v>
      </c>
      <c r="K134" s="447">
        <f t="shared" si="55"/>
        <v>103.20100153255336</v>
      </c>
      <c r="L134" s="447">
        <f t="shared" si="55"/>
        <v>110.84994920178904</v>
      </c>
      <c r="M134" s="447">
        <f t="shared" si="55"/>
        <v>118.10013656599348</v>
      </c>
      <c r="N134" s="447">
        <f t="shared" si="55"/>
        <v>124.97235207708773</v>
      </c>
      <c r="O134" s="447">
        <f t="shared" si="55"/>
        <v>131.48630042883585</v>
      </c>
      <c r="P134" s="447">
        <f t="shared" si="55"/>
        <v>137.66065905608525</v>
      </c>
      <c r="Q134" s="447">
        <f t="shared" si="55"/>
        <v>143.51313168854912</v>
      </c>
      <c r="R134" s="447">
        <f t="shared" si="55"/>
        <v>149.06049911268551</v>
      </c>
      <c r="S134" s="447">
        <f t="shared" si="55"/>
        <v>154.31866728722235</v>
      </c>
      <c r="T134" s="447">
        <f t="shared" si="55"/>
        <v>159.30271295029047</v>
      </c>
      <c r="U134" s="447">
        <f t="shared" si="55"/>
        <v>164.02692684893321</v>
      </c>
      <c r="V134" s="447">
        <f t="shared" si="55"/>
        <v>168.50485471494531</v>
      </c>
      <c r="W134" s="447">
        <f t="shared" si="55"/>
        <v>172.74933610453024</v>
      </c>
      <c r="X134" s="447">
        <f t="shared" si="55"/>
        <v>176.77254121314155</v>
      </c>
      <c r="Y134" s="447">
        <f t="shared" si="55"/>
        <v>180.58600577106697</v>
      </c>
      <c r="Z134" s="447">
        <f t="shared" si="55"/>
        <v>184.20066411981142</v>
      </c>
      <c r="AA134" s="447">
        <f t="shared" si="55"/>
        <v>187.62688056411898</v>
      </c>
      <c r="AB134" s="447">
        <f t="shared" si="55"/>
        <v>190.87447908952896</v>
      </c>
      <c r="AC134" s="447">
        <f t="shared" si="55"/>
        <v>193.95277153067588</v>
      </c>
      <c r="AD134" s="447">
        <f t="shared" si="55"/>
        <v>196.87058427109949</v>
      </c>
      <c r="AE134" s="447">
        <f t="shared" si="55"/>
        <v>199.63628355112186</v>
      </c>
      <c r="AF134" s="447">
        <f t="shared" si="55"/>
        <v>202.25779945635634</v>
      </c>
      <c r="AG134" s="447">
        <f t="shared" si="55"/>
        <v>204.74264865563075</v>
      </c>
      <c r="AH134" s="447">
        <f t="shared" si="55"/>
        <v>207.09795595352116</v>
      </c>
      <c r="AI134" s="447">
        <f t="shared" si="55"/>
        <v>209.33047471929407</v>
      </c>
      <c r="AJ134" s="447">
        <f t="shared" si="55"/>
        <v>211.44660625083239</v>
      </c>
      <c r="AK134" s="447">
        <f t="shared" si="55"/>
        <v>213.45241812906775</v>
      </c>
      <c r="AL134" s="447">
        <f t="shared" si="55"/>
        <v>215.35366161554677</v>
      </c>
      <c r="AM134" s="447">
        <f t="shared" si="55"/>
        <v>217.15578814301503</v>
      </c>
      <c r="AN134" s="447">
        <f t="shared" si="55"/>
        <v>218.86396494630247</v>
      </c>
      <c r="AO134" s="447">
        <f t="shared" si="55"/>
        <v>220.48308987832849</v>
      </c>
      <c r="AP134" s="447">
        <f t="shared" si="55"/>
        <v>222.0178054537086</v>
      </c>
      <c r="AQ134" s="447">
        <f t="shared" si="55"/>
        <v>223.47251216023005</v>
      </c>
      <c r="AR134" s="447">
        <f t="shared" si="55"/>
        <v>224.85138107636411</v>
      </c>
      <c r="AS134" s="447">
        <f t="shared" si="55"/>
        <v>226.15836583099355</v>
      </c>
      <c r="AT134" s="447">
        <f t="shared" si="55"/>
        <v>227.39721393964706</v>
      </c>
      <c r="AU134" s="447">
        <f t="shared" si="55"/>
        <v>228.57147754974517</v>
      </c>
      <c r="AV134" s="447">
        <f t="shared" si="55"/>
        <v>229.68452362566754</v>
      </c>
      <c r="AW134" s="447">
        <f t="shared" si="55"/>
        <v>230.73954360284515</v>
      </c>
      <c r="AX134" s="447">
        <f t="shared" si="55"/>
        <v>231.73956253855852</v>
      </c>
      <c r="AY134" s="448">
        <f t="shared" si="55"/>
        <v>232.68744778568021</v>
      </c>
    </row>
    <row r="135" spans="1:51">
      <c r="A135" s="442" t="s">
        <v>2925</v>
      </c>
      <c r="B135" s="446">
        <f t="shared" si="56"/>
        <v>11.695187013857431</v>
      </c>
      <c r="C135" s="447">
        <f t="shared" si="55"/>
        <v>22.579187967782417</v>
      </c>
      <c r="D135" s="447">
        <f t="shared" si="55"/>
        <v>32.713543302653164</v>
      </c>
      <c r="E135" s="447">
        <f t="shared" si="55"/>
        <v>42.31956731674866</v>
      </c>
      <c r="F135" s="447">
        <f t="shared" si="55"/>
        <v>51.424803349066664</v>
      </c>
      <c r="G135" s="447">
        <f t="shared" si="55"/>
        <v>60.055358829936814</v>
      </c>
      <c r="H135" s="447">
        <f t="shared" si="55"/>
        <v>68.288348354059096</v>
      </c>
      <c r="I135" s="447">
        <f t="shared" si="55"/>
        <v>76.138979353868422</v>
      </c>
      <c r="J135" s="447">
        <f t="shared" si="55"/>
        <v>83.627386101281516</v>
      </c>
      <c r="K135" s="447">
        <f t="shared" si="55"/>
        <v>90.725401975606729</v>
      </c>
      <c r="L135" s="447">
        <f t="shared" si="55"/>
        <v>97.453379107668539</v>
      </c>
      <c r="M135" s="447">
        <f t="shared" si="55"/>
        <v>103.83060861673187</v>
      </c>
      <c r="N135" s="447">
        <f t="shared" si="55"/>
        <v>109.8753759239009</v>
      </c>
      <c r="O135" s="447">
        <f t="shared" si="55"/>
        <v>115.60501318188103</v>
      </c>
      <c r="P135" s="447">
        <f t="shared" si="55"/>
        <v>121.03594897143566</v>
      </c>
      <c r="Q135" s="447">
        <f t="shared" si="55"/>
        <v>126.18375540703246</v>
      </c>
      <c r="R135" s="447">
        <f t="shared" si="55"/>
        <v>131.06319278674508</v>
      </c>
      <c r="S135" s="447">
        <f t="shared" si="55"/>
        <v>135.68825191443474</v>
      </c>
      <c r="T135" s="447">
        <f t="shared" si="55"/>
        <v>140.0721942155624</v>
      </c>
      <c r="U135" s="447">
        <f t="shared" si="55"/>
        <v>144.22758976165497</v>
      </c>
      <c r="V135" s="447">
        <f t="shared" si="55"/>
        <v>148.16635331245359</v>
      </c>
      <c r="W135" s="447">
        <f t="shared" si="55"/>
        <v>151.89977847908739</v>
      </c>
      <c r="X135" s="447">
        <f t="shared" si="55"/>
        <v>155.43857010622841</v>
      </c>
      <c r="Y135" s="447">
        <f t="shared" si="55"/>
        <v>158.79287496607773</v>
      </c>
      <c r="Z135" s="447">
        <f t="shared" si="55"/>
        <v>161.97231085219082</v>
      </c>
      <c r="AA135" s="447">
        <f t="shared" si="55"/>
        <v>164.98599415656341</v>
      </c>
      <c r="AB135" s="447">
        <f t="shared" si="55"/>
        <v>167.84256600904928</v>
      </c>
      <c r="AC135" s="447">
        <f t="shared" si="55"/>
        <v>170.5502170540596</v>
      </c>
      <c r="AD135" s="447">
        <f t="shared" si="55"/>
        <v>173.11671093558596</v>
      </c>
      <c r="AE135" s="447">
        <f t="shared" si="55"/>
        <v>175.54940655788582</v>
      </c>
      <c r="AF135" s="447">
        <f t="shared" si="55"/>
        <v>177.85527918565819</v>
      </c>
      <c r="AG135" s="447">
        <f t="shared" si="55"/>
        <v>180.04094044421021</v>
      </c>
      <c r="AH135" s="447">
        <f t="shared" si="55"/>
        <v>182.11265727696093</v>
      </c>
      <c r="AI135" s="447">
        <f t="shared" si="55"/>
        <v>184.07636991463934</v>
      </c>
      <c r="AJ135" s="447">
        <f t="shared" si="55"/>
        <v>185.93770890769946</v>
      </c>
      <c r="AK135" s="447">
        <f t="shared" si="55"/>
        <v>187.70201127078963</v>
      </c>
      <c r="AL135" s="447">
        <f t="shared" si="55"/>
        <v>189.37433578556704</v>
      </c>
      <c r="AM135" s="447">
        <f t="shared" si="55"/>
        <v>190.95947750573518</v>
      </c>
      <c r="AN135" s="447">
        <f t="shared" si="55"/>
        <v>192.46198150589456</v>
      </c>
      <c r="AO135" s="447">
        <f t="shared" si="55"/>
        <v>193.88615591362858</v>
      </c>
      <c r="AP135" s="447">
        <f t="shared" si="55"/>
        <v>195.23608426219164</v>
      </c>
      <c r="AQ135" s="447">
        <f t="shared" si="55"/>
        <v>196.51563719921822</v>
      </c>
      <c r="AR135" s="447">
        <f t="shared" si="55"/>
        <v>197.7284835850254</v>
      </c>
      <c r="AS135" s="447">
        <f t="shared" si="55"/>
        <v>198.8781010123308</v>
      </c>
      <c r="AT135" s="447">
        <f t="shared" si="55"/>
        <v>199.96778577754918</v>
      </c>
      <c r="AU135" s="447">
        <f t="shared" si="55"/>
        <v>201.00066233225854</v>
      </c>
      <c r="AV135" s="447">
        <f t="shared" si="55"/>
        <v>201.97969224193568</v>
      </c>
      <c r="AW135" s="447">
        <f t="shared" si="55"/>
        <v>202.90768267764861</v>
      </c>
      <c r="AX135" s="447">
        <f t="shared" si="55"/>
        <v>203.78729446505423</v>
      </c>
      <c r="AY135" s="448">
        <f t="shared" si="55"/>
        <v>204.62104971377994</v>
      </c>
    </row>
    <row r="136" spans="1:51">
      <c r="A136" s="442" t="s">
        <v>2926</v>
      </c>
      <c r="B136" s="446">
        <f t="shared" si="56"/>
        <v>7.0689328859713552</v>
      </c>
      <c r="C136" s="447">
        <f t="shared" si="55"/>
        <v>14.369698136716529</v>
      </c>
      <c r="D136" s="447">
        <f t="shared" si="55"/>
        <v>21.541967331637562</v>
      </c>
      <c r="E136" s="447">
        <f t="shared" si="55"/>
        <v>28.51267627318699</v>
      </c>
      <c r="F136" s="447">
        <f t="shared" si="55"/>
        <v>35.250642077004798</v>
      </c>
      <c r="G136" s="447">
        <f t="shared" si="55"/>
        <v>41.746987388541662</v>
      </c>
      <c r="H136" s="447">
        <f t="shared" si="55"/>
        <v>47.980700711127561</v>
      </c>
      <c r="I136" s="447">
        <f t="shared" si="55"/>
        <v>53.925864208141782</v>
      </c>
      <c r="J136" s="447">
        <f t="shared" si="55"/>
        <v>59.641723748881354</v>
      </c>
      <c r="K136" s="447">
        <f t="shared" si="55"/>
        <v>65.083644011797688</v>
      </c>
      <c r="L136" s="447">
        <f t="shared" si="55"/>
        <v>70.302178243051259</v>
      </c>
      <c r="M136" s="447">
        <f t="shared" si="55"/>
        <v>75.296787022973902</v>
      </c>
      <c r="N136" s="447">
        <f t="shared" si="55"/>
        <v>80.02975889547298</v>
      </c>
      <c r="O136" s="447">
        <f t="shared" si="55"/>
        <v>84.55046652586843</v>
      </c>
      <c r="P136" s="447">
        <f t="shared" si="55"/>
        <v>88.867652559080511</v>
      </c>
      <c r="Q136" s="447">
        <f t="shared" si="55"/>
        <v>92.986957075656932</v>
      </c>
      <c r="R136" s="447">
        <f t="shared" si="55"/>
        <v>96.884761614834133</v>
      </c>
      <c r="S136" s="447">
        <f t="shared" si="55"/>
        <v>100.57041386849632</v>
      </c>
      <c r="T136" s="447">
        <f t="shared" si="55"/>
        <v>104.05103570691571</v>
      </c>
      <c r="U136" s="447">
        <f t="shared" si="55"/>
        <v>107.35020332627059</v>
      </c>
      <c r="V136" s="447">
        <f t="shared" si="55"/>
        <v>110.47737642518516</v>
      </c>
      <c r="W136" s="447">
        <f t="shared" si="55"/>
        <v>113.44152154263973</v>
      </c>
      <c r="X136" s="447">
        <f t="shared" si="55"/>
        <v>116.25113776771516</v>
      </c>
      <c r="Y136" s="447">
        <f t="shared" si="55"/>
        <v>118.91428110901889</v>
      </c>
      <c r="Z136" s="447">
        <f t="shared" si="55"/>
        <v>121.43858759366697</v>
      </c>
      <c r="AA136" s="447">
        <f t="shared" si="55"/>
        <v>123.83129516205376</v>
      </c>
      <c r="AB136" s="447">
        <f t="shared" si="55"/>
        <v>126.09926442118817</v>
      </c>
      <c r="AC136" s="447">
        <f t="shared" si="55"/>
        <v>128.2489983161023</v>
      </c>
      <c r="AD136" s="447">
        <f t="shared" si="55"/>
        <v>130.28666077573655</v>
      </c>
      <c r="AE136" s="447">
        <f t="shared" si="55"/>
        <v>132.21809438676428</v>
      </c>
      <c r="AF136" s="447">
        <f t="shared" si="55"/>
        <v>134.04883714603227</v>
      </c>
      <c r="AG136" s="447">
        <f t="shared" si="55"/>
        <v>135.78413833965121</v>
      </c>
      <c r="AH136" s="447">
        <f t="shared" si="55"/>
        <v>137.42897359426632</v>
      </c>
      <c r="AI136" s="447">
        <f t="shared" si="55"/>
        <v>138.98805914366454</v>
      </c>
      <c r="AJ136" s="447">
        <f t="shared" si="55"/>
        <v>140.46586535162493</v>
      </c>
      <c r="AK136" s="447">
        <f t="shared" si="55"/>
        <v>141.86662952978642</v>
      </c>
      <c r="AL136" s="447">
        <f t="shared" si="55"/>
        <v>143.19436808728548</v>
      </c>
      <c r="AM136" s="447">
        <f t="shared" si="55"/>
        <v>144.45288804700024</v>
      </c>
      <c r="AN136" s="447">
        <f t="shared" si="55"/>
        <v>145.64579796142181</v>
      </c>
      <c r="AO136" s="447">
        <f t="shared" si="55"/>
        <v>146.77651825945173</v>
      </c>
      <c r="AP136" s="447">
        <f t="shared" si="55"/>
        <v>147.84829105379288</v>
      </c>
      <c r="AQ136" s="447">
        <f t="shared" si="55"/>
        <v>148.86418943705462</v>
      </c>
      <c r="AR136" s="447">
        <f t="shared" si="55"/>
        <v>149.82712629322691</v>
      </c>
      <c r="AS136" s="447">
        <f t="shared" si="55"/>
        <v>150.73986264978831</v>
      </c>
      <c r="AT136" s="447">
        <f t="shared" si="55"/>
        <v>151.60501559439626</v>
      </c>
      <c r="AU136" s="447">
        <f t="shared" si="55"/>
        <v>152.42506577885879</v>
      </c>
      <c r="AV136" s="447">
        <f t="shared" si="55"/>
        <v>153.20236453190384</v>
      </c>
      <c r="AW136" s="447">
        <f t="shared" si="55"/>
        <v>153.93914060114085</v>
      </c>
      <c r="AX136" s="447">
        <f t="shared" si="55"/>
        <v>154.63750654354561</v>
      </c>
      <c r="AY136" s="448">
        <f t="shared" si="55"/>
        <v>155.29946478279183</v>
      </c>
    </row>
    <row r="137" spans="1:51">
      <c r="A137" s="442" t="s">
        <v>2905</v>
      </c>
      <c r="B137" s="443">
        <f t="shared" si="56"/>
        <v>6.1141123369011178E-3</v>
      </c>
      <c r="C137" s="444">
        <f t="shared" si="55"/>
        <v>1.1835653147838862E-2</v>
      </c>
      <c r="D137" s="444">
        <f t="shared" si="55"/>
        <v>1.718893701314065E-2</v>
      </c>
      <c r="E137" s="444">
        <f t="shared" si="55"/>
        <v>2.2163645558166009E-2</v>
      </c>
      <c r="F137" s="444">
        <f t="shared" si="55"/>
        <v>2.6784701836957338E-2</v>
      </c>
      <c r="G137" s="444">
        <f t="shared" si="55"/>
        <v>3.1082908421834338E-2</v>
      </c>
      <c r="H137" s="444">
        <f t="shared" si="55"/>
        <v>3.5157037886172721E-2</v>
      </c>
      <c r="I137" s="444">
        <f t="shared" si="55"/>
        <v>3.9012079195542004E-2</v>
      </c>
      <c r="J137" s="444">
        <f t="shared" si="55"/>
        <v>4.2666146787361234E-2</v>
      </c>
      <c r="K137" s="444">
        <f t="shared" si="55"/>
        <v>4.6123704820036415E-2</v>
      </c>
      <c r="L137" s="444">
        <f t="shared" si="55"/>
        <v>4.9401011012145592E-2</v>
      </c>
      <c r="M137" s="444">
        <f t="shared" ref="M137:AY139" si="57">(M126/(1+$C$3)^(M$16-0.5)+L137)</f>
        <v>5.2507462379073722E-2</v>
      </c>
      <c r="N137" s="444">
        <f t="shared" si="57"/>
        <v>5.5446845168468734E-2</v>
      </c>
      <c r="O137" s="444">
        <f t="shared" si="57"/>
        <v>5.8232989992539834E-2</v>
      </c>
      <c r="P137" s="444">
        <f t="shared" si="57"/>
        <v>6.0869284697021131E-2</v>
      </c>
      <c r="Q137" s="444">
        <f t="shared" si="57"/>
        <v>6.3368142236813835E-2</v>
      </c>
      <c r="R137" s="444">
        <f t="shared" si="57"/>
        <v>6.5736727582588902E-2</v>
      </c>
      <c r="S137" s="444">
        <f t="shared" si="57"/>
        <v>6.7981832175740636E-2</v>
      </c>
      <c r="T137" s="444">
        <f t="shared" si="57"/>
        <v>7.0109893401476872E-2</v>
      </c>
      <c r="U137" s="444">
        <f t="shared" si="57"/>
        <v>7.2127013046724489E-2</v>
      </c>
      <c r="V137" s="444">
        <f t="shared" si="57"/>
        <v>7.4038974795774357E-2</v>
      </c>
      <c r="W137" s="444">
        <f t="shared" si="57"/>
        <v>7.5851260813831103E-2</v>
      </c>
      <c r="X137" s="444">
        <f t="shared" si="57"/>
        <v>7.7569067466017591E-2</v>
      </c>
      <c r="Y137" s="444">
        <f t="shared" si="57"/>
        <v>7.9197320216905259E-2</v>
      </c>
      <c r="Z137" s="444">
        <f t="shared" si="57"/>
        <v>8.0740687753291684E-2</v>
      </c>
      <c r="AA137" s="444">
        <f t="shared" si="57"/>
        <v>8.220359537071957E-2</v>
      </c>
      <c r="AB137" s="444">
        <f t="shared" si="57"/>
        <v>8.3590237662120412E-2</v>
      </c>
      <c r="AC137" s="444">
        <f t="shared" si="57"/>
        <v>8.4904590544964811E-2</v>
      </c>
      <c r="AD137" s="444">
        <f t="shared" si="57"/>
        <v>8.6150422661405004E-2</v>
      </c>
      <c r="AE137" s="444">
        <f t="shared" si="57"/>
        <v>8.7331306184097124E-2</v>
      </c>
      <c r="AF137" s="444">
        <f t="shared" si="57"/>
        <v>8.8450627058686809E-2</v>
      </c>
      <c r="AG137" s="444">
        <f t="shared" si="57"/>
        <v>8.9511594712326323E-2</v>
      </c>
      <c r="AH137" s="444">
        <f t="shared" si="57"/>
        <v>9.0517251256060458E-2</v>
      </c>
      <c r="AI137" s="444">
        <f t="shared" si="57"/>
        <v>9.1470480207467217E-2</v>
      </c>
      <c r="AJ137" s="444">
        <f t="shared" si="57"/>
        <v>9.2374014758563674E-2</v>
      </c>
      <c r="AK137" s="444">
        <f t="shared" si="57"/>
        <v>9.3230445612683538E-2</v>
      </c>
      <c r="AL137" s="444">
        <f t="shared" si="57"/>
        <v>9.4042228412797163E-2</v>
      </c>
      <c r="AM137" s="444">
        <f t="shared" si="57"/>
        <v>9.4811690782573108E-2</v>
      </c>
      <c r="AN137" s="444">
        <f t="shared" si="57"/>
        <v>9.5541039000370212E-2</v>
      </c>
      <c r="AO137" s="444">
        <f t="shared" si="57"/>
        <v>9.6232364325296374E-2</v>
      </c>
      <c r="AP137" s="444">
        <f t="shared" si="57"/>
        <v>9.6887648993472825E-2</v>
      </c>
      <c r="AQ137" s="444">
        <f t="shared" si="57"/>
        <v>9.7508771901696961E-2</v>
      </c>
      <c r="AR137" s="444">
        <f t="shared" si="57"/>
        <v>9.8097513994800406E-2</v>
      </c>
      <c r="AS137" s="444">
        <f t="shared" si="57"/>
        <v>9.8655563372149632E-2</v>
      </c>
      <c r="AT137" s="444">
        <f t="shared" si="57"/>
        <v>9.91845201279309E-2</v>
      </c>
      <c r="AU137" s="444">
        <f t="shared" si="57"/>
        <v>9.9685900939097974E-2</v>
      </c>
      <c r="AV137" s="444">
        <f t="shared" si="57"/>
        <v>0.10016114341413786</v>
      </c>
      <c r="AW137" s="444">
        <f t="shared" si="57"/>
        <v>0.10061161021512352</v>
      </c>
      <c r="AX137" s="444">
        <f t="shared" si="57"/>
        <v>0.10103859296487297</v>
      </c>
      <c r="AY137" s="445">
        <f t="shared" si="57"/>
        <v>0.10144331595041747</v>
      </c>
    </row>
    <row r="138" spans="1:51">
      <c r="A138" s="442" t="s">
        <v>2906</v>
      </c>
      <c r="B138" s="446">
        <f t="shared" si="56"/>
        <v>0.85432063306221828</v>
      </c>
      <c r="C138" s="447">
        <f t="shared" ref="C138:AH139" si="58">(C127/(1+$C$3)^(C$16-0.5)+B138)</f>
        <v>1.6641032236425202</v>
      </c>
      <c r="D138" s="447">
        <f t="shared" si="58"/>
        <v>2.4316696602115266</v>
      </c>
      <c r="E138" s="447">
        <f t="shared" si="58"/>
        <v>3.1592207849214855</v>
      </c>
      <c r="F138" s="447">
        <f t="shared" si="58"/>
        <v>3.8488427040778443</v>
      </c>
      <c r="G138" s="447">
        <f t="shared" si="58"/>
        <v>4.502512769628896</v>
      </c>
      <c r="H138" s="447">
        <f t="shared" si="58"/>
        <v>5.1221052488242051</v>
      </c>
      <c r="I138" s="447">
        <f t="shared" si="58"/>
        <v>5.7093966982984323</v>
      </c>
      <c r="J138" s="447">
        <f t="shared" si="58"/>
        <v>6.2660710579896426</v>
      </c>
      <c r="K138" s="447">
        <f t="shared" si="58"/>
        <v>6.7937244794978984</v>
      </c>
      <c r="L138" s="447">
        <f t="shared" si="58"/>
        <v>7.2938699027284732</v>
      </c>
      <c r="M138" s="447">
        <f t="shared" si="58"/>
        <v>7.7679413939422881</v>
      </c>
      <c r="N138" s="447">
        <f t="shared" si="58"/>
        <v>8.2172982576520646</v>
      </c>
      <c r="O138" s="447">
        <f t="shared" si="58"/>
        <v>8.643228934154223</v>
      </c>
      <c r="P138" s="447">
        <f t="shared" si="58"/>
        <v>9.0469546938719088</v>
      </c>
      <c r="Q138" s="447">
        <f t="shared" si="58"/>
        <v>9.4296331391019432</v>
      </c>
      <c r="R138" s="447">
        <f t="shared" si="58"/>
        <v>9.7923615232062406</v>
      </c>
      <c r="S138" s="447">
        <f t="shared" si="58"/>
        <v>10.136179896764817</v>
      </c>
      <c r="T138" s="447">
        <f t="shared" si="58"/>
        <v>10.462074089711335</v>
      </c>
      <c r="U138" s="447">
        <f t="shared" si="58"/>
        <v>10.770978538001872</v>
      </c>
      <c r="V138" s="447">
        <f t="shared" si="58"/>
        <v>11.063778962921813</v>
      </c>
      <c r="W138" s="447">
        <f t="shared" si="58"/>
        <v>11.341314910713226</v>
      </c>
      <c r="X138" s="447">
        <f t="shared" si="58"/>
        <v>11.604382159804613</v>
      </c>
      <c r="Y138" s="447">
        <f t="shared" si="58"/>
        <v>11.853735002545264</v>
      </c>
      <c r="Z138" s="447">
        <f t="shared" si="58"/>
        <v>12.09008840798664</v>
      </c>
      <c r="AA138" s="447">
        <f t="shared" si="58"/>
        <v>12.314120071912114</v>
      </c>
      <c r="AB138" s="447">
        <f t="shared" si="58"/>
        <v>12.526472359993132</v>
      </c>
      <c r="AC138" s="447">
        <f t="shared" si="58"/>
        <v>12.727754149643387</v>
      </c>
      <c r="AD138" s="447">
        <f t="shared" si="58"/>
        <v>12.918542575852159</v>
      </c>
      <c r="AE138" s="447">
        <f t="shared" si="58"/>
        <v>13.099384686002654</v>
      </c>
      <c r="AF138" s="447">
        <f t="shared" si="58"/>
        <v>13.270799008420186</v>
      </c>
      <c r="AG138" s="447">
        <f t="shared" si="58"/>
        <v>13.433277039147702</v>
      </c>
      <c r="AH138" s="447">
        <f t="shared" si="58"/>
        <v>13.5872846512117</v>
      </c>
      <c r="AI138" s="447">
        <f t="shared" si="57"/>
        <v>13.73326343041928</v>
      </c>
      <c r="AJ138" s="447">
        <f t="shared" si="57"/>
        <v>13.871631941516512</v>
      </c>
      <c r="AK138" s="447">
        <f t="shared" si="57"/>
        <v>14.002786928338534</v>
      </c>
      <c r="AL138" s="447">
        <f t="shared" si="57"/>
        <v>14.127104451392583</v>
      </c>
      <c r="AM138" s="447">
        <f t="shared" si="57"/>
        <v>14.244940966135758</v>
      </c>
      <c r="AN138" s="447">
        <f t="shared" si="57"/>
        <v>14.356634345039241</v>
      </c>
      <c r="AO138" s="447">
        <f t="shared" si="57"/>
        <v>14.462504846369557</v>
      </c>
      <c r="AP138" s="447">
        <f t="shared" si="57"/>
        <v>14.562856032464643</v>
      </c>
      <c r="AQ138" s="447">
        <f t="shared" si="57"/>
        <v>14.65797564013771</v>
      </c>
      <c r="AR138" s="447">
        <f t="shared" si="57"/>
        <v>14.748136405704599</v>
      </c>
      <c r="AS138" s="447">
        <f t="shared" si="57"/>
        <v>14.833596847000228</v>
      </c>
      <c r="AT138" s="447">
        <f t="shared" si="57"/>
        <v>14.914602004626417</v>
      </c>
      <c r="AU138" s="447">
        <f t="shared" si="57"/>
        <v>14.991384144556454</v>
      </c>
      <c r="AV138" s="447">
        <f t="shared" si="57"/>
        <v>15.064163424110991</v>
      </c>
      <c r="AW138" s="447">
        <f t="shared" si="57"/>
        <v>15.133148523214818</v>
      </c>
      <c r="AX138" s="447">
        <f t="shared" si="57"/>
        <v>15.198537242744511</v>
      </c>
      <c r="AY138" s="448">
        <f t="shared" si="57"/>
        <v>15.260517071682608</v>
      </c>
    </row>
    <row r="139" spans="1:51" ht="12.75" thickBot="1">
      <c r="A139" s="449" t="s">
        <v>2907</v>
      </c>
      <c r="B139" s="450">
        <f t="shared" si="56"/>
        <v>0.85432063306221828</v>
      </c>
      <c r="C139" s="451">
        <f t="shared" si="58"/>
        <v>1.6641032236425202</v>
      </c>
      <c r="D139" s="451">
        <f t="shared" si="58"/>
        <v>2.4316696602115266</v>
      </c>
      <c r="E139" s="451">
        <f t="shared" si="58"/>
        <v>3.1592207849214855</v>
      </c>
      <c r="F139" s="451">
        <f t="shared" si="58"/>
        <v>3.8488427040778443</v>
      </c>
      <c r="G139" s="451">
        <f t="shared" si="58"/>
        <v>4.502512769628896</v>
      </c>
      <c r="H139" s="451">
        <f t="shared" si="58"/>
        <v>5.1221052488242051</v>
      </c>
      <c r="I139" s="451">
        <f t="shared" si="58"/>
        <v>5.7093966982984323</v>
      </c>
      <c r="J139" s="451">
        <f t="shared" si="58"/>
        <v>6.2660710579896426</v>
      </c>
      <c r="K139" s="451">
        <f t="shared" si="58"/>
        <v>6.7937244794978984</v>
      </c>
      <c r="L139" s="451">
        <f t="shared" si="58"/>
        <v>7.2938699027284732</v>
      </c>
      <c r="M139" s="451">
        <f t="shared" si="58"/>
        <v>7.7679413939422881</v>
      </c>
      <c r="N139" s="451">
        <f t="shared" si="58"/>
        <v>8.2172982576520646</v>
      </c>
      <c r="O139" s="451">
        <f t="shared" si="58"/>
        <v>8.643228934154223</v>
      </c>
      <c r="P139" s="451">
        <f t="shared" si="58"/>
        <v>9.0469546938719088</v>
      </c>
      <c r="Q139" s="451">
        <f t="shared" si="58"/>
        <v>9.4296331391019432</v>
      </c>
      <c r="R139" s="451">
        <f t="shared" si="58"/>
        <v>9.7923615232062406</v>
      </c>
      <c r="S139" s="451">
        <f t="shared" si="58"/>
        <v>10.136179896764817</v>
      </c>
      <c r="T139" s="451">
        <f t="shared" si="58"/>
        <v>10.462074089711335</v>
      </c>
      <c r="U139" s="451">
        <f t="shared" si="58"/>
        <v>10.770978538001872</v>
      </c>
      <c r="V139" s="451">
        <f t="shared" si="58"/>
        <v>11.063778962921813</v>
      </c>
      <c r="W139" s="451">
        <f t="shared" si="58"/>
        <v>11.341314910713226</v>
      </c>
      <c r="X139" s="451">
        <f t="shared" si="58"/>
        <v>11.604382159804613</v>
      </c>
      <c r="Y139" s="451">
        <f t="shared" si="58"/>
        <v>11.853735002545264</v>
      </c>
      <c r="Z139" s="451">
        <f t="shared" si="58"/>
        <v>12.09008840798664</v>
      </c>
      <c r="AA139" s="451">
        <f t="shared" si="58"/>
        <v>12.314120071912114</v>
      </c>
      <c r="AB139" s="451">
        <f t="shared" si="58"/>
        <v>12.526472359993132</v>
      </c>
      <c r="AC139" s="451">
        <f t="shared" si="58"/>
        <v>12.727754149643387</v>
      </c>
      <c r="AD139" s="451">
        <f t="shared" si="58"/>
        <v>12.918542575852159</v>
      </c>
      <c r="AE139" s="451">
        <f t="shared" si="58"/>
        <v>13.099384686002654</v>
      </c>
      <c r="AF139" s="451">
        <f t="shared" si="58"/>
        <v>13.270799008420186</v>
      </c>
      <c r="AG139" s="451">
        <f t="shared" si="58"/>
        <v>13.433277039147702</v>
      </c>
      <c r="AH139" s="451">
        <f t="shared" si="58"/>
        <v>13.5872846512117</v>
      </c>
      <c r="AI139" s="451">
        <f t="shared" si="57"/>
        <v>13.73326343041928</v>
      </c>
      <c r="AJ139" s="451">
        <f t="shared" si="57"/>
        <v>13.871631941516512</v>
      </c>
      <c r="AK139" s="451">
        <f t="shared" si="57"/>
        <v>14.002786928338534</v>
      </c>
      <c r="AL139" s="451">
        <f t="shared" si="57"/>
        <v>14.127104451392583</v>
      </c>
      <c r="AM139" s="451">
        <f t="shared" si="57"/>
        <v>14.244940966135758</v>
      </c>
      <c r="AN139" s="451">
        <f t="shared" si="57"/>
        <v>14.356634345039241</v>
      </c>
      <c r="AO139" s="451">
        <f t="shared" si="57"/>
        <v>14.462504846369557</v>
      </c>
      <c r="AP139" s="451">
        <f t="shared" si="57"/>
        <v>14.562856032464643</v>
      </c>
      <c r="AQ139" s="451">
        <f t="shared" si="57"/>
        <v>14.65797564013771</v>
      </c>
      <c r="AR139" s="451">
        <f t="shared" si="57"/>
        <v>14.748136405704599</v>
      </c>
      <c r="AS139" s="451">
        <f t="shared" si="57"/>
        <v>14.833596847000228</v>
      </c>
      <c r="AT139" s="451">
        <f t="shared" si="57"/>
        <v>14.914602004626417</v>
      </c>
      <c r="AU139" s="451">
        <f t="shared" si="57"/>
        <v>14.991384144556454</v>
      </c>
      <c r="AV139" s="451">
        <f t="shared" si="57"/>
        <v>15.064163424110991</v>
      </c>
      <c r="AW139" s="451">
        <f t="shared" si="57"/>
        <v>15.133148523214818</v>
      </c>
      <c r="AX139" s="451">
        <f t="shared" si="57"/>
        <v>15.198537242744511</v>
      </c>
      <c r="AY139" s="452">
        <f t="shared" si="57"/>
        <v>15.260517071682608</v>
      </c>
    </row>
    <row r="141" spans="1:51" ht="15.75">
      <c r="A141" s="454" t="s">
        <v>2917</v>
      </c>
      <c r="B141" s="453"/>
      <c r="C141" s="453"/>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row>
    <row r="142" spans="1:51" ht="15.75" thickBot="1">
      <c r="A142" s="433" t="s">
        <v>2898</v>
      </c>
    </row>
    <row r="143" spans="1:51" ht="12.75" thickBot="1">
      <c r="A143" s="434" t="s">
        <v>2899</v>
      </c>
      <c r="B143" s="435">
        <v>2010</v>
      </c>
      <c r="C143" s="436">
        <v>2011</v>
      </c>
      <c r="D143" s="436">
        <v>2012</v>
      </c>
      <c r="E143" s="436">
        <v>2013</v>
      </c>
      <c r="F143" s="436">
        <v>2014</v>
      </c>
      <c r="G143" s="436">
        <v>2015</v>
      </c>
      <c r="H143" s="436">
        <v>2016</v>
      </c>
      <c r="I143" s="436">
        <v>2017</v>
      </c>
      <c r="J143" s="436">
        <v>2018</v>
      </c>
      <c r="K143" s="436">
        <v>2019</v>
      </c>
      <c r="L143" s="436">
        <v>2020</v>
      </c>
      <c r="M143" s="436">
        <v>2021</v>
      </c>
      <c r="N143" s="436">
        <v>2022</v>
      </c>
      <c r="O143" s="436">
        <v>2023</v>
      </c>
      <c r="P143" s="436">
        <v>2024</v>
      </c>
      <c r="Q143" s="436">
        <v>2025</v>
      </c>
      <c r="R143" s="436">
        <v>2026</v>
      </c>
      <c r="S143" s="436">
        <v>2027</v>
      </c>
      <c r="T143" s="436">
        <v>2028</v>
      </c>
      <c r="U143" s="436">
        <v>2029</v>
      </c>
      <c r="V143" s="436">
        <v>2030</v>
      </c>
      <c r="W143" s="436">
        <v>2031</v>
      </c>
      <c r="X143" s="436">
        <v>2032</v>
      </c>
      <c r="Y143" s="436">
        <v>2033</v>
      </c>
      <c r="Z143" s="436">
        <v>2034</v>
      </c>
      <c r="AA143" s="436">
        <v>2035</v>
      </c>
      <c r="AB143" s="436">
        <v>2036</v>
      </c>
      <c r="AC143" s="436">
        <v>2037</v>
      </c>
      <c r="AD143" s="436">
        <v>2038</v>
      </c>
      <c r="AE143" s="436">
        <v>2039</v>
      </c>
      <c r="AF143" s="436">
        <v>2040</v>
      </c>
      <c r="AG143" s="436">
        <v>2041</v>
      </c>
      <c r="AH143" s="436">
        <v>2042</v>
      </c>
      <c r="AI143" s="436">
        <v>2043</v>
      </c>
      <c r="AJ143" s="436">
        <v>2044</v>
      </c>
      <c r="AK143" s="436">
        <v>2045</v>
      </c>
      <c r="AL143" s="436">
        <v>2046</v>
      </c>
      <c r="AM143" s="436">
        <v>2047</v>
      </c>
      <c r="AN143" s="436">
        <v>2048</v>
      </c>
      <c r="AO143" s="436">
        <v>2049</v>
      </c>
      <c r="AP143" s="436">
        <v>2050</v>
      </c>
      <c r="AQ143" s="436">
        <v>2051</v>
      </c>
      <c r="AR143" s="436">
        <v>2052</v>
      </c>
      <c r="AS143" s="436">
        <v>2053</v>
      </c>
      <c r="AT143" s="436">
        <v>2054</v>
      </c>
      <c r="AU143" s="436">
        <v>2055</v>
      </c>
      <c r="AV143" s="436">
        <v>2056</v>
      </c>
      <c r="AW143" s="436">
        <v>2057</v>
      </c>
      <c r="AX143" s="436">
        <v>2058</v>
      </c>
      <c r="AY143" s="437">
        <v>2059</v>
      </c>
    </row>
    <row r="144" spans="1:51">
      <c r="A144" s="438" t="s">
        <v>2910</v>
      </c>
      <c r="B144" s="771">
        <v>6.8310458518556105E-2</v>
      </c>
      <c r="C144" s="772">
        <v>6.6934254603542631E-2</v>
      </c>
      <c r="D144" s="772">
        <v>6.5592258751792754E-2</v>
      </c>
      <c r="E144" s="772">
        <v>6.5435755251657166E-2</v>
      </c>
      <c r="F144" s="772">
        <v>6.5279251751521564E-2</v>
      </c>
      <c r="G144" s="772">
        <v>6.5131643636398229E-2</v>
      </c>
      <c r="H144" s="772">
        <v>6.5288147136533831E-2</v>
      </c>
      <c r="I144" s="772">
        <v>6.5451665544625004E-2</v>
      </c>
      <c r="J144" s="772">
        <v>6.560628856770391E-2</v>
      </c>
      <c r="K144" s="772">
        <v>6.5771687452851779E-2</v>
      </c>
      <c r="L144" s="772">
        <v>6.5935205860942953E-2</v>
      </c>
      <c r="M144" s="772">
        <v>6.6091709361078541E-2</v>
      </c>
      <c r="N144" s="772">
        <v>6.6255227769169728E-2</v>
      </c>
      <c r="O144" s="772">
        <v>6.642062665431761E-2</v>
      </c>
      <c r="P144" s="772">
        <v>6.6586025539465465E-2</v>
      </c>
      <c r="Q144" s="772">
        <v>6.6586025539465465E-2</v>
      </c>
      <c r="R144" s="772">
        <v>6.6586025539465465E-2</v>
      </c>
      <c r="S144" s="772">
        <v>6.6586025539465465E-2</v>
      </c>
      <c r="T144" s="772">
        <v>6.6586025539465465E-2</v>
      </c>
      <c r="U144" s="772">
        <v>6.6586025539465465E-2</v>
      </c>
      <c r="V144" s="772">
        <v>6.6586025539465465E-2</v>
      </c>
      <c r="W144" s="772">
        <v>6.6586025539465465E-2</v>
      </c>
      <c r="X144" s="772">
        <v>6.6586025539465465E-2</v>
      </c>
      <c r="Y144" s="772">
        <v>6.6586025539465465E-2</v>
      </c>
      <c r="Z144" s="772">
        <v>6.6586025539465465E-2</v>
      </c>
      <c r="AA144" s="772">
        <v>6.6586025539465465E-2</v>
      </c>
      <c r="AB144" s="772">
        <v>6.6586025539465465E-2</v>
      </c>
      <c r="AC144" s="772">
        <v>6.6586025539465465E-2</v>
      </c>
      <c r="AD144" s="772">
        <v>6.6586025539465465E-2</v>
      </c>
      <c r="AE144" s="772">
        <v>6.6586025539465465E-2</v>
      </c>
      <c r="AF144" s="772">
        <v>6.6586025539465465E-2</v>
      </c>
      <c r="AG144" s="772">
        <v>6.6586025539465465E-2</v>
      </c>
      <c r="AH144" s="772">
        <v>6.6586025539465465E-2</v>
      </c>
      <c r="AI144" s="772">
        <v>6.6586025539465465E-2</v>
      </c>
      <c r="AJ144" s="772">
        <v>6.6586025539465465E-2</v>
      </c>
      <c r="AK144" s="772">
        <v>6.6586025539465465E-2</v>
      </c>
      <c r="AL144" s="772">
        <v>6.6586025539465465E-2</v>
      </c>
      <c r="AM144" s="772">
        <v>6.6586025539465465E-2</v>
      </c>
      <c r="AN144" s="772">
        <v>6.6586025539465465E-2</v>
      </c>
      <c r="AO144" s="772">
        <v>6.6586025539465465E-2</v>
      </c>
      <c r="AP144" s="772">
        <v>6.6586025539465465E-2</v>
      </c>
      <c r="AQ144" s="772">
        <v>6.6586025539465465E-2</v>
      </c>
      <c r="AR144" s="772">
        <v>6.6586025539465465E-2</v>
      </c>
      <c r="AS144" s="772">
        <v>6.6586025539465465E-2</v>
      </c>
      <c r="AT144" s="772">
        <v>6.6586025539465465E-2</v>
      </c>
      <c r="AU144" s="772">
        <v>6.6586025539465465E-2</v>
      </c>
      <c r="AV144" s="772">
        <v>6.6586025539465465E-2</v>
      </c>
      <c r="AW144" s="772">
        <v>6.6586025539465465E-2</v>
      </c>
      <c r="AX144" s="772">
        <v>6.6586025539465465E-2</v>
      </c>
      <c r="AY144" s="773">
        <v>6.6586025539465465E-2</v>
      </c>
    </row>
    <row r="145" spans="1:51">
      <c r="A145" s="442" t="s">
        <v>2911</v>
      </c>
      <c r="B145" s="462">
        <v>85.398706896551715</v>
      </c>
      <c r="C145" s="463">
        <v>92.53232758620689</v>
      </c>
      <c r="D145" s="463">
        <v>99.234913793103431</v>
      </c>
      <c r="E145" s="463">
        <v>105.54956896551724</v>
      </c>
      <c r="F145" s="463">
        <v>111.48706896551724</v>
      </c>
      <c r="G145" s="463">
        <v>117.06896551724137</v>
      </c>
      <c r="H145" s="463">
        <v>122.32758620689654</v>
      </c>
      <c r="I145" s="463">
        <v>127.26293103448276</v>
      </c>
      <c r="J145" s="463">
        <v>131.90732758620689</v>
      </c>
      <c r="K145" s="463">
        <v>136.27155172413794</v>
      </c>
      <c r="L145" s="463">
        <v>140.36637931034483</v>
      </c>
      <c r="M145" s="463">
        <v>144.21336206896549</v>
      </c>
      <c r="N145" s="463">
        <v>144.21336206896549</v>
      </c>
      <c r="O145" s="463">
        <v>144.21336206896549</v>
      </c>
      <c r="P145" s="463">
        <v>144.21336206896549</v>
      </c>
      <c r="Q145" s="463">
        <v>144.21336206896549</v>
      </c>
      <c r="R145" s="463">
        <v>144.21336206896501</v>
      </c>
      <c r="S145" s="463">
        <v>144.21336206896501</v>
      </c>
      <c r="T145" s="463">
        <v>144.21336206896501</v>
      </c>
      <c r="U145" s="463">
        <v>144.21336206896501</v>
      </c>
      <c r="V145" s="463">
        <v>144.21336206896501</v>
      </c>
      <c r="W145" s="463">
        <v>144.21336206896501</v>
      </c>
      <c r="X145" s="463">
        <v>144.21336206896501</v>
      </c>
      <c r="Y145" s="463">
        <v>144.21336206896501</v>
      </c>
      <c r="Z145" s="463">
        <v>144.21336206896501</v>
      </c>
      <c r="AA145" s="463">
        <v>144.21336206896501</v>
      </c>
      <c r="AB145" s="463">
        <v>144.21336206896501</v>
      </c>
      <c r="AC145" s="463">
        <v>144.21336206896501</v>
      </c>
      <c r="AD145" s="463">
        <v>144.21336206896501</v>
      </c>
      <c r="AE145" s="463">
        <v>144.21336206896501</v>
      </c>
      <c r="AF145" s="463">
        <v>144.21336206896501</v>
      </c>
      <c r="AG145" s="463">
        <v>144.21336206896501</v>
      </c>
      <c r="AH145" s="463">
        <v>144.21336206896501</v>
      </c>
      <c r="AI145" s="463">
        <v>144.21336206896501</v>
      </c>
      <c r="AJ145" s="463">
        <v>144.21336206896501</v>
      </c>
      <c r="AK145" s="463">
        <v>144.21336206896501</v>
      </c>
      <c r="AL145" s="463">
        <v>144.21336206896501</v>
      </c>
      <c r="AM145" s="463">
        <v>144.21336206896501</v>
      </c>
      <c r="AN145" s="463">
        <v>144.21336206896501</v>
      </c>
      <c r="AO145" s="463">
        <v>144.21336206896501</v>
      </c>
      <c r="AP145" s="463">
        <v>144.21336206896501</v>
      </c>
      <c r="AQ145" s="463">
        <v>144.21336206896501</v>
      </c>
      <c r="AR145" s="463">
        <v>144.21336206896501</v>
      </c>
      <c r="AS145" s="463">
        <v>144.21336206896501</v>
      </c>
      <c r="AT145" s="463">
        <v>144.21336206896501</v>
      </c>
      <c r="AU145" s="463">
        <v>144.21336206896501</v>
      </c>
      <c r="AV145" s="463">
        <v>144.21336206896501</v>
      </c>
      <c r="AW145" s="463">
        <v>144.21336206896501</v>
      </c>
      <c r="AX145" s="463">
        <v>144.21336206896501</v>
      </c>
      <c r="AY145" s="464">
        <v>144.21336206896501</v>
      </c>
    </row>
    <row r="146" spans="1:51">
      <c r="A146" s="442" t="s">
        <v>2912</v>
      </c>
      <c r="B146" s="462">
        <v>10.24</v>
      </c>
      <c r="C146" s="463">
        <v>10.01</v>
      </c>
      <c r="D146" s="463">
        <v>9.7899999999999991</v>
      </c>
      <c r="E146" s="463">
        <v>9.7899999999999991</v>
      </c>
      <c r="F146" s="463">
        <v>9.7899999999999991</v>
      </c>
      <c r="G146" s="463">
        <v>9.7899999999999991</v>
      </c>
      <c r="H146" s="463">
        <v>9.8699999999999992</v>
      </c>
      <c r="I146" s="463">
        <v>9.94</v>
      </c>
      <c r="J146" s="463">
        <v>10.02</v>
      </c>
      <c r="K146" s="463">
        <v>10.02</v>
      </c>
      <c r="L146" s="463">
        <v>10.02</v>
      </c>
      <c r="M146" s="463">
        <v>10.02</v>
      </c>
      <c r="N146" s="463">
        <v>10.02</v>
      </c>
      <c r="O146" s="463">
        <v>10.02</v>
      </c>
      <c r="P146" s="463">
        <v>10.02</v>
      </c>
      <c r="Q146" s="463">
        <v>10.02</v>
      </c>
      <c r="R146" s="463">
        <v>10.02</v>
      </c>
      <c r="S146" s="463">
        <v>10.02</v>
      </c>
      <c r="T146" s="463">
        <v>10.02</v>
      </c>
      <c r="U146" s="463">
        <v>10.02</v>
      </c>
      <c r="V146" s="463">
        <v>10.02</v>
      </c>
      <c r="W146" s="463">
        <v>10.02</v>
      </c>
      <c r="X146" s="463">
        <v>10.02</v>
      </c>
      <c r="Y146" s="463">
        <v>10.02</v>
      </c>
      <c r="Z146" s="463">
        <v>10.02</v>
      </c>
      <c r="AA146" s="463">
        <v>10.02</v>
      </c>
      <c r="AB146" s="463">
        <v>10.02</v>
      </c>
      <c r="AC146" s="463">
        <v>10.02</v>
      </c>
      <c r="AD146" s="463">
        <v>10.02</v>
      </c>
      <c r="AE146" s="463">
        <v>10.02</v>
      </c>
      <c r="AF146" s="463">
        <v>10.02</v>
      </c>
      <c r="AG146" s="463">
        <v>10.02</v>
      </c>
      <c r="AH146" s="463">
        <v>10.02</v>
      </c>
      <c r="AI146" s="463">
        <v>10.02</v>
      </c>
      <c r="AJ146" s="463">
        <v>10.02</v>
      </c>
      <c r="AK146" s="463">
        <v>10.02</v>
      </c>
      <c r="AL146" s="463">
        <v>10.02</v>
      </c>
      <c r="AM146" s="463">
        <v>10.02</v>
      </c>
      <c r="AN146" s="463">
        <v>10.02</v>
      </c>
      <c r="AO146" s="463">
        <v>10.02</v>
      </c>
      <c r="AP146" s="463">
        <v>10.02</v>
      </c>
      <c r="AQ146" s="463">
        <v>10.02</v>
      </c>
      <c r="AR146" s="463">
        <v>10.02</v>
      </c>
      <c r="AS146" s="463">
        <v>10.02</v>
      </c>
      <c r="AT146" s="463">
        <v>10.02</v>
      </c>
      <c r="AU146" s="463">
        <v>10.02</v>
      </c>
      <c r="AV146" s="463">
        <v>10.02</v>
      </c>
      <c r="AW146" s="463">
        <v>10.02</v>
      </c>
      <c r="AX146" s="463">
        <v>10.02</v>
      </c>
      <c r="AY146" s="464">
        <v>10.02</v>
      </c>
    </row>
    <row r="147" spans="1:51">
      <c r="A147" s="442" t="s">
        <v>2913</v>
      </c>
      <c r="B147" s="462">
        <v>9.4525000000000006</v>
      </c>
      <c r="C147" s="463">
        <v>9.2341666666666669</v>
      </c>
      <c r="D147" s="463">
        <v>9.02</v>
      </c>
      <c r="E147" s="463">
        <v>9.02</v>
      </c>
      <c r="F147" s="463">
        <v>9.02</v>
      </c>
      <c r="G147" s="463">
        <v>9.02</v>
      </c>
      <c r="H147" s="463">
        <v>9.0941666666666663</v>
      </c>
      <c r="I147" s="463">
        <v>9.2441666666666666</v>
      </c>
      <c r="J147" s="463">
        <v>9.2441666666666666</v>
      </c>
      <c r="K147" s="463">
        <v>9.2441666666666666</v>
      </c>
      <c r="L147" s="463">
        <v>9.2441666666666666</v>
      </c>
      <c r="M147" s="463">
        <v>9.2441666666666666</v>
      </c>
      <c r="N147" s="463">
        <v>9.2441666666666666</v>
      </c>
      <c r="O147" s="463">
        <v>9.2441666666666666</v>
      </c>
      <c r="P147" s="463">
        <v>9.2441666666666666</v>
      </c>
      <c r="Q147" s="463">
        <v>9.2441666666666666</v>
      </c>
      <c r="R147" s="463">
        <v>9.2441666666666666</v>
      </c>
      <c r="S147" s="463">
        <v>9.2441666666666666</v>
      </c>
      <c r="T147" s="463">
        <v>9.2441666666666666</v>
      </c>
      <c r="U147" s="463">
        <v>9.2441666666666666</v>
      </c>
      <c r="V147" s="463">
        <v>9.2441666666666666</v>
      </c>
      <c r="W147" s="463">
        <v>9.2441666666666666</v>
      </c>
      <c r="X147" s="463">
        <v>9.2441666666666666</v>
      </c>
      <c r="Y147" s="463">
        <v>9.2441666666666666</v>
      </c>
      <c r="Z147" s="463">
        <v>9.2441666666666666</v>
      </c>
      <c r="AA147" s="463">
        <v>9.2441666666666666</v>
      </c>
      <c r="AB147" s="463">
        <v>9.2441666666666666</v>
      </c>
      <c r="AC147" s="463">
        <v>9.2441666666666666</v>
      </c>
      <c r="AD147" s="463">
        <v>9.2441666666666666</v>
      </c>
      <c r="AE147" s="463">
        <v>9.2441666666666666</v>
      </c>
      <c r="AF147" s="463">
        <v>9.2441666666666666</v>
      </c>
      <c r="AG147" s="463">
        <v>9.2441666666666666</v>
      </c>
      <c r="AH147" s="463">
        <v>9.2441666666666666</v>
      </c>
      <c r="AI147" s="463">
        <v>9.2441666666666666</v>
      </c>
      <c r="AJ147" s="463">
        <v>9.2441666666666666</v>
      </c>
      <c r="AK147" s="463">
        <v>9.2441666666666666</v>
      </c>
      <c r="AL147" s="463">
        <v>9.2441666666666666</v>
      </c>
      <c r="AM147" s="463">
        <v>9.2441666666666666</v>
      </c>
      <c r="AN147" s="463">
        <v>9.2441666666666666</v>
      </c>
      <c r="AO147" s="463">
        <v>9.2441666666666666</v>
      </c>
      <c r="AP147" s="463">
        <v>9.2441666666666666</v>
      </c>
      <c r="AQ147" s="463">
        <v>9.2441666666666666</v>
      </c>
      <c r="AR147" s="463">
        <v>9.2441666666666666</v>
      </c>
      <c r="AS147" s="463">
        <v>9.2441666666666666</v>
      </c>
      <c r="AT147" s="463">
        <v>9.2441666666666666</v>
      </c>
      <c r="AU147" s="463">
        <v>9.2441666666666666</v>
      </c>
      <c r="AV147" s="463">
        <v>9.2441666666666666</v>
      </c>
      <c r="AW147" s="463">
        <v>9.2441666666666666</v>
      </c>
      <c r="AX147" s="463">
        <v>9.2441666666666702</v>
      </c>
      <c r="AY147" s="464">
        <v>9.2441666666666702</v>
      </c>
    </row>
    <row r="148" spans="1:51">
      <c r="A148" s="442" t="s">
        <v>2900</v>
      </c>
      <c r="B148" s="462">
        <v>7.2607266726146298</v>
      </c>
      <c r="C148" s="463">
        <v>7.9112857970161548</v>
      </c>
      <c r="D148" s="463">
        <v>8.1995068031839171</v>
      </c>
      <c r="E148" s="463">
        <v>8.4073776927334265</v>
      </c>
      <c r="F148" s="463">
        <v>8.5736326363918245</v>
      </c>
      <c r="G148" s="463">
        <v>8.7208261649062617</v>
      </c>
      <c r="H148" s="463">
        <v>8.8285181377174773</v>
      </c>
      <c r="I148" s="463">
        <v>8.8829506598476691</v>
      </c>
      <c r="J148" s="463">
        <v>9.0100552678251411</v>
      </c>
      <c r="K148" s="463">
        <v>9.0500408716374903</v>
      </c>
      <c r="L148" s="463">
        <v>9.1558646250250764</v>
      </c>
      <c r="M148" s="463">
        <v>9.244954159045637</v>
      </c>
      <c r="N148" s="463">
        <v>9.2425044625563437</v>
      </c>
      <c r="O148" s="463">
        <v>9.3135366023628183</v>
      </c>
      <c r="P148" s="463">
        <v>9.3834258849192018</v>
      </c>
      <c r="Q148" s="463">
        <v>9.4457625151136106</v>
      </c>
      <c r="R148" s="463">
        <v>9.4294343454096037</v>
      </c>
      <c r="S148" s="463">
        <v>9.4065940080935402</v>
      </c>
      <c r="T148" s="463">
        <v>9.3718934835830296</v>
      </c>
      <c r="U148" s="463">
        <v>9.3718934835830296</v>
      </c>
      <c r="V148" s="463">
        <v>9.3718934835830296</v>
      </c>
      <c r="W148" s="463">
        <v>9.3718934835830296</v>
      </c>
      <c r="X148" s="463">
        <v>9.3718934835830296</v>
      </c>
      <c r="Y148" s="463">
        <v>9.3718934835830296</v>
      </c>
      <c r="Z148" s="463">
        <v>9.3718934835830296</v>
      </c>
      <c r="AA148" s="463">
        <v>9.3718934835830296</v>
      </c>
      <c r="AB148" s="463">
        <v>9.3718934835830296</v>
      </c>
      <c r="AC148" s="463">
        <v>9.3718934835830296</v>
      </c>
      <c r="AD148" s="463">
        <v>9.3718934835830296</v>
      </c>
      <c r="AE148" s="463">
        <v>9.3718934835830296</v>
      </c>
      <c r="AF148" s="463">
        <v>9.3718934835830296</v>
      </c>
      <c r="AG148" s="463">
        <v>9.3718934835830296</v>
      </c>
      <c r="AH148" s="463">
        <v>9.3718934835830296</v>
      </c>
      <c r="AI148" s="463">
        <v>9.3718934835830296</v>
      </c>
      <c r="AJ148" s="463">
        <v>9.3718934835830296</v>
      </c>
      <c r="AK148" s="463">
        <v>9.3718934835830296</v>
      </c>
      <c r="AL148" s="463">
        <v>9.3718934835830296</v>
      </c>
      <c r="AM148" s="463">
        <v>9.3718934835830296</v>
      </c>
      <c r="AN148" s="463">
        <v>9.3718934835830296</v>
      </c>
      <c r="AO148" s="463">
        <v>9.3718934835830296</v>
      </c>
      <c r="AP148" s="463">
        <v>9.3718934835830296</v>
      </c>
      <c r="AQ148" s="463">
        <v>9.3718934835830296</v>
      </c>
      <c r="AR148" s="463">
        <v>9.3718934835830296</v>
      </c>
      <c r="AS148" s="463">
        <v>9.3718934835830296</v>
      </c>
      <c r="AT148" s="463">
        <v>9.3718934835830296</v>
      </c>
      <c r="AU148" s="463">
        <v>9.3718934835830296</v>
      </c>
      <c r="AV148" s="463">
        <v>9.3718934835830296</v>
      </c>
      <c r="AW148" s="463">
        <v>9.3718934835830296</v>
      </c>
      <c r="AX148" s="463">
        <v>9.3718934835830296</v>
      </c>
      <c r="AY148" s="464">
        <v>9.3718934835830296</v>
      </c>
    </row>
    <row r="149" spans="1:51">
      <c r="A149" s="442" t="s">
        <v>2901</v>
      </c>
      <c r="B149" s="443">
        <v>6.28E-3</v>
      </c>
      <c r="C149" s="444">
        <v>6.1999999999999998E-3</v>
      </c>
      <c r="D149" s="444">
        <v>6.1200000000000004E-3</v>
      </c>
      <c r="E149" s="444">
        <v>6.0000000000000001E-3</v>
      </c>
      <c r="F149" s="444">
        <v>5.8799999999999998E-3</v>
      </c>
      <c r="G149" s="444">
        <v>5.77E-3</v>
      </c>
      <c r="H149" s="444">
        <v>5.77E-3</v>
      </c>
      <c r="I149" s="444">
        <v>5.7599999999999995E-3</v>
      </c>
      <c r="J149" s="444">
        <v>5.7599999999999995E-3</v>
      </c>
      <c r="K149" s="444">
        <v>5.7499999999999999E-3</v>
      </c>
      <c r="L149" s="444">
        <v>5.7499999999999999E-3</v>
      </c>
      <c r="M149" s="444">
        <v>5.7499999999999999E-3</v>
      </c>
      <c r="N149" s="444">
        <v>5.7400000000000003E-3</v>
      </c>
      <c r="O149" s="444">
        <v>5.7400000000000003E-3</v>
      </c>
      <c r="P149" s="444">
        <v>5.7300000000000007E-3</v>
      </c>
      <c r="Q149" s="444">
        <v>5.7300000000000007E-3</v>
      </c>
      <c r="R149" s="444">
        <v>5.7300000000000007E-3</v>
      </c>
      <c r="S149" s="444">
        <v>5.7300000000000007E-3</v>
      </c>
      <c r="T149" s="444">
        <v>5.7300000000000007E-3</v>
      </c>
      <c r="U149" s="444">
        <v>5.7300000000000007E-3</v>
      </c>
      <c r="V149" s="444">
        <v>5.7300000000000007E-3</v>
      </c>
      <c r="W149" s="444">
        <v>5.7300000000000007E-3</v>
      </c>
      <c r="X149" s="444">
        <v>5.7300000000000007E-3</v>
      </c>
      <c r="Y149" s="444">
        <v>5.7300000000000007E-3</v>
      </c>
      <c r="Z149" s="444">
        <v>5.7300000000000007E-3</v>
      </c>
      <c r="AA149" s="444">
        <v>5.7300000000000007E-3</v>
      </c>
      <c r="AB149" s="444">
        <v>5.7300000000000007E-3</v>
      </c>
      <c r="AC149" s="444">
        <v>5.7300000000000007E-3</v>
      </c>
      <c r="AD149" s="444">
        <v>5.7300000000000007E-3</v>
      </c>
      <c r="AE149" s="444">
        <v>5.7300000000000007E-3</v>
      </c>
      <c r="AF149" s="444">
        <v>5.7300000000000007E-3</v>
      </c>
      <c r="AG149" s="444">
        <v>5.7300000000000007E-3</v>
      </c>
      <c r="AH149" s="444">
        <v>5.7300000000000007E-3</v>
      </c>
      <c r="AI149" s="444">
        <v>5.7300000000000007E-3</v>
      </c>
      <c r="AJ149" s="444">
        <v>5.7300000000000007E-3</v>
      </c>
      <c r="AK149" s="444">
        <v>5.7300000000000007E-3</v>
      </c>
      <c r="AL149" s="444">
        <v>5.7300000000000007E-3</v>
      </c>
      <c r="AM149" s="444">
        <v>5.7300000000000007E-3</v>
      </c>
      <c r="AN149" s="444">
        <v>5.7300000000000007E-3</v>
      </c>
      <c r="AO149" s="444">
        <v>5.7300000000000007E-3</v>
      </c>
      <c r="AP149" s="444">
        <v>5.7300000000000007E-3</v>
      </c>
      <c r="AQ149" s="444">
        <v>5.7300000000000007E-3</v>
      </c>
      <c r="AR149" s="444">
        <v>5.7300000000000007E-3</v>
      </c>
      <c r="AS149" s="444">
        <v>5.7300000000000007E-3</v>
      </c>
      <c r="AT149" s="444">
        <v>5.7300000000000007E-3</v>
      </c>
      <c r="AU149" s="444">
        <v>5.7300000000000007E-3</v>
      </c>
      <c r="AV149" s="444">
        <v>5.7300000000000007E-3</v>
      </c>
      <c r="AW149" s="444">
        <v>5.7300000000000007E-3</v>
      </c>
      <c r="AX149" s="444">
        <v>5.7300000000000007E-3</v>
      </c>
      <c r="AY149" s="445">
        <v>5.7300000000000007E-3</v>
      </c>
    </row>
    <row r="150" spans="1:51">
      <c r="A150" s="442" t="s">
        <v>2902</v>
      </c>
      <c r="B150" s="446">
        <f>(58.5/1000)*15</f>
        <v>0.87750000000000006</v>
      </c>
      <c r="C150" s="447">
        <f t="shared" ref="C150:AD151" si="59">(58.5/1000)*15</f>
        <v>0.87750000000000006</v>
      </c>
      <c r="D150" s="447">
        <f t="shared" si="59"/>
        <v>0.87750000000000006</v>
      </c>
      <c r="E150" s="447">
        <f t="shared" si="59"/>
        <v>0.87750000000000006</v>
      </c>
      <c r="F150" s="447">
        <f t="shared" si="59"/>
        <v>0.87750000000000006</v>
      </c>
      <c r="G150" s="447">
        <f t="shared" si="59"/>
        <v>0.87750000000000006</v>
      </c>
      <c r="H150" s="447">
        <f t="shared" si="59"/>
        <v>0.87750000000000006</v>
      </c>
      <c r="I150" s="447">
        <f t="shared" si="59"/>
        <v>0.87750000000000006</v>
      </c>
      <c r="J150" s="447">
        <f t="shared" si="59"/>
        <v>0.87750000000000006</v>
      </c>
      <c r="K150" s="447">
        <f t="shared" si="59"/>
        <v>0.87750000000000006</v>
      </c>
      <c r="L150" s="447">
        <f t="shared" si="59"/>
        <v>0.87750000000000006</v>
      </c>
      <c r="M150" s="447">
        <f t="shared" si="59"/>
        <v>0.87750000000000006</v>
      </c>
      <c r="N150" s="447">
        <f t="shared" si="59"/>
        <v>0.87750000000000006</v>
      </c>
      <c r="O150" s="447">
        <f t="shared" si="59"/>
        <v>0.87750000000000006</v>
      </c>
      <c r="P150" s="447">
        <f t="shared" si="59"/>
        <v>0.87750000000000006</v>
      </c>
      <c r="Q150" s="447">
        <f t="shared" si="59"/>
        <v>0.87750000000000006</v>
      </c>
      <c r="R150" s="447">
        <f t="shared" si="59"/>
        <v>0.87750000000000006</v>
      </c>
      <c r="S150" s="447">
        <f t="shared" si="59"/>
        <v>0.87750000000000006</v>
      </c>
      <c r="T150" s="447">
        <f t="shared" si="59"/>
        <v>0.87750000000000006</v>
      </c>
      <c r="U150" s="447">
        <f t="shared" si="59"/>
        <v>0.87750000000000006</v>
      </c>
      <c r="V150" s="447">
        <f t="shared" si="59"/>
        <v>0.87750000000000006</v>
      </c>
      <c r="W150" s="447">
        <f t="shared" si="59"/>
        <v>0.87750000000000006</v>
      </c>
      <c r="X150" s="447">
        <f t="shared" si="59"/>
        <v>0.87750000000000006</v>
      </c>
      <c r="Y150" s="447">
        <f t="shared" si="59"/>
        <v>0.87750000000000006</v>
      </c>
      <c r="Z150" s="447">
        <f t="shared" si="59"/>
        <v>0.87750000000000006</v>
      </c>
      <c r="AA150" s="447">
        <f t="shared" si="59"/>
        <v>0.87750000000000006</v>
      </c>
      <c r="AB150" s="447">
        <f t="shared" si="59"/>
        <v>0.87750000000000006</v>
      </c>
      <c r="AC150" s="447">
        <f t="shared" si="59"/>
        <v>0.87750000000000006</v>
      </c>
      <c r="AD150" s="447">
        <f t="shared" si="59"/>
        <v>0.87750000000000006</v>
      </c>
      <c r="AE150" s="447">
        <f>(58.5/1000)*15</f>
        <v>0.87750000000000006</v>
      </c>
      <c r="AF150" s="447">
        <f t="shared" ref="AF150:AY151" si="60">(58.5/1000)*15</f>
        <v>0.87750000000000006</v>
      </c>
      <c r="AG150" s="447">
        <f t="shared" si="60"/>
        <v>0.87750000000000006</v>
      </c>
      <c r="AH150" s="447">
        <f t="shared" si="60"/>
        <v>0.87750000000000006</v>
      </c>
      <c r="AI150" s="447">
        <f t="shared" si="60"/>
        <v>0.87750000000000006</v>
      </c>
      <c r="AJ150" s="447">
        <f t="shared" si="60"/>
        <v>0.87750000000000006</v>
      </c>
      <c r="AK150" s="447">
        <f t="shared" si="60"/>
        <v>0.87750000000000006</v>
      </c>
      <c r="AL150" s="447">
        <f t="shared" si="60"/>
        <v>0.87750000000000006</v>
      </c>
      <c r="AM150" s="447">
        <f t="shared" si="60"/>
        <v>0.87750000000000006</v>
      </c>
      <c r="AN150" s="447">
        <f t="shared" si="60"/>
        <v>0.87750000000000006</v>
      </c>
      <c r="AO150" s="447">
        <f t="shared" si="60"/>
        <v>0.87750000000000006</v>
      </c>
      <c r="AP150" s="447">
        <f t="shared" si="60"/>
        <v>0.87750000000000006</v>
      </c>
      <c r="AQ150" s="447">
        <f t="shared" si="60"/>
        <v>0.87750000000000006</v>
      </c>
      <c r="AR150" s="447">
        <f t="shared" si="60"/>
        <v>0.87750000000000006</v>
      </c>
      <c r="AS150" s="447">
        <f t="shared" si="60"/>
        <v>0.87750000000000006</v>
      </c>
      <c r="AT150" s="447">
        <f t="shared" si="60"/>
        <v>0.87750000000000006</v>
      </c>
      <c r="AU150" s="447">
        <f t="shared" si="60"/>
        <v>0.87750000000000006</v>
      </c>
      <c r="AV150" s="447">
        <f t="shared" si="60"/>
        <v>0.87750000000000006</v>
      </c>
      <c r="AW150" s="447">
        <f t="shared" si="60"/>
        <v>0.87750000000000006</v>
      </c>
      <c r="AX150" s="447">
        <f t="shared" si="60"/>
        <v>0.87750000000000006</v>
      </c>
      <c r="AY150" s="448">
        <f t="shared" si="60"/>
        <v>0.87750000000000006</v>
      </c>
    </row>
    <row r="151" spans="1:51" ht="12.75" thickBot="1">
      <c r="A151" s="449" t="s">
        <v>2903</v>
      </c>
      <c r="B151" s="450">
        <f>(58.5/1000)*15</f>
        <v>0.87750000000000006</v>
      </c>
      <c r="C151" s="451">
        <f t="shared" si="59"/>
        <v>0.87750000000000006</v>
      </c>
      <c r="D151" s="451">
        <f t="shared" si="59"/>
        <v>0.87750000000000006</v>
      </c>
      <c r="E151" s="451">
        <f t="shared" si="59"/>
        <v>0.87750000000000006</v>
      </c>
      <c r="F151" s="451">
        <f t="shared" si="59"/>
        <v>0.87750000000000006</v>
      </c>
      <c r="G151" s="451">
        <f t="shared" si="59"/>
        <v>0.87750000000000006</v>
      </c>
      <c r="H151" s="451">
        <f t="shared" si="59"/>
        <v>0.87750000000000006</v>
      </c>
      <c r="I151" s="451">
        <f t="shared" si="59"/>
        <v>0.87750000000000006</v>
      </c>
      <c r="J151" s="451">
        <f t="shared" si="59"/>
        <v>0.87750000000000006</v>
      </c>
      <c r="K151" s="451">
        <f t="shared" si="59"/>
        <v>0.87750000000000006</v>
      </c>
      <c r="L151" s="451">
        <f t="shared" si="59"/>
        <v>0.87750000000000006</v>
      </c>
      <c r="M151" s="451">
        <f t="shared" si="59"/>
        <v>0.87750000000000006</v>
      </c>
      <c r="N151" s="451">
        <f t="shared" si="59"/>
        <v>0.87750000000000006</v>
      </c>
      <c r="O151" s="451">
        <f t="shared" si="59"/>
        <v>0.87750000000000006</v>
      </c>
      <c r="P151" s="451">
        <f t="shared" si="59"/>
        <v>0.87750000000000006</v>
      </c>
      <c r="Q151" s="451">
        <f t="shared" si="59"/>
        <v>0.87750000000000006</v>
      </c>
      <c r="R151" s="451">
        <f t="shared" si="59"/>
        <v>0.87750000000000006</v>
      </c>
      <c r="S151" s="451">
        <f t="shared" si="59"/>
        <v>0.87750000000000006</v>
      </c>
      <c r="T151" s="451">
        <f t="shared" si="59"/>
        <v>0.87750000000000006</v>
      </c>
      <c r="U151" s="451">
        <f t="shared" si="59"/>
        <v>0.87750000000000006</v>
      </c>
      <c r="V151" s="451">
        <f t="shared" si="59"/>
        <v>0.87750000000000006</v>
      </c>
      <c r="W151" s="451">
        <f t="shared" si="59"/>
        <v>0.87750000000000006</v>
      </c>
      <c r="X151" s="451">
        <f t="shared" si="59"/>
        <v>0.87750000000000006</v>
      </c>
      <c r="Y151" s="451">
        <f t="shared" si="59"/>
        <v>0.87750000000000006</v>
      </c>
      <c r="Z151" s="451">
        <f t="shared" si="59"/>
        <v>0.87750000000000006</v>
      </c>
      <c r="AA151" s="451">
        <f t="shared" si="59"/>
        <v>0.87750000000000006</v>
      </c>
      <c r="AB151" s="451">
        <f t="shared" si="59"/>
        <v>0.87750000000000006</v>
      </c>
      <c r="AC151" s="451">
        <f t="shared" si="59"/>
        <v>0.87750000000000006</v>
      </c>
      <c r="AD151" s="451">
        <f t="shared" si="59"/>
        <v>0.87750000000000006</v>
      </c>
      <c r="AE151" s="451">
        <f>(58.5/1000)*15</f>
        <v>0.87750000000000006</v>
      </c>
      <c r="AF151" s="451">
        <f t="shared" si="60"/>
        <v>0.87750000000000006</v>
      </c>
      <c r="AG151" s="451">
        <f t="shared" si="60"/>
        <v>0.87750000000000006</v>
      </c>
      <c r="AH151" s="451">
        <f t="shared" si="60"/>
        <v>0.87750000000000006</v>
      </c>
      <c r="AI151" s="451">
        <f t="shared" si="60"/>
        <v>0.87750000000000006</v>
      </c>
      <c r="AJ151" s="451">
        <f t="shared" si="60"/>
        <v>0.87750000000000006</v>
      </c>
      <c r="AK151" s="451">
        <f t="shared" si="60"/>
        <v>0.87750000000000006</v>
      </c>
      <c r="AL151" s="451">
        <f t="shared" si="60"/>
        <v>0.87750000000000006</v>
      </c>
      <c r="AM151" s="451">
        <f t="shared" si="60"/>
        <v>0.87750000000000006</v>
      </c>
      <c r="AN151" s="451">
        <f t="shared" si="60"/>
        <v>0.87750000000000006</v>
      </c>
      <c r="AO151" s="451">
        <f t="shared" si="60"/>
        <v>0.87750000000000006</v>
      </c>
      <c r="AP151" s="451">
        <f t="shared" si="60"/>
        <v>0.87750000000000006</v>
      </c>
      <c r="AQ151" s="451">
        <f t="shared" si="60"/>
        <v>0.87750000000000006</v>
      </c>
      <c r="AR151" s="451">
        <f t="shared" si="60"/>
        <v>0.87750000000000006</v>
      </c>
      <c r="AS151" s="451">
        <f t="shared" si="60"/>
        <v>0.87750000000000006</v>
      </c>
      <c r="AT151" s="451">
        <f t="shared" si="60"/>
        <v>0.87750000000000006</v>
      </c>
      <c r="AU151" s="451">
        <f t="shared" si="60"/>
        <v>0.87750000000000006</v>
      </c>
      <c r="AV151" s="451">
        <f t="shared" si="60"/>
        <v>0.87750000000000006</v>
      </c>
      <c r="AW151" s="451">
        <f t="shared" si="60"/>
        <v>0.87750000000000006</v>
      </c>
      <c r="AX151" s="451">
        <f t="shared" si="60"/>
        <v>0.87750000000000006</v>
      </c>
      <c r="AY151" s="452">
        <f t="shared" si="60"/>
        <v>0.87750000000000006</v>
      </c>
    </row>
    <row r="152" spans="1:51">
      <c r="B152" s="429"/>
      <c r="C152" s="429"/>
      <c r="D152" s="429"/>
      <c r="E152" s="429"/>
      <c r="F152" s="429"/>
      <c r="G152" s="429"/>
      <c r="H152" s="429"/>
      <c r="I152" s="429"/>
      <c r="J152" s="429"/>
      <c r="K152" s="429"/>
      <c r="L152" s="429"/>
      <c r="M152" s="429"/>
      <c r="N152" s="429"/>
      <c r="O152" s="429"/>
      <c r="P152" s="429"/>
      <c r="Q152" s="429"/>
      <c r="R152" s="429"/>
      <c r="S152" s="429"/>
      <c r="T152" s="429"/>
      <c r="U152" s="429"/>
      <c r="V152" s="429"/>
      <c r="W152" s="429"/>
      <c r="X152" s="429"/>
      <c r="Y152" s="429"/>
      <c r="Z152" s="429"/>
      <c r="AA152" s="429"/>
      <c r="AB152" s="429"/>
      <c r="AC152" s="429"/>
      <c r="AD152" s="429"/>
      <c r="AE152" s="429"/>
    </row>
    <row r="153" spans="1:51" ht="15.75" thickBot="1">
      <c r="A153" s="433" t="s">
        <v>2904</v>
      </c>
      <c r="B153" s="429"/>
      <c r="C153" s="429"/>
      <c r="D153" s="429"/>
      <c r="E153" s="429"/>
      <c r="F153" s="429"/>
      <c r="G153" s="429"/>
      <c r="H153" s="429"/>
      <c r="I153" s="429"/>
      <c r="J153" s="429"/>
      <c r="K153" s="429"/>
      <c r="L153" s="429"/>
      <c r="M153" s="429"/>
      <c r="N153" s="429"/>
      <c r="O153" s="429"/>
      <c r="P153" s="429"/>
      <c r="Q153" s="429"/>
      <c r="R153" s="429"/>
      <c r="S153" s="429"/>
      <c r="T153" s="429"/>
      <c r="U153" s="429"/>
      <c r="V153" s="429"/>
      <c r="W153" s="429"/>
      <c r="X153" s="429"/>
      <c r="Y153" s="429"/>
      <c r="Z153" s="429"/>
      <c r="AA153" s="429"/>
      <c r="AB153" s="429"/>
      <c r="AC153" s="429"/>
      <c r="AD153" s="429"/>
      <c r="AE153" s="429"/>
    </row>
    <row r="154" spans="1:51" ht="12.75" thickBot="1">
      <c r="A154" s="434" t="s">
        <v>2899</v>
      </c>
      <c r="B154" s="435">
        <v>1</v>
      </c>
      <c r="C154" s="436">
        <v>2</v>
      </c>
      <c r="D154" s="436">
        <v>3</v>
      </c>
      <c r="E154" s="436">
        <v>4</v>
      </c>
      <c r="F154" s="436">
        <v>5</v>
      </c>
      <c r="G154" s="436">
        <v>6</v>
      </c>
      <c r="H154" s="436">
        <v>7</v>
      </c>
      <c r="I154" s="436">
        <v>8</v>
      </c>
      <c r="J154" s="436">
        <v>9</v>
      </c>
      <c r="K154" s="436">
        <v>10</v>
      </c>
      <c r="L154" s="436">
        <v>11</v>
      </c>
      <c r="M154" s="436">
        <v>12</v>
      </c>
      <c r="N154" s="436">
        <v>13</v>
      </c>
      <c r="O154" s="436">
        <v>14</v>
      </c>
      <c r="P154" s="436">
        <v>15</v>
      </c>
      <c r="Q154" s="436">
        <v>16</v>
      </c>
      <c r="R154" s="436">
        <v>17</v>
      </c>
      <c r="S154" s="436">
        <v>18</v>
      </c>
      <c r="T154" s="436">
        <v>19</v>
      </c>
      <c r="U154" s="436">
        <v>20</v>
      </c>
      <c r="V154" s="436">
        <v>21</v>
      </c>
      <c r="W154" s="436">
        <v>22</v>
      </c>
      <c r="X154" s="436">
        <v>23</v>
      </c>
      <c r="Y154" s="436">
        <v>24</v>
      </c>
      <c r="Z154" s="436">
        <v>25</v>
      </c>
      <c r="AA154" s="436">
        <v>26</v>
      </c>
      <c r="AB154" s="436">
        <v>27</v>
      </c>
      <c r="AC154" s="436">
        <v>28</v>
      </c>
      <c r="AD154" s="436">
        <v>29</v>
      </c>
      <c r="AE154" s="436">
        <v>30</v>
      </c>
      <c r="AF154" s="436">
        <f t="shared" ref="AF154:AY154" si="61">AE154+1</f>
        <v>31</v>
      </c>
      <c r="AG154" s="436">
        <f t="shared" si="61"/>
        <v>32</v>
      </c>
      <c r="AH154" s="436">
        <f t="shared" si="61"/>
        <v>33</v>
      </c>
      <c r="AI154" s="436">
        <f t="shared" si="61"/>
        <v>34</v>
      </c>
      <c r="AJ154" s="436">
        <f t="shared" si="61"/>
        <v>35</v>
      </c>
      <c r="AK154" s="436">
        <f t="shared" si="61"/>
        <v>36</v>
      </c>
      <c r="AL154" s="436">
        <f t="shared" si="61"/>
        <v>37</v>
      </c>
      <c r="AM154" s="436">
        <f t="shared" si="61"/>
        <v>38</v>
      </c>
      <c r="AN154" s="436">
        <f t="shared" si="61"/>
        <v>39</v>
      </c>
      <c r="AO154" s="436">
        <f t="shared" si="61"/>
        <v>40</v>
      </c>
      <c r="AP154" s="436">
        <f t="shared" si="61"/>
        <v>41</v>
      </c>
      <c r="AQ154" s="436">
        <f t="shared" si="61"/>
        <v>42</v>
      </c>
      <c r="AR154" s="436">
        <f t="shared" si="61"/>
        <v>43</v>
      </c>
      <c r="AS154" s="436">
        <f t="shared" si="61"/>
        <v>44</v>
      </c>
      <c r="AT154" s="436">
        <f t="shared" si="61"/>
        <v>45</v>
      </c>
      <c r="AU154" s="436">
        <f t="shared" si="61"/>
        <v>46</v>
      </c>
      <c r="AV154" s="436">
        <f t="shared" si="61"/>
        <v>47</v>
      </c>
      <c r="AW154" s="436">
        <f t="shared" si="61"/>
        <v>48</v>
      </c>
      <c r="AX154" s="436">
        <f t="shared" si="61"/>
        <v>49</v>
      </c>
      <c r="AY154" s="437">
        <f t="shared" si="61"/>
        <v>50</v>
      </c>
    </row>
    <row r="155" spans="1:51">
      <c r="A155" s="438" t="s">
        <v>2922</v>
      </c>
      <c r="B155" s="439">
        <f t="shared" ref="B155:B162" si="62">B144/(1+$C$3)^(B$16-0.5)</f>
        <v>6.6506021841986604E-2</v>
      </c>
      <c r="C155" s="440">
        <f t="shared" ref="C155:AY160" si="63">(C144/(1+$C$3)^(C$16-0.5)+B155)</f>
        <v>0.12827490399744898</v>
      </c>
      <c r="D155" s="440">
        <f t="shared" si="63"/>
        <v>0.18564973740670915</v>
      </c>
      <c r="E155" s="440">
        <f t="shared" si="63"/>
        <v>0.23990370587347698</v>
      </c>
      <c r="F155" s="440">
        <f t="shared" si="63"/>
        <v>0.29120627325122672</v>
      </c>
      <c r="G155" s="440">
        <f t="shared" si="63"/>
        <v>0.33972434249937733</v>
      </c>
      <c r="H155" s="440">
        <f t="shared" si="63"/>
        <v>0.38582353901948346</v>
      </c>
      <c r="I155" s="440">
        <f t="shared" si="63"/>
        <v>0.42962889916558616</v>
      </c>
      <c r="J155" s="440">
        <f t="shared" si="63"/>
        <v>0.47124865834523672</v>
      </c>
      <c r="K155" s="440">
        <f t="shared" si="63"/>
        <v>0.51079812378440359</v>
      </c>
      <c r="L155" s="440">
        <f t="shared" si="63"/>
        <v>0.54837896873154479</v>
      </c>
      <c r="M155" s="440">
        <f t="shared" si="63"/>
        <v>0.584085174103256</v>
      </c>
      <c r="N155" s="440">
        <f t="shared" si="63"/>
        <v>0.61801365427958765</v>
      </c>
      <c r="O155" s="440">
        <f t="shared" si="63"/>
        <v>0.65025363427340055</v>
      </c>
      <c r="P155" s="440">
        <f t="shared" si="63"/>
        <v>0.6808889547833743</v>
      </c>
      <c r="Q155" s="440">
        <f t="shared" si="63"/>
        <v>0.70992717327624033</v>
      </c>
      <c r="R155" s="440">
        <f t="shared" si="63"/>
        <v>0.73745155099459681</v>
      </c>
      <c r="S155" s="440">
        <f t="shared" si="63"/>
        <v>0.76354100854754137</v>
      </c>
      <c r="T155" s="440">
        <f t="shared" si="63"/>
        <v>0.78827035219962149</v>
      </c>
      <c r="U155" s="440">
        <f t="shared" si="63"/>
        <v>0.81171048836273063</v>
      </c>
      <c r="V155" s="440">
        <f t="shared" si="63"/>
        <v>0.83392862690596203</v>
      </c>
      <c r="W155" s="440">
        <f t="shared" si="63"/>
        <v>0.85498847386637089</v>
      </c>
      <c r="X155" s="440">
        <f t="shared" si="63"/>
        <v>0.87495041411320396</v>
      </c>
      <c r="Y155" s="440">
        <f t="shared" si="63"/>
        <v>0.89387168448934906</v>
      </c>
      <c r="Z155" s="440">
        <f t="shared" si="63"/>
        <v>0.91180653792645339</v>
      </c>
      <c r="AA155" s="440">
        <f t="shared" si="63"/>
        <v>0.92880639900427742</v>
      </c>
      <c r="AB155" s="440">
        <f t="shared" si="63"/>
        <v>0.94492001140031912</v>
      </c>
      <c r="AC155" s="440">
        <f t="shared" si="63"/>
        <v>0.96019357765249136</v>
      </c>
      <c r="AD155" s="440">
        <f t="shared" si="63"/>
        <v>0.97467089163559306</v>
      </c>
      <c r="AE155" s="440">
        <f t="shared" si="63"/>
        <v>0.98839346413142404</v>
      </c>
      <c r="AF155" s="440">
        <f t="shared" si="63"/>
        <v>1.0014006418525909</v>
      </c>
      <c r="AG155" s="440">
        <f t="shared" si="63"/>
        <v>1.0137297202612798</v>
      </c>
      <c r="AH155" s="440">
        <f t="shared" si="63"/>
        <v>1.0254160505064827</v>
      </c>
      <c r="AI155" s="440">
        <f t="shared" si="63"/>
        <v>1.0364931407862956</v>
      </c>
      <c r="AJ155" s="440">
        <f t="shared" si="63"/>
        <v>1.0469927524259288</v>
      </c>
      <c r="AK155" s="440">
        <f t="shared" si="63"/>
        <v>1.0569449909469082</v>
      </c>
      <c r="AL155" s="440">
        <f t="shared" si="63"/>
        <v>1.0663783923885948</v>
      </c>
      <c r="AM155" s="440">
        <f t="shared" si="63"/>
        <v>1.07532000512953</v>
      </c>
      <c r="AN155" s="440">
        <f t="shared" si="63"/>
        <v>1.0837954674432126</v>
      </c>
      <c r="AO155" s="440">
        <f t="shared" si="63"/>
        <v>1.0918290810106843</v>
      </c>
      <c r="AP155" s="440">
        <f t="shared" si="63"/>
        <v>1.099443880600705</v>
      </c>
      <c r="AQ155" s="440">
        <f t="shared" si="63"/>
        <v>1.106661700117312</v>
      </c>
      <c r="AR155" s="440">
        <f t="shared" si="63"/>
        <v>1.1135032352041434</v>
      </c>
      <c r="AS155" s="440">
        <f t="shared" si="63"/>
        <v>1.1199881025850262</v>
      </c>
      <c r="AT155" s="440">
        <f t="shared" si="63"/>
        <v>1.1261348963109816</v>
      </c>
      <c r="AU155" s="440">
        <f t="shared" si="63"/>
        <v>1.1319612410749202</v>
      </c>
      <c r="AV155" s="440">
        <f t="shared" si="63"/>
        <v>1.1374838427469001</v>
      </c>
      <c r="AW155" s="440">
        <f t="shared" si="63"/>
        <v>1.1427185362748431</v>
      </c>
      <c r="AX155" s="440">
        <f t="shared" si="63"/>
        <v>1.1476803310880592</v>
      </c>
      <c r="AY155" s="441">
        <f t="shared" si="63"/>
        <v>1.1523834541337616</v>
      </c>
    </row>
    <row r="156" spans="1:51">
      <c r="A156" s="442" t="s">
        <v>2923</v>
      </c>
      <c r="B156" s="446">
        <f t="shared" si="62"/>
        <v>83.142880157899583</v>
      </c>
      <c r="C156" s="447">
        <f t="shared" si="63"/>
        <v>168.53441057976141</v>
      </c>
      <c r="D156" s="447">
        <f t="shared" si="63"/>
        <v>255.33713327310039</v>
      </c>
      <c r="E156" s="447">
        <f t="shared" si="63"/>
        <v>342.85019038251738</v>
      </c>
      <c r="F156" s="447">
        <f t="shared" si="63"/>
        <v>430.46720059461694</v>
      </c>
      <c r="G156" s="447">
        <f t="shared" si="63"/>
        <v>517.67458334521405</v>
      </c>
      <c r="H156" s="447">
        <f t="shared" si="63"/>
        <v>604.04866016790231</v>
      </c>
      <c r="I156" s="447">
        <f t="shared" si="63"/>
        <v>689.22294077369145</v>
      </c>
      <c r="J156" s="447">
        <f t="shared" si="63"/>
        <v>772.90319960289992</v>
      </c>
      <c r="K156" s="447">
        <f t="shared" si="63"/>
        <v>854.84525147923114</v>
      </c>
      <c r="L156" s="447">
        <f t="shared" si="63"/>
        <v>934.84935653622915</v>
      </c>
      <c r="M156" s="447">
        <f t="shared" si="63"/>
        <v>1012.7609731846534</v>
      </c>
      <c r="N156" s="447">
        <f t="shared" si="63"/>
        <v>1086.6108467850554</v>
      </c>
      <c r="O156" s="447">
        <f t="shared" si="63"/>
        <v>1156.61072697501</v>
      </c>
      <c r="P156" s="447">
        <f t="shared" si="63"/>
        <v>1222.96132431146</v>
      </c>
      <c r="Q156" s="447">
        <f t="shared" si="63"/>
        <v>1285.8528857678107</v>
      </c>
      <c r="R156" s="447">
        <f t="shared" si="63"/>
        <v>1345.4657402288062</v>
      </c>
      <c r="S156" s="447">
        <f t="shared" si="63"/>
        <v>1401.9708155472856</v>
      </c>
      <c r="T156" s="447">
        <f t="shared" si="63"/>
        <v>1455.5301286453703</v>
      </c>
      <c r="U156" s="447">
        <f t="shared" si="63"/>
        <v>1506.2972500653557</v>
      </c>
      <c r="V156" s="447">
        <f t="shared" si="63"/>
        <v>1554.4177443023086</v>
      </c>
      <c r="W156" s="447">
        <f t="shared" si="63"/>
        <v>1600.0295871809371</v>
      </c>
      <c r="X156" s="447">
        <f t="shared" si="63"/>
        <v>1643.2635614734759</v>
      </c>
      <c r="Y156" s="447">
        <f t="shared" si="63"/>
        <v>1684.243631892944</v>
      </c>
      <c r="Z156" s="447">
        <f t="shared" si="63"/>
        <v>1723.0873005369897</v>
      </c>
      <c r="AA156" s="447">
        <f t="shared" si="63"/>
        <v>1759.9059438014879</v>
      </c>
      <c r="AB156" s="447">
        <f t="shared" si="63"/>
        <v>1794.8051317299221</v>
      </c>
      <c r="AC156" s="447">
        <f t="shared" si="63"/>
        <v>1827.88493071422</v>
      </c>
      <c r="AD156" s="447">
        <f t="shared" si="63"/>
        <v>1859.2401904149763</v>
      </c>
      <c r="AE156" s="447">
        <f t="shared" si="63"/>
        <v>1888.9608157237501</v>
      </c>
      <c r="AF156" s="447">
        <f t="shared" si="63"/>
        <v>1917.1320245472323</v>
      </c>
      <c r="AG156" s="447">
        <f t="shared" si="63"/>
        <v>1943.8345921524287</v>
      </c>
      <c r="AH156" s="447">
        <f t="shared" si="63"/>
        <v>1969.1450827734679</v>
      </c>
      <c r="AI156" s="447">
        <f t="shared" si="63"/>
        <v>1993.1360691441214</v>
      </c>
      <c r="AJ156" s="447">
        <f t="shared" si="63"/>
        <v>2015.8763405854991</v>
      </c>
      <c r="AK156" s="447">
        <f t="shared" si="63"/>
        <v>2037.4311002455727</v>
      </c>
      <c r="AL156" s="447">
        <f t="shared" si="63"/>
        <v>2057.8621520560691</v>
      </c>
      <c r="AM156" s="447">
        <f t="shared" si="63"/>
        <v>2077.2280779427956</v>
      </c>
      <c r="AN156" s="447">
        <f t="shared" si="63"/>
        <v>2095.5844057975123</v>
      </c>
      <c r="AO156" s="447">
        <f t="shared" si="63"/>
        <v>2112.9837686929786</v>
      </c>
      <c r="AP156" s="447">
        <f t="shared" si="63"/>
        <v>2129.4760557976861</v>
      </c>
      <c r="AQ156" s="447">
        <f t="shared" si="63"/>
        <v>2145.1085554230012</v>
      </c>
      <c r="AR156" s="447">
        <f t="shared" si="63"/>
        <v>2159.9260906128734</v>
      </c>
      <c r="AS156" s="447">
        <f t="shared" si="63"/>
        <v>2173.9711476648849</v>
      </c>
      <c r="AT156" s="447">
        <f t="shared" si="63"/>
        <v>2187.2839979511518</v>
      </c>
      <c r="AU156" s="447">
        <f t="shared" si="63"/>
        <v>2199.9028133883717</v>
      </c>
      <c r="AV156" s="447">
        <f t="shared" si="63"/>
        <v>2211.8637758881059</v>
      </c>
      <c r="AW156" s="447">
        <f t="shared" si="63"/>
        <v>2223.2011811011243</v>
      </c>
      <c r="AX156" s="447">
        <f t="shared" si="63"/>
        <v>2233.9475367532746</v>
      </c>
      <c r="AY156" s="448">
        <f t="shared" si="63"/>
        <v>2244.1336558548387</v>
      </c>
    </row>
    <row r="157" spans="1:51">
      <c r="A157" s="442" t="s">
        <v>2924</v>
      </c>
      <c r="B157" s="446">
        <f t="shared" si="62"/>
        <v>9.9695080143101027</v>
      </c>
      <c r="C157" s="447">
        <f t="shared" si="63"/>
        <v>19.207027936485396</v>
      </c>
      <c r="D157" s="447">
        <f t="shared" si="63"/>
        <v>27.770532681796588</v>
      </c>
      <c r="E157" s="447">
        <f t="shared" si="63"/>
        <v>35.887598791096295</v>
      </c>
      <c r="F157" s="447">
        <f t="shared" si="63"/>
        <v>43.581500316498861</v>
      </c>
      <c r="G157" s="447">
        <f t="shared" si="63"/>
        <v>50.874297970908877</v>
      </c>
      <c r="H157" s="447">
        <f t="shared" si="63"/>
        <v>57.843389446302268</v>
      </c>
      <c r="I157" s="447">
        <f t="shared" si="63"/>
        <v>64.496012816984674</v>
      </c>
      <c r="J157" s="447">
        <f t="shared" si="63"/>
        <v>70.852567898586869</v>
      </c>
      <c r="K157" s="447">
        <f t="shared" si="63"/>
        <v>76.877738592048672</v>
      </c>
      <c r="L157" s="447">
        <f t="shared" si="63"/>
        <v>82.588800860732846</v>
      </c>
      <c r="M157" s="447">
        <f t="shared" si="63"/>
        <v>88.002130025362391</v>
      </c>
      <c r="N157" s="447">
        <f t="shared" si="63"/>
        <v>93.133247716954372</v>
      </c>
      <c r="O157" s="447">
        <f t="shared" si="63"/>
        <v>97.996866381970477</v>
      </c>
      <c r="P157" s="447">
        <f t="shared" si="63"/>
        <v>102.60693146729379</v>
      </c>
      <c r="Q157" s="447">
        <f t="shared" si="63"/>
        <v>106.97666140598888</v>
      </c>
      <c r="R157" s="447">
        <f t="shared" si="63"/>
        <v>111.11858551849608</v>
      </c>
      <c r="S157" s="447">
        <f t="shared" si="63"/>
        <v>115.04457993793417</v>
      </c>
      <c r="T157" s="447">
        <f t="shared" si="63"/>
        <v>118.76590166252005</v>
      </c>
      <c r="U157" s="447">
        <f t="shared" si="63"/>
        <v>122.29322083274363</v>
      </c>
      <c r="V157" s="447">
        <f t="shared" si="63"/>
        <v>125.63665132584654</v>
      </c>
      <c r="W157" s="447">
        <f t="shared" si="63"/>
        <v>128.80577975532799</v>
      </c>
      <c r="X157" s="447">
        <f t="shared" si="63"/>
        <v>131.80969295862792</v>
      </c>
      <c r="Y157" s="447">
        <f t="shared" si="63"/>
        <v>134.65700405180323</v>
      </c>
      <c r="Z157" s="447">
        <f t="shared" si="63"/>
        <v>137.35587712590305</v>
      </c>
      <c r="AA157" s="447">
        <f t="shared" si="63"/>
        <v>139.91405065585548</v>
      </c>
      <c r="AB157" s="447">
        <f t="shared" si="63"/>
        <v>142.33885968898574</v>
      </c>
      <c r="AC157" s="447">
        <f t="shared" si="63"/>
        <v>144.63725687678692</v>
      </c>
      <c r="AD157" s="447">
        <f t="shared" si="63"/>
        <v>146.81583241024776</v>
      </c>
      <c r="AE157" s="447">
        <f t="shared" si="63"/>
        <v>148.88083291589786</v>
      </c>
      <c r="AF157" s="447">
        <f t="shared" si="63"/>
        <v>150.83817936675104</v>
      </c>
      <c r="AG157" s="447">
        <f t="shared" si="63"/>
        <v>152.69348405950285</v>
      </c>
      <c r="AH157" s="447">
        <f t="shared" si="63"/>
        <v>154.45206670666099</v>
      </c>
      <c r="AI157" s="447">
        <f t="shared" si="63"/>
        <v>156.11896968974926</v>
      </c>
      <c r="AJ157" s="447">
        <f t="shared" si="63"/>
        <v>157.6989725173211</v>
      </c>
      <c r="AK157" s="447">
        <f t="shared" si="63"/>
        <v>159.1966055292375</v>
      </c>
      <c r="AL157" s="447">
        <f t="shared" si="63"/>
        <v>160.61616288650424</v>
      </c>
      <c r="AM157" s="447">
        <f t="shared" si="63"/>
        <v>161.96171488391349</v>
      </c>
      <c r="AN157" s="447">
        <f t="shared" si="63"/>
        <v>163.23711962079429</v>
      </c>
      <c r="AO157" s="447">
        <f t="shared" si="63"/>
        <v>164.44603406333533</v>
      </c>
      <c r="AP157" s="447">
        <f t="shared" si="63"/>
        <v>165.59192453019887</v>
      </c>
      <c r="AQ157" s="447">
        <f t="shared" si="63"/>
        <v>166.67807663149134</v>
      </c>
      <c r="AR157" s="447">
        <f t="shared" si="63"/>
        <v>167.70760468958846</v>
      </c>
      <c r="AS157" s="447">
        <f t="shared" si="63"/>
        <v>168.68346066882745</v>
      </c>
      <c r="AT157" s="447">
        <f t="shared" si="63"/>
        <v>169.60844263967007</v>
      </c>
      <c r="AU157" s="447">
        <f t="shared" si="63"/>
        <v>170.48520280160622</v>
      </c>
      <c r="AV157" s="447">
        <f t="shared" si="63"/>
        <v>171.31625508780161</v>
      </c>
      <c r="AW157" s="447">
        <f t="shared" si="63"/>
        <v>172.10398237329488</v>
      </c>
      <c r="AX157" s="447">
        <f t="shared" si="63"/>
        <v>172.85064330741173</v>
      </c>
      <c r="AY157" s="448">
        <f t="shared" si="63"/>
        <v>173.55837878998693</v>
      </c>
    </row>
    <row r="158" spans="1:51">
      <c r="A158" s="442" t="s">
        <v>2925</v>
      </c>
      <c r="B158" s="446">
        <f t="shared" si="62"/>
        <v>9.2028100102799062</v>
      </c>
      <c r="C158" s="447">
        <f t="shared" si="63"/>
        <v>17.724368306785436</v>
      </c>
      <c r="D158" s="447">
        <f t="shared" si="63"/>
        <v>25.614338971004738</v>
      </c>
      <c r="E158" s="447">
        <f t="shared" si="63"/>
        <v>33.092984150359527</v>
      </c>
      <c r="F158" s="447">
        <f t="shared" si="63"/>
        <v>40.181747353539421</v>
      </c>
      <c r="G158" s="447">
        <f t="shared" si="63"/>
        <v>46.900954181198088</v>
      </c>
      <c r="H158" s="447">
        <f t="shared" si="63"/>
        <v>53.322238820759729</v>
      </c>
      <c r="I158" s="447">
        <f t="shared" si="63"/>
        <v>59.509156246227533</v>
      </c>
      <c r="J158" s="447">
        <f t="shared" si="63"/>
        <v>65.373532952832093</v>
      </c>
      <c r="K158" s="447">
        <f t="shared" si="63"/>
        <v>70.932183859566265</v>
      </c>
      <c r="L158" s="447">
        <f t="shared" si="63"/>
        <v>76.201047278271645</v>
      </c>
      <c r="M158" s="447">
        <f t="shared" si="63"/>
        <v>81.195230613537404</v>
      </c>
      <c r="N158" s="447">
        <f t="shared" si="63"/>
        <v>85.929053680140029</v>
      </c>
      <c r="O158" s="447">
        <f t="shared" si="63"/>
        <v>90.416089762227827</v>
      </c>
      <c r="P158" s="447">
        <f t="shared" si="63"/>
        <v>94.66920453197929</v>
      </c>
      <c r="Q158" s="447">
        <f t="shared" si="63"/>
        <v>98.70059293932664</v>
      </c>
      <c r="R158" s="447">
        <f t="shared" si="63"/>
        <v>102.52181417851845</v>
      </c>
      <c r="S158" s="447">
        <f t="shared" si="63"/>
        <v>106.14382483178083</v>
      </c>
      <c r="T158" s="447">
        <f t="shared" si="63"/>
        <v>109.57701028511011</v>
      </c>
      <c r="U158" s="447">
        <f t="shared" si="63"/>
        <v>112.83121450627529</v>
      </c>
      <c r="V158" s="447">
        <f t="shared" si="63"/>
        <v>115.9157682704129</v>
      </c>
      <c r="W158" s="447">
        <f t="shared" si="63"/>
        <v>118.83951591414524</v>
      </c>
      <c r="X158" s="447">
        <f t="shared" si="63"/>
        <v>121.61084069493418</v>
      </c>
      <c r="Y158" s="447">
        <f t="shared" si="63"/>
        <v>124.23768882838341</v>
      </c>
      <c r="Z158" s="447">
        <f t="shared" si="63"/>
        <v>126.72759227241113</v>
      </c>
      <c r="AA158" s="447">
        <f t="shared" si="63"/>
        <v>129.08769032362224</v>
      </c>
      <c r="AB158" s="447">
        <f t="shared" si="63"/>
        <v>131.32475008780338</v>
      </c>
      <c r="AC158" s="447">
        <f t="shared" si="63"/>
        <v>133.44518588323575</v>
      </c>
      <c r="AD158" s="447">
        <f t="shared" si="63"/>
        <v>135.45507763246073</v>
      </c>
      <c r="AE158" s="447">
        <f t="shared" si="63"/>
        <v>137.36018829523323</v>
      </c>
      <c r="AF158" s="447">
        <f t="shared" si="63"/>
        <v>139.16598039264792</v>
      </c>
      <c r="AG158" s="447">
        <f t="shared" si="63"/>
        <v>140.87763166981824</v>
      </c>
      <c r="AH158" s="447">
        <f t="shared" si="63"/>
        <v>142.5000499420176</v>
      </c>
      <c r="AI158" s="447">
        <f t="shared" si="63"/>
        <v>144.03788716685111</v>
      </c>
      <c r="AJ158" s="447">
        <f t="shared" si="63"/>
        <v>145.49555278280704</v>
      </c>
      <c r="AK158" s="447">
        <f t="shared" si="63"/>
        <v>146.87722635243352</v>
      </c>
      <c r="AL158" s="447">
        <f t="shared" si="63"/>
        <v>148.18686954639227</v>
      </c>
      <c r="AM158" s="447">
        <f t="shared" si="63"/>
        <v>149.42823750275127</v>
      </c>
      <c r="AN158" s="447">
        <f t="shared" si="63"/>
        <v>150.60488959408681</v>
      </c>
      <c r="AO158" s="447">
        <f t="shared" si="63"/>
        <v>151.72019963326744</v>
      </c>
      <c r="AP158" s="447">
        <f t="shared" si="63"/>
        <v>152.77736554718271</v>
      </c>
      <c r="AQ158" s="447">
        <f t="shared" si="63"/>
        <v>153.77941854615455</v>
      </c>
      <c r="AR158" s="447">
        <f t="shared" si="63"/>
        <v>154.72923181532215</v>
      </c>
      <c r="AS158" s="447">
        <f t="shared" si="63"/>
        <v>155.62952875292177</v>
      </c>
      <c r="AT158" s="447">
        <f t="shared" si="63"/>
        <v>156.48289077908257</v>
      </c>
      <c r="AU158" s="447">
        <f t="shared" si="63"/>
        <v>157.29176473752881</v>
      </c>
      <c r="AV158" s="447">
        <f t="shared" si="63"/>
        <v>158.05846991141149</v>
      </c>
      <c r="AW158" s="447">
        <f t="shared" si="63"/>
        <v>158.78520467338561</v>
      </c>
      <c r="AX158" s="447">
        <f t="shared" si="63"/>
        <v>159.47405278900089</v>
      </c>
      <c r="AY158" s="448">
        <f t="shared" si="63"/>
        <v>160.12698939147984</v>
      </c>
    </row>
    <row r="159" spans="1:51">
      <c r="A159" s="442" t="s">
        <v>2926</v>
      </c>
      <c r="B159" s="446">
        <f t="shared" si="62"/>
        <v>7.0689328859713552</v>
      </c>
      <c r="C159" s="447">
        <f t="shared" si="63"/>
        <v>14.369698136716529</v>
      </c>
      <c r="D159" s="447">
        <f t="shared" si="63"/>
        <v>21.541967331637562</v>
      </c>
      <c r="E159" s="447">
        <f t="shared" si="63"/>
        <v>28.51267627318699</v>
      </c>
      <c r="F159" s="447">
        <f t="shared" si="63"/>
        <v>35.250642077004798</v>
      </c>
      <c r="G159" s="447">
        <f t="shared" si="63"/>
        <v>41.746987388541662</v>
      </c>
      <c r="H159" s="447">
        <f t="shared" si="63"/>
        <v>47.980700711127561</v>
      </c>
      <c r="I159" s="447">
        <f t="shared" si="63"/>
        <v>53.925864208141782</v>
      </c>
      <c r="J159" s="447">
        <f t="shared" si="63"/>
        <v>59.641723748881354</v>
      </c>
      <c r="K159" s="447">
        <f t="shared" si="63"/>
        <v>65.083644011797688</v>
      </c>
      <c r="L159" s="447">
        <f t="shared" si="63"/>
        <v>70.302178243051259</v>
      </c>
      <c r="M159" s="447">
        <f t="shared" si="63"/>
        <v>75.296787022973902</v>
      </c>
      <c r="N159" s="447">
        <f t="shared" si="63"/>
        <v>80.02975889547298</v>
      </c>
      <c r="O159" s="447">
        <f t="shared" si="63"/>
        <v>84.55046652586843</v>
      </c>
      <c r="P159" s="447">
        <f t="shared" si="63"/>
        <v>88.867652559080511</v>
      </c>
      <c r="Q159" s="447">
        <f t="shared" si="63"/>
        <v>92.986957075656932</v>
      </c>
      <c r="R159" s="447">
        <f t="shared" si="63"/>
        <v>96.884761614834133</v>
      </c>
      <c r="S159" s="447">
        <f t="shared" si="63"/>
        <v>100.57041386849632</v>
      </c>
      <c r="T159" s="447">
        <f t="shared" si="63"/>
        <v>104.05103570691571</v>
      </c>
      <c r="U159" s="447">
        <f t="shared" si="63"/>
        <v>107.35020332627059</v>
      </c>
      <c r="V159" s="447">
        <f t="shared" si="63"/>
        <v>110.47737642518516</v>
      </c>
      <c r="W159" s="447">
        <f t="shared" si="63"/>
        <v>113.44152154263973</v>
      </c>
      <c r="X159" s="447">
        <f t="shared" si="63"/>
        <v>116.25113776771516</v>
      </c>
      <c r="Y159" s="447">
        <f t="shared" si="63"/>
        <v>118.91428110901889</v>
      </c>
      <c r="Z159" s="447">
        <f t="shared" si="63"/>
        <v>121.43858759366697</v>
      </c>
      <c r="AA159" s="447">
        <f t="shared" si="63"/>
        <v>123.83129516205376</v>
      </c>
      <c r="AB159" s="447">
        <f t="shared" si="63"/>
        <v>126.09926442118817</v>
      </c>
      <c r="AC159" s="447">
        <f t="shared" si="63"/>
        <v>128.2489983161023</v>
      </c>
      <c r="AD159" s="447">
        <f t="shared" si="63"/>
        <v>130.28666077573655</v>
      </c>
      <c r="AE159" s="447">
        <f t="shared" si="63"/>
        <v>132.21809438676428</v>
      </c>
      <c r="AF159" s="447">
        <f t="shared" si="63"/>
        <v>134.04883714603227</v>
      </c>
      <c r="AG159" s="447">
        <f t="shared" si="63"/>
        <v>135.78413833965121</v>
      </c>
      <c r="AH159" s="447">
        <f t="shared" si="63"/>
        <v>137.42897359426632</v>
      </c>
      <c r="AI159" s="447">
        <f t="shared" si="63"/>
        <v>138.98805914366454</v>
      </c>
      <c r="AJ159" s="447">
        <f t="shared" si="63"/>
        <v>140.46586535162493</v>
      </c>
      <c r="AK159" s="447">
        <f t="shared" si="63"/>
        <v>141.86662952978642</v>
      </c>
      <c r="AL159" s="447">
        <f t="shared" si="63"/>
        <v>143.19436808728548</v>
      </c>
      <c r="AM159" s="447">
        <f t="shared" si="63"/>
        <v>144.45288804700024</v>
      </c>
      <c r="AN159" s="447">
        <f t="shared" si="63"/>
        <v>145.64579796142181</v>
      </c>
      <c r="AO159" s="447">
        <f t="shared" si="63"/>
        <v>146.77651825945173</v>
      </c>
      <c r="AP159" s="447">
        <f t="shared" si="63"/>
        <v>147.84829105379288</v>
      </c>
      <c r="AQ159" s="447">
        <f t="shared" si="63"/>
        <v>148.86418943705462</v>
      </c>
      <c r="AR159" s="447">
        <f t="shared" si="63"/>
        <v>149.82712629322691</v>
      </c>
      <c r="AS159" s="447">
        <f t="shared" si="63"/>
        <v>150.73986264978831</v>
      </c>
      <c r="AT159" s="447">
        <f t="shared" si="63"/>
        <v>151.60501559439626</v>
      </c>
      <c r="AU159" s="447">
        <f t="shared" si="63"/>
        <v>152.42506577885879</v>
      </c>
      <c r="AV159" s="447">
        <f t="shared" si="63"/>
        <v>153.20236453190384</v>
      </c>
      <c r="AW159" s="447">
        <f t="shared" si="63"/>
        <v>153.93914060114085</v>
      </c>
      <c r="AX159" s="447">
        <f t="shared" si="63"/>
        <v>154.63750654354561</v>
      </c>
      <c r="AY159" s="448">
        <f t="shared" si="63"/>
        <v>155.29946478279183</v>
      </c>
    </row>
    <row r="160" spans="1:51">
      <c r="A160" s="442" t="s">
        <v>2905</v>
      </c>
      <c r="B160" s="443">
        <f t="shared" si="62"/>
        <v>6.1141123369011178E-3</v>
      </c>
      <c r="C160" s="444">
        <f t="shared" si="63"/>
        <v>1.1835653147838862E-2</v>
      </c>
      <c r="D160" s="444">
        <f t="shared" si="63"/>
        <v>1.718893701314065E-2</v>
      </c>
      <c r="E160" s="444">
        <f t="shared" si="63"/>
        <v>2.2163645558166009E-2</v>
      </c>
      <c r="F160" s="444">
        <f t="shared" si="63"/>
        <v>2.6784701836957338E-2</v>
      </c>
      <c r="G160" s="444">
        <f t="shared" si="63"/>
        <v>3.1082908421834338E-2</v>
      </c>
      <c r="H160" s="444">
        <f t="shared" si="63"/>
        <v>3.5157037886172721E-2</v>
      </c>
      <c r="I160" s="444">
        <f t="shared" si="63"/>
        <v>3.9012079195542004E-2</v>
      </c>
      <c r="J160" s="444">
        <f t="shared" si="63"/>
        <v>4.2666146787361234E-2</v>
      </c>
      <c r="K160" s="444">
        <f t="shared" si="63"/>
        <v>4.6123704820036415E-2</v>
      </c>
      <c r="L160" s="444">
        <f t="shared" si="63"/>
        <v>4.9401011012145592E-2</v>
      </c>
      <c r="M160" s="444">
        <f t="shared" ref="M160:AY162" si="64">(M149/(1+$C$3)^(M$16-0.5)+L160)</f>
        <v>5.2507462379073722E-2</v>
      </c>
      <c r="N160" s="444">
        <f t="shared" si="64"/>
        <v>5.5446845168468734E-2</v>
      </c>
      <c r="O160" s="444">
        <f t="shared" si="64"/>
        <v>5.8232989992539834E-2</v>
      </c>
      <c r="P160" s="444">
        <f t="shared" si="64"/>
        <v>6.0869284697021131E-2</v>
      </c>
      <c r="Q160" s="444">
        <f t="shared" si="64"/>
        <v>6.3368142236813835E-2</v>
      </c>
      <c r="R160" s="444">
        <f t="shared" si="64"/>
        <v>6.5736727582588902E-2</v>
      </c>
      <c r="S160" s="444">
        <f t="shared" si="64"/>
        <v>6.7981832175740636E-2</v>
      </c>
      <c r="T160" s="444">
        <f t="shared" si="64"/>
        <v>7.0109893401476872E-2</v>
      </c>
      <c r="U160" s="444">
        <f t="shared" si="64"/>
        <v>7.2127013046724489E-2</v>
      </c>
      <c r="V160" s="444">
        <f t="shared" si="64"/>
        <v>7.4038974795774357E-2</v>
      </c>
      <c r="W160" s="444">
        <f t="shared" si="64"/>
        <v>7.5851260813831103E-2</v>
      </c>
      <c r="X160" s="444">
        <f t="shared" si="64"/>
        <v>7.7569067466017591E-2</v>
      </c>
      <c r="Y160" s="444">
        <f t="shared" si="64"/>
        <v>7.9197320216905259E-2</v>
      </c>
      <c r="Z160" s="444">
        <f t="shared" si="64"/>
        <v>8.0740687753291684E-2</v>
      </c>
      <c r="AA160" s="444">
        <f t="shared" si="64"/>
        <v>8.220359537071957E-2</v>
      </c>
      <c r="AB160" s="444">
        <f t="shared" si="64"/>
        <v>8.3590237662120412E-2</v>
      </c>
      <c r="AC160" s="444">
        <f t="shared" si="64"/>
        <v>8.4904590544964811E-2</v>
      </c>
      <c r="AD160" s="444">
        <f t="shared" si="64"/>
        <v>8.6150422661405004E-2</v>
      </c>
      <c r="AE160" s="444">
        <f t="shared" si="64"/>
        <v>8.7331306184097124E-2</v>
      </c>
      <c r="AF160" s="444">
        <f t="shared" si="64"/>
        <v>8.8450627058686809E-2</v>
      </c>
      <c r="AG160" s="444">
        <f t="shared" si="64"/>
        <v>8.9511594712326323E-2</v>
      </c>
      <c r="AH160" s="444">
        <f t="shared" si="64"/>
        <v>9.0517251256060458E-2</v>
      </c>
      <c r="AI160" s="444">
        <f t="shared" si="64"/>
        <v>9.1470480207467217E-2</v>
      </c>
      <c r="AJ160" s="444">
        <f t="shared" si="64"/>
        <v>9.2374014758563674E-2</v>
      </c>
      <c r="AK160" s="444">
        <f t="shared" si="64"/>
        <v>9.3230445612683538E-2</v>
      </c>
      <c r="AL160" s="444">
        <f t="shared" si="64"/>
        <v>9.4042228412797163E-2</v>
      </c>
      <c r="AM160" s="444">
        <f t="shared" si="64"/>
        <v>9.4811690782573108E-2</v>
      </c>
      <c r="AN160" s="444">
        <f t="shared" si="64"/>
        <v>9.5541039000370212E-2</v>
      </c>
      <c r="AO160" s="444">
        <f t="shared" si="64"/>
        <v>9.6232364325296374E-2</v>
      </c>
      <c r="AP160" s="444">
        <f t="shared" si="64"/>
        <v>9.6887648993472825E-2</v>
      </c>
      <c r="AQ160" s="444">
        <f t="shared" si="64"/>
        <v>9.7508771901696961E-2</v>
      </c>
      <c r="AR160" s="444">
        <f t="shared" si="64"/>
        <v>9.8097513994800406E-2</v>
      </c>
      <c r="AS160" s="444">
        <f t="shared" si="64"/>
        <v>9.8655563372149632E-2</v>
      </c>
      <c r="AT160" s="444">
        <f t="shared" si="64"/>
        <v>9.91845201279309E-2</v>
      </c>
      <c r="AU160" s="444">
        <f t="shared" si="64"/>
        <v>9.9685900939097974E-2</v>
      </c>
      <c r="AV160" s="444">
        <f t="shared" si="64"/>
        <v>0.10016114341413786</v>
      </c>
      <c r="AW160" s="444">
        <f t="shared" si="64"/>
        <v>0.10061161021512352</v>
      </c>
      <c r="AX160" s="444">
        <f t="shared" si="64"/>
        <v>0.10103859296487297</v>
      </c>
      <c r="AY160" s="445">
        <f t="shared" si="64"/>
        <v>0.10144331595041747</v>
      </c>
    </row>
    <row r="161" spans="1:51">
      <c r="A161" s="442" t="s">
        <v>2906</v>
      </c>
      <c r="B161" s="446">
        <f t="shared" si="62"/>
        <v>0.85432063306221828</v>
      </c>
      <c r="C161" s="447">
        <f t="shared" ref="C161:AH162" si="65">(C150/(1+$C$3)^(C$16-0.5)+B161)</f>
        <v>1.6641032236425202</v>
      </c>
      <c r="D161" s="447">
        <f t="shared" si="65"/>
        <v>2.4316696602115266</v>
      </c>
      <c r="E161" s="447">
        <f t="shared" si="65"/>
        <v>3.1592207849214855</v>
      </c>
      <c r="F161" s="447">
        <f t="shared" si="65"/>
        <v>3.8488427040778443</v>
      </c>
      <c r="G161" s="447">
        <f t="shared" si="65"/>
        <v>4.502512769628896</v>
      </c>
      <c r="H161" s="447">
        <f t="shared" si="65"/>
        <v>5.1221052488242051</v>
      </c>
      <c r="I161" s="447">
        <f t="shared" si="65"/>
        <v>5.7093966982984323</v>
      </c>
      <c r="J161" s="447">
        <f t="shared" si="65"/>
        <v>6.2660710579896426</v>
      </c>
      <c r="K161" s="447">
        <f t="shared" si="65"/>
        <v>6.7937244794978984</v>
      </c>
      <c r="L161" s="447">
        <f t="shared" si="65"/>
        <v>7.2938699027284732</v>
      </c>
      <c r="M161" s="447">
        <f t="shared" si="65"/>
        <v>7.7679413939422881</v>
      </c>
      <c r="N161" s="447">
        <f t="shared" si="65"/>
        <v>8.2172982576520646</v>
      </c>
      <c r="O161" s="447">
        <f t="shared" si="65"/>
        <v>8.643228934154223</v>
      </c>
      <c r="P161" s="447">
        <f t="shared" si="65"/>
        <v>9.0469546938719088</v>
      </c>
      <c r="Q161" s="447">
        <f t="shared" si="65"/>
        <v>9.4296331391019432</v>
      </c>
      <c r="R161" s="447">
        <f t="shared" si="65"/>
        <v>9.7923615232062406</v>
      </c>
      <c r="S161" s="447">
        <f t="shared" si="65"/>
        <v>10.136179896764817</v>
      </c>
      <c r="T161" s="447">
        <f t="shared" si="65"/>
        <v>10.462074089711335</v>
      </c>
      <c r="U161" s="447">
        <f t="shared" si="65"/>
        <v>10.770978538001872</v>
      </c>
      <c r="V161" s="447">
        <f t="shared" si="65"/>
        <v>11.063778962921813</v>
      </c>
      <c r="W161" s="447">
        <f t="shared" si="65"/>
        <v>11.341314910713226</v>
      </c>
      <c r="X161" s="447">
        <f t="shared" si="65"/>
        <v>11.604382159804613</v>
      </c>
      <c r="Y161" s="447">
        <f t="shared" si="65"/>
        <v>11.853735002545264</v>
      </c>
      <c r="Z161" s="447">
        <f t="shared" si="65"/>
        <v>12.09008840798664</v>
      </c>
      <c r="AA161" s="447">
        <f t="shared" si="65"/>
        <v>12.314120071912114</v>
      </c>
      <c r="AB161" s="447">
        <f t="shared" si="65"/>
        <v>12.526472359993132</v>
      </c>
      <c r="AC161" s="447">
        <f t="shared" si="65"/>
        <v>12.727754149643387</v>
      </c>
      <c r="AD161" s="447">
        <f t="shared" si="65"/>
        <v>12.918542575852159</v>
      </c>
      <c r="AE161" s="447">
        <f t="shared" si="65"/>
        <v>13.099384686002654</v>
      </c>
      <c r="AF161" s="447">
        <f t="shared" si="65"/>
        <v>13.270799008420186</v>
      </c>
      <c r="AG161" s="447">
        <f t="shared" si="65"/>
        <v>13.433277039147702</v>
      </c>
      <c r="AH161" s="447">
        <f t="shared" si="65"/>
        <v>13.5872846512117</v>
      </c>
      <c r="AI161" s="447">
        <f t="shared" si="64"/>
        <v>13.73326343041928</v>
      </c>
      <c r="AJ161" s="447">
        <f t="shared" si="64"/>
        <v>13.871631941516512</v>
      </c>
      <c r="AK161" s="447">
        <f t="shared" si="64"/>
        <v>14.002786928338534</v>
      </c>
      <c r="AL161" s="447">
        <f t="shared" si="64"/>
        <v>14.127104451392583</v>
      </c>
      <c r="AM161" s="447">
        <f t="shared" si="64"/>
        <v>14.244940966135758</v>
      </c>
      <c r="AN161" s="447">
        <f t="shared" si="64"/>
        <v>14.356634345039241</v>
      </c>
      <c r="AO161" s="447">
        <f t="shared" si="64"/>
        <v>14.462504846369557</v>
      </c>
      <c r="AP161" s="447">
        <f t="shared" si="64"/>
        <v>14.562856032464643</v>
      </c>
      <c r="AQ161" s="447">
        <f t="shared" si="64"/>
        <v>14.65797564013771</v>
      </c>
      <c r="AR161" s="447">
        <f t="shared" si="64"/>
        <v>14.748136405704599</v>
      </c>
      <c r="AS161" s="447">
        <f t="shared" si="64"/>
        <v>14.833596847000228</v>
      </c>
      <c r="AT161" s="447">
        <f t="shared" si="64"/>
        <v>14.914602004626417</v>
      </c>
      <c r="AU161" s="447">
        <f t="shared" si="64"/>
        <v>14.991384144556454</v>
      </c>
      <c r="AV161" s="447">
        <f t="shared" si="64"/>
        <v>15.064163424110991</v>
      </c>
      <c r="AW161" s="447">
        <f t="shared" si="64"/>
        <v>15.133148523214818</v>
      </c>
      <c r="AX161" s="447">
        <f t="shared" si="64"/>
        <v>15.198537242744511</v>
      </c>
      <c r="AY161" s="448">
        <f t="shared" si="64"/>
        <v>15.260517071682608</v>
      </c>
    </row>
    <row r="162" spans="1:51" ht="12.75" thickBot="1">
      <c r="A162" s="449" t="s">
        <v>2907</v>
      </c>
      <c r="B162" s="450">
        <f t="shared" si="62"/>
        <v>0.85432063306221828</v>
      </c>
      <c r="C162" s="451">
        <f t="shared" si="65"/>
        <v>1.6641032236425202</v>
      </c>
      <c r="D162" s="451">
        <f t="shared" si="65"/>
        <v>2.4316696602115266</v>
      </c>
      <c r="E162" s="451">
        <f t="shared" si="65"/>
        <v>3.1592207849214855</v>
      </c>
      <c r="F162" s="451">
        <f t="shared" si="65"/>
        <v>3.8488427040778443</v>
      </c>
      <c r="G162" s="451">
        <f t="shared" si="65"/>
        <v>4.502512769628896</v>
      </c>
      <c r="H162" s="451">
        <f t="shared" si="65"/>
        <v>5.1221052488242051</v>
      </c>
      <c r="I162" s="451">
        <f t="shared" si="65"/>
        <v>5.7093966982984323</v>
      </c>
      <c r="J162" s="451">
        <f t="shared" si="65"/>
        <v>6.2660710579896426</v>
      </c>
      <c r="K162" s="451">
        <f t="shared" si="65"/>
        <v>6.7937244794978984</v>
      </c>
      <c r="L162" s="451">
        <f t="shared" si="65"/>
        <v>7.2938699027284732</v>
      </c>
      <c r="M162" s="451">
        <f t="shared" si="65"/>
        <v>7.7679413939422881</v>
      </c>
      <c r="N162" s="451">
        <f t="shared" si="65"/>
        <v>8.2172982576520646</v>
      </c>
      <c r="O162" s="451">
        <f t="shared" si="65"/>
        <v>8.643228934154223</v>
      </c>
      <c r="P162" s="451">
        <f t="shared" si="65"/>
        <v>9.0469546938719088</v>
      </c>
      <c r="Q162" s="451">
        <f t="shared" si="65"/>
        <v>9.4296331391019432</v>
      </c>
      <c r="R162" s="451">
        <f t="shared" si="65"/>
        <v>9.7923615232062406</v>
      </c>
      <c r="S162" s="451">
        <f t="shared" si="65"/>
        <v>10.136179896764817</v>
      </c>
      <c r="T162" s="451">
        <f t="shared" si="65"/>
        <v>10.462074089711335</v>
      </c>
      <c r="U162" s="451">
        <f t="shared" si="65"/>
        <v>10.770978538001872</v>
      </c>
      <c r="V162" s="451">
        <f t="shared" si="65"/>
        <v>11.063778962921813</v>
      </c>
      <c r="W162" s="451">
        <f t="shared" si="65"/>
        <v>11.341314910713226</v>
      </c>
      <c r="X162" s="451">
        <f t="shared" si="65"/>
        <v>11.604382159804613</v>
      </c>
      <c r="Y162" s="451">
        <f t="shared" si="65"/>
        <v>11.853735002545264</v>
      </c>
      <c r="Z162" s="451">
        <f t="shared" si="65"/>
        <v>12.09008840798664</v>
      </c>
      <c r="AA162" s="451">
        <f t="shared" si="65"/>
        <v>12.314120071912114</v>
      </c>
      <c r="AB162" s="451">
        <f t="shared" si="65"/>
        <v>12.526472359993132</v>
      </c>
      <c r="AC162" s="451">
        <f t="shared" si="65"/>
        <v>12.727754149643387</v>
      </c>
      <c r="AD162" s="451">
        <f t="shared" si="65"/>
        <v>12.918542575852159</v>
      </c>
      <c r="AE162" s="451">
        <f t="shared" si="65"/>
        <v>13.099384686002654</v>
      </c>
      <c r="AF162" s="451">
        <f t="shared" si="65"/>
        <v>13.270799008420186</v>
      </c>
      <c r="AG162" s="451">
        <f t="shared" si="65"/>
        <v>13.433277039147702</v>
      </c>
      <c r="AH162" s="451">
        <f t="shared" si="65"/>
        <v>13.5872846512117</v>
      </c>
      <c r="AI162" s="451">
        <f t="shared" si="64"/>
        <v>13.73326343041928</v>
      </c>
      <c r="AJ162" s="451">
        <f t="shared" si="64"/>
        <v>13.871631941516512</v>
      </c>
      <c r="AK162" s="451">
        <f t="shared" si="64"/>
        <v>14.002786928338534</v>
      </c>
      <c r="AL162" s="451">
        <f t="shared" si="64"/>
        <v>14.127104451392583</v>
      </c>
      <c r="AM162" s="451">
        <f t="shared" si="64"/>
        <v>14.244940966135758</v>
      </c>
      <c r="AN162" s="451">
        <f t="shared" si="64"/>
        <v>14.356634345039241</v>
      </c>
      <c r="AO162" s="451">
        <f t="shared" si="64"/>
        <v>14.462504846369557</v>
      </c>
      <c r="AP162" s="451">
        <f t="shared" si="64"/>
        <v>14.562856032464643</v>
      </c>
      <c r="AQ162" s="451">
        <f t="shared" si="64"/>
        <v>14.65797564013771</v>
      </c>
      <c r="AR162" s="451">
        <f t="shared" si="64"/>
        <v>14.748136405704599</v>
      </c>
      <c r="AS162" s="451">
        <f t="shared" si="64"/>
        <v>14.833596847000228</v>
      </c>
      <c r="AT162" s="451">
        <f t="shared" si="64"/>
        <v>14.914602004626417</v>
      </c>
      <c r="AU162" s="451">
        <f t="shared" si="64"/>
        <v>14.991384144556454</v>
      </c>
      <c r="AV162" s="451">
        <f t="shared" si="64"/>
        <v>15.064163424110991</v>
      </c>
      <c r="AW162" s="451">
        <f t="shared" si="64"/>
        <v>15.133148523214818</v>
      </c>
      <c r="AX162" s="451">
        <f t="shared" si="64"/>
        <v>15.198537242744511</v>
      </c>
      <c r="AY162" s="452">
        <f t="shared" si="64"/>
        <v>15.260517071682608</v>
      </c>
    </row>
    <row r="164" spans="1:51" ht="15.75">
      <c r="A164" s="454" t="s">
        <v>2948</v>
      </c>
      <c r="B164" s="453"/>
      <c r="C164" s="453"/>
      <c r="D164" s="453"/>
      <c r="E164" s="453"/>
      <c r="F164" s="453"/>
      <c r="G164" s="453"/>
      <c r="H164" s="453"/>
      <c r="I164" s="453"/>
      <c r="J164" s="453"/>
      <c r="K164" s="453"/>
      <c r="L164" s="453"/>
      <c r="M164" s="453"/>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3"/>
      <c r="AL164" s="453"/>
      <c r="AM164" s="453"/>
      <c r="AN164" s="453"/>
      <c r="AO164" s="453"/>
      <c r="AP164" s="453"/>
      <c r="AQ164" s="453"/>
      <c r="AR164" s="453"/>
      <c r="AS164" s="453"/>
      <c r="AT164" s="453"/>
      <c r="AU164" s="453"/>
      <c r="AV164" s="453"/>
      <c r="AW164" s="453"/>
      <c r="AX164" s="453"/>
      <c r="AY164" s="453"/>
    </row>
    <row r="165" spans="1:51" ht="15.75" thickBot="1">
      <c r="A165" s="433" t="s">
        <v>2898</v>
      </c>
    </row>
    <row r="166" spans="1:51" ht="12.75" thickBot="1">
      <c r="A166" s="434" t="s">
        <v>2899</v>
      </c>
      <c r="B166" s="435">
        <v>2010</v>
      </c>
      <c r="C166" s="436">
        <v>2011</v>
      </c>
      <c r="D166" s="436">
        <v>2012</v>
      </c>
      <c r="E166" s="436">
        <v>2013</v>
      </c>
      <c r="F166" s="436">
        <v>2014</v>
      </c>
      <c r="G166" s="436">
        <v>2015</v>
      </c>
      <c r="H166" s="436">
        <v>2016</v>
      </c>
      <c r="I166" s="436">
        <v>2017</v>
      </c>
      <c r="J166" s="436">
        <v>2018</v>
      </c>
      <c r="K166" s="436">
        <v>2019</v>
      </c>
      <c r="L166" s="436">
        <v>2020</v>
      </c>
      <c r="M166" s="436">
        <v>2021</v>
      </c>
      <c r="N166" s="436">
        <v>2022</v>
      </c>
      <c r="O166" s="436">
        <v>2023</v>
      </c>
      <c r="P166" s="436">
        <v>2024</v>
      </c>
      <c r="Q166" s="436">
        <v>2025</v>
      </c>
      <c r="R166" s="436">
        <v>2026</v>
      </c>
      <c r="S166" s="436">
        <v>2027</v>
      </c>
      <c r="T166" s="436">
        <v>2028</v>
      </c>
      <c r="U166" s="436">
        <v>2029</v>
      </c>
      <c r="V166" s="436">
        <v>2030</v>
      </c>
      <c r="W166" s="436">
        <v>2031</v>
      </c>
      <c r="X166" s="436">
        <v>2032</v>
      </c>
      <c r="Y166" s="436">
        <v>2033</v>
      </c>
      <c r="Z166" s="436">
        <v>2034</v>
      </c>
      <c r="AA166" s="436">
        <v>2035</v>
      </c>
      <c r="AB166" s="436">
        <v>2036</v>
      </c>
      <c r="AC166" s="436">
        <v>2037</v>
      </c>
      <c r="AD166" s="436">
        <v>2038</v>
      </c>
      <c r="AE166" s="436">
        <v>2039</v>
      </c>
      <c r="AF166" s="436">
        <v>2040</v>
      </c>
      <c r="AG166" s="436">
        <v>2041</v>
      </c>
      <c r="AH166" s="436">
        <v>2042</v>
      </c>
      <c r="AI166" s="436">
        <v>2043</v>
      </c>
      <c r="AJ166" s="436">
        <v>2044</v>
      </c>
      <c r="AK166" s="436">
        <v>2045</v>
      </c>
      <c r="AL166" s="436">
        <v>2046</v>
      </c>
      <c r="AM166" s="436">
        <v>2047</v>
      </c>
      <c r="AN166" s="436">
        <v>2048</v>
      </c>
      <c r="AO166" s="436">
        <v>2049</v>
      </c>
      <c r="AP166" s="436">
        <v>2050</v>
      </c>
      <c r="AQ166" s="436">
        <v>2051</v>
      </c>
      <c r="AR166" s="436">
        <v>2052</v>
      </c>
      <c r="AS166" s="436">
        <v>2053</v>
      </c>
      <c r="AT166" s="436">
        <v>2054</v>
      </c>
      <c r="AU166" s="436">
        <v>2055</v>
      </c>
      <c r="AV166" s="436">
        <v>2056</v>
      </c>
      <c r="AW166" s="436">
        <v>2057</v>
      </c>
      <c r="AX166" s="436">
        <v>2058</v>
      </c>
      <c r="AY166" s="437">
        <v>2059</v>
      </c>
    </row>
    <row r="167" spans="1:51">
      <c r="A167" s="438" t="s">
        <v>2910</v>
      </c>
      <c r="B167" s="771">
        <v>6.8310458518556105E-2</v>
      </c>
      <c r="C167" s="772">
        <v>6.6934254603542631E-2</v>
      </c>
      <c r="D167" s="772">
        <v>6.5592258751792754E-2</v>
      </c>
      <c r="E167" s="772">
        <v>6.5435755251657166E-2</v>
      </c>
      <c r="F167" s="772">
        <v>6.5279251751521564E-2</v>
      </c>
      <c r="G167" s="772">
        <v>6.5131643636398229E-2</v>
      </c>
      <c r="H167" s="772">
        <v>6.5288147136533831E-2</v>
      </c>
      <c r="I167" s="772">
        <v>6.5451665544625004E-2</v>
      </c>
      <c r="J167" s="772">
        <v>6.560628856770391E-2</v>
      </c>
      <c r="K167" s="772">
        <v>6.5771687452851779E-2</v>
      </c>
      <c r="L167" s="772">
        <v>6.5935205860942953E-2</v>
      </c>
      <c r="M167" s="772">
        <v>6.6091709361078541E-2</v>
      </c>
      <c r="N167" s="772">
        <v>6.6255227769169728E-2</v>
      </c>
      <c r="O167" s="772">
        <v>6.642062665431761E-2</v>
      </c>
      <c r="P167" s="772">
        <v>6.6586025539465465E-2</v>
      </c>
      <c r="Q167" s="772">
        <v>6.6586025539465465E-2</v>
      </c>
      <c r="R167" s="772">
        <v>6.6586025539465465E-2</v>
      </c>
      <c r="S167" s="772">
        <v>6.6586025539465465E-2</v>
      </c>
      <c r="T167" s="772">
        <v>6.6586025539465465E-2</v>
      </c>
      <c r="U167" s="772">
        <v>6.6586025539465465E-2</v>
      </c>
      <c r="V167" s="772">
        <v>6.6586025539465465E-2</v>
      </c>
      <c r="W167" s="772">
        <v>6.6586025539465465E-2</v>
      </c>
      <c r="X167" s="772">
        <v>6.6586025539465465E-2</v>
      </c>
      <c r="Y167" s="772">
        <v>6.6586025539465465E-2</v>
      </c>
      <c r="Z167" s="772">
        <v>6.6586025539465465E-2</v>
      </c>
      <c r="AA167" s="772">
        <v>6.6586025539465465E-2</v>
      </c>
      <c r="AB167" s="772">
        <v>6.6586025539465465E-2</v>
      </c>
      <c r="AC167" s="772">
        <v>6.6586025539465465E-2</v>
      </c>
      <c r="AD167" s="772">
        <v>6.6586025539465465E-2</v>
      </c>
      <c r="AE167" s="772">
        <v>6.6586025539465465E-2</v>
      </c>
      <c r="AF167" s="772">
        <v>6.6586025539465465E-2</v>
      </c>
      <c r="AG167" s="772">
        <v>6.6586025539465465E-2</v>
      </c>
      <c r="AH167" s="772">
        <v>6.6586025539465465E-2</v>
      </c>
      <c r="AI167" s="772">
        <v>6.6586025539465465E-2</v>
      </c>
      <c r="AJ167" s="772">
        <v>6.6586025539465465E-2</v>
      </c>
      <c r="AK167" s="772">
        <v>6.6586025539465465E-2</v>
      </c>
      <c r="AL167" s="772">
        <v>6.6586025539465465E-2</v>
      </c>
      <c r="AM167" s="772">
        <v>6.6586025539465465E-2</v>
      </c>
      <c r="AN167" s="772">
        <v>6.6586025539465465E-2</v>
      </c>
      <c r="AO167" s="772">
        <v>6.6586025539465465E-2</v>
      </c>
      <c r="AP167" s="772">
        <v>6.6586025539465465E-2</v>
      </c>
      <c r="AQ167" s="772">
        <v>6.6586025539465465E-2</v>
      </c>
      <c r="AR167" s="772">
        <v>6.6586025539465465E-2</v>
      </c>
      <c r="AS167" s="772">
        <v>6.6586025539465465E-2</v>
      </c>
      <c r="AT167" s="772">
        <v>6.6586025539465465E-2</v>
      </c>
      <c r="AU167" s="772">
        <v>6.6586025539465465E-2</v>
      </c>
      <c r="AV167" s="772">
        <v>6.6586025539465465E-2</v>
      </c>
      <c r="AW167" s="772">
        <v>6.6586025539465465E-2</v>
      </c>
      <c r="AX167" s="772">
        <v>6.6586025539465465E-2</v>
      </c>
      <c r="AY167" s="773">
        <v>6.6586025539465465E-2</v>
      </c>
    </row>
    <row r="168" spans="1:51">
      <c r="A168" s="442" t="s">
        <v>2911</v>
      </c>
      <c r="B168" s="462">
        <v>85.398706896551715</v>
      </c>
      <c r="C168" s="463">
        <v>92.53232758620689</v>
      </c>
      <c r="D168" s="463">
        <v>99.234913793103431</v>
      </c>
      <c r="E168" s="463">
        <v>105.54956896551724</v>
      </c>
      <c r="F168" s="463">
        <v>111.48706896551724</v>
      </c>
      <c r="G168" s="463">
        <v>117.06896551724137</v>
      </c>
      <c r="H168" s="463">
        <v>122.32758620689654</v>
      </c>
      <c r="I168" s="463">
        <v>127.26293103448276</v>
      </c>
      <c r="J168" s="463">
        <v>131.90732758620689</v>
      </c>
      <c r="K168" s="463">
        <v>136.27155172413794</v>
      </c>
      <c r="L168" s="463">
        <v>140.36637931034483</v>
      </c>
      <c r="M168" s="463">
        <v>144.21336206896549</v>
      </c>
      <c r="N168" s="463">
        <v>144.21336206896549</v>
      </c>
      <c r="O168" s="463">
        <v>144.21336206896549</v>
      </c>
      <c r="P168" s="463">
        <v>144.21336206896549</v>
      </c>
      <c r="Q168" s="463">
        <v>144.21336206896549</v>
      </c>
      <c r="R168" s="463">
        <v>144.21336206896501</v>
      </c>
      <c r="S168" s="463">
        <v>144.21336206896501</v>
      </c>
      <c r="T168" s="463">
        <v>144.21336206896501</v>
      </c>
      <c r="U168" s="463">
        <v>144.21336206896501</v>
      </c>
      <c r="V168" s="463">
        <v>144.21336206896501</v>
      </c>
      <c r="W168" s="463">
        <v>144.21336206896501</v>
      </c>
      <c r="X168" s="463">
        <v>144.21336206896501</v>
      </c>
      <c r="Y168" s="463">
        <v>144.21336206896501</v>
      </c>
      <c r="Z168" s="463">
        <v>144.21336206896501</v>
      </c>
      <c r="AA168" s="463">
        <v>144.21336206896501</v>
      </c>
      <c r="AB168" s="463">
        <v>144.21336206896501</v>
      </c>
      <c r="AC168" s="463">
        <v>144.21336206896501</v>
      </c>
      <c r="AD168" s="463">
        <v>144.21336206896501</v>
      </c>
      <c r="AE168" s="463">
        <v>144.21336206896501</v>
      </c>
      <c r="AF168" s="463">
        <v>144.21336206896501</v>
      </c>
      <c r="AG168" s="463">
        <v>144.21336206896501</v>
      </c>
      <c r="AH168" s="463">
        <v>144.21336206896501</v>
      </c>
      <c r="AI168" s="463">
        <v>144.21336206896501</v>
      </c>
      <c r="AJ168" s="463">
        <v>144.21336206896501</v>
      </c>
      <c r="AK168" s="463">
        <v>144.21336206896501</v>
      </c>
      <c r="AL168" s="463">
        <v>144.21336206896501</v>
      </c>
      <c r="AM168" s="463">
        <v>144.21336206896501</v>
      </c>
      <c r="AN168" s="463">
        <v>144.21336206896501</v>
      </c>
      <c r="AO168" s="463">
        <v>144.21336206896501</v>
      </c>
      <c r="AP168" s="463">
        <v>144.21336206896501</v>
      </c>
      <c r="AQ168" s="463">
        <v>144.21336206896501</v>
      </c>
      <c r="AR168" s="463">
        <v>144.21336206896501</v>
      </c>
      <c r="AS168" s="463">
        <v>144.21336206896501</v>
      </c>
      <c r="AT168" s="463">
        <v>144.21336206896501</v>
      </c>
      <c r="AU168" s="463">
        <v>144.21336206896501</v>
      </c>
      <c r="AV168" s="463">
        <v>144.21336206896501</v>
      </c>
      <c r="AW168" s="463">
        <v>144.21336206896501</v>
      </c>
      <c r="AX168" s="463">
        <v>144.21336206896501</v>
      </c>
      <c r="AY168" s="464">
        <v>144.21336206896501</v>
      </c>
    </row>
    <row r="169" spans="1:51">
      <c r="A169" s="442" t="s">
        <v>2912</v>
      </c>
      <c r="B169" s="462">
        <v>13.64</v>
      </c>
      <c r="C169" s="463">
        <v>13.41</v>
      </c>
      <c r="D169" s="463">
        <v>13.19</v>
      </c>
      <c r="E169" s="463">
        <v>13.19</v>
      </c>
      <c r="F169" s="463">
        <v>13.19</v>
      </c>
      <c r="G169" s="463">
        <v>13.19</v>
      </c>
      <c r="H169" s="463">
        <v>13.27</v>
      </c>
      <c r="I169" s="463">
        <v>13.34</v>
      </c>
      <c r="J169" s="463">
        <v>13.42</v>
      </c>
      <c r="K169" s="463">
        <v>13.42</v>
      </c>
      <c r="L169" s="463">
        <v>13.42</v>
      </c>
      <c r="M169" s="463">
        <v>13.42</v>
      </c>
      <c r="N169" s="463">
        <v>13.42</v>
      </c>
      <c r="O169" s="463">
        <v>13.42</v>
      </c>
      <c r="P169" s="463">
        <v>13.42</v>
      </c>
      <c r="Q169" s="463">
        <v>13.42</v>
      </c>
      <c r="R169" s="463">
        <v>13.42</v>
      </c>
      <c r="S169" s="463">
        <v>13.42</v>
      </c>
      <c r="T169" s="463">
        <v>13.42</v>
      </c>
      <c r="U169" s="463">
        <v>13.42</v>
      </c>
      <c r="V169" s="463">
        <v>13.42</v>
      </c>
      <c r="W169" s="463">
        <v>13.42</v>
      </c>
      <c r="X169" s="463">
        <v>13.42</v>
      </c>
      <c r="Y169" s="463">
        <v>13.42</v>
      </c>
      <c r="Z169" s="463">
        <v>13.42</v>
      </c>
      <c r="AA169" s="463">
        <v>13.42</v>
      </c>
      <c r="AB169" s="463">
        <v>13.42</v>
      </c>
      <c r="AC169" s="463">
        <v>13.42</v>
      </c>
      <c r="AD169" s="463">
        <v>13.42</v>
      </c>
      <c r="AE169" s="463">
        <v>13.42</v>
      </c>
      <c r="AF169" s="463">
        <v>13.42</v>
      </c>
      <c r="AG169" s="463">
        <v>13.42</v>
      </c>
      <c r="AH169" s="463">
        <v>13.42</v>
      </c>
      <c r="AI169" s="463">
        <v>13.42</v>
      </c>
      <c r="AJ169" s="463">
        <v>13.42</v>
      </c>
      <c r="AK169" s="463">
        <v>13.42</v>
      </c>
      <c r="AL169" s="463">
        <v>13.42</v>
      </c>
      <c r="AM169" s="463">
        <v>13.42</v>
      </c>
      <c r="AN169" s="463">
        <v>13.42</v>
      </c>
      <c r="AO169" s="463">
        <v>13.42</v>
      </c>
      <c r="AP169" s="463">
        <v>13.42</v>
      </c>
      <c r="AQ169" s="463">
        <v>13.42</v>
      </c>
      <c r="AR169" s="463">
        <v>13.42</v>
      </c>
      <c r="AS169" s="463">
        <v>13.42</v>
      </c>
      <c r="AT169" s="463">
        <v>13.42</v>
      </c>
      <c r="AU169" s="463">
        <v>13.42</v>
      </c>
      <c r="AV169" s="463">
        <v>13.42</v>
      </c>
      <c r="AW169" s="463">
        <v>13.42</v>
      </c>
      <c r="AX169" s="463">
        <v>13.42</v>
      </c>
      <c r="AY169" s="464">
        <v>13.42</v>
      </c>
    </row>
    <row r="170" spans="1:51">
      <c r="A170" s="442" t="s">
        <v>2913</v>
      </c>
      <c r="B170" s="462">
        <v>12.012499999999999</v>
      </c>
      <c r="C170" s="463">
        <v>11.794166666666667</v>
      </c>
      <c r="D170" s="463">
        <v>11.585833333333333</v>
      </c>
      <c r="E170" s="463">
        <v>11.585833333333333</v>
      </c>
      <c r="F170" s="463">
        <v>11.585833333333333</v>
      </c>
      <c r="G170" s="463">
        <v>11.585833333333333</v>
      </c>
      <c r="H170" s="463">
        <v>11.66</v>
      </c>
      <c r="I170" s="463">
        <v>11.73</v>
      </c>
      <c r="J170" s="463">
        <v>11.804166666666667</v>
      </c>
      <c r="K170" s="463">
        <v>11.804166666666667</v>
      </c>
      <c r="L170" s="463">
        <v>11.804166666666667</v>
      </c>
      <c r="M170" s="463">
        <v>11.804166666666667</v>
      </c>
      <c r="N170" s="463">
        <v>11.804166666666667</v>
      </c>
      <c r="O170" s="463">
        <v>11.804166666666667</v>
      </c>
      <c r="P170" s="463">
        <v>11.804166666666667</v>
      </c>
      <c r="Q170" s="463">
        <v>11.804166666666667</v>
      </c>
      <c r="R170" s="463">
        <v>11.804166666666667</v>
      </c>
      <c r="S170" s="463">
        <v>11.804166666666667</v>
      </c>
      <c r="T170" s="463">
        <v>11.804166666666667</v>
      </c>
      <c r="U170" s="463">
        <v>11.804166666666667</v>
      </c>
      <c r="V170" s="463">
        <v>11.804166666666667</v>
      </c>
      <c r="W170" s="463">
        <v>11.804166666666667</v>
      </c>
      <c r="X170" s="463">
        <v>11.804166666666667</v>
      </c>
      <c r="Y170" s="463">
        <v>11.804166666666667</v>
      </c>
      <c r="Z170" s="463">
        <v>11.804166666666667</v>
      </c>
      <c r="AA170" s="463">
        <v>11.804166666666667</v>
      </c>
      <c r="AB170" s="463">
        <v>11.804166666666667</v>
      </c>
      <c r="AC170" s="463">
        <v>11.804166666666667</v>
      </c>
      <c r="AD170" s="463">
        <v>11.804166666666667</v>
      </c>
      <c r="AE170" s="463">
        <v>11.804166666666667</v>
      </c>
      <c r="AF170" s="463">
        <v>11.804166666666667</v>
      </c>
      <c r="AG170" s="463">
        <v>11.804166666666667</v>
      </c>
      <c r="AH170" s="463">
        <v>11.804166666666667</v>
      </c>
      <c r="AI170" s="463">
        <v>11.804166666666667</v>
      </c>
      <c r="AJ170" s="463">
        <v>11.804166666666667</v>
      </c>
      <c r="AK170" s="463">
        <v>11.804166666666667</v>
      </c>
      <c r="AL170" s="463">
        <v>11.804166666666667</v>
      </c>
      <c r="AM170" s="463">
        <v>11.804166666666667</v>
      </c>
      <c r="AN170" s="463">
        <v>11.804166666666667</v>
      </c>
      <c r="AO170" s="463">
        <v>11.804166666666667</v>
      </c>
      <c r="AP170" s="463">
        <v>11.804166666666667</v>
      </c>
      <c r="AQ170" s="463">
        <v>11.804166666666667</v>
      </c>
      <c r="AR170" s="463">
        <v>11.804166666666667</v>
      </c>
      <c r="AS170" s="463">
        <v>11.804166666666667</v>
      </c>
      <c r="AT170" s="463">
        <v>11.804166666666667</v>
      </c>
      <c r="AU170" s="463">
        <v>11.804166666666667</v>
      </c>
      <c r="AV170" s="463">
        <v>11.804166666666667</v>
      </c>
      <c r="AW170" s="463">
        <v>11.804166666666667</v>
      </c>
      <c r="AX170" s="463">
        <v>11.804166666666699</v>
      </c>
      <c r="AY170" s="464">
        <v>11.804166666666699</v>
      </c>
    </row>
    <row r="171" spans="1:51">
      <c r="A171" s="442" t="s">
        <v>2900</v>
      </c>
      <c r="B171" s="462">
        <v>7.2607266726146298</v>
      </c>
      <c r="C171" s="463">
        <v>7.9112857970161548</v>
      </c>
      <c r="D171" s="463">
        <v>8.1995068031839171</v>
      </c>
      <c r="E171" s="463">
        <v>8.4073776927334265</v>
      </c>
      <c r="F171" s="463">
        <v>8.5736326363918245</v>
      </c>
      <c r="G171" s="463">
        <v>8.7208261649062617</v>
      </c>
      <c r="H171" s="463">
        <v>8.8285181377174773</v>
      </c>
      <c r="I171" s="463">
        <v>8.8829506598476691</v>
      </c>
      <c r="J171" s="463">
        <v>9.0100552678251411</v>
      </c>
      <c r="K171" s="463">
        <v>9.0500408716374903</v>
      </c>
      <c r="L171" s="463">
        <v>9.1558646250250764</v>
      </c>
      <c r="M171" s="463">
        <v>9.244954159045637</v>
      </c>
      <c r="N171" s="463">
        <v>9.2425044625563437</v>
      </c>
      <c r="O171" s="463">
        <v>9.3135366023628183</v>
      </c>
      <c r="P171" s="463">
        <v>9.3834258849192018</v>
      </c>
      <c r="Q171" s="463">
        <v>9.4457625151136106</v>
      </c>
      <c r="R171" s="463">
        <v>9.4294343454096037</v>
      </c>
      <c r="S171" s="463">
        <v>9.4065940080935402</v>
      </c>
      <c r="T171" s="463">
        <v>9.3718934835830296</v>
      </c>
      <c r="U171" s="463">
        <v>9.3718934835830296</v>
      </c>
      <c r="V171" s="463">
        <v>9.3718934835830296</v>
      </c>
      <c r="W171" s="463">
        <v>9.3718934835830296</v>
      </c>
      <c r="X171" s="463">
        <v>9.3718934835830296</v>
      </c>
      <c r="Y171" s="463">
        <v>9.3718934835830296</v>
      </c>
      <c r="Z171" s="463">
        <v>9.3718934835830296</v>
      </c>
      <c r="AA171" s="463">
        <v>9.3718934835830296</v>
      </c>
      <c r="AB171" s="463">
        <v>9.3718934835830296</v>
      </c>
      <c r="AC171" s="463">
        <v>9.3718934835830296</v>
      </c>
      <c r="AD171" s="463">
        <v>9.3718934835830296</v>
      </c>
      <c r="AE171" s="463">
        <v>9.3718934835830296</v>
      </c>
      <c r="AF171" s="463">
        <v>9.3718934835830296</v>
      </c>
      <c r="AG171" s="463">
        <v>9.3718934835830296</v>
      </c>
      <c r="AH171" s="463">
        <v>9.3718934835830296</v>
      </c>
      <c r="AI171" s="463">
        <v>9.3718934835830296</v>
      </c>
      <c r="AJ171" s="463">
        <v>9.3718934835830296</v>
      </c>
      <c r="AK171" s="463">
        <v>9.3718934835830296</v>
      </c>
      <c r="AL171" s="463">
        <v>9.3718934835830296</v>
      </c>
      <c r="AM171" s="463">
        <v>9.3718934835830296</v>
      </c>
      <c r="AN171" s="463">
        <v>9.3718934835830296</v>
      </c>
      <c r="AO171" s="463">
        <v>9.3718934835830296</v>
      </c>
      <c r="AP171" s="463">
        <v>9.3718934835830296</v>
      </c>
      <c r="AQ171" s="463">
        <v>9.3718934835830296</v>
      </c>
      <c r="AR171" s="463">
        <v>9.3718934835830296</v>
      </c>
      <c r="AS171" s="463">
        <v>9.3718934835830296</v>
      </c>
      <c r="AT171" s="463">
        <v>9.3718934835830296</v>
      </c>
      <c r="AU171" s="463">
        <v>9.3718934835830296</v>
      </c>
      <c r="AV171" s="463">
        <v>9.3718934835830296</v>
      </c>
      <c r="AW171" s="463">
        <v>9.3718934835830296</v>
      </c>
      <c r="AX171" s="463">
        <v>9.3718934835830296</v>
      </c>
      <c r="AY171" s="464">
        <v>9.3718934835830296</v>
      </c>
    </row>
    <row r="172" spans="1:51">
      <c r="A172" s="442" t="s">
        <v>2901</v>
      </c>
      <c r="B172" s="443">
        <v>6.28E-3</v>
      </c>
      <c r="C172" s="444">
        <v>6.1999999999999998E-3</v>
      </c>
      <c r="D172" s="444">
        <v>6.1200000000000004E-3</v>
      </c>
      <c r="E172" s="444">
        <v>6.0000000000000001E-3</v>
      </c>
      <c r="F172" s="444">
        <v>5.8799999999999998E-3</v>
      </c>
      <c r="G172" s="444">
        <v>5.77E-3</v>
      </c>
      <c r="H172" s="444">
        <v>5.77E-3</v>
      </c>
      <c r="I172" s="444">
        <v>5.7599999999999995E-3</v>
      </c>
      <c r="J172" s="444">
        <v>5.7599999999999995E-3</v>
      </c>
      <c r="K172" s="444">
        <v>5.7499999999999999E-3</v>
      </c>
      <c r="L172" s="444">
        <v>5.7499999999999999E-3</v>
      </c>
      <c r="M172" s="444">
        <v>5.7499999999999999E-3</v>
      </c>
      <c r="N172" s="444">
        <v>5.7400000000000003E-3</v>
      </c>
      <c r="O172" s="444">
        <v>5.7400000000000003E-3</v>
      </c>
      <c r="P172" s="444">
        <v>5.7300000000000007E-3</v>
      </c>
      <c r="Q172" s="444">
        <v>5.7300000000000007E-3</v>
      </c>
      <c r="R172" s="444">
        <v>5.7300000000000007E-3</v>
      </c>
      <c r="S172" s="444">
        <v>5.7300000000000007E-3</v>
      </c>
      <c r="T172" s="444">
        <v>5.7300000000000007E-3</v>
      </c>
      <c r="U172" s="444">
        <v>5.7300000000000007E-3</v>
      </c>
      <c r="V172" s="444">
        <v>5.7300000000000007E-3</v>
      </c>
      <c r="W172" s="444">
        <v>5.7300000000000007E-3</v>
      </c>
      <c r="X172" s="444">
        <v>5.7300000000000007E-3</v>
      </c>
      <c r="Y172" s="444">
        <v>5.7300000000000007E-3</v>
      </c>
      <c r="Z172" s="444">
        <v>5.7300000000000007E-3</v>
      </c>
      <c r="AA172" s="444">
        <v>5.7300000000000007E-3</v>
      </c>
      <c r="AB172" s="444">
        <v>5.7300000000000007E-3</v>
      </c>
      <c r="AC172" s="444">
        <v>5.7300000000000007E-3</v>
      </c>
      <c r="AD172" s="444">
        <v>5.7300000000000007E-3</v>
      </c>
      <c r="AE172" s="444">
        <v>5.7300000000000007E-3</v>
      </c>
      <c r="AF172" s="444">
        <v>5.7300000000000007E-3</v>
      </c>
      <c r="AG172" s="444">
        <v>5.7300000000000007E-3</v>
      </c>
      <c r="AH172" s="444">
        <v>5.7300000000000007E-3</v>
      </c>
      <c r="AI172" s="444">
        <v>5.7300000000000007E-3</v>
      </c>
      <c r="AJ172" s="444">
        <v>5.7300000000000007E-3</v>
      </c>
      <c r="AK172" s="444">
        <v>5.7300000000000007E-3</v>
      </c>
      <c r="AL172" s="444">
        <v>5.7300000000000007E-3</v>
      </c>
      <c r="AM172" s="444">
        <v>5.7300000000000007E-3</v>
      </c>
      <c r="AN172" s="444">
        <v>5.7300000000000007E-3</v>
      </c>
      <c r="AO172" s="444">
        <v>5.7300000000000007E-3</v>
      </c>
      <c r="AP172" s="444">
        <v>5.7300000000000007E-3</v>
      </c>
      <c r="AQ172" s="444">
        <v>5.7300000000000007E-3</v>
      </c>
      <c r="AR172" s="444">
        <v>5.7300000000000007E-3</v>
      </c>
      <c r="AS172" s="444">
        <v>5.7300000000000007E-3</v>
      </c>
      <c r="AT172" s="444">
        <v>5.7300000000000007E-3</v>
      </c>
      <c r="AU172" s="444">
        <v>5.7300000000000007E-3</v>
      </c>
      <c r="AV172" s="444">
        <v>5.7300000000000007E-3</v>
      </c>
      <c r="AW172" s="444">
        <v>5.7300000000000007E-3</v>
      </c>
      <c r="AX172" s="444">
        <v>5.7300000000000007E-3</v>
      </c>
      <c r="AY172" s="445">
        <v>5.7300000000000007E-3</v>
      </c>
    </row>
    <row r="173" spans="1:51">
      <c r="A173" s="442" t="s">
        <v>2902</v>
      </c>
      <c r="B173" s="446">
        <f>(58.5/1000)*15</f>
        <v>0.87750000000000006</v>
      </c>
      <c r="C173" s="447">
        <f t="shared" ref="C173:AD174" si="66">(58.5/1000)*15</f>
        <v>0.87750000000000006</v>
      </c>
      <c r="D173" s="447">
        <f t="shared" si="66"/>
        <v>0.87750000000000006</v>
      </c>
      <c r="E173" s="447">
        <f t="shared" si="66"/>
        <v>0.87750000000000006</v>
      </c>
      <c r="F173" s="447">
        <f t="shared" si="66"/>
        <v>0.87750000000000006</v>
      </c>
      <c r="G173" s="447">
        <f t="shared" si="66"/>
        <v>0.87750000000000006</v>
      </c>
      <c r="H173" s="447">
        <f t="shared" si="66"/>
        <v>0.87750000000000006</v>
      </c>
      <c r="I173" s="447">
        <f t="shared" si="66"/>
        <v>0.87750000000000006</v>
      </c>
      <c r="J173" s="447">
        <f t="shared" si="66"/>
        <v>0.87750000000000006</v>
      </c>
      <c r="K173" s="447">
        <f t="shared" si="66"/>
        <v>0.87750000000000006</v>
      </c>
      <c r="L173" s="447">
        <f t="shared" si="66"/>
        <v>0.87750000000000006</v>
      </c>
      <c r="M173" s="447">
        <f t="shared" si="66"/>
        <v>0.87750000000000006</v>
      </c>
      <c r="N173" s="447">
        <f t="shared" si="66"/>
        <v>0.87750000000000006</v>
      </c>
      <c r="O173" s="447">
        <f t="shared" si="66"/>
        <v>0.87750000000000006</v>
      </c>
      <c r="P173" s="447">
        <f t="shared" si="66"/>
        <v>0.87750000000000006</v>
      </c>
      <c r="Q173" s="447">
        <f t="shared" si="66"/>
        <v>0.87750000000000006</v>
      </c>
      <c r="R173" s="447">
        <f t="shared" si="66"/>
        <v>0.87750000000000006</v>
      </c>
      <c r="S173" s="447">
        <f t="shared" si="66"/>
        <v>0.87750000000000006</v>
      </c>
      <c r="T173" s="447">
        <f t="shared" si="66"/>
        <v>0.87750000000000006</v>
      </c>
      <c r="U173" s="447">
        <f t="shared" si="66"/>
        <v>0.87750000000000006</v>
      </c>
      <c r="V173" s="447">
        <f t="shared" si="66"/>
        <v>0.87750000000000006</v>
      </c>
      <c r="W173" s="447">
        <f t="shared" si="66"/>
        <v>0.87750000000000006</v>
      </c>
      <c r="X173" s="447">
        <f t="shared" si="66"/>
        <v>0.87750000000000006</v>
      </c>
      <c r="Y173" s="447">
        <f t="shared" si="66"/>
        <v>0.87750000000000006</v>
      </c>
      <c r="Z173" s="447">
        <f t="shared" si="66"/>
        <v>0.87750000000000006</v>
      </c>
      <c r="AA173" s="447">
        <f t="shared" si="66"/>
        <v>0.87750000000000006</v>
      </c>
      <c r="AB173" s="447">
        <f t="shared" si="66"/>
        <v>0.87750000000000006</v>
      </c>
      <c r="AC173" s="447">
        <f t="shared" si="66"/>
        <v>0.87750000000000006</v>
      </c>
      <c r="AD173" s="447">
        <f t="shared" si="66"/>
        <v>0.87750000000000006</v>
      </c>
      <c r="AE173" s="447">
        <f>(58.5/1000)*15</f>
        <v>0.87750000000000006</v>
      </c>
      <c r="AF173" s="447">
        <f t="shared" ref="AF173:AY174" si="67">(58.5/1000)*15</f>
        <v>0.87750000000000006</v>
      </c>
      <c r="AG173" s="447">
        <f t="shared" si="67"/>
        <v>0.87750000000000006</v>
      </c>
      <c r="AH173" s="447">
        <f t="shared" si="67"/>
        <v>0.87750000000000006</v>
      </c>
      <c r="AI173" s="447">
        <f t="shared" si="67"/>
        <v>0.87750000000000006</v>
      </c>
      <c r="AJ173" s="447">
        <f t="shared" si="67"/>
        <v>0.87750000000000006</v>
      </c>
      <c r="AK173" s="447">
        <f t="shared" si="67"/>
        <v>0.87750000000000006</v>
      </c>
      <c r="AL173" s="447">
        <f t="shared" si="67"/>
        <v>0.87750000000000006</v>
      </c>
      <c r="AM173" s="447">
        <f t="shared" si="67"/>
        <v>0.87750000000000006</v>
      </c>
      <c r="AN173" s="447">
        <f t="shared" si="67"/>
        <v>0.87750000000000006</v>
      </c>
      <c r="AO173" s="447">
        <f t="shared" si="67"/>
        <v>0.87750000000000006</v>
      </c>
      <c r="AP173" s="447">
        <f t="shared" si="67"/>
        <v>0.87750000000000006</v>
      </c>
      <c r="AQ173" s="447">
        <f t="shared" si="67"/>
        <v>0.87750000000000006</v>
      </c>
      <c r="AR173" s="447">
        <f t="shared" si="67"/>
        <v>0.87750000000000006</v>
      </c>
      <c r="AS173" s="447">
        <f t="shared" si="67"/>
        <v>0.87750000000000006</v>
      </c>
      <c r="AT173" s="447">
        <f t="shared" si="67"/>
        <v>0.87750000000000006</v>
      </c>
      <c r="AU173" s="447">
        <f t="shared" si="67"/>
        <v>0.87750000000000006</v>
      </c>
      <c r="AV173" s="447">
        <f t="shared" si="67"/>
        <v>0.87750000000000006</v>
      </c>
      <c r="AW173" s="447">
        <f t="shared" si="67"/>
        <v>0.87750000000000006</v>
      </c>
      <c r="AX173" s="447">
        <f t="shared" si="67"/>
        <v>0.87750000000000006</v>
      </c>
      <c r="AY173" s="448">
        <f t="shared" si="67"/>
        <v>0.87750000000000006</v>
      </c>
    </row>
    <row r="174" spans="1:51" ht="12.75" thickBot="1">
      <c r="A174" s="449" t="s">
        <v>2903</v>
      </c>
      <c r="B174" s="450">
        <f>(58.5/1000)*15</f>
        <v>0.87750000000000006</v>
      </c>
      <c r="C174" s="451">
        <f t="shared" si="66"/>
        <v>0.87750000000000006</v>
      </c>
      <c r="D174" s="451">
        <f t="shared" si="66"/>
        <v>0.87750000000000006</v>
      </c>
      <c r="E174" s="451">
        <f t="shared" si="66"/>
        <v>0.87750000000000006</v>
      </c>
      <c r="F174" s="451">
        <f t="shared" si="66"/>
        <v>0.87750000000000006</v>
      </c>
      <c r="G174" s="451">
        <f t="shared" si="66"/>
        <v>0.87750000000000006</v>
      </c>
      <c r="H174" s="451">
        <f t="shared" si="66"/>
        <v>0.87750000000000006</v>
      </c>
      <c r="I174" s="451">
        <f t="shared" si="66"/>
        <v>0.87750000000000006</v>
      </c>
      <c r="J174" s="451">
        <f t="shared" si="66"/>
        <v>0.87750000000000006</v>
      </c>
      <c r="K174" s="451">
        <f t="shared" si="66"/>
        <v>0.87750000000000006</v>
      </c>
      <c r="L174" s="451">
        <f t="shared" si="66"/>
        <v>0.87750000000000006</v>
      </c>
      <c r="M174" s="451">
        <f t="shared" si="66"/>
        <v>0.87750000000000006</v>
      </c>
      <c r="N174" s="451">
        <f t="shared" si="66"/>
        <v>0.87750000000000006</v>
      </c>
      <c r="O174" s="451">
        <f t="shared" si="66"/>
        <v>0.87750000000000006</v>
      </c>
      <c r="P174" s="451">
        <f t="shared" si="66"/>
        <v>0.87750000000000006</v>
      </c>
      <c r="Q174" s="451">
        <f t="shared" si="66"/>
        <v>0.87750000000000006</v>
      </c>
      <c r="R174" s="451">
        <f t="shared" si="66"/>
        <v>0.87750000000000006</v>
      </c>
      <c r="S174" s="451">
        <f t="shared" si="66"/>
        <v>0.87750000000000006</v>
      </c>
      <c r="T174" s="451">
        <f t="shared" si="66"/>
        <v>0.87750000000000006</v>
      </c>
      <c r="U174" s="451">
        <f t="shared" si="66"/>
        <v>0.87750000000000006</v>
      </c>
      <c r="V174" s="451">
        <f t="shared" si="66"/>
        <v>0.87750000000000006</v>
      </c>
      <c r="W174" s="451">
        <f t="shared" si="66"/>
        <v>0.87750000000000006</v>
      </c>
      <c r="X174" s="451">
        <f t="shared" si="66"/>
        <v>0.87750000000000006</v>
      </c>
      <c r="Y174" s="451">
        <f t="shared" si="66"/>
        <v>0.87750000000000006</v>
      </c>
      <c r="Z174" s="451">
        <f t="shared" si="66"/>
        <v>0.87750000000000006</v>
      </c>
      <c r="AA174" s="451">
        <f t="shared" si="66"/>
        <v>0.87750000000000006</v>
      </c>
      <c r="AB174" s="451">
        <f t="shared" si="66"/>
        <v>0.87750000000000006</v>
      </c>
      <c r="AC174" s="451">
        <f t="shared" si="66"/>
        <v>0.87750000000000006</v>
      </c>
      <c r="AD174" s="451">
        <f t="shared" si="66"/>
        <v>0.87750000000000006</v>
      </c>
      <c r="AE174" s="451">
        <f>(58.5/1000)*15</f>
        <v>0.87750000000000006</v>
      </c>
      <c r="AF174" s="451">
        <f t="shared" si="67"/>
        <v>0.87750000000000006</v>
      </c>
      <c r="AG174" s="451">
        <f t="shared" si="67"/>
        <v>0.87750000000000006</v>
      </c>
      <c r="AH174" s="451">
        <f t="shared" si="67"/>
        <v>0.87750000000000006</v>
      </c>
      <c r="AI174" s="451">
        <f t="shared" si="67"/>
        <v>0.87750000000000006</v>
      </c>
      <c r="AJ174" s="451">
        <f t="shared" si="67"/>
        <v>0.87750000000000006</v>
      </c>
      <c r="AK174" s="451">
        <f t="shared" si="67"/>
        <v>0.87750000000000006</v>
      </c>
      <c r="AL174" s="451">
        <f t="shared" si="67"/>
        <v>0.87750000000000006</v>
      </c>
      <c r="AM174" s="451">
        <f t="shared" si="67"/>
        <v>0.87750000000000006</v>
      </c>
      <c r="AN174" s="451">
        <f t="shared" si="67"/>
        <v>0.87750000000000006</v>
      </c>
      <c r="AO174" s="451">
        <f t="shared" si="67"/>
        <v>0.87750000000000006</v>
      </c>
      <c r="AP174" s="451">
        <f t="shared" si="67"/>
        <v>0.87750000000000006</v>
      </c>
      <c r="AQ174" s="451">
        <f t="shared" si="67"/>
        <v>0.87750000000000006</v>
      </c>
      <c r="AR174" s="451">
        <f t="shared" si="67"/>
        <v>0.87750000000000006</v>
      </c>
      <c r="AS174" s="451">
        <f t="shared" si="67"/>
        <v>0.87750000000000006</v>
      </c>
      <c r="AT174" s="451">
        <f t="shared" si="67"/>
        <v>0.87750000000000006</v>
      </c>
      <c r="AU174" s="451">
        <f t="shared" si="67"/>
        <v>0.87750000000000006</v>
      </c>
      <c r="AV174" s="451">
        <f t="shared" si="67"/>
        <v>0.87750000000000006</v>
      </c>
      <c r="AW174" s="451">
        <f t="shared" si="67"/>
        <v>0.87750000000000006</v>
      </c>
      <c r="AX174" s="451">
        <f t="shared" si="67"/>
        <v>0.87750000000000006</v>
      </c>
      <c r="AY174" s="452">
        <f t="shared" si="67"/>
        <v>0.87750000000000006</v>
      </c>
    </row>
    <row r="175" spans="1:51">
      <c r="B175" s="429"/>
      <c r="C175" s="429"/>
      <c r="D175" s="429"/>
      <c r="E175" s="429"/>
      <c r="F175" s="429"/>
      <c r="G175" s="429"/>
      <c r="H175" s="429"/>
      <c r="I175" s="429"/>
      <c r="J175" s="429"/>
      <c r="K175" s="429"/>
      <c r="L175" s="429"/>
      <c r="M175" s="429"/>
      <c r="N175" s="429"/>
      <c r="O175" s="429"/>
      <c r="P175" s="429"/>
      <c r="Q175" s="429"/>
      <c r="R175" s="429"/>
      <c r="S175" s="429"/>
      <c r="T175" s="429"/>
      <c r="U175" s="429"/>
      <c r="V175" s="429"/>
      <c r="W175" s="429"/>
      <c r="X175" s="429"/>
      <c r="Y175" s="429"/>
      <c r="Z175" s="429"/>
      <c r="AA175" s="429"/>
      <c r="AB175" s="429"/>
      <c r="AC175" s="429"/>
      <c r="AD175" s="429"/>
      <c r="AE175" s="429"/>
    </row>
    <row r="176" spans="1:51" ht="15.75" thickBot="1">
      <c r="A176" s="433" t="s">
        <v>2904</v>
      </c>
      <c r="B176" s="429"/>
      <c r="C176" s="429"/>
      <c r="D176" s="429"/>
      <c r="E176" s="429"/>
      <c r="F176" s="429"/>
      <c r="G176" s="429"/>
      <c r="H176" s="429"/>
      <c r="I176" s="429"/>
      <c r="J176" s="429"/>
      <c r="K176" s="429"/>
      <c r="L176" s="429"/>
      <c r="M176" s="429"/>
      <c r="N176" s="429"/>
      <c r="O176" s="429"/>
      <c r="P176" s="429"/>
      <c r="Q176" s="429"/>
      <c r="R176" s="429"/>
      <c r="S176" s="429"/>
      <c r="T176" s="429"/>
      <c r="U176" s="429"/>
      <c r="V176" s="429"/>
      <c r="W176" s="429"/>
      <c r="X176" s="429"/>
      <c r="Y176" s="429"/>
      <c r="Z176" s="429"/>
      <c r="AA176" s="429"/>
      <c r="AB176" s="429"/>
      <c r="AC176" s="429"/>
      <c r="AD176" s="429"/>
      <c r="AE176" s="429"/>
    </row>
    <row r="177" spans="1:51" ht="12.75" thickBot="1">
      <c r="A177" s="434" t="s">
        <v>2899</v>
      </c>
      <c r="B177" s="435">
        <v>1</v>
      </c>
      <c r="C177" s="436">
        <v>2</v>
      </c>
      <c r="D177" s="436">
        <v>3</v>
      </c>
      <c r="E177" s="436">
        <v>4</v>
      </c>
      <c r="F177" s="436">
        <v>5</v>
      </c>
      <c r="G177" s="436">
        <v>6</v>
      </c>
      <c r="H177" s="436">
        <v>7</v>
      </c>
      <c r="I177" s="436">
        <v>8</v>
      </c>
      <c r="J177" s="436">
        <v>9</v>
      </c>
      <c r="K177" s="436">
        <v>10</v>
      </c>
      <c r="L177" s="436">
        <v>11</v>
      </c>
      <c r="M177" s="436">
        <v>12</v>
      </c>
      <c r="N177" s="436">
        <v>13</v>
      </c>
      <c r="O177" s="436">
        <v>14</v>
      </c>
      <c r="P177" s="436">
        <v>15</v>
      </c>
      <c r="Q177" s="436">
        <v>16</v>
      </c>
      <c r="R177" s="436">
        <v>17</v>
      </c>
      <c r="S177" s="436">
        <v>18</v>
      </c>
      <c r="T177" s="436">
        <v>19</v>
      </c>
      <c r="U177" s="436">
        <v>20</v>
      </c>
      <c r="V177" s="436">
        <v>21</v>
      </c>
      <c r="W177" s="436">
        <v>22</v>
      </c>
      <c r="X177" s="436">
        <v>23</v>
      </c>
      <c r="Y177" s="436">
        <v>24</v>
      </c>
      <c r="Z177" s="436">
        <v>25</v>
      </c>
      <c r="AA177" s="436">
        <v>26</v>
      </c>
      <c r="AB177" s="436">
        <v>27</v>
      </c>
      <c r="AC177" s="436">
        <v>28</v>
      </c>
      <c r="AD177" s="436">
        <v>29</v>
      </c>
      <c r="AE177" s="436">
        <v>30</v>
      </c>
      <c r="AF177" s="436">
        <f t="shared" ref="AF177:AY177" si="68">AE177+1</f>
        <v>31</v>
      </c>
      <c r="AG177" s="436">
        <f t="shared" si="68"/>
        <v>32</v>
      </c>
      <c r="AH177" s="436">
        <f t="shared" si="68"/>
        <v>33</v>
      </c>
      <c r="AI177" s="436">
        <f t="shared" si="68"/>
        <v>34</v>
      </c>
      <c r="AJ177" s="436">
        <f t="shared" si="68"/>
        <v>35</v>
      </c>
      <c r="AK177" s="436">
        <f t="shared" si="68"/>
        <v>36</v>
      </c>
      <c r="AL177" s="436">
        <f t="shared" si="68"/>
        <v>37</v>
      </c>
      <c r="AM177" s="436">
        <f t="shared" si="68"/>
        <v>38</v>
      </c>
      <c r="AN177" s="436">
        <f t="shared" si="68"/>
        <v>39</v>
      </c>
      <c r="AO177" s="436">
        <f t="shared" si="68"/>
        <v>40</v>
      </c>
      <c r="AP177" s="436">
        <f t="shared" si="68"/>
        <v>41</v>
      </c>
      <c r="AQ177" s="436">
        <f t="shared" si="68"/>
        <v>42</v>
      </c>
      <c r="AR177" s="436">
        <f t="shared" si="68"/>
        <v>43</v>
      </c>
      <c r="AS177" s="436">
        <f t="shared" si="68"/>
        <v>44</v>
      </c>
      <c r="AT177" s="436">
        <f t="shared" si="68"/>
        <v>45</v>
      </c>
      <c r="AU177" s="436">
        <f t="shared" si="68"/>
        <v>46</v>
      </c>
      <c r="AV177" s="436">
        <f t="shared" si="68"/>
        <v>47</v>
      </c>
      <c r="AW177" s="436">
        <f t="shared" si="68"/>
        <v>48</v>
      </c>
      <c r="AX177" s="436">
        <f t="shared" si="68"/>
        <v>49</v>
      </c>
      <c r="AY177" s="437">
        <f t="shared" si="68"/>
        <v>50</v>
      </c>
    </row>
    <row r="178" spans="1:51">
      <c r="A178" s="438" t="s">
        <v>2922</v>
      </c>
      <c r="B178" s="439">
        <f t="shared" ref="B178:B185" si="69">B167/(1+$C$3)^(B$16-0.5)</f>
        <v>6.6506021841986604E-2</v>
      </c>
      <c r="C178" s="440">
        <f t="shared" ref="C178:AY183" si="70">(C167/(1+$C$3)^(C$16-0.5)+B178)</f>
        <v>0.12827490399744898</v>
      </c>
      <c r="D178" s="440">
        <f t="shared" si="70"/>
        <v>0.18564973740670915</v>
      </c>
      <c r="E178" s="440">
        <f t="shared" si="70"/>
        <v>0.23990370587347698</v>
      </c>
      <c r="F178" s="440">
        <f t="shared" si="70"/>
        <v>0.29120627325122672</v>
      </c>
      <c r="G178" s="440">
        <f t="shared" si="70"/>
        <v>0.33972434249937733</v>
      </c>
      <c r="H178" s="440">
        <f t="shared" si="70"/>
        <v>0.38582353901948346</v>
      </c>
      <c r="I178" s="440">
        <f t="shared" si="70"/>
        <v>0.42962889916558616</v>
      </c>
      <c r="J178" s="440">
        <f t="shared" si="70"/>
        <v>0.47124865834523672</v>
      </c>
      <c r="K178" s="440">
        <f t="shared" si="70"/>
        <v>0.51079812378440359</v>
      </c>
      <c r="L178" s="440">
        <f t="shared" si="70"/>
        <v>0.54837896873154479</v>
      </c>
      <c r="M178" s="440">
        <f t="shared" si="70"/>
        <v>0.584085174103256</v>
      </c>
      <c r="N178" s="440">
        <f t="shared" si="70"/>
        <v>0.61801365427958765</v>
      </c>
      <c r="O178" s="440">
        <f t="shared" si="70"/>
        <v>0.65025363427340055</v>
      </c>
      <c r="P178" s="440">
        <f t="shared" si="70"/>
        <v>0.6808889547833743</v>
      </c>
      <c r="Q178" s="440">
        <f t="shared" si="70"/>
        <v>0.70992717327624033</v>
      </c>
      <c r="R178" s="440">
        <f t="shared" si="70"/>
        <v>0.73745155099459681</v>
      </c>
      <c r="S178" s="440">
        <f t="shared" si="70"/>
        <v>0.76354100854754137</v>
      </c>
      <c r="T178" s="440">
        <f t="shared" si="70"/>
        <v>0.78827035219962149</v>
      </c>
      <c r="U178" s="440">
        <f t="shared" si="70"/>
        <v>0.81171048836273063</v>
      </c>
      <c r="V178" s="440">
        <f t="shared" si="70"/>
        <v>0.83392862690596203</v>
      </c>
      <c r="W178" s="440">
        <f t="shared" si="70"/>
        <v>0.85498847386637089</v>
      </c>
      <c r="X178" s="440">
        <f t="shared" si="70"/>
        <v>0.87495041411320396</v>
      </c>
      <c r="Y178" s="440">
        <f t="shared" si="70"/>
        <v>0.89387168448934906</v>
      </c>
      <c r="Z178" s="440">
        <f t="shared" si="70"/>
        <v>0.91180653792645339</v>
      </c>
      <c r="AA178" s="440">
        <f t="shared" si="70"/>
        <v>0.92880639900427742</v>
      </c>
      <c r="AB178" s="440">
        <f t="shared" si="70"/>
        <v>0.94492001140031912</v>
      </c>
      <c r="AC178" s="440">
        <f t="shared" si="70"/>
        <v>0.96019357765249136</v>
      </c>
      <c r="AD178" s="440">
        <f t="shared" si="70"/>
        <v>0.97467089163559306</v>
      </c>
      <c r="AE178" s="440">
        <f t="shared" si="70"/>
        <v>0.98839346413142404</v>
      </c>
      <c r="AF178" s="440">
        <f t="shared" si="70"/>
        <v>1.0014006418525909</v>
      </c>
      <c r="AG178" s="440">
        <f t="shared" si="70"/>
        <v>1.0137297202612798</v>
      </c>
      <c r="AH178" s="440">
        <f t="shared" si="70"/>
        <v>1.0254160505064827</v>
      </c>
      <c r="AI178" s="440">
        <f t="shared" si="70"/>
        <v>1.0364931407862956</v>
      </c>
      <c r="AJ178" s="440">
        <f t="shared" si="70"/>
        <v>1.0469927524259288</v>
      </c>
      <c r="AK178" s="440">
        <f t="shared" si="70"/>
        <v>1.0569449909469082</v>
      </c>
      <c r="AL178" s="440">
        <f t="shared" si="70"/>
        <v>1.0663783923885948</v>
      </c>
      <c r="AM178" s="440">
        <f t="shared" si="70"/>
        <v>1.07532000512953</v>
      </c>
      <c r="AN178" s="440">
        <f t="shared" si="70"/>
        <v>1.0837954674432126</v>
      </c>
      <c r="AO178" s="440">
        <f t="shared" si="70"/>
        <v>1.0918290810106843</v>
      </c>
      <c r="AP178" s="440">
        <f t="shared" si="70"/>
        <v>1.099443880600705</v>
      </c>
      <c r="AQ178" s="440">
        <f t="shared" si="70"/>
        <v>1.106661700117312</v>
      </c>
      <c r="AR178" s="440">
        <f t="shared" si="70"/>
        <v>1.1135032352041434</v>
      </c>
      <c r="AS178" s="440">
        <f t="shared" si="70"/>
        <v>1.1199881025850262</v>
      </c>
      <c r="AT178" s="440">
        <f t="shared" si="70"/>
        <v>1.1261348963109816</v>
      </c>
      <c r="AU178" s="440">
        <f t="shared" si="70"/>
        <v>1.1319612410749202</v>
      </c>
      <c r="AV178" s="440">
        <f t="shared" si="70"/>
        <v>1.1374838427469001</v>
      </c>
      <c r="AW178" s="440">
        <f t="shared" si="70"/>
        <v>1.1427185362748431</v>
      </c>
      <c r="AX178" s="440">
        <f t="shared" si="70"/>
        <v>1.1476803310880592</v>
      </c>
      <c r="AY178" s="441">
        <f t="shared" si="70"/>
        <v>1.1523834541337616</v>
      </c>
    </row>
    <row r="179" spans="1:51">
      <c r="A179" s="442" t="s">
        <v>2923</v>
      </c>
      <c r="B179" s="446">
        <f t="shared" si="69"/>
        <v>83.142880157899583</v>
      </c>
      <c r="C179" s="447">
        <f t="shared" si="70"/>
        <v>168.53441057976141</v>
      </c>
      <c r="D179" s="447">
        <f t="shared" si="70"/>
        <v>255.33713327310039</v>
      </c>
      <c r="E179" s="447">
        <f t="shared" si="70"/>
        <v>342.85019038251738</v>
      </c>
      <c r="F179" s="447">
        <f t="shared" si="70"/>
        <v>430.46720059461694</v>
      </c>
      <c r="G179" s="447">
        <f t="shared" si="70"/>
        <v>517.67458334521405</v>
      </c>
      <c r="H179" s="447">
        <f t="shared" si="70"/>
        <v>604.04866016790231</v>
      </c>
      <c r="I179" s="447">
        <f t="shared" si="70"/>
        <v>689.22294077369145</v>
      </c>
      <c r="J179" s="447">
        <f t="shared" si="70"/>
        <v>772.90319960289992</v>
      </c>
      <c r="K179" s="447">
        <f t="shared" si="70"/>
        <v>854.84525147923114</v>
      </c>
      <c r="L179" s="447">
        <f t="shared" si="70"/>
        <v>934.84935653622915</v>
      </c>
      <c r="M179" s="447">
        <f t="shared" si="70"/>
        <v>1012.7609731846534</v>
      </c>
      <c r="N179" s="447">
        <f t="shared" si="70"/>
        <v>1086.6108467850554</v>
      </c>
      <c r="O179" s="447">
        <f t="shared" si="70"/>
        <v>1156.61072697501</v>
      </c>
      <c r="P179" s="447">
        <f t="shared" si="70"/>
        <v>1222.96132431146</v>
      </c>
      <c r="Q179" s="447">
        <f t="shared" si="70"/>
        <v>1285.8528857678107</v>
      </c>
      <c r="R179" s="447">
        <f t="shared" si="70"/>
        <v>1345.4657402288062</v>
      </c>
      <c r="S179" s="447">
        <f t="shared" si="70"/>
        <v>1401.9708155472856</v>
      </c>
      <c r="T179" s="447">
        <f t="shared" si="70"/>
        <v>1455.5301286453703</v>
      </c>
      <c r="U179" s="447">
        <f t="shared" si="70"/>
        <v>1506.2972500653557</v>
      </c>
      <c r="V179" s="447">
        <f t="shared" si="70"/>
        <v>1554.4177443023086</v>
      </c>
      <c r="W179" s="447">
        <f t="shared" si="70"/>
        <v>1600.0295871809371</v>
      </c>
      <c r="X179" s="447">
        <f t="shared" si="70"/>
        <v>1643.2635614734759</v>
      </c>
      <c r="Y179" s="447">
        <f t="shared" si="70"/>
        <v>1684.243631892944</v>
      </c>
      <c r="Z179" s="447">
        <f t="shared" si="70"/>
        <v>1723.0873005369897</v>
      </c>
      <c r="AA179" s="447">
        <f t="shared" si="70"/>
        <v>1759.9059438014879</v>
      </c>
      <c r="AB179" s="447">
        <f t="shared" si="70"/>
        <v>1794.8051317299221</v>
      </c>
      <c r="AC179" s="447">
        <f t="shared" si="70"/>
        <v>1827.88493071422</v>
      </c>
      <c r="AD179" s="447">
        <f t="shared" si="70"/>
        <v>1859.2401904149763</v>
      </c>
      <c r="AE179" s="447">
        <f t="shared" si="70"/>
        <v>1888.9608157237501</v>
      </c>
      <c r="AF179" s="447">
        <f t="shared" si="70"/>
        <v>1917.1320245472323</v>
      </c>
      <c r="AG179" s="447">
        <f t="shared" si="70"/>
        <v>1943.8345921524287</v>
      </c>
      <c r="AH179" s="447">
        <f t="shared" si="70"/>
        <v>1969.1450827734679</v>
      </c>
      <c r="AI179" s="447">
        <f t="shared" si="70"/>
        <v>1993.1360691441214</v>
      </c>
      <c r="AJ179" s="447">
        <f t="shared" si="70"/>
        <v>2015.8763405854991</v>
      </c>
      <c r="AK179" s="447">
        <f t="shared" si="70"/>
        <v>2037.4311002455727</v>
      </c>
      <c r="AL179" s="447">
        <f t="shared" si="70"/>
        <v>2057.8621520560691</v>
      </c>
      <c r="AM179" s="447">
        <f t="shared" si="70"/>
        <v>2077.2280779427956</v>
      </c>
      <c r="AN179" s="447">
        <f t="shared" si="70"/>
        <v>2095.5844057975123</v>
      </c>
      <c r="AO179" s="447">
        <f t="shared" si="70"/>
        <v>2112.9837686929786</v>
      </c>
      <c r="AP179" s="447">
        <f t="shared" si="70"/>
        <v>2129.4760557976861</v>
      </c>
      <c r="AQ179" s="447">
        <f t="shared" si="70"/>
        <v>2145.1085554230012</v>
      </c>
      <c r="AR179" s="447">
        <f t="shared" si="70"/>
        <v>2159.9260906128734</v>
      </c>
      <c r="AS179" s="447">
        <f t="shared" si="70"/>
        <v>2173.9711476648849</v>
      </c>
      <c r="AT179" s="447">
        <f t="shared" si="70"/>
        <v>2187.2839979511518</v>
      </c>
      <c r="AU179" s="447">
        <f t="shared" si="70"/>
        <v>2199.9028133883717</v>
      </c>
      <c r="AV179" s="447">
        <f t="shared" si="70"/>
        <v>2211.8637758881059</v>
      </c>
      <c r="AW179" s="447">
        <f t="shared" si="70"/>
        <v>2223.2011811011243</v>
      </c>
      <c r="AX179" s="447">
        <f t="shared" si="70"/>
        <v>2233.9475367532746</v>
      </c>
      <c r="AY179" s="448">
        <f t="shared" si="70"/>
        <v>2244.1336558548387</v>
      </c>
    </row>
    <row r="180" spans="1:51">
      <c r="A180" s="442" t="s">
        <v>2924</v>
      </c>
      <c r="B180" s="446">
        <f t="shared" si="69"/>
        <v>13.279696222186503</v>
      </c>
      <c r="C180" s="447">
        <f t="shared" si="70"/>
        <v>25.654835298747013</v>
      </c>
      <c r="D180" s="447">
        <f t="shared" si="70"/>
        <v>37.192386635892532</v>
      </c>
      <c r="E180" s="447">
        <f t="shared" si="70"/>
        <v>48.128454254039944</v>
      </c>
      <c r="F180" s="447">
        <f t="shared" si="70"/>
        <v>58.494395124321855</v>
      </c>
      <c r="G180" s="447">
        <f t="shared" si="70"/>
        <v>68.319931494257318</v>
      </c>
      <c r="H180" s="447">
        <f t="shared" si="70"/>
        <v>77.689723173940223</v>
      </c>
      <c r="I180" s="447">
        <f t="shared" si="70"/>
        <v>86.617891761958674</v>
      </c>
      <c r="J180" s="447">
        <f t="shared" si="70"/>
        <v>95.131361741509721</v>
      </c>
      <c r="K180" s="447">
        <f t="shared" si="70"/>
        <v>103.20100153255336</v>
      </c>
      <c r="L180" s="447">
        <f t="shared" si="70"/>
        <v>110.84994920178904</v>
      </c>
      <c r="M180" s="447">
        <f t="shared" si="70"/>
        <v>118.10013656599348</v>
      </c>
      <c r="N180" s="447">
        <f t="shared" si="70"/>
        <v>124.97235207708773</v>
      </c>
      <c r="O180" s="447">
        <f t="shared" si="70"/>
        <v>131.48630042883585</v>
      </c>
      <c r="P180" s="447">
        <f t="shared" si="70"/>
        <v>137.66065905608525</v>
      </c>
      <c r="Q180" s="447">
        <f t="shared" si="70"/>
        <v>143.51313168854912</v>
      </c>
      <c r="R180" s="447">
        <f t="shared" si="70"/>
        <v>149.06049911268551</v>
      </c>
      <c r="S180" s="447">
        <f t="shared" si="70"/>
        <v>154.31866728722235</v>
      </c>
      <c r="T180" s="447">
        <f t="shared" si="70"/>
        <v>159.30271295029047</v>
      </c>
      <c r="U180" s="447">
        <f t="shared" si="70"/>
        <v>164.02692684893321</v>
      </c>
      <c r="V180" s="447">
        <f t="shared" si="70"/>
        <v>168.50485471494531</v>
      </c>
      <c r="W180" s="447">
        <f t="shared" si="70"/>
        <v>172.74933610453024</v>
      </c>
      <c r="X180" s="447">
        <f t="shared" si="70"/>
        <v>176.77254121314155</v>
      </c>
      <c r="Y180" s="447">
        <f t="shared" si="70"/>
        <v>180.58600577106697</v>
      </c>
      <c r="Z180" s="447">
        <f t="shared" si="70"/>
        <v>184.20066411981142</v>
      </c>
      <c r="AA180" s="447">
        <f t="shared" si="70"/>
        <v>187.62688056411898</v>
      </c>
      <c r="AB180" s="447">
        <f t="shared" si="70"/>
        <v>190.87447908952896</v>
      </c>
      <c r="AC180" s="447">
        <f t="shared" si="70"/>
        <v>193.95277153067588</v>
      </c>
      <c r="AD180" s="447">
        <f t="shared" si="70"/>
        <v>196.87058427109949</v>
      </c>
      <c r="AE180" s="447">
        <f t="shared" si="70"/>
        <v>199.63628355112186</v>
      </c>
      <c r="AF180" s="447">
        <f t="shared" si="70"/>
        <v>202.25779945635634</v>
      </c>
      <c r="AG180" s="447">
        <f t="shared" si="70"/>
        <v>204.74264865563075</v>
      </c>
      <c r="AH180" s="447">
        <f t="shared" si="70"/>
        <v>207.09795595352116</v>
      </c>
      <c r="AI180" s="447">
        <f t="shared" si="70"/>
        <v>209.33047471929407</v>
      </c>
      <c r="AJ180" s="447">
        <f t="shared" si="70"/>
        <v>211.44660625083239</v>
      </c>
      <c r="AK180" s="447">
        <f t="shared" si="70"/>
        <v>213.45241812906775</v>
      </c>
      <c r="AL180" s="447">
        <f t="shared" si="70"/>
        <v>215.35366161554677</v>
      </c>
      <c r="AM180" s="447">
        <f t="shared" si="70"/>
        <v>217.15578814301503</v>
      </c>
      <c r="AN180" s="447">
        <f t="shared" si="70"/>
        <v>218.86396494630247</v>
      </c>
      <c r="AO180" s="447">
        <f t="shared" si="70"/>
        <v>220.48308987832849</v>
      </c>
      <c r="AP180" s="447">
        <f t="shared" si="70"/>
        <v>222.0178054537086</v>
      </c>
      <c r="AQ180" s="447">
        <f t="shared" si="70"/>
        <v>223.47251216023005</v>
      </c>
      <c r="AR180" s="447">
        <f t="shared" si="70"/>
        <v>224.85138107636411</v>
      </c>
      <c r="AS180" s="447">
        <f t="shared" si="70"/>
        <v>226.15836583099355</v>
      </c>
      <c r="AT180" s="447">
        <f t="shared" si="70"/>
        <v>227.39721393964706</v>
      </c>
      <c r="AU180" s="447">
        <f t="shared" si="70"/>
        <v>228.57147754974517</v>
      </c>
      <c r="AV180" s="447">
        <f t="shared" si="70"/>
        <v>229.68452362566754</v>
      </c>
      <c r="AW180" s="447">
        <f t="shared" si="70"/>
        <v>230.73954360284515</v>
      </c>
      <c r="AX180" s="447">
        <f t="shared" si="70"/>
        <v>231.73956253855852</v>
      </c>
      <c r="AY180" s="448">
        <f t="shared" si="70"/>
        <v>232.68744778568021</v>
      </c>
    </row>
    <row r="181" spans="1:51">
      <c r="A181" s="442" t="s">
        <v>2925</v>
      </c>
      <c r="B181" s="446">
        <f t="shared" si="69"/>
        <v>11.695187013857431</v>
      </c>
      <c r="C181" s="447">
        <f t="shared" si="70"/>
        <v>22.579187967782417</v>
      </c>
      <c r="D181" s="447">
        <f t="shared" si="70"/>
        <v>32.713543302653164</v>
      </c>
      <c r="E181" s="447">
        <f t="shared" si="70"/>
        <v>42.31956731674866</v>
      </c>
      <c r="F181" s="447">
        <f t="shared" si="70"/>
        <v>51.424803349066664</v>
      </c>
      <c r="G181" s="447">
        <f t="shared" si="70"/>
        <v>60.055358829936814</v>
      </c>
      <c r="H181" s="447">
        <f t="shared" si="70"/>
        <v>68.288348354059096</v>
      </c>
      <c r="I181" s="447">
        <f t="shared" si="70"/>
        <v>76.138979353868422</v>
      </c>
      <c r="J181" s="447">
        <f t="shared" si="70"/>
        <v>83.627386101281516</v>
      </c>
      <c r="K181" s="447">
        <f t="shared" si="70"/>
        <v>90.725401975606729</v>
      </c>
      <c r="L181" s="447">
        <f t="shared" si="70"/>
        <v>97.453379107668539</v>
      </c>
      <c r="M181" s="447">
        <f t="shared" si="70"/>
        <v>103.83060861673187</v>
      </c>
      <c r="N181" s="447">
        <f t="shared" si="70"/>
        <v>109.8753759239009</v>
      </c>
      <c r="O181" s="447">
        <f t="shared" si="70"/>
        <v>115.60501318188103</v>
      </c>
      <c r="P181" s="447">
        <f t="shared" si="70"/>
        <v>121.03594897143566</v>
      </c>
      <c r="Q181" s="447">
        <f t="shared" si="70"/>
        <v>126.18375540703246</v>
      </c>
      <c r="R181" s="447">
        <f t="shared" si="70"/>
        <v>131.06319278674508</v>
      </c>
      <c r="S181" s="447">
        <f t="shared" si="70"/>
        <v>135.68825191443474</v>
      </c>
      <c r="T181" s="447">
        <f t="shared" si="70"/>
        <v>140.0721942155624</v>
      </c>
      <c r="U181" s="447">
        <f t="shared" si="70"/>
        <v>144.22758976165497</v>
      </c>
      <c r="V181" s="447">
        <f t="shared" si="70"/>
        <v>148.16635331245359</v>
      </c>
      <c r="W181" s="447">
        <f t="shared" si="70"/>
        <v>151.89977847908739</v>
      </c>
      <c r="X181" s="447">
        <f t="shared" si="70"/>
        <v>155.43857010622841</v>
      </c>
      <c r="Y181" s="447">
        <f t="shared" si="70"/>
        <v>158.79287496607773</v>
      </c>
      <c r="Z181" s="447">
        <f t="shared" si="70"/>
        <v>161.97231085219082</v>
      </c>
      <c r="AA181" s="447">
        <f t="shared" si="70"/>
        <v>164.98599415656341</v>
      </c>
      <c r="AB181" s="447">
        <f t="shared" si="70"/>
        <v>167.84256600904928</v>
      </c>
      <c r="AC181" s="447">
        <f t="shared" si="70"/>
        <v>170.5502170540596</v>
      </c>
      <c r="AD181" s="447">
        <f t="shared" si="70"/>
        <v>173.11671093558596</v>
      </c>
      <c r="AE181" s="447">
        <f t="shared" si="70"/>
        <v>175.54940655788582</v>
      </c>
      <c r="AF181" s="447">
        <f t="shared" si="70"/>
        <v>177.85527918565819</v>
      </c>
      <c r="AG181" s="447">
        <f t="shared" si="70"/>
        <v>180.04094044421021</v>
      </c>
      <c r="AH181" s="447">
        <f t="shared" si="70"/>
        <v>182.11265727696093</v>
      </c>
      <c r="AI181" s="447">
        <f t="shared" si="70"/>
        <v>184.07636991463934</v>
      </c>
      <c r="AJ181" s="447">
        <f t="shared" si="70"/>
        <v>185.93770890769946</v>
      </c>
      <c r="AK181" s="447">
        <f t="shared" si="70"/>
        <v>187.70201127078963</v>
      </c>
      <c r="AL181" s="447">
        <f t="shared" si="70"/>
        <v>189.37433578556704</v>
      </c>
      <c r="AM181" s="447">
        <f t="shared" si="70"/>
        <v>190.95947750573518</v>
      </c>
      <c r="AN181" s="447">
        <f t="shared" si="70"/>
        <v>192.46198150589456</v>
      </c>
      <c r="AO181" s="447">
        <f t="shared" si="70"/>
        <v>193.88615591362858</v>
      </c>
      <c r="AP181" s="447">
        <f t="shared" si="70"/>
        <v>195.23608426219164</v>
      </c>
      <c r="AQ181" s="447">
        <f t="shared" si="70"/>
        <v>196.51563719921822</v>
      </c>
      <c r="AR181" s="447">
        <f t="shared" si="70"/>
        <v>197.7284835850254</v>
      </c>
      <c r="AS181" s="447">
        <f t="shared" si="70"/>
        <v>198.8781010123308</v>
      </c>
      <c r="AT181" s="447">
        <f t="shared" si="70"/>
        <v>199.96778577754918</v>
      </c>
      <c r="AU181" s="447">
        <f t="shared" si="70"/>
        <v>201.00066233225854</v>
      </c>
      <c r="AV181" s="447">
        <f t="shared" si="70"/>
        <v>201.97969224193568</v>
      </c>
      <c r="AW181" s="447">
        <f t="shared" si="70"/>
        <v>202.90768267764861</v>
      </c>
      <c r="AX181" s="447">
        <f t="shared" si="70"/>
        <v>203.78729446505423</v>
      </c>
      <c r="AY181" s="448">
        <f t="shared" si="70"/>
        <v>204.62104971377994</v>
      </c>
    </row>
    <row r="182" spans="1:51">
      <c r="A182" s="442" t="s">
        <v>2926</v>
      </c>
      <c r="B182" s="446">
        <f t="shared" si="69"/>
        <v>7.0689328859713552</v>
      </c>
      <c r="C182" s="447">
        <f t="shared" si="70"/>
        <v>14.369698136716529</v>
      </c>
      <c r="D182" s="447">
        <f t="shared" si="70"/>
        <v>21.541967331637562</v>
      </c>
      <c r="E182" s="447">
        <f t="shared" si="70"/>
        <v>28.51267627318699</v>
      </c>
      <c r="F182" s="447">
        <f t="shared" si="70"/>
        <v>35.250642077004798</v>
      </c>
      <c r="G182" s="447">
        <f t="shared" si="70"/>
        <v>41.746987388541662</v>
      </c>
      <c r="H182" s="447">
        <f t="shared" si="70"/>
        <v>47.980700711127561</v>
      </c>
      <c r="I182" s="447">
        <f t="shared" si="70"/>
        <v>53.925864208141782</v>
      </c>
      <c r="J182" s="447">
        <f t="shared" si="70"/>
        <v>59.641723748881354</v>
      </c>
      <c r="K182" s="447">
        <f t="shared" si="70"/>
        <v>65.083644011797688</v>
      </c>
      <c r="L182" s="447">
        <f t="shared" si="70"/>
        <v>70.302178243051259</v>
      </c>
      <c r="M182" s="447">
        <f t="shared" si="70"/>
        <v>75.296787022973902</v>
      </c>
      <c r="N182" s="447">
        <f t="shared" si="70"/>
        <v>80.02975889547298</v>
      </c>
      <c r="O182" s="447">
        <f t="shared" si="70"/>
        <v>84.55046652586843</v>
      </c>
      <c r="P182" s="447">
        <f t="shared" si="70"/>
        <v>88.867652559080511</v>
      </c>
      <c r="Q182" s="447">
        <f t="shared" si="70"/>
        <v>92.986957075656932</v>
      </c>
      <c r="R182" s="447">
        <f t="shared" si="70"/>
        <v>96.884761614834133</v>
      </c>
      <c r="S182" s="447">
        <f t="shared" si="70"/>
        <v>100.57041386849632</v>
      </c>
      <c r="T182" s="447">
        <f t="shared" si="70"/>
        <v>104.05103570691571</v>
      </c>
      <c r="U182" s="447">
        <f t="shared" si="70"/>
        <v>107.35020332627059</v>
      </c>
      <c r="V182" s="447">
        <f t="shared" si="70"/>
        <v>110.47737642518516</v>
      </c>
      <c r="W182" s="447">
        <f t="shared" si="70"/>
        <v>113.44152154263973</v>
      </c>
      <c r="X182" s="447">
        <f t="shared" si="70"/>
        <v>116.25113776771516</v>
      </c>
      <c r="Y182" s="447">
        <f t="shared" si="70"/>
        <v>118.91428110901889</v>
      </c>
      <c r="Z182" s="447">
        <f t="shared" si="70"/>
        <v>121.43858759366697</v>
      </c>
      <c r="AA182" s="447">
        <f t="shared" si="70"/>
        <v>123.83129516205376</v>
      </c>
      <c r="AB182" s="447">
        <f t="shared" si="70"/>
        <v>126.09926442118817</v>
      </c>
      <c r="AC182" s="447">
        <f t="shared" si="70"/>
        <v>128.2489983161023</v>
      </c>
      <c r="AD182" s="447">
        <f t="shared" si="70"/>
        <v>130.28666077573655</v>
      </c>
      <c r="AE182" s="447">
        <f t="shared" si="70"/>
        <v>132.21809438676428</v>
      </c>
      <c r="AF182" s="447">
        <f t="shared" si="70"/>
        <v>134.04883714603227</v>
      </c>
      <c r="AG182" s="447">
        <f t="shared" si="70"/>
        <v>135.78413833965121</v>
      </c>
      <c r="AH182" s="447">
        <f t="shared" si="70"/>
        <v>137.42897359426632</v>
      </c>
      <c r="AI182" s="447">
        <f t="shared" si="70"/>
        <v>138.98805914366454</v>
      </c>
      <c r="AJ182" s="447">
        <f t="shared" si="70"/>
        <v>140.46586535162493</v>
      </c>
      <c r="AK182" s="447">
        <f t="shared" si="70"/>
        <v>141.86662952978642</v>
      </c>
      <c r="AL182" s="447">
        <f t="shared" si="70"/>
        <v>143.19436808728548</v>
      </c>
      <c r="AM182" s="447">
        <f t="shared" si="70"/>
        <v>144.45288804700024</v>
      </c>
      <c r="AN182" s="447">
        <f t="shared" si="70"/>
        <v>145.64579796142181</v>
      </c>
      <c r="AO182" s="447">
        <f t="shared" si="70"/>
        <v>146.77651825945173</v>
      </c>
      <c r="AP182" s="447">
        <f t="shared" si="70"/>
        <v>147.84829105379288</v>
      </c>
      <c r="AQ182" s="447">
        <f t="shared" si="70"/>
        <v>148.86418943705462</v>
      </c>
      <c r="AR182" s="447">
        <f t="shared" si="70"/>
        <v>149.82712629322691</v>
      </c>
      <c r="AS182" s="447">
        <f t="shared" si="70"/>
        <v>150.73986264978831</v>
      </c>
      <c r="AT182" s="447">
        <f t="shared" si="70"/>
        <v>151.60501559439626</v>
      </c>
      <c r="AU182" s="447">
        <f t="shared" si="70"/>
        <v>152.42506577885879</v>
      </c>
      <c r="AV182" s="447">
        <f t="shared" si="70"/>
        <v>153.20236453190384</v>
      </c>
      <c r="AW182" s="447">
        <f t="shared" si="70"/>
        <v>153.93914060114085</v>
      </c>
      <c r="AX182" s="447">
        <f t="shared" si="70"/>
        <v>154.63750654354561</v>
      </c>
      <c r="AY182" s="448">
        <f t="shared" si="70"/>
        <v>155.29946478279183</v>
      </c>
    </row>
    <row r="183" spans="1:51">
      <c r="A183" s="442" t="s">
        <v>2905</v>
      </c>
      <c r="B183" s="443">
        <f t="shared" si="69"/>
        <v>6.1141123369011178E-3</v>
      </c>
      <c r="C183" s="444">
        <f t="shared" si="70"/>
        <v>1.1835653147838862E-2</v>
      </c>
      <c r="D183" s="444">
        <f t="shared" si="70"/>
        <v>1.718893701314065E-2</v>
      </c>
      <c r="E183" s="444">
        <f t="shared" si="70"/>
        <v>2.2163645558166009E-2</v>
      </c>
      <c r="F183" s="444">
        <f t="shared" si="70"/>
        <v>2.6784701836957338E-2</v>
      </c>
      <c r="G183" s="444">
        <f t="shared" si="70"/>
        <v>3.1082908421834338E-2</v>
      </c>
      <c r="H183" s="444">
        <f t="shared" si="70"/>
        <v>3.5157037886172721E-2</v>
      </c>
      <c r="I183" s="444">
        <f t="shared" si="70"/>
        <v>3.9012079195542004E-2</v>
      </c>
      <c r="J183" s="444">
        <f t="shared" si="70"/>
        <v>4.2666146787361234E-2</v>
      </c>
      <c r="K183" s="444">
        <f t="shared" si="70"/>
        <v>4.6123704820036415E-2</v>
      </c>
      <c r="L183" s="444">
        <f t="shared" si="70"/>
        <v>4.9401011012145592E-2</v>
      </c>
      <c r="M183" s="444">
        <f t="shared" ref="M183:AY185" si="71">(M172/(1+$C$3)^(M$16-0.5)+L183)</f>
        <v>5.2507462379073722E-2</v>
      </c>
      <c r="N183" s="444">
        <f t="shared" si="71"/>
        <v>5.5446845168468734E-2</v>
      </c>
      <c r="O183" s="444">
        <f t="shared" si="71"/>
        <v>5.8232989992539834E-2</v>
      </c>
      <c r="P183" s="444">
        <f t="shared" si="71"/>
        <v>6.0869284697021131E-2</v>
      </c>
      <c r="Q183" s="444">
        <f t="shared" si="71"/>
        <v>6.3368142236813835E-2</v>
      </c>
      <c r="R183" s="444">
        <f t="shared" si="71"/>
        <v>6.5736727582588902E-2</v>
      </c>
      <c r="S183" s="444">
        <f t="shared" si="71"/>
        <v>6.7981832175740636E-2</v>
      </c>
      <c r="T183" s="444">
        <f t="shared" si="71"/>
        <v>7.0109893401476872E-2</v>
      </c>
      <c r="U183" s="444">
        <f t="shared" si="71"/>
        <v>7.2127013046724489E-2</v>
      </c>
      <c r="V183" s="444">
        <f t="shared" si="71"/>
        <v>7.4038974795774357E-2</v>
      </c>
      <c r="W183" s="444">
        <f t="shared" si="71"/>
        <v>7.5851260813831103E-2</v>
      </c>
      <c r="X183" s="444">
        <f t="shared" si="71"/>
        <v>7.7569067466017591E-2</v>
      </c>
      <c r="Y183" s="444">
        <f t="shared" si="71"/>
        <v>7.9197320216905259E-2</v>
      </c>
      <c r="Z183" s="444">
        <f t="shared" si="71"/>
        <v>8.0740687753291684E-2</v>
      </c>
      <c r="AA183" s="444">
        <f t="shared" si="71"/>
        <v>8.220359537071957E-2</v>
      </c>
      <c r="AB183" s="444">
        <f t="shared" si="71"/>
        <v>8.3590237662120412E-2</v>
      </c>
      <c r="AC183" s="444">
        <f t="shared" si="71"/>
        <v>8.4904590544964811E-2</v>
      </c>
      <c r="AD183" s="444">
        <f t="shared" si="71"/>
        <v>8.6150422661405004E-2</v>
      </c>
      <c r="AE183" s="444">
        <f t="shared" si="71"/>
        <v>8.7331306184097124E-2</v>
      </c>
      <c r="AF183" s="444">
        <f t="shared" si="71"/>
        <v>8.8450627058686809E-2</v>
      </c>
      <c r="AG183" s="444">
        <f t="shared" si="71"/>
        <v>8.9511594712326323E-2</v>
      </c>
      <c r="AH183" s="444">
        <f t="shared" si="71"/>
        <v>9.0517251256060458E-2</v>
      </c>
      <c r="AI183" s="444">
        <f t="shared" si="71"/>
        <v>9.1470480207467217E-2</v>
      </c>
      <c r="AJ183" s="444">
        <f t="shared" si="71"/>
        <v>9.2374014758563674E-2</v>
      </c>
      <c r="AK183" s="444">
        <f t="shared" si="71"/>
        <v>9.3230445612683538E-2</v>
      </c>
      <c r="AL183" s="444">
        <f t="shared" si="71"/>
        <v>9.4042228412797163E-2</v>
      </c>
      <c r="AM183" s="444">
        <f t="shared" si="71"/>
        <v>9.4811690782573108E-2</v>
      </c>
      <c r="AN183" s="444">
        <f t="shared" si="71"/>
        <v>9.5541039000370212E-2</v>
      </c>
      <c r="AO183" s="444">
        <f t="shared" si="71"/>
        <v>9.6232364325296374E-2</v>
      </c>
      <c r="AP183" s="444">
        <f t="shared" si="71"/>
        <v>9.6887648993472825E-2</v>
      </c>
      <c r="AQ183" s="444">
        <f t="shared" si="71"/>
        <v>9.7508771901696961E-2</v>
      </c>
      <c r="AR183" s="444">
        <f t="shared" si="71"/>
        <v>9.8097513994800406E-2</v>
      </c>
      <c r="AS183" s="444">
        <f t="shared" si="71"/>
        <v>9.8655563372149632E-2</v>
      </c>
      <c r="AT183" s="444">
        <f t="shared" si="71"/>
        <v>9.91845201279309E-2</v>
      </c>
      <c r="AU183" s="444">
        <f t="shared" si="71"/>
        <v>9.9685900939097974E-2</v>
      </c>
      <c r="AV183" s="444">
        <f t="shared" si="71"/>
        <v>0.10016114341413786</v>
      </c>
      <c r="AW183" s="444">
        <f t="shared" si="71"/>
        <v>0.10061161021512352</v>
      </c>
      <c r="AX183" s="444">
        <f t="shared" si="71"/>
        <v>0.10103859296487297</v>
      </c>
      <c r="AY183" s="445">
        <f t="shared" si="71"/>
        <v>0.10144331595041747</v>
      </c>
    </row>
    <row r="184" spans="1:51">
      <c r="A184" s="442" t="s">
        <v>2906</v>
      </c>
      <c r="B184" s="446">
        <f t="shared" si="69"/>
        <v>0.85432063306221828</v>
      </c>
      <c r="C184" s="447">
        <f t="shared" ref="C184:L185" si="72">(C173/(1+$C$3)^(C$16-0.5)+B184)</f>
        <v>1.6641032236425202</v>
      </c>
      <c r="D184" s="447">
        <f t="shared" si="72"/>
        <v>2.4316696602115266</v>
      </c>
      <c r="E184" s="447">
        <f t="shared" si="72"/>
        <v>3.1592207849214855</v>
      </c>
      <c r="F184" s="447">
        <f t="shared" si="72"/>
        <v>3.8488427040778443</v>
      </c>
      <c r="G184" s="447">
        <f t="shared" si="72"/>
        <v>4.502512769628896</v>
      </c>
      <c r="H184" s="447">
        <f t="shared" si="72"/>
        <v>5.1221052488242051</v>
      </c>
      <c r="I184" s="447">
        <f t="shared" si="72"/>
        <v>5.7093966982984323</v>
      </c>
      <c r="J184" s="447">
        <f t="shared" si="72"/>
        <v>6.2660710579896426</v>
      </c>
      <c r="K184" s="447">
        <f t="shared" si="72"/>
        <v>6.7937244794978984</v>
      </c>
      <c r="L184" s="447">
        <f t="shared" si="72"/>
        <v>7.2938699027284732</v>
      </c>
      <c r="M184" s="447">
        <f t="shared" si="71"/>
        <v>7.7679413939422881</v>
      </c>
      <c r="N184" s="447">
        <f t="shared" si="71"/>
        <v>8.2172982576520646</v>
      </c>
      <c r="O184" s="447">
        <f t="shared" si="71"/>
        <v>8.643228934154223</v>
      </c>
      <c r="P184" s="447">
        <f t="shared" si="71"/>
        <v>9.0469546938719088</v>
      </c>
      <c r="Q184" s="447">
        <f t="shared" si="71"/>
        <v>9.4296331391019432</v>
      </c>
      <c r="R184" s="447">
        <f t="shared" si="71"/>
        <v>9.7923615232062406</v>
      </c>
      <c r="S184" s="447">
        <f t="shared" si="71"/>
        <v>10.136179896764817</v>
      </c>
      <c r="T184" s="447">
        <f t="shared" si="71"/>
        <v>10.462074089711335</v>
      </c>
      <c r="U184" s="447">
        <f t="shared" si="71"/>
        <v>10.770978538001872</v>
      </c>
      <c r="V184" s="447">
        <f t="shared" si="71"/>
        <v>11.063778962921813</v>
      </c>
      <c r="W184" s="447">
        <f t="shared" si="71"/>
        <v>11.341314910713226</v>
      </c>
      <c r="X184" s="447">
        <f t="shared" si="71"/>
        <v>11.604382159804613</v>
      </c>
      <c r="Y184" s="447">
        <f t="shared" si="71"/>
        <v>11.853735002545264</v>
      </c>
      <c r="Z184" s="447">
        <f t="shared" si="71"/>
        <v>12.09008840798664</v>
      </c>
      <c r="AA184" s="447">
        <f t="shared" si="71"/>
        <v>12.314120071912114</v>
      </c>
      <c r="AB184" s="447">
        <f t="shared" si="71"/>
        <v>12.526472359993132</v>
      </c>
      <c r="AC184" s="447">
        <f t="shared" si="71"/>
        <v>12.727754149643387</v>
      </c>
      <c r="AD184" s="447">
        <f t="shared" si="71"/>
        <v>12.918542575852159</v>
      </c>
      <c r="AE184" s="447">
        <f t="shared" si="71"/>
        <v>13.099384686002654</v>
      </c>
      <c r="AF184" s="447">
        <f t="shared" si="71"/>
        <v>13.270799008420186</v>
      </c>
      <c r="AG184" s="447">
        <f t="shared" si="71"/>
        <v>13.433277039147702</v>
      </c>
      <c r="AH184" s="447">
        <f t="shared" si="71"/>
        <v>13.5872846512117</v>
      </c>
      <c r="AI184" s="447">
        <f t="shared" si="71"/>
        <v>13.73326343041928</v>
      </c>
      <c r="AJ184" s="447">
        <f t="shared" si="71"/>
        <v>13.871631941516512</v>
      </c>
      <c r="AK184" s="447">
        <f t="shared" si="71"/>
        <v>14.002786928338534</v>
      </c>
      <c r="AL184" s="447">
        <f t="shared" si="71"/>
        <v>14.127104451392583</v>
      </c>
      <c r="AM184" s="447">
        <f t="shared" si="71"/>
        <v>14.244940966135758</v>
      </c>
      <c r="AN184" s="447">
        <f t="shared" si="71"/>
        <v>14.356634345039241</v>
      </c>
      <c r="AO184" s="447">
        <f t="shared" si="71"/>
        <v>14.462504846369557</v>
      </c>
      <c r="AP184" s="447">
        <f t="shared" si="71"/>
        <v>14.562856032464643</v>
      </c>
      <c r="AQ184" s="447">
        <f t="shared" si="71"/>
        <v>14.65797564013771</v>
      </c>
      <c r="AR184" s="447">
        <f t="shared" si="71"/>
        <v>14.748136405704599</v>
      </c>
      <c r="AS184" s="447">
        <f t="shared" si="71"/>
        <v>14.833596847000228</v>
      </c>
      <c r="AT184" s="447">
        <f t="shared" si="71"/>
        <v>14.914602004626417</v>
      </c>
      <c r="AU184" s="447">
        <f t="shared" si="71"/>
        <v>14.991384144556454</v>
      </c>
      <c r="AV184" s="447">
        <f t="shared" si="71"/>
        <v>15.064163424110991</v>
      </c>
      <c r="AW184" s="447">
        <f t="shared" si="71"/>
        <v>15.133148523214818</v>
      </c>
      <c r="AX184" s="447">
        <f t="shared" si="71"/>
        <v>15.198537242744511</v>
      </c>
      <c r="AY184" s="448">
        <f t="shared" si="71"/>
        <v>15.260517071682608</v>
      </c>
    </row>
    <row r="185" spans="1:51" ht="12.75" thickBot="1">
      <c r="A185" s="449" t="s">
        <v>2907</v>
      </c>
      <c r="B185" s="450">
        <f t="shared" si="69"/>
        <v>0.85432063306221828</v>
      </c>
      <c r="C185" s="451">
        <f t="shared" si="72"/>
        <v>1.6641032236425202</v>
      </c>
      <c r="D185" s="451">
        <f t="shared" si="72"/>
        <v>2.4316696602115266</v>
      </c>
      <c r="E185" s="451">
        <f t="shared" si="72"/>
        <v>3.1592207849214855</v>
      </c>
      <c r="F185" s="451">
        <f t="shared" si="72"/>
        <v>3.8488427040778443</v>
      </c>
      <c r="G185" s="451">
        <f t="shared" si="72"/>
        <v>4.502512769628896</v>
      </c>
      <c r="H185" s="451">
        <f t="shared" si="72"/>
        <v>5.1221052488242051</v>
      </c>
      <c r="I185" s="451">
        <f t="shared" si="72"/>
        <v>5.7093966982984323</v>
      </c>
      <c r="J185" s="451">
        <f t="shared" si="72"/>
        <v>6.2660710579896426</v>
      </c>
      <c r="K185" s="451">
        <f t="shared" si="72"/>
        <v>6.7937244794978984</v>
      </c>
      <c r="L185" s="451">
        <f t="shared" si="72"/>
        <v>7.2938699027284732</v>
      </c>
      <c r="M185" s="451">
        <f t="shared" si="71"/>
        <v>7.7679413939422881</v>
      </c>
      <c r="N185" s="451">
        <f t="shared" si="71"/>
        <v>8.2172982576520646</v>
      </c>
      <c r="O185" s="451">
        <f t="shared" si="71"/>
        <v>8.643228934154223</v>
      </c>
      <c r="P185" s="451">
        <f t="shared" si="71"/>
        <v>9.0469546938719088</v>
      </c>
      <c r="Q185" s="451">
        <f t="shared" si="71"/>
        <v>9.4296331391019432</v>
      </c>
      <c r="R185" s="451">
        <f t="shared" si="71"/>
        <v>9.7923615232062406</v>
      </c>
      <c r="S185" s="451">
        <f t="shared" si="71"/>
        <v>10.136179896764817</v>
      </c>
      <c r="T185" s="451">
        <f t="shared" si="71"/>
        <v>10.462074089711335</v>
      </c>
      <c r="U185" s="451">
        <f t="shared" si="71"/>
        <v>10.770978538001872</v>
      </c>
      <c r="V185" s="451">
        <f t="shared" si="71"/>
        <v>11.063778962921813</v>
      </c>
      <c r="W185" s="451">
        <f t="shared" si="71"/>
        <v>11.341314910713226</v>
      </c>
      <c r="X185" s="451">
        <f t="shared" si="71"/>
        <v>11.604382159804613</v>
      </c>
      <c r="Y185" s="451">
        <f t="shared" si="71"/>
        <v>11.853735002545264</v>
      </c>
      <c r="Z185" s="451">
        <f t="shared" si="71"/>
        <v>12.09008840798664</v>
      </c>
      <c r="AA185" s="451">
        <f t="shared" si="71"/>
        <v>12.314120071912114</v>
      </c>
      <c r="AB185" s="451">
        <f t="shared" si="71"/>
        <v>12.526472359993132</v>
      </c>
      <c r="AC185" s="451">
        <f t="shared" si="71"/>
        <v>12.727754149643387</v>
      </c>
      <c r="AD185" s="451">
        <f t="shared" si="71"/>
        <v>12.918542575852159</v>
      </c>
      <c r="AE185" s="451">
        <f t="shared" si="71"/>
        <v>13.099384686002654</v>
      </c>
      <c r="AF185" s="451">
        <f t="shared" si="71"/>
        <v>13.270799008420186</v>
      </c>
      <c r="AG185" s="451">
        <f t="shared" si="71"/>
        <v>13.433277039147702</v>
      </c>
      <c r="AH185" s="451">
        <f t="shared" si="71"/>
        <v>13.5872846512117</v>
      </c>
      <c r="AI185" s="451">
        <f t="shared" si="71"/>
        <v>13.73326343041928</v>
      </c>
      <c r="AJ185" s="451">
        <f t="shared" si="71"/>
        <v>13.871631941516512</v>
      </c>
      <c r="AK185" s="451">
        <f t="shared" si="71"/>
        <v>14.002786928338534</v>
      </c>
      <c r="AL185" s="451">
        <f t="shared" si="71"/>
        <v>14.127104451392583</v>
      </c>
      <c r="AM185" s="451">
        <f t="shared" si="71"/>
        <v>14.244940966135758</v>
      </c>
      <c r="AN185" s="451">
        <f t="shared" si="71"/>
        <v>14.356634345039241</v>
      </c>
      <c r="AO185" s="451">
        <f t="shared" si="71"/>
        <v>14.462504846369557</v>
      </c>
      <c r="AP185" s="451">
        <f t="shared" si="71"/>
        <v>14.562856032464643</v>
      </c>
      <c r="AQ185" s="451">
        <f t="shared" si="71"/>
        <v>14.65797564013771</v>
      </c>
      <c r="AR185" s="451">
        <f t="shared" si="71"/>
        <v>14.748136405704599</v>
      </c>
      <c r="AS185" s="451">
        <f t="shared" si="71"/>
        <v>14.833596847000228</v>
      </c>
      <c r="AT185" s="451">
        <f t="shared" si="71"/>
        <v>14.914602004626417</v>
      </c>
      <c r="AU185" s="451">
        <f t="shared" si="71"/>
        <v>14.991384144556454</v>
      </c>
      <c r="AV185" s="451">
        <f t="shared" si="71"/>
        <v>15.064163424110991</v>
      </c>
      <c r="AW185" s="451">
        <f t="shared" si="71"/>
        <v>15.133148523214818</v>
      </c>
      <c r="AX185" s="451">
        <f t="shared" si="71"/>
        <v>15.198537242744511</v>
      </c>
      <c r="AY185" s="452">
        <f t="shared" si="71"/>
        <v>15.260517071682608</v>
      </c>
    </row>
    <row r="187" spans="1:51" ht="15.75">
      <c r="A187" s="454" t="s">
        <v>3242</v>
      </c>
      <c r="B187" s="453"/>
      <c r="C187" s="453"/>
      <c r="D187" s="453"/>
      <c r="E187" s="453"/>
      <c r="F187" s="453"/>
      <c r="G187" s="453"/>
      <c r="H187" s="453"/>
      <c r="I187" s="453"/>
      <c r="J187" s="453"/>
      <c r="K187" s="453"/>
      <c r="L187" s="453"/>
      <c r="M187" s="453"/>
      <c r="N187" s="453"/>
      <c r="O187" s="453"/>
      <c r="P187" s="453"/>
      <c r="Q187" s="453"/>
      <c r="R187" s="453"/>
      <c r="S187" s="453"/>
      <c r="T187" s="453"/>
      <c r="U187" s="453"/>
      <c r="V187" s="453"/>
      <c r="W187" s="453"/>
      <c r="X187" s="453"/>
      <c r="Y187" s="453"/>
      <c r="Z187" s="453"/>
      <c r="AA187" s="453"/>
      <c r="AB187" s="453"/>
      <c r="AC187" s="453"/>
      <c r="AD187" s="453"/>
      <c r="AE187" s="453"/>
      <c r="AF187" s="453"/>
      <c r="AG187" s="453"/>
      <c r="AH187" s="453"/>
      <c r="AI187" s="453"/>
      <c r="AJ187" s="453"/>
      <c r="AK187" s="453"/>
      <c r="AL187" s="453"/>
      <c r="AM187" s="453"/>
      <c r="AN187" s="453"/>
      <c r="AO187" s="453"/>
      <c r="AP187" s="453"/>
      <c r="AQ187" s="453"/>
      <c r="AR187" s="453"/>
      <c r="AS187" s="453"/>
      <c r="AT187" s="453"/>
      <c r="AU187" s="453"/>
      <c r="AV187" s="453"/>
      <c r="AW187" s="453"/>
      <c r="AX187" s="453"/>
      <c r="AY187" s="453"/>
    </row>
    <row r="188" spans="1:51" ht="15.75" thickBot="1">
      <c r="A188" s="433" t="s">
        <v>2898</v>
      </c>
    </row>
    <row r="189" spans="1:51" ht="12.75" thickBot="1">
      <c r="A189" s="434" t="s">
        <v>2899</v>
      </c>
      <c r="B189" s="435">
        <v>2010</v>
      </c>
      <c r="C189" s="436">
        <v>2011</v>
      </c>
      <c r="D189" s="436">
        <v>2012</v>
      </c>
      <c r="E189" s="436">
        <v>2013</v>
      </c>
      <c r="F189" s="436">
        <v>2014</v>
      </c>
      <c r="G189" s="436">
        <v>2015</v>
      </c>
      <c r="H189" s="436">
        <v>2016</v>
      </c>
      <c r="I189" s="436">
        <v>2017</v>
      </c>
      <c r="J189" s="436">
        <v>2018</v>
      </c>
      <c r="K189" s="436">
        <v>2019</v>
      </c>
      <c r="L189" s="436">
        <v>2020</v>
      </c>
      <c r="M189" s="436">
        <v>2021</v>
      </c>
      <c r="N189" s="436">
        <v>2022</v>
      </c>
      <c r="O189" s="436">
        <v>2023</v>
      </c>
      <c r="P189" s="436">
        <v>2024</v>
      </c>
      <c r="Q189" s="436">
        <v>2025</v>
      </c>
      <c r="R189" s="436">
        <v>2026</v>
      </c>
      <c r="S189" s="436">
        <v>2027</v>
      </c>
      <c r="T189" s="436">
        <v>2028</v>
      </c>
      <c r="U189" s="436">
        <v>2029</v>
      </c>
      <c r="V189" s="436">
        <v>2030</v>
      </c>
      <c r="W189" s="436">
        <v>2031</v>
      </c>
      <c r="X189" s="436">
        <v>2032</v>
      </c>
      <c r="Y189" s="436">
        <v>2033</v>
      </c>
      <c r="Z189" s="436">
        <v>2034</v>
      </c>
      <c r="AA189" s="436">
        <v>2035</v>
      </c>
      <c r="AB189" s="436">
        <v>2036</v>
      </c>
      <c r="AC189" s="436">
        <v>2037</v>
      </c>
      <c r="AD189" s="436">
        <v>2038</v>
      </c>
      <c r="AE189" s="436">
        <v>2039</v>
      </c>
      <c r="AF189" s="436">
        <v>2040</v>
      </c>
      <c r="AG189" s="436">
        <v>2041</v>
      </c>
      <c r="AH189" s="436">
        <v>2042</v>
      </c>
      <c r="AI189" s="436">
        <v>2043</v>
      </c>
      <c r="AJ189" s="436">
        <v>2044</v>
      </c>
      <c r="AK189" s="436">
        <v>2045</v>
      </c>
      <c r="AL189" s="436">
        <v>2046</v>
      </c>
      <c r="AM189" s="436">
        <v>2047</v>
      </c>
      <c r="AN189" s="436">
        <v>2048</v>
      </c>
      <c r="AO189" s="436">
        <v>2049</v>
      </c>
      <c r="AP189" s="436">
        <v>2050</v>
      </c>
      <c r="AQ189" s="436">
        <v>2051</v>
      </c>
      <c r="AR189" s="436">
        <v>2052</v>
      </c>
      <c r="AS189" s="436">
        <v>2053</v>
      </c>
      <c r="AT189" s="436">
        <v>2054</v>
      </c>
      <c r="AU189" s="436">
        <v>2055</v>
      </c>
      <c r="AV189" s="436">
        <v>2056</v>
      </c>
      <c r="AW189" s="436">
        <v>2057</v>
      </c>
      <c r="AX189" s="436">
        <v>2058</v>
      </c>
      <c r="AY189" s="437">
        <v>2059</v>
      </c>
    </row>
    <row r="190" spans="1:51">
      <c r="A190" s="438" t="s">
        <v>2910</v>
      </c>
      <c r="B190" s="777">
        <v>8.7859999999999994E-2</v>
      </c>
      <c r="C190" s="778">
        <v>8.6239999999999997E-2</v>
      </c>
      <c r="D190" s="778">
        <v>8.4650000000000003E-2</v>
      </c>
      <c r="E190" s="778">
        <v>8.4339999999999998E-2</v>
      </c>
      <c r="F190" s="778">
        <v>8.4019999999999997E-2</v>
      </c>
      <c r="G190" s="778">
        <v>8.3710000000000007E-2</v>
      </c>
      <c r="H190" s="778">
        <v>8.3919999999999995E-2</v>
      </c>
      <c r="I190" s="778">
        <v>8.412E-2</v>
      </c>
      <c r="J190" s="778">
        <v>8.4330000000000002E-2</v>
      </c>
      <c r="K190" s="778">
        <v>8.4529999999999994E-2</v>
      </c>
      <c r="L190" s="778">
        <v>8.4739999999999996E-2</v>
      </c>
      <c r="M190" s="778">
        <v>8.4949999999999998E-2</v>
      </c>
      <c r="N190" s="778">
        <v>8.516E-2</v>
      </c>
      <c r="O190" s="778">
        <v>8.5370000000000001E-2</v>
      </c>
      <c r="P190" s="778">
        <v>8.5580000000000003E-2</v>
      </c>
      <c r="Q190" s="778">
        <v>8.5580000000000003E-2</v>
      </c>
      <c r="R190" s="778">
        <v>8.5580000000000003E-2</v>
      </c>
      <c r="S190" s="778">
        <v>8.5580000000000003E-2</v>
      </c>
      <c r="T190" s="778">
        <v>8.5580000000000003E-2</v>
      </c>
      <c r="U190" s="778">
        <v>8.5580000000000003E-2</v>
      </c>
      <c r="V190" s="778">
        <v>8.5580000000000003E-2</v>
      </c>
      <c r="W190" s="778">
        <v>8.5580000000000003E-2</v>
      </c>
      <c r="X190" s="778">
        <v>8.5580000000000003E-2</v>
      </c>
      <c r="Y190" s="778">
        <v>8.5580000000000003E-2</v>
      </c>
      <c r="Z190" s="778">
        <v>8.5580000000000003E-2</v>
      </c>
      <c r="AA190" s="778">
        <v>8.5580000000000003E-2</v>
      </c>
      <c r="AB190" s="778">
        <v>8.5580000000000003E-2</v>
      </c>
      <c r="AC190" s="778">
        <v>8.5580000000000003E-2</v>
      </c>
      <c r="AD190" s="778">
        <v>8.5580000000000003E-2</v>
      </c>
      <c r="AE190" s="778">
        <v>8.5580000000000003E-2</v>
      </c>
      <c r="AF190" s="778">
        <v>8.5580000000000003E-2</v>
      </c>
      <c r="AG190" s="778">
        <v>8.5580000000000003E-2</v>
      </c>
      <c r="AH190" s="778">
        <v>8.5580000000000003E-2</v>
      </c>
      <c r="AI190" s="778">
        <v>8.5580000000000003E-2</v>
      </c>
      <c r="AJ190" s="778">
        <v>8.5580000000000003E-2</v>
      </c>
      <c r="AK190" s="778">
        <v>8.5580000000000003E-2</v>
      </c>
      <c r="AL190" s="778">
        <v>8.5580000000000003E-2</v>
      </c>
      <c r="AM190" s="778">
        <v>8.5580000000000003E-2</v>
      </c>
      <c r="AN190" s="778">
        <v>8.5580000000000003E-2</v>
      </c>
      <c r="AO190" s="778">
        <v>8.5580000000000003E-2</v>
      </c>
      <c r="AP190" s="778">
        <v>8.5580000000000003E-2</v>
      </c>
      <c r="AQ190" s="778">
        <v>8.5580000000000003E-2</v>
      </c>
      <c r="AR190" s="778">
        <v>8.5580000000000003E-2</v>
      </c>
      <c r="AS190" s="778">
        <v>8.5580000000000003E-2</v>
      </c>
      <c r="AT190" s="778">
        <v>8.5580000000000003E-2</v>
      </c>
      <c r="AU190" s="778">
        <v>8.5580000000000003E-2</v>
      </c>
      <c r="AV190" s="778">
        <v>8.5580000000000003E-2</v>
      </c>
      <c r="AW190" s="778">
        <v>8.5580000000000003E-2</v>
      </c>
      <c r="AX190" s="778">
        <v>8.5580000000000003E-2</v>
      </c>
      <c r="AY190" s="779">
        <v>8.5580000000000003E-2</v>
      </c>
    </row>
    <row r="191" spans="1:51">
      <c r="A191" s="442" t="s">
        <v>2911</v>
      </c>
      <c r="B191" s="462">
        <v>237.30600000000001</v>
      </c>
      <c r="C191" s="463">
        <v>236.78899999999999</v>
      </c>
      <c r="D191" s="463">
        <v>236.22800000000001</v>
      </c>
      <c r="E191" s="463">
        <v>242.54300000000001</v>
      </c>
      <c r="F191" s="463">
        <v>238.19</v>
      </c>
      <c r="G191" s="463">
        <v>229.91399999999999</v>
      </c>
      <c r="H191" s="463">
        <v>239.53700000000001</v>
      </c>
      <c r="I191" s="463">
        <v>254.39699999999999</v>
      </c>
      <c r="J191" s="463">
        <v>255.55</v>
      </c>
      <c r="K191" s="463">
        <v>256.584</v>
      </c>
      <c r="L191" s="463">
        <v>257.52199999999999</v>
      </c>
      <c r="M191" s="463">
        <v>258.36200000000002</v>
      </c>
      <c r="N191" s="463">
        <v>258.36200000000002</v>
      </c>
      <c r="O191" s="463">
        <v>258.36200000000002</v>
      </c>
      <c r="P191" s="463">
        <v>258.36200000000002</v>
      </c>
      <c r="Q191" s="463">
        <v>258.36200000000002</v>
      </c>
      <c r="R191" s="463">
        <v>258.36200000000002</v>
      </c>
      <c r="S191" s="463">
        <v>258.36200000000002</v>
      </c>
      <c r="T191" s="463">
        <v>258.36200000000002</v>
      </c>
      <c r="U191" s="463">
        <v>258.36200000000002</v>
      </c>
      <c r="V191" s="463">
        <v>258.36200000000002</v>
      </c>
      <c r="W191" s="463">
        <v>258.36200000000002</v>
      </c>
      <c r="X191" s="463">
        <v>258.36200000000002</v>
      </c>
      <c r="Y191" s="463">
        <v>258.36200000000002</v>
      </c>
      <c r="Z191" s="463">
        <v>258.36200000000002</v>
      </c>
      <c r="AA191" s="463">
        <v>258.36200000000002</v>
      </c>
      <c r="AB191" s="463">
        <v>258.36200000000002</v>
      </c>
      <c r="AC191" s="463">
        <v>258.36200000000002</v>
      </c>
      <c r="AD191" s="463">
        <v>258.36200000000002</v>
      </c>
      <c r="AE191" s="463">
        <v>258.36200000000002</v>
      </c>
      <c r="AF191" s="463">
        <v>258.36200000000002</v>
      </c>
      <c r="AG191" s="463">
        <v>258.36200000000002</v>
      </c>
      <c r="AH191" s="463">
        <v>258.36200000000002</v>
      </c>
      <c r="AI191" s="463">
        <v>258.36200000000002</v>
      </c>
      <c r="AJ191" s="463">
        <v>258.36200000000002</v>
      </c>
      <c r="AK191" s="463">
        <v>258.36200000000002</v>
      </c>
      <c r="AL191" s="463">
        <v>258.36200000000002</v>
      </c>
      <c r="AM191" s="463">
        <v>258.36200000000002</v>
      </c>
      <c r="AN191" s="463">
        <v>258.36200000000002</v>
      </c>
      <c r="AO191" s="463">
        <v>258.36200000000002</v>
      </c>
      <c r="AP191" s="463">
        <v>258.36200000000002</v>
      </c>
      <c r="AQ191" s="463">
        <v>258.36200000000002</v>
      </c>
      <c r="AR191" s="463">
        <v>258.36200000000002</v>
      </c>
      <c r="AS191" s="463">
        <v>258.36200000000002</v>
      </c>
      <c r="AT191" s="463">
        <v>258.36200000000002</v>
      </c>
      <c r="AU191" s="463">
        <v>258.36200000000002</v>
      </c>
      <c r="AV191" s="463">
        <v>258.36200000000002</v>
      </c>
      <c r="AW191" s="463">
        <v>258.36200000000002</v>
      </c>
      <c r="AX191" s="463">
        <v>258.36200000000002</v>
      </c>
      <c r="AY191" s="464">
        <v>258.36200000000002</v>
      </c>
    </row>
    <row r="192" spans="1:51">
      <c r="A192" s="442" t="s">
        <v>2912</v>
      </c>
      <c r="B192" s="462">
        <v>13.64</v>
      </c>
      <c r="C192" s="463">
        <v>13.41</v>
      </c>
      <c r="D192" s="463">
        <v>13.19</v>
      </c>
      <c r="E192" s="463">
        <v>13.19</v>
      </c>
      <c r="F192" s="463">
        <v>13.19</v>
      </c>
      <c r="G192" s="463">
        <v>13.19</v>
      </c>
      <c r="H192" s="463">
        <v>13.27</v>
      </c>
      <c r="I192" s="463">
        <v>13.34</v>
      </c>
      <c r="J192" s="463">
        <v>13.42</v>
      </c>
      <c r="K192" s="463">
        <v>13.42</v>
      </c>
      <c r="L192" s="463">
        <v>13.42</v>
      </c>
      <c r="M192" s="463">
        <v>13.42</v>
      </c>
      <c r="N192" s="463">
        <v>13.42</v>
      </c>
      <c r="O192" s="463">
        <v>13.42</v>
      </c>
      <c r="P192" s="463">
        <v>13.42</v>
      </c>
      <c r="Q192" s="463">
        <v>13.42</v>
      </c>
      <c r="R192" s="463">
        <v>13.42</v>
      </c>
      <c r="S192" s="463">
        <v>13.42</v>
      </c>
      <c r="T192" s="463">
        <v>13.42</v>
      </c>
      <c r="U192" s="463">
        <v>13.42</v>
      </c>
      <c r="V192" s="463">
        <v>13.42</v>
      </c>
      <c r="W192" s="463">
        <v>13.42</v>
      </c>
      <c r="X192" s="463">
        <v>13.42</v>
      </c>
      <c r="Y192" s="463">
        <v>13.42</v>
      </c>
      <c r="Z192" s="463">
        <v>13.42</v>
      </c>
      <c r="AA192" s="463">
        <v>13.42</v>
      </c>
      <c r="AB192" s="463">
        <v>13.42</v>
      </c>
      <c r="AC192" s="463">
        <v>13.42</v>
      </c>
      <c r="AD192" s="463">
        <v>13.42</v>
      </c>
      <c r="AE192" s="463">
        <v>13.42</v>
      </c>
      <c r="AF192" s="463">
        <v>13.42</v>
      </c>
      <c r="AG192" s="463">
        <v>13.42</v>
      </c>
      <c r="AH192" s="463">
        <v>13.42</v>
      </c>
      <c r="AI192" s="463">
        <v>13.42</v>
      </c>
      <c r="AJ192" s="463">
        <v>13.42</v>
      </c>
      <c r="AK192" s="463">
        <v>13.42</v>
      </c>
      <c r="AL192" s="463">
        <v>13.42</v>
      </c>
      <c r="AM192" s="463">
        <v>13.42</v>
      </c>
      <c r="AN192" s="463">
        <v>13.42</v>
      </c>
      <c r="AO192" s="463">
        <v>13.42</v>
      </c>
      <c r="AP192" s="463">
        <v>13.42</v>
      </c>
      <c r="AQ192" s="463">
        <v>13.42</v>
      </c>
      <c r="AR192" s="463">
        <v>13.42</v>
      </c>
      <c r="AS192" s="463">
        <v>13.42</v>
      </c>
      <c r="AT192" s="463">
        <v>13.42</v>
      </c>
      <c r="AU192" s="463">
        <v>13.42</v>
      </c>
      <c r="AV192" s="463">
        <v>13.42</v>
      </c>
      <c r="AW192" s="463">
        <v>13.42</v>
      </c>
      <c r="AX192" s="463">
        <v>13.42</v>
      </c>
      <c r="AY192" s="464">
        <v>13.42</v>
      </c>
    </row>
    <row r="193" spans="1:51">
      <c r="A193" s="442" t="s">
        <v>2913</v>
      </c>
      <c r="B193" s="462">
        <v>12.012499999999999</v>
      </c>
      <c r="C193" s="463">
        <v>11.794166666666667</v>
      </c>
      <c r="D193" s="463">
        <v>11.585833333333333</v>
      </c>
      <c r="E193" s="463">
        <v>11.585833333333333</v>
      </c>
      <c r="F193" s="463">
        <v>11.585833333333333</v>
      </c>
      <c r="G193" s="463">
        <v>11.585833333333333</v>
      </c>
      <c r="H193" s="463">
        <v>11.66</v>
      </c>
      <c r="I193" s="463">
        <v>11.73</v>
      </c>
      <c r="J193" s="463">
        <v>11.804166666666667</v>
      </c>
      <c r="K193" s="463">
        <v>11.804166666666667</v>
      </c>
      <c r="L193" s="463">
        <v>11.804166666666667</v>
      </c>
      <c r="M193" s="463">
        <v>11.804166666666667</v>
      </c>
      <c r="N193" s="463">
        <v>11.804166666666667</v>
      </c>
      <c r="O193" s="463">
        <v>11.804166666666667</v>
      </c>
      <c r="P193" s="463">
        <v>11.804166666666667</v>
      </c>
      <c r="Q193" s="463">
        <v>11.804166666666667</v>
      </c>
      <c r="R193" s="463">
        <v>11.804166666666667</v>
      </c>
      <c r="S193" s="463">
        <v>11.804166666666667</v>
      </c>
      <c r="T193" s="463">
        <v>11.804166666666667</v>
      </c>
      <c r="U193" s="463">
        <v>11.804166666666667</v>
      </c>
      <c r="V193" s="463">
        <v>11.804166666666667</v>
      </c>
      <c r="W193" s="463">
        <v>11.804166666666667</v>
      </c>
      <c r="X193" s="463">
        <v>11.804166666666667</v>
      </c>
      <c r="Y193" s="463">
        <v>11.804166666666667</v>
      </c>
      <c r="Z193" s="463">
        <v>11.804166666666667</v>
      </c>
      <c r="AA193" s="463">
        <v>11.804166666666667</v>
      </c>
      <c r="AB193" s="463">
        <v>11.804166666666667</v>
      </c>
      <c r="AC193" s="463">
        <v>11.804166666666667</v>
      </c>
      <c r="AD193" s="463">
        <v>11.804166666666667</v>
      </c>
      <c r="AE193" s="463">
        <v>11.804166666666667</v>
      </c>
      <c r="AF193" s="463">
        <v>11.804166666666667</v>
      </c>
      <c r="AG193" s="463">
        <v>11.804166666666667</v>
      </c>
      <c r="AH193" s="463">
        <v>11.804166666666667</v>
      </c>
      <c r="AI193" s="463">
        <v>11.804166666666667</v>
      </c>
      <c r="AJ193" s="463">
        <v>11.804166666666667</v>
      </c>
      <c r="AK193" s="463">
        <v>11.804166666666667</v>
      </c>
      <c r="AL193" s="463">
        <v>11.804166666666667</v>
      </c>
      <c r="AM193" s="463">
        <v>11.804166666666667</v>
      </c>
      <c r="AN193" s="463">
        <v>11.804166666666667</v>
      </c>
      <c r="AO193" s="463">
        <v>11.804166666666667</v>
      </c>
      <c r="AP193" s="463">
        <v>11.804166666666667</v>
      </c>
      <c r="AQ193" s="463">
        <v>11.804166666666667</v>
      </c>
      <c r="AR193" s="463">
        <v>11.804166666666667</v>
      </c>
      <c r="AS193" s="463">
        <v>11.804166666666667</v>
      </c>
      <c r="AT193" s="463">
        <v>11.804166666666667</v>
      </c>
      <c r="AU193" s="463">
        <v>11.804166666666667</v>
      </c>
      <c r="AV193" s="463">
        <v>11.804166666666667</v>
      </c>
      <c r="AW193" s="463">
        <v>11.804166666666667</v>
      </c>
      <c r="AX193" s="463">
        <v>11.804166666666699</v>
      </c>
      <c r="AY193" s="464">
        <v>11.804166666666699</v>
      </c>
    </row>
    <row r="194" spans="1:51">
      <c r="A194" s="442" t="s">
        <v>2900</v>
      </c>
      <c r="B194" s="462">
        <v>7.2607266726146298</v>
      </c>
      <c r="C194" s="463">
        <v>7.9112857970161548</v>
      </c>
      <c r="D194" s="463">
        <v>8.1995068031839171</v>
      </c>
      <c r="E194" s="463">
        <v>8.4073776927334265</v>
      </c>
      <c r="F194" s="463">
        <v>8.5736326363918245</v>
      </c>
      <c r="G194" s="463">
        <v>8.7208261649062617</v>
      </c>
      <c r="H194" s="463">
        <v>8.8285181377174773</v>
      </c>
      <c r="I194" s="463">
        <v>8.8829506598476691</v>
      </c>
      <c r="J194" s="463">
        <v>9.0100552678251411</v>
      </c>
      <c r="K194" s="463">
        <v>9.0500408716374903</v>
      </c>
      <c r="L194" s="463">
        <v>9.1558646250250764</v>
      </c>
      <c r="M194" s="463">
        <v>9.244954159045637</v>
      </c>
      <c r="N194" s="463">
        <v>9.2425044625563437</v>
      </c>
      <c r="O194" s="463">
        <v>9.3135366023628183</v>
      </c>
      <c r="P194" s="463">
        <v>9.3834258849192018</v>
      </c>
      <c r="Q194" s="463">
        <v>9.4457625151136106</v>
      </c>
      <c r="R194" s="463">
        <v>9.4294343454096037</v>
      </c>
      <c r="S194" s="463">
        <v>9.4065940080935402</v>
      </c>
      <c r="T194" s="463">
        <v>9.3718934835830296</v>
      </c>
      <c r="U194" s="463">
        <v>9.3718934835830296</v>
      </c>
      <c r="V194" s="463">
        <v>9.3718934835830296</v>
      </c>
      <c r="W194" s="463">
        <v>9.3718934835830296</v>
      </c>
      <c r="X194" s="463">
        <v>9.3718934835830296</v>
      </c>
      <c r="Y194" s="463">
        <v>9.3718934835830296</v>
      </c>
      <c r="Z194" s="463">
        <v>9.3718934835830296</v>
      </c>
      <c r="AA194" s="463">
        <v>9.3718934835830296</v>
      </c>
      <c r="AB194" s="463">
        <v>9.3718934835830296</v>
      </c>
      <c r="AC194" s="463">
        <v>9.3718934835830296</v>
      </c>
      <c r="AD194" s="463">
        <v>9.3718934835830296</v>
      </c>
      <c r="AE194" s="463">
        <v>9.3718934835830296</v>
      </c>
      <c r="AF194" s="463">
        <v>9.3718934835830296</v>
      </c>
      <c r="AG194" s="463">
        <v>9.3718934835830296</v>
      </c>
      <c r="AH194" s="463">
        <v>9.3718934835830296</v>
      </c>
      <c r="AI194" s="463">
        <v>9.3718934835830296</v>
      </c>
      <c r="AJ194" s="463">
        <v>9.3718934835830296</v>
      </c>
      <c r="AK194" s="463">
        <v>9.3718934835830296</v>
      </c>
      <c r="AL194" s="463">
        <v>9.3718934835830296</v>
      </c>
      <c r="AM194" s="463">
        <v>9.3718934835830296</v>
      </c>
      <c r="AN194" s="463">
        <v>9.3718934835830296</v>
      </c>
      <c r="AO194" s="463">
        <v>9.3718934835830296</v>
      </c>
      <c r="AP194" s="463">
        <v>9.3718934835830296</v>
      </c>
      <c r="AQ194" s="463">
        <v>9.3718934835830296</v>
      </c>
      <c r="AR194" s="463">
        <v>9.3718934835830296</v>
      </c>
      <c r="AS194" s="463">
        <v>9.3718934835830296</v>
      </c>
      <c r="AT194" s="463">
        <v>9.3718934835830296</v>
      </c>
      <c r="AU194" s="463">
        <v>9.3718934835830296</v>
      </c>
      <c r="AV194" s="463">
        <v>9.3718934835830296</v>
      </c>
      <c r="AW194" s="463">
        <v>9.3718934835830296</v>
      </c>
      <c r="AX194" s="463">
        <v>9.3718934835830296</v>
      </c>
      <c r="AY194" s="464">
        <v>9.3718934835830296</v>
      </c>
    </row>
    <row r="195" spans="1:51">
      <c r="A195" s="442" t="s">
        <v>2901</v>
      </c>
      <c r="B195" s="443">
        <v>6.28E-3</v>
      </c>
      <c r="C195" s="444">
        <v>6.1999999999999998E-3</v>
      </c>
      <c r="D195" s="444">
        <v>6.1200000000000004E-3</v>
      </c>
      <c r="E195" s="444">
        <v>6.0000000000000001E-3</v>
      </c>
      <c r="F195" s="444">
        <v>5.8799999999999998E-3</v>
      </c>
      <c r="G195" s="444">
        <v>5.77E-3</v>
      </c>
      <c r="H195" s="444">
        <v>5.77E-3</v>
      </c>
      <c r="I195" s="444">
        <v>5.7599999999999995E-3</v>
      </c>
      <c r="J195" s="444">
        <v>5.7599999999999995E-3</v>
      </c>
      <c r="K195" s="444">
        <v>5.7499999999999999E-3</v>
      </c>
      <c r="L195" s="444">
        <v>5.7499999999999999E-3</v>
      </c>
      <c r="M195" s="444">
        <v>5.7499999999999999E-3</v>
      </c>
      <c r="N195" s="444">
        <v>5.7400000000000003E-3</v>
      </c>
      <c r="O195" s="444">
        <v>5.7400000000000003E-3</v>
      </c>
      <c r="P195" s="444">
        <v>5.7300000000000007E-3</v>
      </c>
      <c r="Q195" s="444">
        <v>5.7300000000000007E-3</v>
      </c>
      <c r="R195" s="444">
        <v>5.7300000000000007E-3</v>
      </c>
      <c r="S195" s="444">
        <v>5.7300000000000007E-3</v>
      </c>
      <c r="T195" s="444">
        <v>5.7300000000000007E-3</v>
      </c>
      <c r="U195" s="444">
        <v>5.7300000000000007E-3</v>
      </c>
      <c r="V195" s="444">
        <v>5.7300000000000007E-3</v>
      </c>
      <c r="W195" s="444">
        <v>5.7300000000000007E-3</v>
      </c>
      <c r="X195" s="444">
        <v>5.7300000000000007E-3</v>
      </c>
      <c r="Y195" s="444">
        <v>5.7300000000000007E-3</v>
      </c>
      <c r="Z195" s="444">
        <v>5.7300000000000007E-3</v>
      </c>
      <c r="AA195" s="444">
        <v>5.7300000000000007E-3</v>
      </c>
      <c r="AB195" s="444">
        <v>5.7300000000000007E-3</v>
      </c>
      <c r="AC195" s="444">
        <v>5.7300000000000007E-3</v>
      </c>
      <c r="AD195" s="444">
        <v>5.7300000000000007E-3</v>
      </c>
      <c r="AE195" s="444">
        <v>5.7300000000000007E-3</v>
      </c>
      <c r="AF195" s="444">
        <v>5.7300000000000007E-3</v>
      </c>
      <c r="AG195" s="444">
        <v>5.7300000000000007E-3</v>
      </c>
      <c r="AH195" s="444">
        <v>5.7300000000000007E-3</v>
      </c>
      <c r="AI195" s="444">
        <v>5.7300000000000007E-3</v>
      </c>
      <c r="AJ195" s="444">
        <v>5.7300000000000007E-3</v>
      </c>
      <c r="AK195" s="444">
        <v>5.7300000000000007E-3</v>
      </c>
      <c r="AL195" s="444">
        <v>5.7300000000000007E-3</v>
      </c>
      <c r="AM195" s="444">
        <v>5.7300000000000007E-3</v>
      </c>
      <c r="AN195" s="444">
        <v>5.7300000000000007E-3</v>
      </c>
      <c r="AO195" s="444">
        <v>5.7300000000000007E-3</v>
      </c>
      <c r="AP195" s="444">
        <v>5.7300000000000007E-3</v>
      </c>
      <c r="AQ195" s="444">
        <v>5.7300000000000007E-3</v>
      </c>
      <c r="AR195" s="444">
        <v>5.7300000000000007E-3</v>
      </c>
      <c r="AS195" s="444">
        <v>5.7300000000000007E-3</v>
      </c>
      <c r="AT195" s="444">
        <v>5.7300000000000007E-3</v>
      </c>
      <c r="AU195" s="444">
        <v>5.7300000000000007E-3</v>
      </c>
      <c r="AV195" s="444">
        <v>5.7300000000000007E-3</v>
      </c>
      <c r="AW195" s="444">
        <v>5.7300000000000007E-3</v>
      </c>
      <c r="AX195" s="444">
        <v>5.7300000000000007E-3</v>
      </c>
      <c r="AY195" s="445">
        <v>5.7300000000000007E-3</v>
      </c>
    </row>
    <row r="196" spans="1:51">
      <c r="A196" s="442" t="s">
        <v>2902</v>
      </c>
      <c r="B196" s="446">
        <f>(58.5/1000)*15</f>
        <v>0.87750000000000006</v>
      </c>
      <c r="C196" s="447">
        <f t="shared" ref="C196:AD197" si="73">(58.5/1000)*15</f>
        <v>0.87750000000000006</v>
      </c>
      <c r="D196" s="447">
        <f t="shared" si="73"/>
        <v>0.87750000000000006</v>
      </c>
      <c r="E196" s="447">
        <f t="shared" si="73"/>
        <v>0.87750000000000006</v>
      </c>
      <c r="F196" s="447">
        <f t="shared" si="73"/>
        <v>0.87750000000000006</v>
      </c>
      <c r="G196" s="447">
        <f t="shared" si="73"/>
        <v>0.87750000000000006</v>
      </c>
      <c r="H196" s="447">
        <f t="shared" si="73"/>
        <v>0.87750000000000006</v>
      </c>
      <c r="I196" s="447">
        <f t="shared" si="73"/>
        <v>0.87750000000000006</v>
      </c>
      <c r="J196" s="447">
        <f t="shared" si="73"/>
        <v>0.87750000000000006</v>
      </c>
      <c r="K196" s="447">
        <f t="shared" si="73"/>
        <v>0.87750000000000006</v>
      </c>
      <c r="L196" s="447">
        <f t="shared" si="73"/>
        <v>0.87750000000000006</v>
      </c>
      <c r="M196" s="447">
        <f t="shared" si="73"/>
        <v>0.87750000000000006</v>
      </c>
      <c r="N196" s="447">
        <f t="shared" si="73"/>
        <v>0.87750000000000006</v>
      </c>
      <c r="O196" s="447">
        <f t="shared" si="73"/>
        <v>0.87750000000000006</v>
      </c>
      <c r="P196" s="447">
        <f t="shared" si="73"/>
        <v>0.87750000000000006</v>
      </c>
      <c r="Q196" s="447">
        <f t="shared" si="73"/>
        <v>0.87750000000000006</v>
      </c>
      <c r="R196" s="447">
        <f t="shared" si="73"/>
        <v>0.87750000000000006</v>
      </c>
      <c r="S196" s="447">
        <f t="shared" si="73"/>
        <v>0.87750000000000006</v>
      </c>
      <c r="T196" s="447">
        <f t="shared" si="73"/>
        <v>0.87750000000000006</v>
      </c>
      <c r="U196" s="447">
        <f t="shared" si="73"/>
        <v>0.87750000000000006</v>
      </c>
      <c r="V196" s="447">
        <f t="shared" si="73"/>
        <v>0.87750000000000006</v>
      </c>
      <c r="W196" s="447">
        <f t="shared" si="73"/>
        <v>0.87750000000000006</v>
      </c>
      <c r="X196" s="447">
        <f t="shared" si="73"/>
        <v>0.87750000000000006</v>
      </c>
      <c r="Y196" s="447">
        <f t="shared" si="73"/>
        <v>0.87750000000000006</v>
      </c>
      <c r="Z196" s="447">
        <f t="shared" si="73"/>
        <v>0.87750000000000006</v>
      </c>
      <c r="AA196" s="447">
        <f t="shared" si="73"/>
        <v>0.87750000000000006</v>
      </c>
      <c r="AB196" s="447">
        <f t="shared" si="73"/>
        <v>0.87750000000000006</v>
      </c>
      <c r="AC196" s="447">
        <f t="shared" si="73"/>
        <v>0.87750000000000006</v>
      </c>
      <c r="AD196" s="447">
        <f t="shared" si="73"/>
        <v>0.87750000000000006</v>
      </c>
      <c r="AE196" s="447">
        <f>(58.5/1000)*15</f>
        <v>0.87750000000000006</v>
      </c>
      <c r="AF196" s="447">
        <f t="shared" ref="AF196:AY197" si="74">(58.5/1000)*15</f>
        <v>0.87750000000000006</v>
      </c>
      <c r="AG196" s="447">
        <f t="shared" si="74"/>
        <v>0.87750000000000006</v>
      </c>
      <c r="AH196" s="447">
        <f t="shared" si="74"/>
        <v>0.87750000000000006</v>
      </c>
      <c r="AI196" s="447">
        <f t="shared" si="74"/>
        <v>0.87750000000000006</v>
      </c>
      <c r="AJ196" s="447">
        <f t="shared" si="74"/>
        <v>0.87750000000000006</v>
      </c>
      <c r="AK196" s="447">
        <f t="shared" si="74"/>
        <v>0.87750000000000006</v>
      </c>
      <c r="AL196" s="447">
        <f t="shared" si="74"/>
        <v>0.87750000000000006</v>
      </c>
      <c r="AM196" s="447">
        <f t="shared" si="74"/>
        <v>0.87750000000000006</v>
      </c>
      <c r="AN196" s="447">
        <f t="shared" si="74"/>
        <v>0.87750000000000006</v>
      </c>
      <c r="AO196" s="447">
        <f t="shared" si="74"/>
        <v>0.87750000000000006</v>
      </c>
      <c r="AP196" s="447">
        <f t="shared" si="74"/>
        <v>0.87750000000000006</v>
      </c>
      <c r="AQ196" s="447">
        <f t="shared" si="74"/>
        <v>0.87750000000000006</v>
      </c>
      <c r="AR196" s="447">
        <f t="shared" si="74"/>
        <v>0.87750000000000006</v>
      </c>
      <c r="AS196" s="447">
        <f t="shared" si="74"/>
        <v>0.87750000000000006</v>
      </c>
      <c r="AT196" s="447">
        <f t="shared" si="74"/>
        <v>0.87750000000000006</v>
      </c>
      <c r="AU196" s="447">
        <f t="shared" si="74"/>
        <v>0.87750000000000006</v>
      </c>
      <c r="AV196" s="447">
        <f t="shared" si="74"/>
        <v>0.87750000000000006</v>
      </c>
      <c r="AW196" s="447">
        <f t="shared" si="74"/>
        <v>0.87750000000000006</v>
      </c>
      <c r="AX196" s="447">
        <f t="shared" si="74"/>
        <v>0.87750000000000006</v>
      </c>
      <c r="AY196" s="448">
        <f t="shared" si="74"/>
        <v>0.87750000000000006</v>
      </c>
    </row>
    <row r="197" spans="1:51" ht="12.75" thickBot="1">
      <c r="A197" s="449" t="s">
        <v>2903</v>
      </c>
      <c r="B197" s="450">
        <f>(58.5/1000)*15</f>
        <v>0.87750000000000006</v>
      </c>
      <c r="C197" s="451">
        <f t="shared" si="73"/>
        <v>0.87750000000000006</v>
      </c>
      <c r="D197" s="451">
        <f t="shared" si="73"/>
        <v>0.87750000000000006</v>
      </c>
      <c r="E197" s="451">
        <f t="shared" si="73"/>
        <v>0.87750000000000006</v>
      </c>
      <c r="F197" s="451">
        <f t="shared" si="73"/>
        <v>0.87750000000000006</v>
      </c>
      <c r="G197" s="451">
        <f t="shared" si="73"/>
        <v>0.87750000000000006</v>
      </c>
      <c r="H197" s="451">
        <f t="shared" si="73"/>
        <v>0.87750000000000006</v>
      </c>
      <c r="I197" s="451">
        <f t="shared" si="73"/>
        <v>0.87750000000000006</v>
      </c>
      <c r="J197" s="451">
        <f t="shared" si="73"/>
        <v>0.87750000000000006</v>
      </c>
      <c r="K197" s="451">
        <f t="shared" si="73"/>
        <v>0.87750000000000006</v>
      </c>
      <c r="L197" s="451">
        <f t="shared" si="73"/>
        <v>0.87750000000000006</v>
      </c>
      <c r="M197" s="451">
        <f t="shared" si="73"/>
        <v>0.87750000000000006</v>
      </c>
      <c r="N197" s="451">
        <f t="shared" si="73"/>
        <v>0.87750000000000006</v>
      </c>
      <c r="O197" s="451">
        <f t="shared" si="73"/>
        <v>0.87750000000000006</v>
      </c>
      <c r="P197" s="451">
        <f t="shared" si="73"/>
        <v>0.87750000000000006</v>
      </c>
      <c r="Q197" s="451">
        <f t="shared" si="73"/>
        <v>0.87750000000000006</v>
      </c>
      <c r="R197" s="451">
        <f t="shared" si="73"/>
        <v>0.87750000000000006</v>
      </c>
      <c r="S197" s="451">
        <f t="shared" si="73"/>
        <v>0.87750000000000006</v>
      </c>
      <c r="T197" s="451">
        <f t="shared" si="73"/>
        <v>0.87750000000000006</v>
      </c>
      <c r="U197" s="451">
        <f t="shared" si="73"/>
        <v>0.87750000000000006</v>
      </c>
      <c r="V197" s="451">
        <f t="shared" si="73"/>
        <v>0.87750000000000006</v>
      </c>
      <c r="W197" s="451">
        <f t="shared" si="73"/>
        <v>0.87750000000000006</v>
      </c>
      <c r="X197" s="451">
        <f t="shared" si="73"/>
        <v>0.87750000000000006</v>
      </c>
      <c r="Y197" s="451">
        <f t="shared" si="73"/>
        <v>0.87750000000000006</v>
      </c>
      <c r="Z197" s="451">
        <f t="shared" si="73"/>
        <v>0.87750000000000006</v>
      </c>
      <c r="AA197" s="451">
        <f t="shared" si="73"/>
        <v>0.87750000000000006</v>
      </c>
      <c r="AB197" s="451">
        <f t="shared" si="73"/>
        <v>0.87750000000000006</v>
      </c>
      <c r="AC197" s="451">
        <f t="shared" si="73"/>
        <v>0.87750000000000006</v>
      </c>
      <c r="AD197" s="451">
        <f t="shared" si="73"/>
        <v>0.87750000000000006</v>
      </c>
      <c r="AE197" s="451">
        <f>(58.5/1000)*15</f>
        <v>0.87750000000000006</v>
      </c>
      <c r="AF197" s="451">
        <f t="shared" si="74"/>
        <v>0.87750000000000006</v>
      </c>
      <c r="AG197" s="451">
        <f t="shared" si="74"/>
        <v>0.87750000000000006</v>
      </c>
      <c r="AH197" s="451">
        <f t="shared" si="74"/>
        <v>0.87750000000000006</v>
      </c>
      <c r="AI197" s="451">
        <f t="shared" si="74"/>
        <v>0.87750000000000006</v>
      </c>
      <c r="AJ197" s="451">
        <f t="shared" si="74"/>
        <v>0.87750000000000006</v>
      </c>
      <c r="AK197" s="451">
        <f t="shared" si="74"/>
        <v>0.87750000000000006</v>
      </c>
      <c r="AL197" s="451">
        <f t="shared" si="74"/>
        <v>0.87750000000000006</v>
      </c>
      <c r="AM197" s="451">
        <f t="shared" si="74"/>
        <v>0.87750000000000006</v>
      </c>
      <c r="AN197" s="451">
        <f t="shared" si="74"/>
        <v>0.87750000000000006</v>
      </c>
      <c r="AO197" s="451">
        <f t="shared" si="74"/>
        <v>0.87750000000000006</v>
      </c>
      <c r="AP197" s="451">
        <f t="shared" si="74"/>
        <v>0.87750000000000006</v>
      </c>
      <c r="AQ197" s="451">
        <f t="shared" si="74"/>
        <v>0.87750000000000006</v>
      </c>
      <c r="AR197" s="451">
        <f t="shared" si="74"/>
        <v>0.87750000000000006</v>
      </c>
      <c r="AS197" s="451">
        <f t="shared" si="74"/>
        <v>0.87750000000000006</v>
      </c>
      <c r="AT197" s="451">
        <f t="shared" si="74"/>
        <v>0.87750000000000006</v>
      </c>
      <c r="AU197" s="451">
        <f t="shared" si="74"/>
        <v>0.87750000000000006</v>
      </c>
      <c r="AV197" s="451">
        <f t="shared" si="74"/>
        <v>0.87750000000000006</v>
      </c>
      <c r="AW197" s="451">
        <f t="shared" si="74"/>
        <v>0.87750000000000006</v>
      </c>
      <c r="AX197" s="451">
        <f t="shared" si="74"/>
        <v>0.87750000000000006</v>
      </c>
      <c r="AY197" s="452">
        <f t="shared" si="74"/>
        <v>0.87750000000000006</v>
      </c>
    </row>
    <row r="198" spans="1:51">
      <c r="B198" s="429"/>
      <c r="C198" s="429"/>
      <c r="D198" s="429"/>
      <c r="E198" s="429"/>
      <c r="F198" s="429"/>
      <c r="G198" s="429"/>
      <c r="H198" s="429"/>
      <c r="I198" s="429"/>
      <c r="J198" s="429"/>
      <c r="K198" s="429"/>
      <c r="L198" s="429"/>
      <c r="M198" s="429"/>
      <c r="N198" s="429"/>
      <c r="O198" s="429"/>
      <c r="P198" s="429"/>
      <c r="Q198" s="429"/>
      <c r="R198" s="429"/>
      <c r="S198" s="429"/>
      <c r="T198" s="429"/>
      <c r="U198" s="429"/>
      <c r="V198" s="429"/>
      <c r="W198" s="429"/>
      <c r="X198" s="429"/>
      <c r="Y198" s="429"/>
      <c r="Z198" s="429"/>
      <c r="AA198" s="429"/>
      <c r="AB198" s="429"/>
      <c r="AC198" s="429"/>
      <c r="AD198" s="429"/>
      <c r="AE198" s="429"/>
    </row>
    <row r="199" spans="1:51" ht="15.75" thickBot="1">
      <c r="A199" s="433" t="s">
        <v>2904</v>
      </c>
      <c r="B199" s="429"/>
      <c r="C199" s="429"/>
      <c r="D199" s="429"/>
      <c r="E199" s="429"/>
      <c r="F199" s="429"/>
      <c r="G199" s="429"/>
      <c r="H199" s="429"/>
      <c r="I199" s="429"/>
      <c r="J199" s="429"/>
      <c r="K199" s="429"/>
      <c r="L199" s="429"/>
      <c r="M199" s="429"/>
      <c r="N199" s="429"/>
      <c r="O199" s="429"/>
      <c r="P199" s="429"/>
      <c r="Q199" s="429"/>
      <c r="R199" s="429"/>
      <c r="S199" s="429"/>
      <c r="T199" s="429"/>
      <c r="U199" s="429"/>
      <c r="V199" s="429"/>
      <c r="W199" s="429"/>
      <c r="X199" s="429"/>
      <c r="Y199" s="429"/>
      <c r="Z199" s="429"/>
      <c r="AA199" s="429"/>
      <c r="AB199" s="429"/>
      <c r="AC199" s="429"/>
      <c r="AD199" s="429"/>
      <c r="AE199" s="429"/>
    </row>
    <row r="200" spans="1:51" ht="12.75" thickBot="1">
      <c r="A200" s="434" t="s">
        <v>2899</v>
      </c>
      <c r="B200" s="435">
        <v>1</v>
      </c>
      <c r="C200" s="436">
        <v>2</v>
      </c>
      <c r="D200" s="436">
        <v>3</v>
      </c>
      <c r="E200" s="436">
        <v>4</v>
      </c>
      <c r="F200" s="436">
        <v>5</v>
      </c>
      <c r="G200" s="436">
        <v>6</v>
      </c>
      <c r="H200" s="436">
        <v>7</v>
      </c>
      <c r="I200" s="436">
        <v>8</v>
      </c>
      <c r="J200" s="436">
        <v>9</v>
      </c>
      <c r="K200" s="436">
        <v>10</v>
      </c>
      <c r="L200" s="436">
        <v>11</v>
      </c>
      <c r="M200" s="436">
        <v>12</v>
      </c>
      <c r="N200" s="436">
        <v>13</v>
      </c>
      <c r="O200" s="436">
        <v>14</v>
      </c>
      <c r="P200" s="436">
        <v>15</v>
      </c>
      <c r="Q200" s="436">
        <v>16</v>
      </c>
      <c r="R200" s="436">
        <v>17</v>
      </c>
      <c r="S200" s="436">
        <v>18</v>
      </c>
      <c r="T200" s="436">
        <v>19</v>
      </c>
      <c r="U200" s="436">
        <v>20</v>
      </c>
      <c r="V200" s="436">
        <v>21</v>
      </c>
      <c r="W200" s="436">
        <v>22</v>
      </c>
      <c r="X200" s="436">
        <v>23</v>
      </c>
      <c r="Y200" s="436">
        <v>24</v>
      </c>
      <c r="Z200" s="436">
        <v>25</v>
      </c>
      <c r="AA200" s="436">
        <v>26</v>
      </c>
      <c r="AB200" s="436">
        <v>27</v>
      </c>
      <c r="AC200" s="436">
        <v>28</v>
      </c>
      <c r="AD200" s="436">
        <v>29</v>
      </c>
      <c r="AE200" s="436">
        <v>30</v>
      </c>
      <c r="AF200" s="436">
        <f t="shared" ref="AF200:AY200" si="75">AE200+1</f>
        <v>31</v>
      </c>
      <c r="AG200" s="436">
        <f t="shared" si="75"/>
        <v>32</v>
      </c>
      <c r="AH200" s="436">
        <f t="shared" si="75"/>
        <v>33</v>
      </c>
      <c r="AI200" s="436">
        <f t="shared" si="75"/>
        <v>34</v>
      </c>
      <c r="AJ200" s="436">
        <f t="shared" si="75"/>
        <v>35</v>
      </c>
      <c r="AK200" s="436">
        <f t="shared" si="75"/>
        <v>36</v>
      </c>
      <c r="AL200" s="436">
        <f t="shared" si="75"/>
        <v>37</v>
      </c>
      <c r="AM200" s="436">
        <f t="shared" si="75"/>
        <v>38</v>
      </c>
      <c r="AN200" s="436">
        <f t="shared" si="75"/>
        <v>39</v>
      </c>
      <c r="AO200" s="436">
        <f t="shared" si="75"/>
        <v>40</v>
      </c>
      <c r="AP200" s="436">
        <f t="shared" si="75"/>
        <v>41</v>
      </c>
      <c r="AQ200" s="436">
        <f t="shared" si="75"/>
        <v>42</v>
      </c>
      <c r="AR200" s="436">
        <f t="shared" si="75"/>
        <v>43</v>
      </c>
      <c r="AS200" s="436">
        <f t="shared" si="75"/>
        <v>44</v>
      </c>
      <c r="AT200" s="436">
        <f t="shared" si="75"/>
        <v>45</v>
      </c>
      <c r="AU200" s="436">
        <f t="shared" si="75"/>
        <v>46</v>
      </c>
      <c r="AV200" s="436">
        <f t="shared" si="75"/>
        <v>47</v>
      </c>
      <c r="AW200" s="436">
        <f t="shared" si="75"/>
        <v>48</v>
      </c>
      <c r="AX200" s="436">
        <f t="shared" si="75"/>
        <v>49</v>
      </c>
      <c r="AY200" s="437">
        <f t="shared" si="75"/>
        <v>50</v>
      </c>
    </row>
    <row r="201" spans="1:51">
      <c r="A201" s="438" t="s">
        <v>2922</v>
      </c>
      <c r="B201" s="439">
        <f t="shared" ref="B201:B208" si="76">B190/(1+$C$3)^(B$16-0.5)</f>
        <v>8.553915763059429E-2</v>
      </c>
      <c r="C201" s="440">
        <f t="shared" ref="C201:AY206" si="77">(C190/(1+$C$3)^(C$16-0.5)+B201)</f>
        <v>0.1651239446524122</v>
      </c>
      <c r="D201" s="440">
        <f t="shared" si="77"/>
        <v>0.23916895759322859</v>
      </c>
      <c r="E201" s="440">
        <f t="shared" si="77"/>
        <v>0.30909677737446839</v>
      </c>
      <c r="F201" s="440">
        <f t="shared" si="77"/>
        <v>0.37512758494998666</v>
      </c>
      <c r="G201" s="440">
        <f t="shared" si="77"/>
        <v>0.43748510197252627</v>
      </c>
      <c r="H201" s="440">
        <f t="shared" si="77"/>
        <v>0.49674003172075459</v>
      </c>
      <c r="I201" s="440">
        <f t="shared" si="77"/>
        <v>0.55303969750966853</v>
      </c>
      <c r="J201" s="440">
        <f t="shared" si="77"/>
        <v>0.60653753084614692</v>
      </c>
      <c r="K201" s="440">
        <f t="shared" si="77"/>
        <v>0.65736664049867444</v>
      </c>
      <c r="L201" s="440">
        <f t="shared" si="77"/>
        <v>0.7056655842759495</v>
      </c>
      <c r="M201" s="440">
        <f t="shared" si="77"/>
        <v>0.75156002664473986</v>
      </c>
      <c r="N201" s="440">
        <f t="shared" si="77"/>
        <v>0.795169406147332</v>
      </c>
      <c r="O201" s="440">
        <f t="shared" si="77"/>
        <v>0.83660724301683542</v>
      </c>
      <c r="P201" s="440">
        <f t="shared" si="77"/>
        <v>0.87598143163978648</v>
      </c>
      <c r="Q201" s="440">
        <f t="shared" si="77"/>
        <v>0.91330293744353153</v>
      </c>
      <c r="R201" s="440">
        <f t="shared" si="77"/>
        <v>0.94867877232859799</v>
      </c>
      <c r="S201" s="440">
        <f t="shared" si="77"/>
        <v>0.98221036937605433</v>
      </c>
      <c r="T201" s="440">
        <f t="shared" si="77"/>
        <v>1.0139938736864396</v>
      </c>
      <c r="U201" s="440">
        <f t="shared" si="77"/>
        <v>1.0441204180564729</v>
      </c>
      <c r="V201" s="440">
        <f t="shared" si="77"/>
        <v>1.0726763842839926</v>
      </c>
      <c r="W201" s="440">
        <f t="shared" si="77"/>
        <v>1.099743650850362</v>
      </c>
      <c r="X201" s="440">
        <f t="shared" si="77"/>
        <v>1.1253998276905226</v>
      </c>
      <c r="Y201" s="440">
        <f t="shared" si="77"/>
        <v>1.1497184787238501</v>
      </c>
      <c r="Z201" s="440">
        <f t="shared" si="77"/>
        <v>1.1727693327838762</v>
      </c>
      <c r="AA201" s="440">
        <f t="shared" si="77"/>
        <v>1.1946184835516735</v>
      </c>
      <c r="AB201" s="440">
        <f t="shared" si="77"/>
        <v>1.2153285790661734</v>
      </c>
      <c r="AC201" s="440">
        <f t="shared" si="77"/>
        <v>1.2349590013547989</v>
      </c>
      <c r="AD201" s="440">
        <f t="shared" si="77"/>
        <v>1.2535660366994674</v>
      </c>
      <c r="AE201" s="440">
        <f t="shared" si="77"/>
        <v>1.2712030370261675</v>
      </c>
      <c r="AF201" s="440">
        <f t="shared" si="77"/>
        <v>1.2879205728808596</v>
      </c>
      <c r="AG201" s="440">
        <f t="shared" si="77"/>
        <v>1.3037665784303307</v>
      </c>
      <c r="AH201" s="440">
        <f t="shared" si="77"/>
        <v>1.318786488903763</v>
      </c>
      <c r="AI201" s="440">
        <f t="shared" si="77"/>
        <v>1.3330233708691017</v>
      </c>
      <c r="AJ201" s="440">
        <f t="shared" si="77"/>
        <v>1.3465180457177641</v>
      </c>
      <c r="AK201" s="440">
        <f t="shared" si="77"/>
        <v>1.3593092067117569</v>
      </c>
      <c r="AL201" s="440">
        <f t="shared" si="77"/>
        <v>1.3714335299288116</v>
      </c>
      <c r="AM201" s="440">
        <f t="shared" si="77"/>
        <v>1.3829257794236502</v>
      </c>
      <c r="AN201" s="440">
        <f t="shared" si="77"/>
        <v>1.3938189069069096</v>
      </c>
      <c r="AO201" s="440">
        <f t="shared" si="77"/>
        <v>1.4041441462275346</v>
      </c>
      <c r="AP201" s="440">
        <f t="shared" si="77"/>
        <v>1.4139311029295487</v>
      </c>
      <c r="AQ201" s="440">
        <f t="shared" si="77"/>
        <v>1.4232078391399887</v>
      </c>
      <c r="AR201" s="440">
        <f t="shared" si="77"/>
        <v>1.4320009540314009</v>
      </c>
      <c r="AS201" s="440">
        <f t="shared" si="77"/>
        <v>1.4403356600896116</v>
      </c>
      <c r="AT201" s="440">
        <f t="shared" si="77"/>
        <v>1.4482358554054511</v>
      </c>
      <c r="AU201" s="440">
        <f t="shared" si="77"/>
        <v>1.455724192197716</v>
      </c>
      <c r="AV201" s="440">
        <f t="shared" si="77"/>
        <v>1.4628221417638438</v>
      </c>
      <c r="AW201" s="440">
        <f t="shared" si="77"/>
        <v>1.4695500560445338</v>
      </c>
      <c r="AX201" s="440">
        <f t="shared" si="77"/>
        <v>1.4759272259788372</v>
      </c>
      <c r="AY201" s="441">
        <f t="shared" si="77"/>
        <v>1.4819719368170394</v>
      </c>
    </row>
    <row r="202" spans="1:51">
      <c r="A202" s="442" t="s">
        <v>2923</v>
      </c>
      <c r="B202" s="446">
        <f t="shared" si="76"/>
        <v>231.03750672303451</v>
      </c>
      <c r="C202" s="447">
        <f t="shared" si="77"/>
        <v>449.55330141354057</v>
      </c>
      <c r="D202" s="447">
        <f t="shared" si="77"/>
        <v>656.18655973584623</v>
      </c>
      <c r="E202" s="447">
        <f t="shared" si="77"/>
        <v>857.28334884186052</v>
      </c>
      <c r="F202" s="447">
        <f t="shared" si="77"/>
        <v>1044.4754228291577</v>
      </c>
      <c r="G202" s="447">
        <f t="shared" si="77"/>
        <v>1215.7436843118976</v>
      </c>
      <c r="H202" s="447">
        <f t="shared" si="77"/>
        <v>1384.8779563221617</v>
      </c>
      <c r="I202" s="447">
        <f t="shared" si="77"/>
        <v>1555.1402729852898</v>
      </c>
      <c r="J202" s="447">
        <f t="shared" si="77"/>
        <v>1717.2578030355335</v>
      </c>
      <c r="K202" s="447">
        <f t="shared" si="77"/>
        <v>1871.545467427869</v>
      </c>
      <c r="L202" s="447">
        <f t="shared" si="77"/>
        <v>2018.3243274634065</v>
      </c>
      <c r="M202" s="447">
        <f t="shared" si="77"/>
        <v>2157.9050210394562</v>
      </c>
      <c r="N202" s="447">
        <f t="shared" si="77"/>
        <v>2290.2089959930577</v>
      </c>
      <c r="O202" s="447">
        <f t="shared" si="77"/>
        <v>2415.6156073234856</v>
      </c>
      <c r="P202" s="447">
        <f t="shared" si="77"/>
        <v>2534.4844332291045</v>
      </c>
      <c r="Q202" s="447">
        <f t="shared" si="77"/>
        <v>2647.156306125426</v>
      </c>
      <c r="R202" s="447">
        <f t="shared" si="77"/>
        <v>2753.9542899134085</v>
      </c>
      <c r="S202" s="447">
        <f t="shared" si="77"/>
        <v>2855.1846063001217</v>
      </c>
      <c r="T202" s="447">
        <f t="shared" si="77"/>
        <v>2951.1375128278119</v>
      </c>
      <c r="U202" s="447">
        <f t="shared" si="77"/>
        <v>3042.0881351289399</v>
      </c>
      <c r="V202" s="447">
        <f t="shared" si="77"/>
        <v>3128.2972557935163</v>
      </c>
      <c r="W202" s="447">
        <f t="shared" si="77"/>
        <v>3210.0120621106503</v>
      </c>
      <c r="X202" s="447">
        <f t="shared" si="77"/>
        <v>3287.466854828313</v>
      </c>
      <c r="Y202" s="447">
        <f t="shared" si="77"/>
        <v>3360.8837199635382</v>
      </c>
      <c r="Z202" s="447">
        <f t="shared" si="77"/>
        <v>3430.4731655893443</v>
      </c>
      <c r="AA202" s="447">
        <f t="shared" si="77"/>
        <v>3496.4347254242316</v>
      </c>
      <c r="AB202" s="447">
        <f t="shared" si="77"/>
        <v>3558.9575309549305</v>
      </c>
      <c r="AC202" s="447">
        <f t="shared" si="77"/>
        <v>3618.2208537328438</v>
      </c>
      <c r="AD202" s="447">
        <f t="shared" si="77"/>
        <v>3674.3946193991123</v>
      </c>
      <c r="AE202" s="447">
        <f t="shared" si="77"/>
        <v>3727.6398949121631</v>
      </c>
      <c r="AF202" s="447">
        <f t="shared" si="77"/>
        <v>3778.1093503747707</v>
      </c>
      <c r="AG202" s="447">
        <f t="shared" si="77"/>
        <v>3825.947696784825</v>
      </c>
      <c r="AH202" s="447">
        <f t="shared" si="77"/>
        <v>3871.2921009649713</v>
      </c>
      <c r="AI202" s="447">
        <f t="shared" si="77"/>
        <v>3914.2725788608445</v>
      </c>
      <c r="AJ202" s="447">
        <f t="shared" si="77"/>
        <v>3955.012368335606</v>
      </c>
      <c r="AK202" s="447">
        <f t="shared" si="77"/>
        <v>3993.6282825296926</v>
      </c>
      <c r="AL202" s="447">
        <f t="shared" si="77"/>
        <v>4030.2310447989689</v>
      </c>
      <c r="AM202" s="447">
        <f t="shared" si="77"/>
        <v>4064.9256061916481</v>
      </c>
      <c r="AN202" s="447">
        <f t="shared" si="77"/>
        <v>4097.8114463742822</v>
      </c>
      <c r="AO202" s="447">
        <f t="shared" si="77"/>
        <v>4128.9828588696701</v>
      </c>
      <c r="AP202" s="447">
        <f t="shared" si="77"/>
        <v>4158.5292214245401</v>
      </c>
      <c r="AQ202" s="447">
        <f t="shared" si="77"/>
        <v>4186.5352522822368</v>
      </c>
      <c r="AR202" s="447">
        <f t="shared" si="77"/>
        <v>4213.0812530952198</v>
      </c>
      <c r="AS202" s="447">
        <f t="shared" si="77"/>
        <v>4238.2433391738768</v>
      </c>
      <c r="AT202" s="447">
        <f t="shared" si="77"/>
        <v>4262.0936577318453</v>
      </c>
      <c r="AU202" s="447">
        <f t="shared" si="77"/>
        <v>4284.7005947536163</v>
      </c>
      <c r="AV202" s="447">
        <f t="shared" si="77"/>
        <v>4306.12897107757</v>
      </c>
      <c r="AW202" s="447">
        <f t="shared" si="77"/>
        <v>4326.4402282566725</v>
      </c>
      <c r="AX202" s="447">
        <f t="shared" si="77"/>
        <v>4345.6926047297557</v>
      </c>
      <c r="AY202" s="448">
        <f t="shared" si="77"/>
        <v>4363.9413028085073</v>
      </c>
    </row>
    <row r="203" spans="1:51">
      <c r="A203" s="442" t="s">
        <v>2924</v>
      </c>
      <c r="B203" s="446">
        <f t="shared" si="76"/>
        <v>13.279696222186503</v>
      </c>
      <c r="C203" s="447">
        <f t="shared" si="77"/>
        <v>25.654835298747013</v>
      </c>
      <c r="D203" s="447">
        <f t="shared" si="77"/>
        <v>37.192386635892532</v>
      </c>
      <c r="E203" s="447">
        <f t="shared" si="77"/>
        <v>48.128454254039944</v>
      </c>
      <c r="F203" s="447">
        <f t="shared" si="77"/>
        <v>58.494395124321855</v>
      </c>
      <c r="G203" s="447">
        <f t="shared" si="77"/>
        <v>68.319931494257318</v>
      </c>
      <c r="H203" s="447">
        <f t="shared" si="77"/>
        <v>77.689723173940223</v>
      </c>
      <c r="I203" s="447">
        <f t="shared" si="77"/>
        <v>86.617891761958674</v>
      </c>
      <c r="J203" s="447">
        <f t="shared" si="77"/>
        <v>95.131361741509721</v>
      </c>
      <c r="K203" s="447">
        <f t="shared" si="77"/>
        <v>103.20100153255336</v>
      </c>
      <c r="L203" s="447">
        <f t="shared" si="77"/>
        <v>110.84994920178904</v>
      </c>
      <c r="M203" s="447">
        <f t="shared" si="77"/>
        <v>118.10013656599348</v>
      </c>
      <c r="N203" s="447">
        <f t="shared" si="77"/>
        <v>124.97235207708773</v>
      </c>
      <c r="O203" s="447">
        <f t="shared" si="77"/>
        <v>131.48630042883585</v>
      </c>
      <c r="P203" s="447">
        <f t="shared" si="77"/>
        <v>137.66065905608525</v>
      </c>
      <c r="Q203" s="447">
        <f t="shared" si="77"/>
        <v>143.51313168854912</v>
      </c>
      <c r="R203" s="447">
        <f t="shared" si="77"/>
        <v>149.06049911268551</v>
      </c>
      <c r="S203" s="447">
        <f t="shared" si="77"/>
        <v>154.31866728722235</v>
      </c>
      <c r="T203" s="447">
        <f t="shared" si="77"/>
        <v>159.30271295029047</v>
      </c>
      <c r="U203" s="447">
        <f t="shared" si="77"/>
        <v>164.02692684893321</v>
      </c>
      <c r="V203" s="447">
        <f t="shared" si="77"/>
        <v>168.50485471494531</v>
      </c>
      <c r="W203" s="447">
        <f t="shared" si="77"/>
        <v>172.74933610453024</v>
      </c>
      <c r="X203" s="447">
        <f t="shared" si="77"/>
        <v>176.77254121314155</v>
      </c>
      <c r="Y203" s="447">
        <f t="shared" si="77"/>
        <v>180.58600577106697</v>
      </c>
      <c r="Z203" s="447">
        <f t="shared" si="77"/>
        <v>184.20066411981142</v>
      </c>
      <c r="AA203" s="447">
        <f t="shared" si="77"/>
        <v>187.62688056411898</v>
      </c>
      <c r="AB203" s="447">
        <f t="shared" si="77"/>
        <v>190.87447908952896</v>
      </c>
      <c r="AC203" s="447">
        <f t="shared" si="77"/>
        <v>193.95277153067588</v>
      </c>
      <c r="AD203" s="447">
        <f t="shared" si="77"/>
        <v>196.87058427109949</v>
      </c>
      <c r="AE203" s="447">
        <f t="shared" si="77"/>
        <v>199.63628355112186</v>
      </c>
      <c r="AF203" s="447">
        <f t="shared" si="77"/>
        <v>202.25779945635634</v>
      </c>
      <c r="AG203" s="447">
        <f t="shared" si="77"/>
        <v>204.74264865563075</v>
      </c>
      <c r="AH203" s="447">
        <f t="shared" si="77"/>
        <v>207.09795595352116</v>
      </c>
      <c r="AI203" s="447">
        <f t="shared" si="77"/>
        <v>209.33047471929407</v>
      </c>
      <c r="AJ203" s="447">
        <f t="shared" si="77"/>
        <v>211.44660625083239</v>
      </c>
      <c r="AK203" s="447">
        <f t="shared" si="77"/>
        <v>213.45241812906775</v>
      </c>
      <c r="AL203" s="447">
        <f t="shared" si="77"/>
        <v>215.35366161554677</v>
      </c>
      <c r="AM203" s="447">
        <f t="shared" si="77"/>
        <v>217.15578814301503</v>
      </c>
      <c r="AN203" s="447">
        <f t="shared" si="77"/>
        <v>218.86396494630247</v>
      </c>
      <c r="AO203" s="447">
        <f t="shared" si="77"/>
        <v>220.48308987832849</v>
      </c>
      <c r="AP203" s="447">
        <f t="shared" si="77"/>
        <v>222.0178054537086</v>
      </c>
      <c r="AQ203" s="447">
        <f t="shared" si="77"/>
        <v>223.47251216023005</v>
      </c>
      <c r="AR203" s="447">
        <f t="shared" si="77"/>
        <v>224.85138107636411</v>
      </c>
      <c r="AS203" s="447">
        <f t="shared" si="77"/>
        <v>226.15836583099355</v>
      </c>
      <c r="AT203" s="447">
        <f t="shared" si="77"/>
        <v>227.39721393964706</v>
      </c>
      <c r="AU203" s="447">
        <f t="shared" si="77"/>
        <v>228.57147754974517</v>
      </c>
      <c r="AV203" s="447">
        <f t="shared" si="77"/>
        <v>229.68452362566754</v>
      </c>
      <c r="AW203" s="447">
        <f t="shared" si="77"/>
        <v>230.73954360284515</v>
      </c>
      <c r="AX203" s="447">
        <f t="shared" si="77"/>
        <v>231.73956253855852</v>
      </c>
      <c r="AY203" s="448">
        <f t="shared" si="77"/>
        <v>232.68744778568021</v>
      </c>
    </row>
    <row r="204" spans="1:51">
      <c r="A204" s="442" t="s">
        <v>2925</v>
      </c>
      <c r="B204" s="446">
        <f t="shared" si="76"/>
        <v>11.695187013857431</v>
      </c>
      <c r="C204" s="447">
        <f t="shared" si="77"/>
        <v>22.579187967782417</v>
      </c>
      <c r="D204" s="447">
        <f t="shared" si="77"/>
        <v>32.713543302653164</v>
      </c>
      <c r="E204" s="447">
        <f t="shared" si="77"/>
        <v>42.31956731674866</v>
      </c>
      <c r="F204" s="447">
        <f t="shared" si="77"/>
        <v>51.424803349066664</v>
      </c>
      <c r="G204" s="447">
        <f t="shared" si="77"/>
        <v>60.055358829936814</v>
      </c>
      <c r="H204" s="447">
        <f t="shared" si="77"/>
        <v>68.288348354059096</v>
      </c>
      <c r="I204" s="447">
        <f t="shared" si="77"/>
        <v>76.138979353868422</v>
      </c>
      <c r="J204" s="447">
        <f t="shared" si="77"/>
        <v>83.627386101281516</v>
      </c>
      <c r="K204" s="447">
        <f t="shared" si="77"/>
        <v>90.725401975606729</v>
      </c>
      <c r="L204" s="447">
        <f t="shared" si="77"/>
        <v>97.453379107668539</v>
      </c>
      <c r="M204" s="447">
        <f t="shared" si="77"/>
        <v>103.83060861673187</v>
      </c>
      <c r="N204" s="447">
        <f t="shared" si="77"/>
        <v>109.8753759239009</v>
      </c>
      <c r="O204" s="447">
        <f t="shared" si="77"/>
        <v>115.60501318188103</v>
      </c>
      <c r="P204" s="447">
        <f t="shared" si="77"/>
        <v>121.03594897143566</v>
      </c>
      <c r="Q204" s="447">
        <f t="shared" si="77"/>
        <v>126.18375540703246</v>
      </c>
      <c r="R204" s="447">
        <f t="shared" si="77"/>
        <v>131.06319278674508</v>
      </c>
      <c r="S204" s="447">
        <f t="shared" si="77"/>
        <v>135.68825191443474</v>
      </c>
      <c r="T204" s="447">
        <f t="shared" si="77"/>
        <v>140.0721942155624</v>
      </c>
      <c r="U204" s="447">
        <f t="shared" si="77"/>
        <v>144.22758976165497</v>
      </c>
      <c r="V204" s="447">
        <f t="shared" si="77"/>
        <v>148.16635331245359</v>
      </c>
      <c r="W204" s="447">
        <f t="shared" si="77"/>
        <v>151.89977847908739</v>
      </c>
      <c r="X204" s="447">
        <f t="shared" si="77"/>
        <v>155.43857010622841</v>
      </c>
      <c r="Y204" s="447">
        <f t="shared" si="77"/>
        <v>158.79287496607773</v>
      </c>
      <c r="Z204" s="447">
        <f t="shared" si="77"/>
        <v>161.97231085219082</v>
      </c>
      <c r="AA204" s="447">
        <f t="shared" si="77"/>
        <v>164.98599415656341</v>
      </c>
      <c r="AB204" s="447">
        <f t="shared" si="77"/>
        <v>167.84256600904928</v>
      </c>
      <c r="AC204" s="447">
        <f t="shared" si="77"/>
        <v>170.5502170540596</v>
      </c>
      <c r="AD204" s="447">
        <f t="shared" si="77"/>
        <v>173.11671093558596</v>
      </c>
      <c r="AE204" s="447">
        <f t="shared" si="77"/>
        <v>175.54940655788582</v>
      </c>
      <c r="AF204" s="447">
        <f t="shared" si="77"/>
        <v>177.85527918565819</v>
      </c>
      <c r="AG204" s="447">
        <f t="shared" si="77"/>
        <v>180.04094044421021</v>
      </c>
      <c r="AH204" s="447">
        <f t="shared" si="77"/>
        <v>182.11265727696093</v>
      </c>
      <c r="AI204" s="447">
        <f t="shared" si="77"/>
        <v>184.07636991463934</v>
      </c>
      <c r="AJ204" s="447">
        <f t="shared" si="77"/>
        <v>185.93770890769946</v>
      </c>
      <c r="AK204" s="447">
        <f t="shared" si="77"/>
        <v>187.70201127078963</v>
      </c>
      <c r="AL204" s="447">
        <f t="shared" si="77"/>
        <v>189.37433578556704</v>
      </c>
      <c r="AM204" s="447">
        <f t="shared" si="77"/>
        <v>190.95947750573518</v>
      </c>
      <c r="AN204" s="447">
        <f t="shared" si="77"/>
        <v>192.46198150589456</v>
      </c>
      <c r="AO204" s="447">
        <f t="shared" si="77"/>
        <v>193.88615591362858</v>
      </c>
      <c r="AP204" s="447">
        <f t="shared" si="77"/>
        <v>195.23608426219164</v>
      </c>
      <c r="AQ204" s="447">
        <f t="shared" si="77"/>
        <v>196.51563719921822</v>
      </c>
      <c r="AR204" s="447">
        <f t="shared" si="77"/>
        <v>197.7284835850254</v>
      </c>
      <c r="AS204" s="447">
        <f t="shared" si="77"/>
        <v>198.8781010123308</v>
      </c>
      <c r="AT204" s="447">
        <f t="shared" si="77"/>
        <v>199.96778577754918</v>
      </c>
      <c r="AU204" s="447">
        <f t="shared" si="77"/>
        <v>201.00066233225854</v>
      </c>
      <c r="AV204" s="447">
        <f t="shared" si="77"/>
        <v>201.97969224193568</v>
      </c>
      <c r="AW204" s="447">
        <f t="shared" si="77"/>
        <v>202.90768267764861</v>
      </c>
      <c r="AX204" s="447">
        <f t="shared" si="77"/>
        <v>203.78729446505423</v>
      </c>
      <c r="AY204" s="448">
        <f t="shared" si="77"/>
        <v>204.62104971377994</v>
      </c>
    </row>
    <row r="205" spans="1:51">
      <c r="A205" s="442" t="s">
        <v>2926</v>
      </c>
      <c r="B205" s="446">
        <f t="shared" si="76"/>
        <v>7.0689328859713552</v>
      </c>
      <c r="C205" s="447">
        <f t="shared" si="77"/>
        <v>14.369698136716529</v>
      </c>
      <c r="D205" s="447">
        <f t="shared" si="77"/>
        <v>21.541967331637562</v>
      </c>
      <c r="E205" s="447">
        <f t="shared" si="77"/>
        <v>28.51267627318699</v>
      </c>
      <c r="F205" s="447">
        <f t="shared" si="77"/>
        <v>35.250642077004798</v>
      </c>
      <c r="G205" s="447">
        <f t="shared" si="77"/>
        <v>41.746987388541662</v>
      </c>
      <c r="H205" s="447">
        <f t="shared" si="77"/>
        <v>47.980700711127561</v>
      </c>
      <c r="I205" s="447">
        <f t="shared" si="77"/>
        <v>53.925864208141782</v>
      </c>
      <c r="J205" s="447">
        <f t="shared" si="77"/>
        <v>59.641723748881354</v>
      </c>
      <c r="K205" s="447">
        <f t="shared" si="77"/>
        <v>65.083644011797688</v>
      </c>
      <c r="L205" s="447">
        <f t="shared" si="77"/>
        <v>70.302178243051259</v>
      </c>
      <c r="M205" s="447">
        <f t="shared" si="77"/>
        <v>75.296787022973902</v>
      </c>
      <c r="N205" s="447">
        <f t="shared" si="77"/>
        <v>80.02975889547298</v>
      </c>
      <c r="O205" s="447">
        <f t="shared" si="77"/>
        <v>84.55046652586843</v>
      </c>
      <c r="P205" s="447">
        <f t="shared" si="77"/>
        <v>88.867652559080511</v>
      </c>
      <c r="Q205" s="447">
        <f t="shared" si="77"/>
        <v>92.986957075656932</v>
      </c>
      <c r="R205" s="447">
        <f t="shared" si="77"/>
        <v>96.884761614834133</v>
      </c>
      <c r="S205" s="447">
        <f t="shared" si="77"/>
        <v>100.57041386849632</v>
      </c>
      <c r="T205" s="447">
        <f t="shared" si="77"/>
        <v>104.05103570691571</v>
      </c>
      <c r="U205" s="447">
        <f t="shared" si="77"/>
        <v>107.35020332627059</v>
      </c>
      <c r="V205" s="447">
        <f t="shared" si="77"/>
        <v>110.47737642518516</v>
      </c>
      <c r="W205" s="447">
        <f t="shared" si="77"/>
        <v>113.44152154263973</v>
      </c>
      <c r="X205" s="447">
        <f t="shared" si="77"/>
        <v>116.25113776771516</v>
      </c>
      <c r="Y205" s="447">
        <f t="shared" si="77"/>
        <v>118.91428110901889</v>
      </c>
      <c r="Z205" s="447">
        <f t="shared" si="77"/>
        <v>121.43858759366697</v>
      </c>
      <c r="AA205" s="447">
        <f t="shared" si="77"/>
        <v>123.83129516205376</v>
      </c>
      <c r="AB205" s="447">
        <f t="shared" si="77"/>
        <v>126.09926442118817</v>
      </c>
      <c r="AC205" s="447">
        <f t="shared" si="77"/>
        <v>128.2489983161023</v>
      </c>
      <c r="AD205" s="447">
        <f t="shared" si="77"/>
        <v>130.28666077573655</v>
      </c>
      <c r="AE205" s="447">
        <f t="shared" si="77"/>
        <v>132.21809438676428</v>
      </c>
      <c r="AF205" s="447">
        <f t="shared" si="77"/>
        <v>134.04883714603227</v>
      </c>
      <c r="AG205" s="447">
        <f t="shared" si="77"/>
        <v>135.78413833965121</v>
      </c>
      <c r="AH205" s="447">
        <f t="shared" si="77"/>
        <v>137.42897359426632</v>
      </c>
      <c r="AI205" s="447">
        <f t="shared" si="77"/>
        <v>138.98805914366454</v>
      </c>
      <c r="AJ205" s="447">
        <f t="shared" si="77"/>
        <v>140.46586535162493</v>
      </c>
      <c r="AK205" s="447">
        <f t="shared" si="77"/>
        <v>141.86662952978642</v>
      </c>
      <c r="AL205" s="447">
        <f t="shared" si="77"/>
        <v>143.19436808728548</v>
      </c>
      <c r="AM205" s="447">
        <f t="shared" si="77"/>
        <v>144.45288804700024</v>
      </c>
      <c r="AN205" s="447">
        <f t="shared" si="77"/>
        <v>145.64579796142181</v>
      </c>
      <c r="AO205" s="447">
        <f t="shared" si="77"/>
        <v>146.77651825945173</v>
      </c>
      <c r="AP205" s="447">
        <f t="shared" si="77"/>
        <v>147.84829105379288</v>
      </c>
      <c r="AQ205" s="447">
        <f t="shared" si="77"/>
        <v>148.86418943705462</v>
      </c>
      <c r="AR205" s="447">
        <f t="shared" si="77"/>
        <v>149.82712629322691</v>
      </c>
      <c r="AS205" s="447">
        <f t="shared" si="77"/>
        <v>150.73986264978831</v>
      </c>
      <c r="AT205" s="447">
        <f t="shared" si="77"/>
        <v>151.60501559439626</v>
      </c>
      <c r="AU205" s="447">
        <f t="shared" si="77"/>
        <v>152.42506577885879</v>
      </c>
      <c r="AV205" s="447">
        <f t="shared" si="77"/>
        <v>153.20236453190384</v>
      </c>
      <c r="AW205" s="447">
        <f t="shared" si="77"/>
        <v>153.93914060114085</v>
      </c>
      <c r="AX205" s="447">
        <f t="shared" si="77"/>
        <v>154.63750654354561</v>
      </c>
      <c r="AY205" s="448">
        <f t="shared" si="77"/>
        <v>155.29946478279183</v>
      </c>
    </row>
    <row r="206" spans="1:51">
      <c r="A206" s="442" t="s">
        <v>2905</v>
      </c>
      <c r="B206" s="443">
        <f t="shared" si="76"/>
        <v>6.1141123369011178E-3</v>
      </c>
      <c r="C206" s="444">
        <f t="shared" si="77"/>
        <v>1.1835653147838862E-2</v>
      </c>
      <c r="D206" s="444">
        <f t="shared" si="77"/>
        <v>1.718893701314065E-2</v>
      </c>
      <c r="E206" s="444">
        <f t="shared" si="77"/>
        <v>2.2163645558166009E-2</v>
      </c>
      <c r="F206" s="444">
        <f t="shared" si="77"/>
        <v>2.6784701836957338E-2</v>
      </c>
      <c r="G206" s="444">
        <f t="shared" si="77"/>
        <v>3.1082908421834338E-2</v>
      </c>
      <c r="H206" s="444">
        <f t="shared" si="77"/>
        <v>3.5157037886172721E-2</v>
      </c>
      <c r="I206" s="444">
        <f t="shared" si="77"/>
        <v>3.9012079195542004E-2</v>
      </c>
      <c r="J206" s="444">
        <f t="shared" si="77"/>
        <v>4.2666146787361234E-2</v>
      </c>
      <c r="K206" s="444">
        <f t="shared" si="77"/>
        <v>4.6123704820036415E-2</v>
      </c>
      <c r="L206" s="444">
        <f t="shared" si="77"/>
        <v>4.9401011012145592E-2</v>
      </c>
      <c r="M206" s="444">
        <f t="shared" ref="M206:AY206" si="78">(M195/(1+$C$3)^(M$16-0.5)+L206)</f>
        <v>5.2507462379073722E-2</v>
      </c>
      <c r="N206" s="444">
        <f t="shared" si="78"/>
        <v>5.5446845168468734E-2</v>
      </c>
      <c r="O206" s="444">
        <f t="shared" si="78"/>
        <v>5.8232989992539834E-2</v>
      </c>
      <c r="P206" s="444">
        <f t="shared" si="78"/>
        <v>6.0869284697021131E-2</v>
      </c>
      <c r="Q206" s="444">
        <f t="shared" si="78"/>
        <v>6.3368142236813835E-2</v>
      </c>
      <c r="R206" s="444">
        <f t="shared" si="78"/>
        <v>6.5736727582588902E-2</v>
      </c>
      <c r="S206" s="444">
        <f t="shared" si="78"/>
        <v>6.7981832175740636E-2</v>
      </c>
      <c r="T206" s="444">
        <f t="shared" si="78"/>
        <v>7.0109893401476872E-2</v>
      </c>
      <c r="U206" s="444">
        <f t="shared" si="78"/>
        <v>7.2127013046724489E-2</v>
      </c>
      <c r="V206" s="444">
        <f t="shared" si="78"/>
        <v>7.4038974795774357E-2</v>
      </c>
      <c r="W206" s="444">
        <f t="shared" si="78"/>
        <v>7.5851260813831103E-2</v>
      </c>
      <c r="X206" s="444">
        <f t="shared" si="78"/>
        <v>7.7569067466017591E-2</v>
      </c>
      <c r="Y206" s="444">
        <f t="shared" si="78"/>
        <v>7.9197320216905259E-2</v>
      </c>
      <c r="Z206" s="444">
        <f t="shared" si="78"/>
        <v>8.0740687753291684E-2</v>
      </c>
      <c r="AA206" s="444">
        <f t="shared" si="78"/>
        <v>8.220359537071957E-2</v>
      </c>
      <c r="AB206" s="444">
        <f t="shared" si="78"/>
        <v>8.3590237662120412E-2</v>
      </c>
      <c r="AC206" s="444">
        <f t="shared" si="78"/>
        <v>8.4904590544964811E-2</v>
      </c>
      <c r="AD206" s="444">
        <f t="shared" si="78"/>
        <v>8.6150422661405004E-2</v>
      </c>
      <c r="AE206" s="444">
        <f t="shared" si="78"/>
        <v>8.7331306184097124E-2</v>
      </c>
      <c r="AF206" s="444">
        <f t="shared" si="78"/>
        <v>8.8450627058686809E-2</v>
      </c>
      <c r="AG206" s="444">
        <f t="shared" si="78"/>
        <v>8.9511594712326323E-2</v>
      </c>
      <c r="AH206" s="444">
        <f t="shared" si="78"/>
        <v>9.0517251256060458E-2</v>
      </c>
      <c r="AI206" s="444">
        <f t="shared" si="78"/>
        <v>9.1470480207467217E-2</v>
      </c>
      <c r="AJ206" s="444">
        <f t="shared" si="78"/>
        <v>9.2374014758563674E-2</v>
      </c>
      <c r="AK206" s="444">
        <f t="shared" si="78"/>
        <v>9.3230445612683538E-2</v>
      </c>
      <c r="AL206" s="444">
        <f t="shared" si="78"/>
        <v>9.4042228412797163E-2</v>
      </c>
      <c r="AM206" s="444">
        <f t="shared" si="78"/>
        <v>9.4811690782573108E-2</v>
      </c>
      <c r="AN206" s="444">
        <f t="shared" si="78"/>
        <v>9.5541039000370212E-2</v>
      </c>
      <c r="AO206" s="444">
        <f t="shared" si="78"/>
        <v>9.6232364325296374E-2</v>
      </c>
      <c r="AP206" s="444">
        <f t="shared" si="78"/>
        <v>9.6887648993472825E-2</v>
      </c>
      <c r="AQ206" s="444">
        <f t="shared" si="78"/>
        <v>9.7508771901696961E-2</v>
      </c>
      <c r="AR206" s="444">
        <f t="shared" si="78"/>
        <v>9.8097513994800406E-2</v>
      </c>
      <c r="AS206" s="444">
        <f t="shared" si="78"/>
        <v>9.8655563372149632E-2</v>
      </c>
      <c r="AT206" s="444">
        <f t="shared" si="78"/>
        <v>9.91845201279309E-2</v>
      </c>
      <c r="AU206" s="444">
        <f t="shared" si="78"/>
        <v>9.9685900939097974E-2</v>
      </c>
      <c r="AV206" s="444">
        <f t="shared" si="78"/>
        <v>0.10016114341413786</v>
      </c>
      <c r="AW206" s="444">
        <f t="shared" si="78"/>
        <v>0.10061161021512352</v>
      </c>
      <c r="AX206" s="444">
        <f t="shared" si="78"/>
        <v>0.10103859296487297</v>
      </c>
      <c r="AY206" s="445">
        <f t="shared" si="78"/>
        <v>0.10144331595041747</v>
      </c>
    </row>
    <row r="207" spans="1:51">
      <c r="A207" s="442" t="s">
        <v>2906</v>
      </c>
      <c r="B207" s="446">
        <f t="shared" si="76"/>
        <v>0.85432063306221828</v>
      </c>
      <c r="C207" s="447">
        <f t="shared" ref="C207:L207" si="79">(C196/(1+$C$3)^(C$16-0.5)+B207)</f>
        <v>1.6641032236425202</v>
      </c>
      <c r="D207" s="447">
        <f t="shared" si="79"/>
        <v>2.4316696602115266</v>
      </c>
      <c r="E207" s="447">
        <f t="shared" si="79"/>
        <v>3.1592207849214855</v>
      </c>
      <c r="F207" s="447">
        <f t="shared" si="79"/>
        <v>3.8488427040778443</v>
      </c>
      <c r="G207" s="447">
        <f t="shared" si="79"/>
        <v>4.502512769628896</v>
      </c>
      <c r="H207" s="447">
        <f t="shared" si="79"/>
        <v>5.1221052488242051</v>
      </c>
      <c r="I207" s="447">
        <f t="shared" si="79"/>
        <v>5.7093966982984323</v>
      </c>
      <c r="J207" s="447">
        <f t="shared" si="79"/>
        <v>6.2660710579896426</v>
      </c>
      <c r="K207" s="447">
        <f t="shared" si="79"/>
        <v>6.7937244794978984</v>
      </c>
      <c r="L207" s="447">
        <f t="shared" si="79"/>
        <v>7.2938699027284732</v>
      </c>
      <c r="M207" s="447">
        <f t="shared" ref="M207:AY207" si="80">(M196/(1+$C$3)^(M$16-0.5)+L207)</f>
        <v>7.7679413939422881</v>
      </c>
      <c r="N207" s="447">
        <f t="shared" si="80"/>
        <v>8.2172982576520646</v>
      </c>
      <c r="O207" s="447">
        <f t="shared" si="80"/>
        <v>8.643228934154223</v>
      </c>
      <c r="P207" s="447">
        <f t="shared" si="80"/>
        <v>9.0469546938719088</v>
      </c>
      <c r="Q207" s="447">
        <f t="shared" si="80"/>
        <v>9.4296331391019432</v>
      </c>
      <c r="R207" s="447">
        <f t="shared" si="80"/>
        <v>9.7923615232062406</v>
      </c>
      <c r="S207" s="447">
        <f t="shared" si="80"/>
        <v>10.136179896764817</v>
      </c>
      <c r="T207" s="447">
        <f t="shared" si="80"/>
        <v>10.462074089711335</v>
      </c>
      <c r="U207" s="447">
        <f t="shared" si="80"/>
        <v>10.770978538001872</v>
      </c>
      <c r="V207" s="447">
        <f t="shared" si="80"/>
        <v>11.063778962921813</v>
      </c>
      <c r="W207" s="447">
        <f t="shared" si="80"/>
        <v>11.341314910713226</v>
      </c>
      <c r="X207" s="447">
        <f t="shared" si="80"/>
        <v>11.604382159804613</v>
      </c>
      <c r="Y207" s="447">
        <f t="shared" si="80"/>
        <v>11.853735002545264</v>
      </c>
      <c r="Z207" s="447">
        <f t="shared" si="80"/>
        <v>12.09008840798664</v>
      </c>
      <c r="AA207" s="447">
        <f t="shared" si="80"/>
        <v>12.314120071912114</v>
      </c>
      <c r="AB207" s="447">
        <f t="shared" si="80"/>
        <v>12.526472359993132</v>
      </c>
      <c r="AC207" s="447">
        <f t="shared" si="80"/>
        <v>12.727754149643387</v>
      </c>
      <c r="AD207" s="447">
        <f t="shared" si="80"/>
        <v>12.918542575852159</v>
      </c>
      <c r="AE207" s="447">
        <f t="shared" si="80"/>
        <v>13.099384686002654</v>
      </c>
      <c r="AF207" s="447">
        <f t="shared" si="80"/>
        <v>13.270799008420186</v>
      </c>
      <c r="AG207" s="447">
        <f t="shared" si="80"/>
        <v>13.433277039147702</v>
      </c>
      <c r="AH207" s="447">
        <f t="shared" si="80"/>
        <v>13.5872846512117</v>
      </c>
      <c r="AI207" s="447">
        <f t="shared" si="80"/>
        <v>13.73326343041928</v>
      </c>
      <c r="AJ207" s="447">
        <f t="shared" si="80"/>
        <v>13.871631941516512</v>
      </c>
      <c r="AK207" s="447">
        <f t="shared" si="80"/>
        <v>14.002786928338534</v>
      </c>
      <c r="AL207" s="447">
        <f t="shared" si="80"/>
        <v>14.127104451392583</v>
      </c>
      <c r="AM207" s="447">
        <f t="shared" si="80"/>
        <v>14.244940966135758</v>
      </c>
      <c r="AN207" s="447">
        <f t="shared" si="80"/>
        <v>14.356634345039241</v>
      </c>
      <c r="AO207" s="447">
        <f t="shared" si="80"/>
        <v>14.462504846369557</v>
      </c>
      <c r="AP207" s="447">
        <f t="shared" si="80"/>
        <v>14.562856032464643</v>
      </c>
      <c r="AQ207" s="447">
        <f t="shared" si="80"/>
        <v>14.65797564013771</v>
      </c>
      <c r="AR207" s="447">
        <f t="shared" si="80"/>
        <v>14.748136405704599</v>
      </c>
      <c r="AS207" s="447">
        <f t="shared" si="80"/>
        <v>14.833596847000228</v>
      </c>
      <c r="AT207" s="447">
        <f t="shared" si="80"/>
        <v>14.914602004626417</v>
      </c>
      <c r="AU207" s="447">
        <f t="shared" si="80"/>
        <v>14.991384144556454</v>
      </c>
      <c r="AV207" s="447">
        <f t="shared" si="80"/>
        <v>15.064163424110991</v>
      </c>
      <c r="AW207" s="447">
        <f t="shared" si="80"/>
        <v>15.133148523214818</v>
      </c>
      <c r="AX207" s="447">
        <f t="shared" si="80"/>
        <v>15.198537242744511</v>
      </c>
      <c r="AY207" s="448">
        <f t="shared" si="80"/>
        <v>15.260517071682608</v>
      </c>
    </row>
    <row r="208" spans="1:51" ht="12.75" thickBot="1">
      <c r="A208" s="449" t="s">
        <v>2907</v>
      </c>
      <c r="B208" s="450">
        <f t="shared" si="76"/>
        <v>0.85432063306221828</v>
      </c>
      <c r="C208" s="451">
        <f t="shared" ref="C208:L208" si="81">(C197/(1+$C$3)^(C$16-0.5)+B208)</f>
        <v>1.6641032236425202</v>
      </c>
      <c r="D208" s="451">
        <f t="shared" si="81"/>
        <v>2.4316696602115266</v>
      </c>
      <c r="E208" s="451">
        <f t="shared" si="81"/>
        <v>3.1592207849214855</v>
      </c>
      <c r="F208" s="451">
        <f t="shared" si="81"/>
        <v>3.8488427040778443</v>
      </c>
      <c r="G208" s="451">
        <f t="shared" si="81"/>
        <v>4.502512769628896</v>
      </c>
      <c r="H208" s="451">
        <f t="shared" si="81"/>
        <v>5.1221052488242051</v>
      </c>
      <c r="I208" s="451">
        <f t="shared" si="81"/>
        <v>5.7093966982984323</v>
      </c>
      <c r="J208" s="451">
        <f t="shared" si="81"/>
        <v>6.2660710579896426</v>
      </c>
      <c r="K208" s="451">
        <f t="shared" si="81"/>
        <v>6.7937244794978984</v>
      </c>
      <c r="L208" s="451">
        <f t="shared" si="81"/>
        <v>7.2938699027284732</v>
      </c>
      <c r="M208" s="451">
        <f t="shared" ref="M208:AY208" si="82">(M197/(1+$C$3)^(M$16-0.5)+L208)</f>
        <v>7.7679413939422881</v>
      </c>
      <c r="N208" s="451">
        <f t="shared" si="82"/>
        <v>8.2172982576520646</v>
      </c>
      <c r="O208" s="451">
        <f t="shared" si="82"/>
        <v>8.643228934154223</v>
      </c>
      <c r="P208" s="451">
        <f t="shared" si="82"/>
        <v>9.0469546938719088</v>
      </c>
      <c r="Q208" s="451">
        <f t="shared" si="82"/>
        <v>9.4296331391019432</v>
      </c>
      <c r="R208" s="451">
        <f t="shared" si="82"/>
        <v>9.7923615232062406</v>
      </c>
      <c r="S208" s="451">
        <f t="shared" si="82"/>
        <v>10.136179896764817</v>
      </c>
      <c r="T208" s="451">
        <f t="shared" si="82"/>
        <v>10.462074089711335</v>
      </c>
      <c r="U208" s="451">
        <f t="shared" si="82"/>
        <v>10.770978538001872</v>
      </c>
      <c r="V208" s="451">
        <f t="shared" si="82"/>
        <v>11.063778962921813</v>
      </c>
      <c r="W208" s="451">
        <f t="shared" si="82"/>
        <v>11.341314910713226</v>
      </c>
      <c r="X208" s="451">
        <f t="shared" si="82"/>
        <v>11.604382159804613</v>
      </c>
      <c r="Y208" s="451">
        <f t="shared" si="82"/>
        <v>11.853735002545264</v>
      </c>
      <c r="Z208" s="451">
        <f t="shared" si="82"/>
        <v>12.09008840798664</v>
      </c>
      <c r="AA208" s="451">
        <f t="shared" si="82"/>
        <v>12.314120071912114</v>
      </c>
      <c r="AB208" s="451">
        <f t="shared" si="82"/>
        <v>12.526472359993132</v>
      </c>
      <c r="AC208" s="451">
        <f t="shared" si="82"/>
        <v>12.727754149643387</v>
      </c>
      <c r="AD208" s="451">
        <f t="shared" si="82"/>
        <v>12.918542575852159</v>
      </c>
      <c r="AE208" s="451">
        <f t="shared" si="82"/>
        <v>13.099384686002654</v>
      </c>
      <c r="AF208" s="451">
        <f t="shared" si="82"/>
        <v>13.270799008420186</v>
      </c>
      <c r="AG208" s="451">
        <f t="shared" si="82"/>
        <v>13.433277039147702</v>
      </c>
      <c r="AH208" s="451">
        <f t="shared" si="82"/>
        <v>13.5872846512117</v>
      </c>
      <c r="AI208" s="451">
        <f t="shared" si="82"/>
        <v>13.73326343041928</v>
      </c>
      <c r="AJ208" s="451">
        <f t="shared" si="82"/>
        <v>13.871631941516512</v>
      </c>
      <c r="AK208" s="451">
        <f t="shared" si="82"/>
        <v>14.002786928338534</v>
      </c>
      <c r="AL208" s="451">
        <f t="shared" si="82"/>
        <v>14.127104451392583</v>
      </c>
      <c r="AM208" s="451">
        <f t="shared" si="82"/>
        <v>14.244940966135758</v>
      </c>
      <c r="AN208" s="451">
        <f t="shared" si="82"/>
        <v>14.356634345039241</v>
      </c>
      <c r="AO208" s="451">
        <f t="shared" si="82"/>
        <v>14.462504846369557</v>
      </c>
      <c r="AP208" s="451">
        <f t="shared" si="82"/>
        <v>14.562856032464643</v>
      </c>
      <c r="AQ208" s="451">
        <f t="shared" si="82"/>
        <v>14.65797564013771</v>
      </c>
      <c r="AR208" s="451">
        <f t="shared" si="82"/>
        <v>14.748136405704599</v>
      </c>
      <c r="AS208" s="451">
        <f t="shared" si="82"/>
        <v>14.833596847000228</v>
      </c>
      <c r="AT208" s="451">
        <f t="shared" si="82"/>
        <v>14.914602004626417</v>
      </c>
      <c r="AU208" s="451">
        <f t="shared" si="82"/>
        <v>14.991384144556454</v>
      </c>
      <c r="AV208" s="451">
        <f t="shared" si="82"/>
        <v>15.064163424110991</v>
      </c>
      <c r="AW208" s="451">
        <f t="shared" si="82"/>
        <v>15.133148523214818</v>
      </c>
      <c r="AX208" s="451">
        <f t="shared" si="82"/>
        <v>15.198537242744511</v>
      </c>
      <c r="AY208" s="452">
        <f t="shared" si="82"/>
        <v>15.260517071682608</v>
      </c>
    </row>
    <row r="210" spans="2:51">
      <c r="B210" s="429">
        <v>2</v>
      </c>
      <c r="C210" s="429">
        <f>B210+1</f>
        <v>3</v>
      </c>
      <c r="D210" s="429">
        <f t="shared" ref="D210:AY210" si="83">C210+1</f>
        <v>4</v>
      </c>
      <c r="E210" s="429">
        <f t="shared" si="83"/>
        <v>5</v>
      </c>
      <c r="F210" s="429">
        <f t="shared" si="83"/>
        <v>6</v>
      </c>
      <c r="G210" s="429">
        <f t="shared" si="83"/>
        <v>7</v>
      </c>
      <c r="H210" s="429">
        <f t="shared" si="83"/>
        <v>8</v>
      </c>
      <c r="I210" s="429">
        <f t="shared" si="83"/>
        <v>9</v>
      </c>
      <c r="J210" s="429">
        <f t="shared" si="83"/>
        <v>10</v>
      </c>
      <c r="K210" s="429">
        <f t="shared" si="83"/>
        <v>11</v>
      </c>
      <c r="L210" s="429">
        <f t="shared" si="83"/>
        <v>12</v>
      </c>
      <c r="M210" s="429">
        <f t="shared" si="83"/>
        <v>13</v>
      </c>
      <c r="N210" s="429">
        <f t="shared" si="83"/>
        <v>14</v>
      </c>
      <c r="O210" s="429">
        <f t="shared" si="83"/>
        <v>15</v>
      </c>
      <c r="P210" s="429">
        <f t="shared" si="83"/>
        <v>16</v>
      </c>
      <c r="Q210" s="429">
        <f t="shared" si="83"/>
        <v>17</v>
      </c>
      <c r="R210" s="429">
        <f t="shared" si="83"/>
        <v>18</v>
      </c>
      <c r="S210" s="429">
        <f t="shared" si="83"/>
        <v>19</v>
      </c>
      <c r="T210" s="429">
        <f t="shared" si="83"/>
        <v>20</v>
      </c>
      <c r="U210" s="429">
        <f t="shared" si="83"/>
        <v>21</v>
      </c>
      <c r="V210" s="429">
        <f t="shared" si="83"/>
        <v>22</v>
      </c>
      <c r="W210" s="429">
        <f t="shared" si="83"/>
        <v>23</v>
      </c>
      <c r="X210" s="429">
        <f t="shared" si="83"/>
        <v>24</v>
      </c>
      <c r="Y210" s="429">
        <f t="shared" si="83"/>
        <v>25</v>
      </c>
      <c r="Z210" s="429">
        <f t="shared" si="83"/>
        <v>26</v>
      </c>
      <c r="AA210" s="429">
        <f t="shared" si="83"/>
        <v>27</v>
      </c>
      <c r="AB210" s="429">
        <f t="shared" si="83"/>
        <v>28</v>
      </c>
      <c r="AC210" s="429">
        <f t="shared" si="83"/>
        <v>29</v>
      </c>
      <c r="AD210" s="429">
        <f t="shared" si="83"/>
        <v>30</v>
      </c>
      <c r="AE210" s="429">
        <f t="shared" si="83"/>
        <v>31</v>
      </c>
      <c r="AF210" s="429">
        <f t="shared" si="83"/>
        <v>32</v>
      </c>
      <c r="AG210" s="429">
        <f t="shared" si="83"/>
        <v>33</v>
      </c>
      <c r="AH210" s="429">
        <f t="shared" si="83"/>
        <v>34</v>
      </c>
      <c r="AI210" s="429">
        <f t="shared" si="83"/>
        <v>35</v>
      </c>
      <c r="AJ210" s="429">
        <f t="shared" si="83"/>
        <v>36</v>
      </c>
      <c r="AK210" s="429">
        <f t="shared" si="83"/>
        <v>37</v>
      </c>
      <c r="AL210" s="429">
        <f t="shared" si="83"/>
        <v>38</v>
      </c>
      <c r="AM210" s="429">
        <f t="shared" si="83"/>
        <v>39</v>
      </c>
      <c r="AN210" s="429">
        <f t="shared" si="83"/>
        <v>40</v>
      </c>
      <c r="AO210" s="429">
        <f t="shared" si="83"/>
        <v>41</v>
      </c>
      <c r="AP210" s="429">
        <f t="shared" si="83"/>
        <v>42</v>
      </c>
      <c r="AQ210" s="429">
        <f t="shared" si="83"/>
        <v>43</v>
      </c>
      <c r="AR210" s="429">
        <f t="shared" si="83"/>
        <v>44</v>
      </c>
      <c r="AS210" s="429">
        <f t="shared" si="83"/>
        <v>45</v>
      </c>
      <c r="AT210" s="429">
        <f t="shared" si="83"/>
        <v>46</v>
      </c>
      <c r="AU210" s="429">
        <f t="shared" si="83"/>
        <v>47</v>
      </c>
      <c r="AV210" s="429">
        <f t="shared" si="83"/>
        <v>48</v>
      </c>
      <c r="AW210" s="429">
        <f t="shared" si="83"/>
        <v>49</v>
      </c>
      <c r="AX210" s="429">
        <f t="shared" si="83"/>
        <v>50</v>
      </c>
      <c r="AY210" s="429">
        <f t="shared" si="83"/>
        <v>51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0" tint="-0.249977111117893"/>
  </sheetPr>
  <dimension ref="A1:BF264"/>
  <sheetViews>
    <sheetView showGridLines="0" zoomScaleNormal="100" workbookViewId="0"/>
  </sheetViews>
  <sheetFormatPr defaultRowHeight="12"/>
  <cols>
    <col min="1" max="1" width="3" style="479" bestFit="1" customWidth="1"/>
    <col min="2" max="2" width="16.28515625" style="479" customWidth="1"/>
    <col min="3" max="3" width="19.85546875" style="479" customWidth="1"/>
    <col min="4" max="4" width="20" style="479" customWidth="1"/>
    <col min="5" max="5" width="10.28515625" style="479" customWidth="1"/>
    <col min="6" max="6" width="11.7109375" style="479" customWidth="1"/>
    <col min="7" max="7" width="20" style="479" customWidth="1"/>
    <col min="8" max="8" width="9" style="479" customWidth="1"/>
    <col min="9" max="9" width="11.7109375" style="479" customWidth="1"/>
    <col min="10" max="10" width="9.28515625" style="479" customWidth="1"/>
    <col min="11" max="11" width="13.5703125" style="479" customWidth="1"/>
    <col min="12" max="13" width="9.28515625" style="479" customWidth="1"/>
    <col min="14" max="16" width="9.7109375" style="479" customWidth="1"/>
    <col min="17" max="17" width="10" style="479" customWidth="1"/>
    <col min="18" max="18" width="8.5703125" style="479" customWidth="1"/>
    <col min="19" max="20" width="9.5703125" style="479" customWidth="1"/>
    <col min="21" max="21" width="9.7109375" style="479" customWidth="1"/>
    <col min="22" max="22" width="10.28515625" style="479" customWidth="1"/>
    <col min="23" max="23" width="8.7109375" style="479" bestFit="1" customWidth="1"/>
    <col min="24" max="24" width="8.5703125" style="479" customWidth="1"/>
    <col min="25" max="25" width="10.28515625" style="479" customWidth="1"/>
    <col min="26" max="26" width="10.7109375" style="479" customWidth="1"/>
    <col min="27" max="27" width="9.7109375" style="479" customWidth="1"/>
    <col min="28" max="28" width="6.5703125" style="479" customWidth="1"/>
    <col min="29" max="29" width="20.28515625" style="479" hidden="1" customWidth="1"/>
    <col min="30" max="31" width="14" style="479" hidden="1" customWidth="1"/>
    <col min="32" max="32" width="13.85546875" style="479" hidden="1" customWidth="1"/>
    <col min="33" max="35" width="14" style="479" hidden="1" customWidth="1"/>
    <col min="36" max="37" width="14.5703125" style="479" hidden="1" customWidth="1"/>
    <col min="38" max="50" width="11.28515625" style="479" hidden="1" customWidth="1"/>
    <col min="51" max="57" width="9.140625" style="479" customWidth="1"/>
    <col min="58" max="16384" width="9.140625" style="479"/>
  </cols>
  <sheetData>
    <row r="1" spans="1:58" ht="18.75">
      <c r="B1" s="1389" t="s">
        <v>2516</v>
      </c>
    </row>
    <row r="2" spans="1:58">
      <c r="B2" s="1390"/>
      <c r="Z2" s="862" t="s">
        <v>2506</v>
      </c>
      <c r="AA2" s="1380">
        <v>0.03</v>
      </c>
      <c r="AS2" s="485"/>
    </row>
    <row r="3" spans="1:58">
      <c r="A3" s="1339"/>
      <c r="B3" s="1391" t="s">
        <v>2957</v>
      </c>
      <c r="C3" s="1339"/>
      <c r="AC3" s="1008"/>
      <c r="AD3" s="1008"/>
      <c r="AE3" s="1008"/>
      <c r="AF3" s="1008"/>
      <c r="AG3" s="1008"/>
      <c r="AH3" s="1008"/>
      <c r="AI3" s="1008"/>
      <c r="AJ3" s="1008"/>
      <c r="AK3" s="1008"/>
      <c r="AL3" s="1008"/>
      <c r="AM3" s="1008"/>
      <c r="AN3" s="1008"/>
      <c r="AO3" s="1008"/>
      <c r="AP3" s="1008"/>
      <c r="AQ3" s="1008"/>
      <c r="AR3" s="1008"/>
      <c r="AS3" s="485"/>
      <c r="BD3" s="1008"/>
      <c r="BE3" s="1008"/>
      <c r="BF3" s="1008"/>
    </row>
    <row r="4" spans="1:58" ht="12.75" thickBot="1">
      <c r="A4" s="480"/>
      <c r="B4" s="480"/>
      <c r="C4" s="480"/>
      <c r="D4" s="480"/>
      <c r="E4" s="480"/>
      <c r="F4" s="480"/>
      <c r="G4" s="480"/>
      <c r="H4" s="480"/>
      <c r="I4" s="480"/>
      <c r="J4" s="480"/>
      <c r="K4" s="480"/>
      <c r="L4" s="480"/>
      <c r="M4" s="480"/>
      <c r="N4" s="480"/>
      <c r="O4" s="480"/>
      <c r="P4" s="480"/>
      <c r="Q4" s="480"/>
      <c r="R4" s="480"/>
      <c r="S4" s="480"/>
      <c r="T4" s="480"/>
      <c r="U4" s="480"/>
      <c r="V4" s="480"/>
      <c r="W4" s="480"/>
      <c r="X4" s="480"/>
      <c r="Y4" s="480"/>
      <c r="Z4" s="480"/>
      <c r="AA4" s="480"/>
      <c r="AB4" s="480"/>
      <c r="AD4" s="481"/>
      <c r="AE4" s="481"/>
      <c r="AF4" s="481"/>
      <c r="AG4" s="481"/>
      <c r="AH4" s="481"/>
      <c r="AI4" s="481"/>
      <c r="AJ4" s="481"/>
      <c r="AK4" s="481"/>
      <c r="AL4" s="481"/>
      <c r="AM4" s="481"/>
      <c r="AN4" s="481"/>
      <c r="AO4" s="481"/>
      <c r="AP4" s="481"/>
      <c r="AQ4" s="481"/>
      <c r="AR4" s="481"/>
      <c r="AS4" s="485"/>
      <c r="AT4" s="481"/>
      <c r="AU4" s="481"/>
      <c r="AV4" s="481"/>
      <c r="AW4" s="481"/>
      <c r="AX4" s="481"/>
      <c r="AY4" s="481"/>
      <c r="AZ4" s="481"/>
      <c r="BA4" s="481"/>
      <c r="BB4" s="481"/>
      <c r="BC4" s="481"/>
      <c r="BD4" s="481"/>
      <c r="BF4" s="481"/>
    </row>
    <row r="5" spans="1:58" s="481" customFormat="1" ht="12.75" customHeight="1">
      <c r="A5" s="2168" t="s">
        <v>2281</v>
      </c>
      <c r="B5" s="2181" t="s">
        <v>2580</v>
      </c>
      <c r="C5" s="2180" t="s">
        <v>2715</v>
      </c>
      <c r="D5" s="2177" t="s">
        <v>2507</v>
      </c>
      <c r="E5" s="2139"/>
      <c r="F5" s="2178"/>
      <c r="G5" s="2177" t="s">
        <v>2508</v>
      </c>
      <c r="H5" s="2139"/>
      <c r="I5" s="2139"/>
      <c r="J5" s="2139"/>
      <c r="K5" s="2139"/>
      <c r="L5" s="2139"/>
      <c r="M5" s="2179"/>
      <c r="N5" s="2138" t="s">
        <v>2509</v>
      </c>
      <c r="O5" s="2139"/>
      <c r="P5" s="2139"/>
      <c r="Q5" s="2139"/>
      <c r="R5" s="2139"/>
      <c r="S5" s="2139"/>
      <c r="T5" s="2139"/>
      <c r="U5" s="2139"/>
      <c r="V5" s="2139"/>
      <c r="W5" s="2139"/>
      <c r="X5" s="2139"/>
      <c r="Y5" s="2139"/>
      <c r="Z5" s="2139"/>
      <c r="AA5" s="2140"/>
      <c r="AC5" s="2156" t="s">
        <v>3748</v>
      </c>
      <c r="AD5" s="2153" t="s">
        <v>2930</v>
      </c>
      <c r="AE5" s="2153" t="s">
        <v>3749</v>
      </c>
      <c r="AF5" s="2159" t="s">
        <v>3750</v>
      </c>
      <c r="AG5" s="2162" t="s">
        <v>3751</v>
      </c>
      <c r="AH5" s="1340"/>
      <c r="AI5" s="2156" t="s">
        <v>2931</v>
      </c>
      <c r="AJ5" s="2165" t="s">
        <v>2932</v>
      </c>
      <c r="AK5" s="1341"/>
      <c r="AL5" s="2156" t="s">
        <v>2933</v>
      </c>
      <c r="AM5" s="2153" t="s">
        <v>2934</v>
      </c>
      <c r="AN5" s="2153" t="s">
        <v>2935</v>
      </c>
      <c r="AO5" s="2153" t="s">
        <v>2936</v>
      </c>
      <c r="AP5" s="2153" t="s">
        <v>2937</v>
      </c>
      <c r="AQ5" s="2153" t="s">
        <v>2938</v>
      </c>
      <c r="AR5" s="2153" t="s">
        <v>2939</v>
      </c>
      <c r="AS5" s="2153" t="s">
        <v>2940</v>
      </c>
      <c r="AT5" s="2153" t="s">
        <v>2941</v>
      </c>
      <c r="AU5" s="2153" t="s">
        <v>3809</v>
      </c>
      <c r="AV5" s="2153" t="s">
        <v>3302</v>
      </c>
      <c r="AW5" s="2153" t="s">
        <v>3301</v>
      </c>
      <c r="AX5" s="2165" t="s">
        <v>3298</v>
      </c>
    </row>
    <row r="6" spans="1:58" s="481" customFormat="1" ht="12.75" customHeight="1">
      <c r="A6" s="2169"/>
      <c r="B6" s="2182"/>
      <c r="C6" s="2146"/>
      <c r="D6" s="2175" t="s">
        <v>2512</v>
      </c>
      <c r="E6" s="2171" t="s">
        <v>2575</v>
      </c>
      <c r="F6" s="2171" t="s">
        <v>2714</v>
      </c>
      <c r="G6" s="2175" t="s">
        <v>2512</v>
      </c>
      <c r="H6" s="2173" t="s">
        <v>2575</v>
      </c>
      <c r="I6" s="2171" t="s">
        <v>2714</v>
      </c>
      <c r="J6" s="2171" t="s">
        <v>2967</v>
      </c>
      <c r="K6" s="2171" t="s">
        <v>3721</v>
      </c>
      <c r="L6" s="2171" t="s">
        <v>2717</v>
      </c>
      <c r="M6" s="2171" t="s">
        <v>519</v>
      </c>
      <c r="N6" s="2145" t="s">
        <v>2514</v>
      </c>
      <c r="O6" s="2145"/>
      <c r="P6" s="2145"/>
      <c r="Q6" s="2146"/>
      <c r="R6" s="2149" t="s">
        <v>2964</v>
      </c>
      <c r="S6" s="2151" t="s">
        <v>2965</v>
      </c>
      <c r="T6" s="2136" t="s">
        <v>2966</v>
      </c>
      <c r="U6" s="2147" t="s">
        <v>2960</v>
      </c>
      <c r="V6" s="2147" t="s">
        <v>2961</v>
      </c>
      <c r="W6" s="2147" t="s">
        <v>2962</v>
      </c>
      <c r="X6" s="2147" t="s">
        <v>2959</v>
      </c>
      <c r="Y6" s="2147" t="s">
        <v>2942</v>
      </c>
      <c r="Z6" s="2141" t="s">
        <v>2510</v>
      </c>
      <c r="AA6" s="2143" t="s">
        <v>2511</v>
      </c>
      <c r="AC6" s="2157"/>
      <c r="AD6" s="2154"/>
      <c r="AE6" s="2154"/>
      <c r="AF6" s="2160"/>
      <c r="AG6" s="2163"/>
      <c r="AH6" s="1340"/>
      <c r="AI6" s="2157"/>
      <c r="AJ6" s="2166"/>
      <c r="AK6" s="1341"/>
      <c r="AL6" s="2157"/>
      <c r="AM6" s="2154"/>
      <c r="AN6" s="2154"/>
      <c r="AO6" s="2154"/>
      <c r="AP6" s="2154"/>
      <c r="AQ6" s="2154"/>
      <c r="AR6" s="2154"/>
      <c r="AS6" s="2154"/>
      <c r="AT6" s="2154"/>
      <c r="AU6" s="2154"/>
      <c r="AV6" s="2154"/>
      <c r="AW6" s="2154"/>
      <c r="AX6" s="2183"/>
    </row>
    <row r="7" spans="1:58" s="481" customFormat="1" ht="27" customHeight="1" thickBot="1">
      <c r="A7" s="2170"/>
      <c r="B7" s="2182"/>
      <c r="C7" s="2146"/>
      <c r="D7" s="2176"/>
      <c r="E7" s="2172"/>
      <c r="F7" s="2172"/>
      <c r="G7" s="2176"/>
      <c r="H7" s="2174"/>
      <c r="I7" s="2172"/>
      <c r="J7" s="2172"/>
      <c r="K7" s="2172"/>
      <c r="L7" s="2172"/>
      <c r="M7" s="2172"/>
      <c r="N7" s="1381" t="s">
        <v>2881</v>
      </c>
      <c r="O7" s="1382" t="s">
        <v>2884</v>
      </c>
      <c r="P7" s="1382" t="s">
        <v>2882</v>
      </c>
      <c r="Q7" s="1382" t="s">
        <v>2883</v>
      </c>
      <c r="R7" s="2150"/>
      <c r="S7" s="2152"/>
      <c r="T7" s="2137"/>
      <c r="U7" s="2148"/>
      <c r="V7" s="2148"/>
      <c r="W7" s="2148"/>
      <c r="X7" s="2148"/>
      <c r="Y7" s="2148"/>
      <c r="Z7" s="2142"/>
      <c r="AA7" s="2144"/>
      <c r="AC7" s="2158"/>
      <c r="AD7" s="2155"/>
      <c r="AE7" s="2155"/>
      <c r="AF7" s="2161"/>
      <c r="AG7" s="2164"/>
      <c r="AH7" s="1342"/>
      <c r="AI7" s="2158"/>
      <c r="AJ7" s="2167"/>
      <c r="AK7" s="1341"/>
      <c r="AL7" s="2158"/>
      <c r="AM7" s="2155"/>
      <c r="AN7" s="2155"/>
      <c r="AO7" s="2155"/>
      <c r="AP7" s="2155"/>
      <c r="AQ7" s="2155"/>
      <c r="AR7" s="2155"/>
      <c r="AS7" s="2155"/>
      <c r="AT7" s="2155"/>
      <c r="AU7" s="2155"/>
      <c r="AV7" s="2155"/>
      <c r="AW7" s="2155"/>
      <c r="AX7" s="2167"/>
      <c r="AY7" s="479"/>
    </row>
    <row r="8" spans="1:58" s="481" customFormat="1" ht="12.75" customHeight="1" thickBot="1">
      <c r="A8" s="1383"/>
      <c r="B8" s="1384"/>
      <c r="C8" s="1384"/>
      <c r="D8" s="1385"/>
      <c r="E8" s="1384"/>
      <c r="F8" s="1384"/>
      <c r="G8" s="1385"/>
      <c r="H8" s="1384"/>
      <c r="I8" s="1384"/>
      <c r="J8" s="1384"/>
      <c r="K8" s="1384"/>
      <c r="L8" s="1384"/>
      <c r="M8" s="1384"/>
      <c r="N8" s="1384"/>
      <c r="O8" s="1384"/>
      <c r="P8" s="1384"/>
      <c r="Q8" s="1384"/>
      <c r="R8" s="1384"/>
      <c r="S8" s="1384"/>
      <c r="T8" s="1384"/>
      <c r="U8" s="1384"/>
      <c r="V8" s="1386"/>
      <c r="W8" s="1386"/>
      <c r="X8" s="1387"/>
      <c r="Y8" s="1387"/>
      <c r="Z8" s="1384"/>
      <c r="AA8" s="1388"/>
      <c r="AC8" s="1368"/>
      <c r="AD8" s="1372"/>
      <c r="AE8" s="1372"/>
      <c r="AF8" s="1373"/>
      <c r="AG8" s="1355"/>
      <c r="AH8" s="1342"/>
      <c r="AI8" s="1368"/>
      <c r="AJ8" s="1369"/>
      <c r="AK8" s="1343"/>
      <c r="AL8" s="1353"/>
      <c r="AM8" s="1354"/>
      <c r="AN8" s="1354"/>
      <c r="AO8" s="1354"/>
      <c r="AP8" s="1354"/>
      <c r="AQ8" s="1354"/>
      <c r="AR8" s="1354"/>
      <c r="AS8" s="1354"/>
      <c r="AT8" s="1354"/>
      <c r="AU8" s="1354"/>
      <c r="AV8" s="1354"/>
      <c r="AW8" s="1354"/>
      <c r="AX8" s="1355"/>
      <c r="AY8" s="479"/>
    </row>
    <row r="9" spans="1:58">
      <c r="A9" s="1392">
        <v>1</v>
      </c>
      <c r="B9" s="1393">
        <f>'Results from eQUEST'!K30</f>
        <v>0</v>
      </c>
      <c r="C9" s="502"/>
      <c r="D9" s="698" t="e">
        <f>INDEX(ERMs!$B$5:$E$78,MATCH(A9,ERMs!$B$5:$B$78,0),4)</f>
        <v>#N/A</v>
      </c>
      <c r="E9" s="503"/>
      <c r="F9" s="504"/>
      <c r="G9" s="698" t="e">
        <f>INDEX(ERMs!$B$5:$E$78,MATCH(A9,ERMs!$B$5:$B$78,0),2)</f>
        <v>#N/A</v>
      </c>
      <c r="H9" s="503"/>
      <c r="I9" s="502"/>
      <c r="J9" s="1395" t="str">
        <f>IF(C9="","",VLOOKUP(C9,'Demand Savings Lookup'!$A$3:$G$42,6,FALSE))</f>
        <v/>
      </c>
      <c r="K9" s="1396" t="str">
        <f>IF(AND(N9=0,O9=0),"N/A",IF('Basic Info'!$C$49="natural gas","gas - firm",IF(AND('Basic Info'!$C$50="natural gas",'Basic Info'!$C$49="electric"),"gas - non firm","")))</f>
        <v>N/A</v>
      </c>
      <c r="L9" s="505"/>
      <c r="M9" s="1395" t="str">
        <f>IF(C9="","",VLOOKUP(C9,'Demand Savings Lookup'!$A$1:$G$42,7,FALSE))</f>
        <v/>
      </c>
      <c r="N9" s="1397">
        <f>IF(B9=0,0,(('Results from eQUEST'!BB19+'Results from eQUEST'!BH19)/10-('Results from eQUEST'!BB30+'Results from eQUEST'!BH30)/10))</f>
        <v>0</v>
      </c>
      <c r="O9" s="1397">
        <f>IF(B9=0,0,('Results from eQUEST'!BK19-'Results from eQUEST'!BK30)/10-N9)</f>
        <v>0</v>
      </c>
      <c r="P9" s="1397">
        <f>IF(B9=0,0,(('Results from eQUEST'!Q19+'Results from eQUEST'!R19)-('Results from eQUEST'!Q30+'Results from eQUEST'!R30)))</f>
        <v>0</v>
      </c>
      <c r="Q9" s="1398">
        <f>IF(B9=0,0,'Results from eQUEST'!Y19-'Results from eQUEST'!Y30-P9)</f>
        <v>0</v>
      </c>
      <c r="R9" s="1399">
        <f>IF(P9+Q9&lt;=0,0,IF(AND(P9=0,Q9=0),0,IF(B9=0,0,P9*VLOOKUP(C9,'Demand Savings Lookup'!$A$3:$E$42,IF('Basic Info'!$C$56=4,5,3),FALSE)+Q9*VLOOKUP(C9,'Demand Savings Lookup'!$A$3:$E$42,IF('Basic Info'!$C$56=4,4,2),FALSE))))</f>
        <v>0</v>
      </c>
      <c r="S9" s="483"/>
      <c r="T9" s="483"/>
      <c r="U9" s="513" t="str">
        <f t="shared" ref="U9:U28" si="0">IF(H9="","",H9-E9)</f>
        <v/>
      </c>
      <c r="V9" s="514" t="str">
        <f>IF(B9=0,"",(P9+Q9)*'Reporting Summary'!$C$112+(N9+O9)*'Reporting Summary'!$C$113*10+0.00309*S9*1000)</f>
        <v/>
      </c>
      <c r="W9" s="515" t="str">
        <f t="shared" ref="W9:W28" si="1">IF(V9="","",IF(V9&gt;0,U9/V9,0))</f>
        <v/>
      </c>
      <c r="X9" s="515" t="str">
        <f t="shared" ref="X9:X28" si="2">IF(V9="","",IF(V9&gt;0, -PV($AA$2, J9, V9)/U9, 0))</f>
        <v/>
      </c>
      <c r="Y9" s="512" t="str">
        <f t="shared" ref="Y9:Y28" si="3">IF(V9="","",IF(OR(AND((P9+Q9)=0,K9="steam")=TRUE,AND((P9+Q9)=0,K9="propane"))=TRUE,0,IF(U9=0,0,AU9/(U9-AQ9-AR9))))</f>
        <v/>
      </c>
      <c r="Z9" s="516" t="str">
        <f t="shared" ref="Z9:Z28" si="4">IF(X9="","",(X9-1)*U9)</f>
        <v/>
      </c>
      <c r="AA9" s="517" t="str">
        <f t="shared" ref="AA9:AA28" si="5">IF(V9="","",IF(V9=0,0,J9*V9))</f>
        <v/>
      </c>
      <c r="AC9" s="1374" t="str">
        <f t="shared" ref="AC9:AC28" si="6">IF(Y9="","",IF(U9&lt;0,"No",IF(AND(K9="Gas - Firm",OR(Y9&lt;0,Y9&gt;0.949)),"Yes",IF(AND(AW9&gt;AV9,OR(Y9&lt;0,Y9&gt;0.949)),"Yes","No"))))</f>
        <v/>
      </c>
      <c r="AD9" s="1375" t="str">
        <f>IF(AC9="","",IF(AC9="Yes","Yes","No"))</f>
        <v/>
      </c>
      <c r="AE9" s="1376" t="str">
        <f t="shared" ref="AE9:AE28" si="7">IF(Y9="","",IF(AW9&gt;AV9,"Electricity",K9))</f>
        <v/>
      </c>
      <c r="AF9" s="1377" t="str">
        <f>IF('Basic Info'!$C$44="","",(IF(AND(AC9="Yes",AD9&lt;&gt;"No"),IF('Basic Info'!$C$44="Market Rate",IF(AE9="Electricity","MPPMREINC","MPPMRGINC"),IF(AE9="Electricity","MPPLIEINC","MPPLIGINC")),"")))</f>
        <v/>
      </c>
      <c r="AG9" s="1378"/>
      <c r="AH9" s="1344"/>
      <c r="AI9" s="1370">
        <f t="shared" ref="AI9:AI28" si="8">IF(Y9="N/A",0,IF(AND(AD9="Yes",OR(Y9&lt;0,Y9&gt;0.949),AU9&gt;0)=TRUE,AU9,0))</f>
        <v>0</v>
      </c>
      <c r="AJ9" s="1371">
        <f t="shared" ref="AJ9:AJ28" si="9">IF(Y9="N/A",0,IF(AND(AD9="Yes",OR(Y9&lt;0,Y9&gt;0.949),AU9&gt;0)=TRUE,U9,0))</f>
        <v>0</v>
      </c>
      <c r="AK9" s="1345"/>
      <c r="AL9" s="1356">
        <f t="shared" ref="AL9:AL28" si="10">IF(OR(N(P9)=0,N(J9)=0)=TRUE,0,1.2*P9*HLOOKUP(J9,AvoidedCostTable,2,FALSE))</f>
        <v>0</v>
      </c>
      <c r="AM9" s="1357">
        <f t="shared" ref="AM9:AM28" si="11">IF(OR(N(Q9)=0,N(J9)=0)=TRUE,0,Q9*HLOOKUP(J9,AvoidedCostTable,2,FALSE))</f>
        <v>0</v>
      </c>
      <c r="AN9" s="1357">
        <f t="shared" ref="AN9:AN28" si="12">IF(OR(N(R9)=0,N(J9)=0)=TRUE,0,R9*HLOOKUP(J9,AvoidedCostTable,3,FALSE))</f>
        <v>0</v>
      </c>
      <c r="AO9" s="1357">
        <f>IF(OR(N(J9)=0,N(N9)=0)=TRUE,0,IF(AND(K9&lt;&gt;"gas - firm",K9&lt;&gt;"gas - non firm")=TRUE,0,N9*HLOOKUP(J9,AvoidedCostTable,4,FALSE)))</f>
        <v>0</v>
      </c>
      <c r="AP9" s="1357">
        <f t="shared" ref="AP9:AP28" si="13">IF(OR(N(J9)=0,N(O9)=0)=TRUE,0,IF(AND(K9&lt;&gt;"gas - firm",K9&lt;&gt;"gas - non firm")=TRUE,0,O9*HLOOKUP(J9,AvoidedCostTable,5,FALSE)))</f>
        <v>0</v>
      </c>
      <c r="AQ9" s="1357">
        <f>IF(OR(N(S9)=0,N(J9)=0)=TRUE,0,-PV('Avoided Costs'!$C$3,J9,S9*0.00309*1000))</f>
        <v>0</v>
      </c>
      <c r="AR9" s="1358">
        <f>IF(N(J9)=0,0,-PV('Avoided Costs'!$C$3,J9,T9))</f>
        <v>0</v>
      </c>
      <c r="AS9" s="1358">
        <f t="shared" ref="AS9:AS28" si="14">IF(OR(N(P9+Q9)=0,N(J9)=0)=TRUE,0,HLOOKUP(J9,AvoidedCostTable,7,FALSE)*(P9+Q9))</f>
        <v>0</v>
      </c>
      <c r="AT9" s="1358">
        <f t="shared" ref="AT9:AT28" si="15">IF(OR(K9&lt;&gt;"gas - firm",N(N9+O9)=0,N(J9)=0)=TRUE,0,HLOOKUP(J9,AvoidedCostTable,8,FALSE)*(N9+O9))</f>
        <v>0</v>
      </c>
      <c r="AU9" s="1358">
        <f>SUM(AL9:AT9)-AQ9-AR9</f>
        <v>0</v>
      </c>
      <c r="AV9" s="1359">
        <f t="shared" ref="AV9:AV28" si="16">MAX(N9+O9,0)</f>
        <v>0</v>
      </c>
      <c r="AW9" s="1359">
        <f t="shared" ref="AW9:AW28" si="17">MAX(P9+Q9,0)*3412/1000000</f>
        <v>0</v>
      </c>
      <c r="AX9" s="1360">
        <f>AV9+AW9</f>
        <v>0</v>
      </c>
    </row>
    <row r="10" spans="1:58">
      <c r="A10" s="1392">
        <v>2</v>
      </c>
      <c r="B10" s="1393">
        <f>'Results from eQUEST'!K31</f>
        <v>0</v>
      </c>
      <c r="C10" s="502"/>
      <c r="D10" s="698" t="e">
        <f>INDEX(ERMs!$B$5:$E$78,MATCH(A10,ERMs!$B$5:$B$78,0),4)</f>
        <v>#N/A</v>
      </c>
      <c r="E10" s="503"/>
      <c r="F10" s="504"/>
      <c r="G10" s="698" t="e">
        <f>INDEX(ERMs!$B$5:$E$78,MATCH(A10,ERMs!$B$5:$B$78,0),2)</f>
        <v>#N/A</v>
      </c>
      <c r="H10" s="503"/>
      <c r="I10" s="502"/>
      <c r="J10" s="1395" t="str">
        <f>IF(C10="","",VLOOKUP(C10,'Demand Savings Lookup'!$A$3:$G$42,6,FALSE))</f>
        <v/>
      </c>
      <c r="K10" s="1396" t="str">
        <f>IF(AND(N10=0,O10=0),"N/A",IF('Basic Info'!$C$49="natural gas","gas - firm",IF(AND('Basic Info'!$C$50="natural gas",'Basic Info'!$C$49="electric"),"gas - non firm","")))</f>
        <v>N/A</v>
      </c>
      <c r="L10" s="505"/>
      <c r="M10" s="1395" t="str">
        <f>IF(C10="","",VLOOKUP(C10,'Demand Savings Lookup'!$A$1:$G$42,7,FALSE))</f>
        <v/>
      </c>
      <c r="N10" s="1397">
        <f>IF(B10=0,0,(('Results from eQUEST'!BB30+'Results from eQUEST'!BH30)/10-('Results from eQUEST'!BB31+'Results from eQUEST'!BH31)/10))</f>
        <v>0</v>
      </c>
      <c r="O10" s="1397">
        <f>IF(B10=0,0,('Results from eQUEST'!BK30-'Results from eQUEST'!BK31)/10-N10)</f>
        <v>0</v>
      </c>
      <c r="P10" s="1397">
        <f>IF(B10=0,0,(('Results from eQUEST'!Q30+'Results from eQUEST'!R30)-('Results from eQUEST'!Q31+'Results from eQUEST'!R31)))</f>
        <v>0</v>
      </c>
      <c r="Q10" s="1398">
        <f>IF(B10=0,0,'Results from eQUEST'!Y30-'Results from eQUEST'!Y31-P10)</f>
        <v>0</v>
      </c>
      <c r="R10" s="1399">
        <f>IF(P10+Q10&lt;=0,0,IF(AND(P10=0,Q10=0),0,IF(B10=0,0,P10*VLOOKUP(C10,'Demand Savings Lookup'!$A$3:$E$42,IF('Basic Info'!$C$56=4,5,3),FALSE)+Q10*VLOOKUP(C10,'Demand Savings Lookup'!$A$3:$E$42,IF('Basic Info'!$C$56=4,4,2),FALSE))))</f>
        <v>0</v>
      </c>
      <c r="S10" s="483"/>
      <c r="T10" s="483"/>
      <c r="U10" s="513" t="str">
        <f t="shared" si="0"/>
        <v/>
      </c>
      <c r="V10" s="514" t="str">
        <f>IF(B10=0,"",(P10+Q10)*'Reporting Summary'!$C$112+(N10+O10)*'Reporting Summary'!$C$113*10+0.00309*S10*1000)</f>
        <v/>
      </c>
      <c r="W10" s="515" t="str">
        <f t="shared" si="1"/>
        <v/>
      </c>
      <c r="X10" s="515" t="str">
        <f t="shared" si="2"/>
        <v/>
      </c>
      <c r="Y10" s="512" t="str">
        <f t="shared" si="3"/>
        <v/>
      </c>
      <c r="Z10" s="516" t="str">
        <f t="shared" si="4"/>
        <v/>
      </c>
      <c r="AA10" s="517" t="str">
        <f t="shared" si="5"/>
        <v/>
      </c>
      <c r="AC10" s="1374" t="str">
        <f t="shared" si="6"/>
        <v/>
      </c>
      <c r="AD10" s="1375" t="str">
        <f t="shared" ref="AD10:AD28" si="18">IF(AC10="","",IF(AC10="Yes","Yes","No"))</f>
        <v/>
      </c>
      <c r="AE10" s="1376" t="str">
        <f t="shared" si="7"/>
        <v/>
      </c>
      <c r="AF10" s="1377" t="str">
        <f>IF('Basic Info'!$C$44="","",(IF(AND(AC10="Yes",AD10&lt;&gt;"No"),IF('Basic Info'!$C$44="Market Rate",IF(AE10="Electricity","MPPMREINC","MPPMRGINC"),IF(AE10="Electricity","MPPLIEINC","MPPLIGINC")),"")))</f>
        <v/>
      </c>
      <c r="AG10" s="1378"/>
      <c r="AH10" s="1344"/>
      <c r="AI10" s="1370">
        <f t="shared" si="8"/>
        <v>0</v>
      </c>
      <c r="AJ10" s="1371">
        <f t="shared" si="9"/>
        <v>0</v>
      </c>
      <c r="AK10" s="1345"/>
      <c r="AL10" s="1356">
        <f t="shared" si="10"/>
        <v>0</v>
      </c>
      <c r="AM10" s="1357">
        <f t="shared" si="11"/>
        <v>0</v>
      </c>
      <c r="AN10" s="1357">
        <f t="shared" si="12"/>
        <v>0</v>
      </c>
      <c r="AO10" s="1357">
        <f t="shared" ref="AO10:AO28" si="19">IF(OR(N(J10)=0,N(N10)=0)=TRUE,0,IF(AND(K10&lt;&gt;"gas - firm",K10&lt;&gt;"gas non - firm")=TRUE,0,N10*HLOOKUP(J10,AvoidedCostTable,4,FALSE)))</f>
        <v>0</v>
      </c>
      <c r="AP10" s="1357">
        <f t="shared" si="13"/>
        <v>0</v>
      </c>
      <c r="AQ10" s="1357">
        <f>IF(OR(N(S10)=0,N(J10)=0)=TRUE,0,-PV('Avoided Costs'!$C$3,J10,S10*0.00309*1000))</f>
        <v>0</v>
      </c>
      <c r="AR10" s="1358">
        <f>IF(N(J10)=0,0,-PV('Avoided Costs'!$C$3,J10,T10))</f>
        <v>0</v>
      </c>
      <c r="AS10" s="1358">
        <f t="shared" si="14"/>
        <v>0</v>
      </c>
      <c r="AT10" s="1358">
        <f t="shared" si="15"/>
        <v>0</v>
      </c>
      <c r="AU10" s="1358">
        <f t="shared" ref="AU10:AU28" si="20">SUM(AL10:AT10)-AQ10-AR10</f>
        <v>0</v>
      </c>
      <c r="AV10" s="1359">
        <f t="shared" si="16"/>
        <v>0</v>
      </c>
      <c r="AW10" s="1359">
        <f t="shared" si="17"/>
        <v>0</v>
      </c>
      <c r="AX10" s="1360">
        <f t="shared" ref="AX10:AX28" si="21">AV10+AW10</f>
        <v>0</v>
      </c>
    </row>
    <row r="11" spans="1:58">
      <c r="A11" s="1392">
        <v>3</v>
      </c>
      <c r="B11" s="1393">
        <f>'Results from eQUEST'!K32</f>
        <v>0</v>
      </c>
      <c r="C11" s="502"/>
      <c r="D11" s="698" t="e">
        <f>INDEX(ERMs!$B$5:$E$78,MATCH(A11,ERMs!$B$5:$B$78,0),4)</f>
        <v>#N/A</v>
      </c>
      <c r="E11" s="503"/>
      <c r="F11" s="504"/>
      <c r="G11" s="698" t="e">
        <f>INDEX(ERMs!$B$5:$E$78,MATCH(A11,ERMs!$B$5:$B$78,0),2)</f>
        <v>#N/A</v>
      </c>
      <c r="H11" s="503"/>
      <c r="I11" s="502"/>
      <c r="J11" s="1395" t="str">
        <f>IF(C11="","",VLOOKUP(C11,'Demand Savings Lookup'!$A$3:$G$42,6,FALSE))</f>
        <v/>
      </c>
      <c r="K11" s="1396" t="str">
        <f>IF(AND(N11=0,O11=0),"N/A",IF('Basic Info'!$C$49="natural gas","gas - firm",IF(AND('Basic Info'!$C$50="natural gas",'Basic Info'!$C$49="electric"),"gas - non firm","")))</f>
        <v>N/A</v>
      </c>
      <c r="L11" s="505"/>
      <c r="M11" s="1395" t="str">
        <f>IF(C11="","",VLOOKUP(C11,'Demand Savings Lookup'!$A$1:$G$42,7,FALSE))</f>
        <v/>
      </c>
      <c r="N11" s="1397">
        <f>IF(B11=0,0,(('Results from eQUEST'!BB31+'Results from eQUEST'!BH31)/10-('Results from eQUEST'!BB32+'Results from eQUEST'!BH32)/10))</f>
        <v>0</v>
      </c>
      <c r="O11" s="1397">
        <f>IF(B11=0,0,('Results from eQUEST'!BK31-'Results from eQUEST'!BK32)/10-N11)</f>
        <v>0</v>
      </c>
      <c r="P11" s="1397">
        <f>IF(B11=0,0,(('Results from eQUEST'!Q31+'Results from eQUEST'!R31)-('Results from eQUEST'!Q32+'Results from eQUEST'!R32)))</f>
        <v>0</v>
      </c>
      <c r="Q11" s="1398">
        <f>IF(B11=0,0,'Results from eQUEST'!Y31-'Results from eQUEST'!Y32-P11)</f>
        <v>0</v>
      </c>
      <c r="R11" s="1399">
        <f>IF(P11+Q11&lt;=0,0,IF(AND(P11=0,Q11=0),0,IF(B11=0,0,P11*VLOOKUP(C11,'Demand Savings Lookup'!$A$3:$E$42,IF('Basic Info'!$C$56=4,5,3),FALSE)+Q11*VLOOKUP(C11,'Demand Savings Lookup'!$A$3:$E$42,IF('Basic Info'!$C$56=4,4,2),FALSE))))</f>
        <v>0</v>
      </c>
      <c r="S11" s="483"/>
      <c r="T11" s="483"/>
      <c r="U11" s="513" t="str">
        <f t="shared" si="0"/>
        <v/>
      </c>
      <c r="V11" s="514" t="str">
        <f>IF(B11=0,"",(P11+Q11)*'Reporting Summary'!$C$112+(N11+O11)*'Reporting Summary'!$C$113*10+0.00309*S11*1000)</f>
        <v/>
      </c>
      <c r="W11" s="515" t="str">
        <f t="shared" si="1"/>
        <v/>
      </c>
      <c r="X11" s="515" t="str">
        <f t="shared" si="2"/>
        <v/>
      </c>
      <c r="Y11" s="512" t="str">
        <f t="shared" si="3"/>
        <v/>
      </c>
      <c r="Z11" s="516" t="str">
        <f t="shared" si="4"/>
        <v/>
      </c>
      <c r="AA11" s="517" t="str">
        <f t="shared" si="5"/>
        <v/>
      </c>
      <c r="AC11" s="1374" t="str">
        <f t="shared" si="6"/>
        <v/>
      </c>
      <c r="AD11" s="1375" t="str">
        <f t="shared" si="18"/>
        <v/>
      </c>
      <c r="AE11" s="1376" t="str">
        <f t="shared" si="7"/>
        <v/>
      </c>
      <c r="AF11" s="1377" t="str">
        <f>IF('Basic Info'!$C$44="","",(IF(AND(AC11="Yes",AD11&lt;&gt;"No"),IF('Basic Info'!$C$44="Market Rate",IF(AE11="Electricity","MPPMREINC","MPPMRGINC"),IF(AE11="Electricity","MPPLIEINC","MPPLIGINC")),"")))</f>
        <v/>
      </c>
      <c r="AG11" s="1378"/>
      <c r="AH11" s="1344"/>
      <c r="AI11" s="1370">
        <f t="shared" si="8"/>
        <v>0</v>
      </c>
      <c r="AJ11" s="1371">
        <f t="shared" si="9"/>
        <v>0</v>
      </c>
      <c r="AK11" s="1345"/>
      <c r="AL11" s="1356">
        <f t="shared" si="10"/>
        <v>0</v>
      </c>
      <c r="AM11" s="1357">
        <f t="shared" si="11"/>
        <v>0</v>
      </c>
      <c r="AN11" s="1357">
        <f t="shared" si="12"/>
        <v>0</v>
      </c>
      <c r="AO11" s="1357">
        <f t="shared" si="19"/>
        <v>0</v>
      </c>
      <c r="AP11" s="1357">
        <f t="shared" si="13"/>
        <v>0</v>
      </c>
      <c r="AQ11" s="1357">
        <f>IF(OR(N(S11)=0,N(J11)=0)=TRUE,0,-PV('Avoided Costs'!$C$3,J11,S11*0.00309*1000))</f>
        <v>0</v>
      </c>
      <c r="AR11" s="1358">
        <f>IF(N(J11)=0,0,-PV('Avoided Costs'!$C$3,J11,T11))</f>
        <v>0</v>
      </c>
      <c r="AS11" s="1358">
        <f t="shared" si="14"/>
        <v>0</v>
      </c>
      <c r="AT11" s="1358">
        <f t="shared" si="15"/>
        <v>0</v>
      </c>
      <c r="AU11" s="1358">
        <f t="shared" si="20"/>
        <v>0</v>
      </c>
      <c r="AV11" s="1359">
        <f t="shared" si="16"/>
        <v>0</v>
      </c>
      <c r="AW11" s="1359">
        <f t="shared" si="17"/>
        <v>0</v>
      </c>
      <c r="AX11" s="1360">
        <f t="shared" si="21"/>
        <v>0</v>
      </c>
    </row>
    <row r="12" spans="1:58">
      <c r="A12" s="1392">
        <v>4</v>
      </c>
      <c r="B12" s="1393">
        <f>'Results from eQUEST'!K33</f>
        <v>0</v>
      </c>
      <c r="C12" s="502"/>
      <c r="D12" s="698" t="e">
        <f>INDEX(ERMs!$B$5:$E$78,MATCH(A12,ERMs!$B$5:$B$78,0),4)</f>
        <v>#N/A</v>
      </c>
      <c r="E12" s="503"/>
      <c r="F12" s="504"/>
      <c r="G12" s="698" t="e">
        <f>INDEX(ERMs!$B$5:$E$78,MATCH(A12,ERMs!$B$5:$B$78,0),2)</f>
        <v>#N/A</v>
      </c>
      <c r="H12" s="503"/>
      <c r="I12" s="502"/>
      <c r="J12" s="1395" t="str">
        <f>IF(C12="","",VLOOKUP(C12,'Demand Savings Lookup'!$A$3:$G$42,6,FALSE))</f>
        <v/>
      </c>
      <c r="K12" s="1396" t="str">
        <f>IF(AND(N12=0,O12=0),"N/A",IF('Basic Info'!$C$49="natural gas","gas - firm",IF(AND('Basic Info'!$C$50="natural gas",'Basic Info'!$C$49="electric"),"gas - non firm","")))</f>
        <v>N/A</v>
      </c>
      <c r="L12" s="505"/>
      <c r="M12" s="1395" t="str">
        <f>IF(C12="","",VLOOKUP(C12,'Demand Savings Lookup'!$A$1:$G$42,7,FALSE))</f>
        <v/>
      </c>
      <c r="N12" s="1397">
        <f>IF(B12=0,0,(('Results from eQUEST'!BB32+'Results from eQUEST'!BH32)/10-('Results from eQUEST'!BB33+'Results from eQUEST'!BH33)/10))</f>
        <v>0</v>
      </c>
      <c r="O12" s="1397">
        <f>IF(B12=0,0,('Results from eQUEST'!BK32-'Results from eQUEST'!BK33)/10-N12)</f>
        <v>0</v>
      </c>
      <c r="P12" s="1397">
        <f>IF(B12=0,0,(('Results from eQUEST'!Q32+'Results from eQUEST'!R32)-('Results from eQUEST'!Q33+'Results from eQUEST'!R33)))</f>
        <v>0</v>
      </c>
      <c r="Q12" s="1398">
        <f>IF(B12=0,0,'Results from eQUEST'!Y32-'Results from eQUEST'!Y33-P12)</f>
        <v>0</v>
      </c>
      <c r="R12" s="1399">
        <f>IF(P12+Q12&lt;=0,0,IF(AND(P12=0,Q12=0),0,IF(B12=0,0,P12*VLOOKUP(C12,'Demand Savings Lookup'!$A$3:$E$42,IF('Basic Info'!$C$56=4,5,3),FALSE)+Q12*VLOOKUP(C12,'Demand Savings Lookup'!$A$3:$E$42,IF('Basic Info'!$C$56=4,4,2),FALSE))))</f>
        <v>0</v>
      </c>
      <c r="S12" s="483"/>
      <c r="T12" s="483"/>
      <c r="U12" s="513" t="str">
        <f t="shared" si="0"/>
        <v/>
      </c>
      <c r="V12" s="514" t="str">
        <f>IF(B12=0,"",(P12+Q12)*'Reporting Summary'!$C$112+(N12+O12)*'Reporting Summary'!$C$113*10+0.00309*S12*1000)</f>
        <v/>
      </c>
      <c r="W12" s="515" t="str">
        <f t="shared" si="1"/>
        <v/>
      </c>
      <c r="X12" s="515" t="str">
        <f t="shared" si="2"/>
        <v/>
      </c>
      <c r="Y12" s="512" t="str">
        <f t="shared" si="3"/>
        <v/>
      </c>
      <c r="Z12" s="516" t="str">
        <f t="shared" si="4"/>
        <v/>
      </c>
      <c r="AA12" s="517" t="str">
        <f t="shared" si="5"/>
        <v/>
      </c>
      <c r="AC12" s="1374" t="str">
        <f t="shared" si="6"/>
        <v/>
      </c>
      <c r="AD12" s="1375" t="str">
        <f t="shared" si="18"/>
        <v/>
      </c>
      <c r="AE12" s="1376" t="str">
        <f t="shared" si="7"/>
        <v/>
      </c>
      <c r="AF12" s="1377" t="str">
        <f>IF('Basic Info'!$C$44="","",(IF(AND(AC12="Yes",AD12&lt;&gt;"No"),IF('Basic Info'!$C$44="Market Rate",IF(AE12="Electricity","MPPMREINC","MPPMRGINC"),IF(AE12="Electricity","MPPLIEINC","MPPLIGINC")),"")))</f>
        <v/>
      </c>
      <c r="AG12" s="1378"/>
      <c r="AH12" s="1344"/>
      <c r="AI12" s="1370">
        <f t="shared" si="8"/>
        <v>0</v>
      </c>
      <c r="AJ12" s="1371">
        <f t="shared" si="9"/>
        <v>0</v>
      </c>
      <c r="AK12" s="1345"/>
      <c r="AL12" s="1356">
        <f t="shared" si="10"/>
        <v>0</v>
      </c>
      <c r="AM12" s="1357">
        <f t="shared" si="11"/>
        <v>0</v>
      </c>
      <c r="AN12" s="1357">
        <f t="shared" si="12"/>
        <v>0</v>
      </c>
      <c r="AO12" s="1357">
        <f t="shared" si="19"/>
        <v>0</v>
      </c>
      <c r="AP12" s="1357">
        <f t="shared" si="13"/>
        <v>0</v>
      </c>
      <c r="AQ12" s="1357">
        <f>IF(OR(N(S12)=0,N(J12)=0)=TRUE,0,-PV('Avoided Costs'!$C$3,J12,S12*0.00309*1000))</f>
        <v>0</v>
      </c>
      <c r="AR12" s="1358">
        <f>IF(N(J12)=0,0,-PV('Avoided Costs'!$C$3,J12,T12))</f>
        <v>0</v>
      </c>
      <c r="AS12" s="1358">
        <f t="shared" si="14"/>
        <v>0</v>
      </c>
      <c r="AT12" s="1358">
        <f t="shared" si="15"/>
        <v>0</v>
      </c>
      <c r="AU12" s="1358">
        <f t="shared" si="20"/>
        <v>0</v>
      </c>
      <c r="AV12" s="1359">
        <f t="shared" si="16"/>
        <v>0</v>
      </c>
      <c r="AW12" s="1359">
        <f t="shared" si="17"/>
        <v>0</v>
      </c>
      <c r="AX12" s="1360">
        <f t="shared" si="21"/>
        <v>0</v>
      </c>
    </row>
    <row r="13" spans="1:58">
      <c r="A13" s="1392">
        <v>5</v>
      </c>
      <c r="B13" s="1393">
        <f>'Results from eQUEST'!K34</f>
        <v>0</v>
      </c>
      <c r="C13" s="502"/>
      <c r="D13" s="698" t="e">
        <f>INDEX(ERMs!$B$5:$E$78,MATCH(A13,ERMs!$B$5:$B$78,0),4)</f>
        <v>#N/A</v>
      </c>
      <c r="E13" s="503"/>
      <c r="F13" s="504"/>
      <c r="G13" s="698" t="e">
        <f>INDEX(ERMs!$B$5:$E$78,MATCH(A13,ERMs!$B$5:$B$78,0),2)</f>
        <v>#N/A</v>
      </c>
      <c r="H13" s="503"/>
      <c r="I13" s="502"/>
      <c r="J13" s="1395" t="str">
        <f>IF(C13="","",VLOOKUP(C13,'Demand Savings Lookup'!$A$3:$G$42,6,FALSE))</f>
        <v/>
      </c>
      <c r="K13" s="1396" t="str">
        <f>IF(AND(N13=0,O13=0),"N/A",IF('Basic Info'!$C$49="natural gas","gas - firm",IF(AND('Basic Info'!$C$50="natural gas",'Basic Info'!$C$49="electric"),"gas - non firm","")))</f>
        <v>N/A</v>
      </c>
      <c r="L13" s="505"/>
      <c r="M13" s="1395" t="str">
        <f>IF(C13="","",VLOOKUP(C13,'Demand Savings Lookup'!$A$1:$G$42,7,FALSE))</f>
        <v/>
      </c>
      <c r="N13" s="1397">
        <f>IF(B13=0,0,(('Results from eQUEST'!BB33+'Results from eQUEST'!BH33)/10-('Results from eQUEST'!BB34+'Results from eQUEST'!BH34)/10))</f>
        <v>0</v>
      </c>
      <c r="O13" s="1397">
        <f>IF(B13=0,0,('Results from eQUEST'!BK33-'Results from eQUEST'!BK34)/10-N13)</f>
        <v>0</v>
      </c>
      <c r="P13" s="1397">
        <f>IF(B13=0,0,(('Results from eQUEST'!Q33+'Results from eQUEST'!R33)-('Results from eQUEST'!Q34+'Results from eQUEST'!R34)))</f>
        <v>0</v>
      </c>
      <c r="Q13" s="1398">
        <f>IF(B13=0,0,'Results from eQUEST'!Y33-'Results from eQUEST'!Y34-P13)</f>
        <v>0</v>
      </c>
      <c r="R13" s="1399">
        <f>IF(P13+Q13&lt;=0,0,IF(AND(P13=0,Q13=0),0,IF(B13=0,0,P13*VLOOKUP(C13,'Demand Savings Lookup'!$A$3:$E$42,IF('Basic Info'!$C$56=4,5,3),FALSE)+Q13*VLOOKUP(C13,'Demand Savings Lookup'!$A$3:$E$42,IF('Basic Info'!$C$56=4,4,2),FALSE))))</f>
        <v>0</v>
      </c>
      <c r="S13" s="483"/>
      <c r="T13" s="483"/>
      <c r="U13" s="513" t="str">
        <f t="shared" si="0"/>
        <v/>
      </c>
      <c r="V13" s="514" t="str">
        <f>IF(B13=0,"",(P13+Q13)*'Reporting Summary'!$C$112+(N13+O13)*'Reporting Summary'!$C$113*10+0.00309*S13*1000)</f>
        <v/>
      </c>
      <c r="W13" s="515" t="str">
        <f t="shared" si="1"/>
        <v/>
      </c>
      <c r="X13" s="515" t="str">
        <f t="shared" si="2"/>
        <v/>
      </c>
      <c r="Y13" s="512" t="str">
        <f t="shared" si="3"/>
        <v/>
      </c>
      <c r="Z13" s="516" t="str">
        <f t="shared" si="4"/>
        <v/>
      </c>
      <c r="AA13" s="517" t="str">
        <f t="shared" si="5"/>
        <v/>
      </c>
      <c r="AC13" s="1374" t="str">
        <f t="shared" si="6"/>
        <v/>
      </c>
      <c r="AD13" s="1375" t="str">
        <f t="shared" si="18"/>
        <v/>
      </c>
      <c r="AE13" s="1376" t="str">
        <f t="shared" si="7"/>
        <v/>
      </c>
      <c r="AF13" s="1377" t="str">
        <f>IF('Basic Info'!$C$44="","",(IF(AND(AC13="Yes",AD13&lt;&gt;"No"),IF('Basic Info'!$C$44="Market Rate",IF(AE13="Electricity","MPPMREINC","MPPMRGINC"),IF(AE13="Electricity","MPPLIEINC","MPPLIGINC")),"")))</f>
        <v/>
      </c>
      <c r="AG13" s="1378"/>
      <c r="AH13" s="1344"/>
      <c r="AI13" s="1370">
        <f t="shared" si="8"/>
        <v>0</v>
      </c>
      <c r="AJ13" s="1371">
        <f t="shared" si="9"/>
        <v>0</v>
      </c>
      <c r="AK13" s="1345"/>
      <c r="AL13" s="1356">
        <f t="shared" si="10"/>
        <v>0</v>
      </c>
      <c r="AM13" s="1357">
        <f t="shared" si="11"/>
        <v>0</v>
      </c>
      <c r="AN13" s="1357">
        <f t="shared" si="12"/>
        <v>0</v>
      </c>
      <c r="AO13" s="1357">
        <f t="shared" si="19"/>
        <v>0</v>
      </c>
      <c r="AP13" s="1357">
        <f t="shared" si="13"/>
        <v>0</v>
      </c>
      <c r="AQ13" s="1357">
        <f>IF(OR(N(S13)=0,N(J13)=0)=TRUE,0,-PV('Avoided Costs'!$C$3,J13,S13*0.00309*1000))</f>
        <v>0</v>
      </c>
      <c r="AR13" s="1358">
        <f>IF(N(J13)=0,0,-PV('Avoided Costs'!$C$3,J13,T13))</f>
        <v>0</v>
      </c>
      <c r="AS13" s="1358">
        <f t="shared" si="14"/>
        <v>0</v>
      </c>
      <c r="AT13" s="1358">
        <f t="shared" si="15"/>
        <v>0</v>
      </c>
      <c r="AU13" s="1358">
        <f t="shared" si="20"/>
        <v>0</v>
      </c>
      <c r="AV13" s="1359">
        <f t="shared" si="16"/>
        <v>0</v>
      </c>
      <c r="AW13" s="1359">
        <f t="shared" si="17"/>
        <v>0</v>
      </c>
      <c r="AX13" s="1360">
        <f t="shared" si="21"/>
        <v>0</v>
      </c>
    </row>
    <row r="14" spans="1:58">
      <c r="A14" s="1392">
        <v>6</v>
      </c>
      <c r="B14" s="1393">
        <f>'Results from eQUEST'!K35</f>
        <v>0</v>
      </c>
      <c r="C14" s="502"/>
      <c r="D14" s="698" t="e">
        <f>INDEX(ERMs!$B$5:$E$78,MATCH(A14,ERMs!$B$5:$B$78,0),4)</f>
        <v>#N/A</v>
      </c>
      <c r="E14" s="503"/>
      <c r="F14" s="504"/>
      <c r="G14" s="698" t="e">
        <f>INDEX(ERMs!$B$5:$E$78,MATCH(A14,ERMs!$B$5:$B$78,0),2)</f>
        <v>#N/A</v>
      </c>
      <c r="H14" s="503"/>
      <c r="I14" s="502"/>
      <c r="J14" s="1395" t="str">
        <f>IF(C14="","",VLOOKUP(C14,'Demand Savings Lookup'!$A$3:$G$42,6,FALSE))</f>
        <v/>
      </c>
      <c r="K14" s="1396" t="str">
        <f>IF(AND(N14=0,O14=0),"N/A",IF('Basic Info'!$C$49="natural gas","gas - firm",IF(AND('Basic Info'!$C$50="natural gas",'Basic Info'!$C$49="electric"),"gas - non firm","")))</f>
        <v>N/A</v>
      </c>
      <c r="L14" s="505"/>
      <c r="M14" s="1395" t="str">
        <f>IF(C14="","",VLOOKUP(C14,'Demand Savings Lookup'!$A$1:$G$42,7,FALSE))</f>
        <v/>
      </c>
      <c r="N14" s="1397">
        <f>IF(B14=0,0,(('Results from eQUEST'!BB34+'Results from eQUEST'!BH34)/10-('Results from eQUEST'!BB35+'Results from eQUEST'!BH35)/10))</f>
        <v>0</v>
      </c>
      <c r="O14" s="1397">
        <f>IF(B14=0,0,('Results from eQUEST'!BK34-'Results from eQUEST'!BK35)/10-N14)</f>
        <v>0</v>
      </c>
      <c r="P14" s="1397">
        <f>IF(B14=0,0,(('Results from eQUEST'!Q34+'Results from eQUEST'!R34)-('Results from eQUEST'!Q35+'Results from eQUEST'!R35)))</f>
        <v>0</v>
      </c>
      <c r="Q14" s="1398">
        <f>IF(B14=0,0,'Results from eQUEST'!Y34-'Results from eQUEST'!Y35-P14)</f>
        <v>0</v>
      </c>
      <c r="R14" s="1399">
        <f>IF(P14+Q14&lt;=0,0,IF(AND(P14=0,Q14=0),0,IF(B14=0,0,P14*VLOOKUP(C14,'Demand Savings Lookup'!$A$3:$E$42,IF('Basic Info'!$C$56=4,5,3),FALSE)+Q14*VLOOKUP(C14,'Demand Savings Lookup'!$A$3:$E$42,IF('Basic Info'!$C$56=4,4,2),FALSE))))</f>
        <v>0</v>
      </c>
      <c r="S14" s="483"/>
      <c r="T14" s="483"/>
      <c r="U14" s="513" t="str">
        <f t="shared" si="0"/>
        <v/>
      </c>
      <c r="V14" s="514" t="str">
        <f>IF(B14=0,"",(P14+Q14)*'Reporting Summary'!$C$112+(N14+O14)*'Reporting Summary'!$C$113*10+0.00309*S14*1000)</f>
        <v/>
      </c>
      <c r="W14" s="515" t="str">
        <f t="shared" si="1"/>
        <v/>
      </c>
      <c r="X14" s="515" t="str">
        <f t="shared" si="2"/>
        <v/>
      </c>
      <c r="Y14" s="512" t="str">
        <f t="shared" si="3"/>
        <v/>
      </c>
      <c r="Z14" s="516" t="str">
        <f t="shared" si="4"/>
        <v/>
      </c>
      <c r="AA14" s="517" t="str">
        <f t="shared" si="5"/>
        <v/>
      </c>
      <c r="AC14" s="1374" t="str">
        <f t="shared" si="6"/>
        <v/>
      </c>
      <c r="AD14" s="1375" t="str">
        <f t="shared" si="18"/>
        <v/>
      </c>
      <c r="AE14" s="1376" t="str">
        <f t="shared" si="7"/>
        <v/>
      </c>
      <c r="AF14" s="1377" t="str">
        <f>IF('Basic Info'!$C$44="","",(IF(AND(AC14="Yes",AD14&lt;&gt;"No"),IF('Basic Info'!$C$44="Market Rate",IF(AE14="Electricity","MPPMREINC","MPPMRGINC"),IF(AE14="Electricity","MPPLIEINC","MPPLIGINC")),"")))</f>
        <v/>
      </c>
      <c r="AG14" s="1378"/>
      <c r="AH14" s="1344"/>
      <c r="AI14" s="1370">
        <f t="shared" si="8"/>
        <v>0</v>
      </c>
      <c r="AJ14" s="1371">
        <f t="shared" si="9"/>
        <v>0</v>
      </c>
      <c r="AK14" s="1345"/>
      <c r="AL14" s="1356">
        <f t="shared" si="10"/>
        <v>0</v>
      </c>
      <c r="AM14" s="1357">
        <f t="shared" si="11"/>
        <v>0</v>
      </c>
      <c r="AN14" s="1357">
        <f t="shared" si="12"/>
        <v>0</v>
      </c>
      <c r="AO14" s="1357">
        <f t="shared" si="19"/>
        <v>0</v>
      </c>
      <c r="AP14" s="1357">
        <f t="shared" si="13"/>
        <v>0</v>
      </c>
      <c r="AQ14" s="1357">
        <f>IF(OR(N(S14)=0,N(J14)=0)=TRUE,0,-PV('Avoided Costs'!$C$3,J14,S14*0.00309*1000))</f>
        <v>0</v>
      </c>
      <c r="AR14" s="1358">
        <f>IF(N(J14)=0,0,-PV('Avoided Costs'!$C$3,J14,T14))</f>
        <v>0</v>
      </c>
      <c r="AS14" s="1358">
        <f t="shared" si="14"/>
        <v>0</v>
      </c>
      <c r="AT14" s="1358">
        <f t="shared" si="15"/>
        <v>0</v>
      </c>
      <c r="AU14" s="1358">
        <f t="shared" si="20"/>
        <v>0</v>
      </c>
      <c r="AV14" s="1359">
        <f t="shared" si="16"/>
        <v>0</v>
      </c>
      <c r="AW14" s="1359">
        <f t="shared" si="17"/>
        <v>0</v>
      </c>
      <c r="AX14" s="1360">
        <f t="shared" si="21"/>
        <v>0</v>
      </c>
    </row>
    <row r="15" spans="1:58">
      <c r="A15" s="1392">
        <v>7</v>
      </c>
      <c r="B15" s="1393">
        <f>'Results from eQUEST'!K36</f>
        <v>0</v>
      </c>
      <c r="C15" s="502"/>
      <c r="D15" s="698" t="e">
        <f>INDEX(ERMs!$B$5:$E$78,MATCH(A15,ERMs!$B$5:$B$78,0),4)</f>
        <v>#N/A</v>
      </c>
      <c r="E15" s="503"/>
      <c r="F15" s="504"/>
      <c r="G15" s="698" t="e">
        <f>INDEX(ERMs!$B$5:$E$78,MATCH(A15,ERMs!$B$5:$B$78,0),2)</f>
        <v>#N/A</v>
      </c>
      <c r="H15" s="503"/>
      <c r="I15" s="502"/>
      <c r="J15" s="1395" t="str">
        <f>IF(C15="","",VLOOKUP(C15,'Demand Savings Lookup'!$A$3:$G$42,6,FALSE))</f>
        <v/>
      </c>
      <c r="K15" s="1396" t="str">
        <f>IF(AND(N15=0,O15=0),"N/A",IF('Basic Info'!$C$49="natural gas","gas - firm",IF(AND('Basic Info'!$C$50="natural gas",'Basic Info'!$C$49="electric"),"gas - non firm","")))</f>
        <v>N/A</v>
      </c>
      <c r="L15" s="505"/>
      <c r="M15" s="1395" t="str">
        <f>IF(C15="","",VLOOKUP(C15,'Demand Savings Lookup'!$A$1:$G$42,7,FALSE))</f>
        <v/>
      </c>
      <c r="N15" s="1397">
        <f>IF(B15=0,0,(('Results from eQUEST'!BB35+'Results from eQUEST'!BH35)/10-('Results from eQUEST'!BB36+'Results from eQUEST'!BH36)/10))</f>
        <v>0</v>
      </c>
      <c r="O15" s="1397">
        <f>IF(B15=0,0,('Results from eQUEST'!BK35-'Results from eQUEST'!BK36)/10-N15)</f>
        <v>0</v>
      </c>
      <c r="P15" s="1397">
        <f>IF(B15=0,0,(('Results from eQUEST'!Q35+'Results from eQUEST'!R35)-('Results from eQUEST'!Q36+'Results from eQUEST'!R36)))</f>
        <v>0</v>
      </c>
      <c r="Q15" s="1398">
        <f>IF(B15=0,0,'Results from eQUEST'!Y35-'Results from eQUEST'!Y36-P15)</f>
        <v>0</v>
      </c>
      <c r="R15" s="1399">
        <f>IF(P15+Q15&lt;=0,0,IF(AND(P15=0,Q15=0),0,IF(B15=0,0,P15*VLOOKUP(C15,'Demand Savings Lookup'!$A$3:$E$42,IF('Basic Info'!$C$56=4,5,3),FALSE)+Q15*VLOOKUP(C15,'Demand Savings Lookup'!$A$3:$E$42,IF('Basic Info'!$C$56=4,4,2),FALSE))))</f>
        <v>0</v>
      </c>
      <c r="S15" s="483"/>
      <c r="T15" s="483"/>
      <c r="U15" s="513" t="str">
        <f t="shared" si="0"/>
        <v/>
      </c>
      <c r="V15" s="514" t="str">
        <f>IF(B15=0,"",(P15+Q15)*'Reporting Summary'!$C$112+(N15+O15)*'Reporting Summary'!$C$113*10+0.00309*S15*1000)</f>
        <v/>
      </c>
      <c r="W15" s="515" t="str">
        <f t="shared" si="1"/>
        <v/>
      </c>
      <c r="X15" s="515" t="str">
        <f t="shared" si="2"/>
        <v/>
      </c>
      <c r="Y15" s="512" t="str">
        <f t="shared" si="3"/>
        <v/>
      </c>
      <c r="Z15" s="516" t="str">
        <f t="shared" si="4"/>
        <v/>
      </c>
      <c r="AA15" s="517" t="str">
        <f t="shared" si="5"/>
        <v/>
      </c>
      <c r="AC15" s="1374" t="str">
        <f t="shared" si="6"/>
        <v/>
      </c>
      <c r="AD15" s="1375" t="str">
        <f t="shared" si="18"/>
        <v/>
      </c>
      <c r="AE15" s="1376" t="str">
        <f t="shared" si="7"/>
        <v/>
      </c>
      <c r="AF15" s="1377" t="str">
        <f>IF('Basic Info'!$C$44="","",(IF(AND(AC15="Yes",AD15&lt;&gt;"No"),IF('Basic Info'!$C$44="Market Rate",IF(AE15="Electricity","MPPMREINC","MPPMRGINC"),IF(AE15="Electricity","MPPLIEINC","MPPLIGINC")),"")))</f>
        <v/>
      </c>
      <c r="AG15" s="1378"/>
      <c r="AH15" s="1344"/>
      <c r="AI15" s="1370">
        <f t="shared" si="8"/>
        <v>0</v>
      </c>
      <c r="AJ15" s="1371">
        <f t="shared" si="9"/>
        <v>0</v>
      </c>
      <c r="AK15" s="1345"/>
      <c r="AL15" s="1356">
        <f t="shared" si="10"/>
        <v>0</v>
      </c>
      <c r="AM15" s="1357">
        <f t="shared" si="11"/>
        <v>0</v>
      </c>
      <c r="AN15" s="1357">
        <f t="shared" si="12"/>
        <v>0</v>
      </c>
      <c r="AO15" s="1357">
        <f t="shared" si="19"/>
        <v>0</v>
      </c>
      <c r="AP15" s="1357">
        <f t="shared" si="13"/>
        <v>0</v>
      </c>
      <c r="AQ15" s="1357">
        <f>IF(OR(N(S15)=0,N(J15)=0)=TRUE,0,-PV('Avoided Costs'!$C$3,J15,S15*0.00309*1000))</f>
        <v>0</v>
      </c>
      <c r="AR15" s="1358">
        <f>IF(N(J15)=0,0,-PV('Avoided Costs'!$C$3,J15,T15))</f>
        <v>0</v>
      </c>
      <c r="AS15" s="1358">
        <f t="shared" si="14"/>
        <v>0</v>
      </c>
      <c r="AT15" s="1358">
        <f t="shared" si="15"/>
        <v>0</v>
      </c>
      <c r="AU15" s="1358">
        <f t="shared" si="20"/>
        <v>0</v>
      </c>
      <c r="AV15" s="1359">
        <f t="shared" si="16"/>
        <v>0</v>
      </c>
      <c r="AW15" s="1359">
        <f t="shared" si="17"/>
        <v>0</v>
      </c>
      <c r="AX15" s="1360">
        <f t="shared" si="21"/>
        <v>0</v>
      </c>
    </row>
    <row r="16" spans="1:58">
      <c r="A16" s="1392">
        <v>8</v>
      </c>
      <c r="B16" s="1393">
        <f>'Results from eQUEST'!K37</f>
        <v>0</v>
      </c>
      <c r="C16" s="502"/>
      <c r="D16" s="698" t="e">
        <f>INDEX(ERMs!$B$5:$E$78,MATCH(A16,ERMs!$B$5:$B$78,0),4)</f>
        <v>#N/A</v>
      </c>
      <c r="E16" s="503"/>
      <c r="F16" s="504"/>
      <c r="G16" s="698" t="e">
        <f>INDEX(ERMs!$B$5:$E$78,MATCH(A16,ERMs!$B$5:$B$78,0),2)</f>
        <v>#N/A</v>
      </c>
      <c r="H16" s="503"/>
      <c r="I16" s="502"/>
      <c r="J16" s="1395" t="str">
        <f>IF(C16="","",VLOOKUP(C16,'Demand Savings Lookup'!$A$3:$G$42,6,FALSE))</f>
        <v/>
      </c>
      <c r="K16" s="1396" t="str">
        <f>IF(AND(N16=0,O16=0),"N/A",IF('Basic Info'!$C$49="natural gas","gas - firm",IF(AND('Basic Info'!$C$50="natural gas",'Basic Info'!$C$49="electric"),"gas - non firm","")))</f>
        <v>N/A</v>
      </c>
      <c r="L16" s="505"/>
      <c r="M16" s="1395" t="str">
        <f>IF(C16="","",VLOOKUP(C16,'Demand Savings Lookup'!$A$1:$G$42,7,FALSE))</f>
        <v/>
      </c>
      <c r="N16" s="1397">
        <f>IF(B16=0,0,(('Results from eQUEST'!BB36+'Results from eQUEST'!BH36)/10-('Results from eQUEST'!BB37+'Results from eQUEST'!BH37)/10))</f>
        <v>0</v>
      </c>
      <c r="O16" s="1397">
        <f>IF(B16=0,0,('Results from eQUEST'!BK36-'Results from eQUEST'!BK37)/10-N16)</f>
        <v>0</v>
      </c>
      <c r="P16" s="1397">
        <f>IF(B16=0,0,(('Results from eQUEST'!Q36+'Results from eQUEST'!R36)-('Results from eQUEST'!Q37+'Results from eQUEST'!R37)))</f>
        <v>0</v>
      </c>
      <c r="Q16" s="1398">
        <f>IF(B16=0,0,'Results from eQUEST'!Y36-'Results from eQUEST'!Y37-P16)</f>
        <v>0</v>
      </c>
      <c r="R16" s="1399">
        <f>IF(P16+Q16&lt;=0,0,IF(AND(P16=0,Q16=0),0,IF(B16=0,0,P16*VLOOKUP(C16,'Demand Savings Lookup'!$A$3:$E$42,IF('Basic Info'!$C$56=4,5,3),FALSE)+Q16*VLOOKUP(C16,'Demand Savings Lookup'!$A$3:$E$42,IF('Basic Info'!$C$56=4,4,2),FALSE))))</f>
        <v>0</v>
      </c>
      <c r="S16" s="483"/>
      <c r="T16" s="483"/>
      <c r="U16" s="513" t="str">
        <f t="shared" si="0"/>
        <v/>
      </c>
      <c r="V16" s="514" t="str">
        <f>IF(B16=0,"",(P16+Q16)*'Reporting Summary'!$C$112+(N16+O16)*'Reporting Summary'!$C$113*10+0.00309*S16*1000)</f>
        <v/>
      </c>
      <c r="W16" s="515" t="str">
        <f t="shared" si="1"/>
        <v/>
      </c>
      <c r="X16" s="515" t="str">
        <f t="shared" si="2"/>
        <v/>
      </c>
      <c r="Y16" s="512" t="str">
        <f t="shared" si="3"/>
        <v/>
      </c>
      <c r="Z16" s="516" t="str">
        <f t="shared" si="4"/>
        <v/>
      </c>
      <c r="AA16" s="517" t="str">
        <f t="shared" si="5"/>
        <v/>
      </c>
      <c r="AC16" s="1374" t="str">
        <f t="shared" si="6"/>
        <v/>
      </c>
      <c r="AD16" s="1375" t="str">
        <f t="shared" si="18"/>
        <v/>
      </c>
      <c r="AE16" s="1376" t="str">
        <f t="shared" si="7"/>
        <v/>
      </c>
      <c r="AF16" s="1377" t="str">
        <f>IF('Basic Info'!$C$44="","",(IF(AND(AC16="Yes",AD16&lt;&gt;"No"),IF('Basic Info'!$C$44="Market Rate",IF(AE16="Electricity","MPPMREINC","MPPMRGINC"),IF(AE16="Electricity","MPPLIEINC","MPPLIGINC")),"")))</f>
        <v/>
      </c>
      <c r="AG16" s="1378"/>
      <c r="AH16" s="1344"/>
      <c r="AI16" s="1370">
        <f t="shared" si="8"/>
        <v>0</v>
      </c>
      <c r="AJ16" s="1371">
        <f t="shared" si="9"/>
        <v>0</v>
      </c>
      <c r="AK16" s="1345"/>
      <c r="AL16" s="1356">
        <f t="shared" si="10"/>
        <v>0</v>
      </c>
      <c r="AM16" s="1357">
        <f t="shared" si="11"/>
        <v>0</v>
      </c>
      <c r="AN16" s="1357">
        <f t="shared" si="12"/>
        <v>0</v>
      </c>
      <c r="AO16" s="1357">
        <f t="shared" si="19"/>
        <v>0</v>
      </c>
      <c r="AP16" s="1357">
        <f t="shared" si="13"/>
        <v>0</v>
      </c>
      <c r="AQ16" s="1357">
        <f>IF(OR(N(S16)=0,N(J16)=0)=TRUE,0,-PV('Avoided Costs'!$C$3,J16,S16*0.00309*1000))</f>
        <v>0</v>
      </c>
      <c r="AR16" s="1358">
        <f>IF(N(J16)=0,0,-PV('Avoided Costs'!$C$3,J16,T16))</f>
        <v>0</v>
      </c>
      <c r="AS16" s="1358">
        <f t="shared" si="14"/>
        <v>0</v>
      </c>
      <c r="AT16" s="1358">
        <f t="shared" si="15"/>
        <v>0</v>
      </c>
      <c r="AU16" s="1358">
        <f t="shared" si="20"/>
        <v>0</v>
      </c>
      <c r="AV16" s="1359">
        <f t="shared" si="16"/>
        <v>0</v>
      </c>
      <c r="AW16" s="1359">
        <f t="shared" si="17"/>
        <v>0</v>
      </c>
      <c r="AX16" s="1360">
        <f t="shared" si="21"/>
        <v>0</v>
      </c>
    </row>
    <row r="17" spans="1:50">
      <c r="A17" s="1392">
        <v>9</v>
      </c>
      <c r="B17" s="1393">
        <f>'Results from eQUEST'!K38</f>
        <v>0</v>
      </c>
      <c r="C17" s="502"/>
      <c r="D17" s="698" t="e">
        <f>INDEX(ERMs!$B$5:$E$78,MATCH(A17,ERMs!$B$5:$B$78,0),4)</f>
        <v>#N/A</v>
      </c>
      <c r="E17" s="503"/>
      <c r="F17" s="504"/>
      <c r="G17" s="698" t="e">
        <f>INDEX(ERMs!$B$5:$E$78,MATCH(A17,ERMs!$B$5:$B$78,0),2)</f>
        <v>#N/A</v>
      </c>
      <c r="H17" s="503"/>
      <c r="I17" s="502"/>
      <c r="J17" s="1395" t="str">
        <f>IF(C17="","",VLOOKUP(C17,'Demand Savings Lookup'!$A$3:$G$42,6,FALSE))</f>
        <v/>
      </c>
      <c r="K17" s="1396" t="str">
        <f>IF(AND(N17=0,O17=0),"N/A",IF('Basic Info'!$C$49="natural gas","gas - firm",IF(AND('Basic Info'!$C$50="natural gas",'Basic Info'!$C$49="electric"),"gas - non firm","")))</f>
        <v>N/A</v>
      </c>
      <c r="L17" s="505"/>
      <c r="M17" s="1395" t="str">
        <f>IF(C17="","",VLOOKUP(C17,'Demand Savings Lookup'!$A$1:$G$42,7,FALSE))</f>
        <v/>
      </c>
      <c r="N17" s="1397">
        <f>IF(B17=0,0,(('Results from eQUEST'!BB37+'Results from eQUEST'!BH37)/10-('Results from eQUEST'!BB38+'Results from eQUEST'!BH38)/10))</f>
        <v>0</v>
      </c>
      <c r="O17" s="1397">
        <f>IF(B17=0,0,('Results from eQUEST'!BK37-'Results from eQUEST'!BK38)/10-N17)</f>
        <v>0</v>
      </c>
      <c r="P17" s="1397">
        <f>IF(B17=0,0,(('Results from eQUEST'!Q37+'Results from eQUEST'!R37)-('Results from eQUEST'!Q38+'Results from eQUEST'!R38)))</f>
        <v>0</v>
      </c>
      <c r="Q17" s="1398">
        <f>IF(B17=0,0,'Results from eQUEST'!Y37-'Results from eQUEST'!Y38-P17)</f>
        <v>0</v>
      </c>
      <c r="R17" s="1399">
        <f>IF(P17+Q17&lt;=0,0,IF(AND(P17=0,Q17=0),0,IF(B17=0,0,P17*VLOOKUP(C17,'Demand Savings Lookup'!$A$3:$E$42,IF('Basic Info'!$C$56=4,5,3),FALSE)+Q17*VLOOKUP(C17,'Demand Savings Lookup'!$A$3:$E$42,IF('Basic Info'!$C$56=4,4,2),FALSE))))</f>
        <v>0</v>
      </c>
      <c r="S17" s="483"/>
      <c r="T17" s="483"/>
      <c r="U17" s="513" t="str">
        <f t="shared" si="0"/>
        <v/>
      </c>
      <c r="V17" s="514" t="str">
        <f>IF(B17=0,"",(P17+Q17)*'Reporting Summary'!$C$112+(N17+O17)*'Reporting Summary'!$C$113*10+0.00309*S17*1000)</f>
        <v/>
      </c>
      <c r="W17" s="515" t="str">
        <f t="shared" si="1"/>
        <v/>
      </c>
      <c r="X17" s="515" t="str">
        <f t="shared" si="2"/>
        <v/>
      </c>
      <c r="Y17" s="512" t="str">
        <f t="shared" si="3"/>
        <v/>
      </c>
      <c r="Z17" s="516" t="str">
        <f t="shared" si="4"/>
        <v/>
      </c>
      <c r="AA17" s="517" t="str">
        <f t="shared" si="5"/>
        <v/>
      </c>
      <c r="AC17" s="1374" t="str">
        <f t="shared" si="6"/>
        <v/>
      </c>
      <c r="AD17" s="1375" t="str">
        <f t="shared" si="18"/>
        <v/>
      </c>
      <c r="AE17" s="1376" t="str">
        <f t="shared" si="7"/>
        <v/>
      </c>
      <c r="AF17" s="1377" t="str">
        <f>IF('Basic Info'!$C$44="","",(IF(AND(AC17="Yes",AD17&lt;&gt;"No"),IF('Basic Info'!$C$44="Market Rate",IF(AE17="Electricity","MPPMREINC","MPPMRGINC"),IF(AE17="Electricity","MPPLIEINC","MPPLIGINC")),"")))</f>
        <v/>
      </c>
      <c r="AG17" s="1378"/>
      <c r="AH17" s="1344"/>
      <c r="AI17" s="1370">
        <f t="shared" si="8"/>
        <v>0</v>
      </c>
      <c r="AJ17" s="1371">
        <f t="shared" si="9"/>
        <v>0</v>
      </c>
      <c r="AK17" s="1345"/>
      <c r="AL17" s="1356">
        <f t="shared" si="10"/>
        <v>0</v>
      </c>
      <c r="AM17" s="1357">
        <f t="shared" si="11"/>
        <v>0</v>
      </c>
      <c r="AN17" s="1357">
        <f t="shared" si="12"/>
        <v>0</v>
      </c>
      <c r="AO17" s="1357">
        <f t="shared" si="19"/>
        <v>0</v>
      </c>
      <c r="AP17" s="1357">
        <f t="shared" si="13"/>
        <v>0</v>
      </c>
      <c r="AQ17" s="1357">
        <f>IF(OR(N(S17)=0,N(J17)=0)=TRUE,0,-PV('Avoided Costs'!$C$3,J17,S17*0.00309*1000))</f>
        <v>0</v>
      </c>
      <c r="AR17" s="1358">
        <f>IF(N(J17)=0,0,-PV('Avoided Costs'!$C$3,J17,T17))</f>
        <v>0</v>
      </c>
      <c r="AS17" s="1358">
        <f t="shared" si="14"/>
        <v>0</v>
      </c>
      <c r="AT17" s="1358">
        <f t="shared" si="15"/>
        <v>0</v>
      </c>
      <c r="AU17" s="1358">
        <f t="shared" si="20"/>
        <v>0</v>
      </c>
      <c r="AV17" s="1359">
        <f t="shared" si="16"/>
        <v>0</v>
      </c>
      <c r="AW17" s="1359">
        <f t="shared" si="17"/>
        <v>0</v>
      </c>
      <c r="AX17" s="1360">
        <f t="shared" si="21"/>
        <v>0</v>
      </c>
    </row>
    <row r="18" spans="1:50">
      <c r="A18" s="1392">
        <v>10</v>
      </c>
      <c r="B18" s="1393">
        <f>'Results from eQUEST'!K39</f>
        <v>0</v>
      </c>
      <c r="C18" s="502"/>
      <c r="D18" s="698" t="e">
        <f>INDEX(ERMs!$B$5:$E$78,MATCH(A18,ERMs!$B$5:$B$78,0),4)</f>
        <v>#N/A</v>
      </c>
      <c r="E18" s="503"/>
      <c r="F18" s="504"/>
      <c r="G18" s="698" t="e">
        <f>INDEX(ERMs!$B$5:$E$78,MATCH(A18,ERMs!$B$5:$B$78,0),2)</f>
        <v>#N/A</v>
      </c>
      <c r="H18" s="503"/>
      <c r="I18" s="502"/>
      <c r="J18" s="1395" t="str">
        <f>IF(C18="","",VLOOKUP(C18,'Demand Savings Lookup'!$A$3:$G$42,6,FALSE))</f>
        <v/>
      </c>
      <c r="K18" s="1396" t="str">
        <f>IF(AND(N18=0,O18=0),"N/A",IF('Basic Info'!$C$49="natural gas","gas - firm",IF(AND('Basic Info'!$C$50="natural gas",'Basic Info'!$C$49="electric"),"gas - non firm","")))</f>
        <v>N/A</v>
      </c>
      <c r="L18" s="505"/>
      <c r="M18" s="1395" t="str">
        <f>IF(C18="","",VLOOKUP(C18,'Demand Savings Lookup'!$A$1:$G$42,7,FALSE))</f>
        <v/>
      </c>
      <c r="N18" s="1397">
        <f>IF(B18=0,0,(('Results from eQUEST'!BB38+'Results from eQUEST'!BH38)/10-('Results from eQUEST'!BB39+'Results from eQUEST'!BH39)/10))</f>
        <v>0</v>
      </c>
      <c r="O18" s="1397">
        <f>IF(B18=0,0,('Results from eQUEST'!BK38-'Results from eQUEST'!BK39)/10-N18)</f>
        <v>0</v>
      </c>
      <c r="P18" s="1397">
        <f>IF(B18=0,0,(('Results from eQUEST'!Q38+'Results from eQUEST'!R38)-('Results from eQUEST'!Q39+'Results from eQUEST'!R39)))</f>
        <v>0</v>
      </c>
      <c r="Q18" s="1398">
        <f>IF(B18=0,0,'Results from eQUEST'!Y38-'Results from eQUEST'!Y39-P18)</f>
        <v>0</v>
      </c>
      <c r="R18" s="1399">
        <f>IF(P18+Q18&lt;=0,0,IF(AND(P18=0,Q18=0),0,IF(B18=0,0,P18*VLOOKUP(C18,'Demand Savings Lookup'!$A$3:$E$42,IF('Basic Info'!$C$56=4,5,3),FALSE)+Q18*VLOOKUP(C18,'Demand Savings Lookup'!$A$3:$E$42,IF('Basic Info'!$C$56=4,4,2),FALSE))))</f>
        <v>0</v>
      </c>
      <c r="S18" s="483"/>
      <c r="T18" s="483"/>
      <c r="U18" s="513" t="str">
        <f t="shared" si="0"/>
        <v/>
      </c>
      <c r="V18" s="514" t="str">
        <f>IF(B18=0,"",(P18+Q18)*'Reporting Summary'!$C$112+(N18+O18)*'Reporting Summary'!$C$113*10+0.00309*S18*1000)</f>
        <v/>
      </c>
      <c r="W18" s="515" t="str">
        <f t="shared" si="1"/>
        <v/>
      </c>
      <c r="X18" s="515" t="str">
        <f t="shared" si="2"/>
        <v/>
      </c>
      <c r="Y18" s="512" t="str">
        <f t="shared" si="3"/>
        <v/>
      </c>
      <c r="Z18" s="516" t="str">
        <f t="shared" si="4"/>
        <v/>
      </c>
      <c r="AA18" s="517" t="str">
        <f t="shared" si="5"/>
        <v/>
      </c>
      <c r="AC18" s="1374" t="str">
        <f t="shared" si="6"/>
        <v/>
      </c>
      <c r="AD18" s="1375" t="str">
        <f t="shared" si="18"/>
        <v/>
      </c>
      <c r="AE18" s="1376" t="str">
        <f t="shared" si="7"/>
        <v/>
      </c>
      <c r="AF18" s="1377" t="str">
        <f>IF('Basic Info'!$C$44="","",(IF(AND(AC18="Yes",AD18&lt;&gt;"No"),IF('Basic Info'!$C$44="Market Rate",IF(AE18="Electricity","MPPMREINC","MPPMRGINC"),IF(AE18="Electricity","MPPLIEINC","MPPLIGINC")),"")))</f>
        <v/>
      </c>
      <c r="AG18" s="1378"/>
      <c r="AH18" s="1344"/>
      <c r="AI18" s="1370">
        <f t="shared" si="8"/>
        <v>0</v>
      </c>
      <c r="AJ18" s="1371">
        <f t="shared" si="9"/>
        <v>0</v>
      </c>
      <c r="AK18" s="1345"/>
      <c r="AL18" s="1356">
        <f t="shared" si="10"/>
        <v>0</v>
      </c>
      <c r="AM18" s="1357">
        <f t="shared" si="11"/>
        <v>0</v>
      </c>
      <c r="AN18" s="1357">
        <f t="shared" si="12"/>
        <v>0</v>
      </c>
      <c r="AO18" s="1357">
        <f t="shared" si="19"/>
        <v>0</v>
      </c>
      <c r="AP18" s="1357">
        <f t="shared" si="13"/>
        <v>0</v>
      </c>
      <c r="AQ18" s="1357">
        <f>IF(OR(N(S18)=0,N(J18)=0)=TRUE,0,-PV('Avoided Costs'!$C$3,J18,S18*0.00309*1000))</f>
        <v>0</v>
      </c>
      <c r="AR18" s="1358">
        <f>IF(N(J18)=0,0,-PV('Avoided Costs'!$C$3,J18,T18))</f>
        <v>0</v>
      </c>
      <c r="AS18" s="1358">
        <f t="shared" si="14"/>
        <v>0</v>
      </c>
      <c r="AT18" s="1358">
        <f t="shared" si="15"/>
        <v>0</v>
      </c>
      <c r="AU18" s="1358">
        <f t="shared" si="20"/>
        <v>0</v>
      </c>
      <c r="AV18" s="1359">
        <f t="shared" si="16"/>
        <v>0</v>
      </c>
      <c r="AW18" s="1359">
        <f t="shared" si="17"/>
        <v>0</v>
      </c>
      <c r="AX18" s="1360">
        <f t="shared" si="21"/>
        <v>0</v>
      </c>
    </row>
    <row r="19" spans="1:50">
      <c r="A19" s="1392">
        <v>11</v>
      </c>
      <c r="B19" s="1393">
        <f>'Results from eQUEST'!K40</f>
        <v>0</v>
      </c>
      <c r="C19" s="502"/>
      <c r="D19" s="698" t="e">
        <f>INDEX(ERMs!$B$5:$E$78,MATCH(A19,ERMs!$B$5:$B$78,0),4)</f>
        <v>#N/A</v>
      </c>
      <c r="E19" s="503"/>
      <c r="F19" s="504"/>
      <c r="G19" s="698" t="e">
        <f>INDEX(ERMs!$B$5:$E$78,MATCH(A19,ERMs!$B$5:$B$78,0),2)</f>
        <v>#N/A</v>
      </c>
      <c r="H19" s="503"/>
      <c r="I19" s="502"/>
      <c r="J19" s="1395" t="str">
        <f>IF(C19="","",VLOOKUP(C19,'Demand Savings Lookup'!$A$3:$G$42,6,FALSE))</f>
        <v/>
      </c>
      <c r="K19" s="1396" t="str">
        <f>IF(AND(N19=0,O19=0),"N/A",IF('Basic Info'!$C$49="natural gas","gas - firm",IF(AND('Basic Info'!$C$50="natural gas",'Basic Info'!$C$49="electric"),"gas - non firm","")))</f>
        <v>N/A</v>
      </c>
      <c r="L19" s="505"/>
      <c r="M19" s="1395" t="str">
        <f>IF(C19="","",VLOOKUP(C19,'Demand Savings Lookup'!$A$1:$G$42,7,FALSE))</f>
        <v/>
      </c>
      <c r="N19" s="1397">
        <f>IF(B19=0,0,(('Results from eQUEST'!BB39+'Results from eQUEST'!BH39)/10-('Results from eQUEST'!BB40+'Results from eQUEST'!BH40)/10))</f>
        <v>0</v>
      </c>
      <c r="O19" s="1397">
        <f>IF(B19=0,0,('Results from eQUEST'!BK39-'Results from eQUEST'!BK40)/10-N19)</f>
        <v>0</v>
      </c>
      <c r="P19" s="1397">
        <f>IF(B19=0,0,(('Results from eQUEST'!Q39+'Results from eQUEST'!R39)-('Results from eQUEST'!Q40+'Results from eQUEST'!R40)))</f>
        <v>0</v>
      </c>
      <c r="Q19" s="1398">
        <f>IF(B19=0,0,'Results from eQUEST'!Y39-'Results from eQUEST'!Y40-P19)</f>
        <v>0</v>
      </c>
      <c r="R19" s="1399">
        <f>IF(P19+Q19&lt;=0,0,IF(AND(P19=0,Q19=0),0,IF(B19=0,0,P19*VLOOKUP(C19,'Demand Savings Lookup'!$A$3:$E$42,IF('Basic Info'!$C$56=4,5,3),FALSE)+Q19*VLOOKUP(C19,'Demand Savings Lookup'!$A$3:$E$42,IF('Basic Info'!$C$56=4,4,2),FALSE))))</f>
        <v>0</v>
      </c>
      <c r="S19" s="483"/>
      <c r="T19" s="483"/>
      <c r="U19" s="513" t="str">
        <f t="shared" si="0"/>
        <v/>
      </c>
      <c r="V19" s="514" t="str">
        <f>IF(B19=0,"",(P19+Q19)*'Reporting Summary'!$C$112+(N19+O19)*'Reporting Summary'!$C$113*10+0.00309*S19*1000)</f>
        <v/>
      </c>
      <c r="W19" s="515" t="str">
        <f t="shared" si="1"/>
        <v/>
      </c>
      <c r="X19" s="515" t="str">
        <f t="shared" si="2"/>
        <v/>
      </c>
      <c r="Y19" s="512" t="str">
        <f t="shared" si="3"/>
        <v/>
      </c>
      <c r="Z19" s="516" t="str">
        <f t="shared" si="4"/>
        <v/>
      </c>
      <c r="AA19" s="517" t="str">
        <f t="shared" si="5"/>
        <v/>
      </c>
      <c r="AC19" s="1374" t="str">
        <f t="shared" si="6"/>
        <v/>
      </c>
      <c r="AD19" s="1375" t="str">
        <f t="shared" si="18"/>
        <v/>
      </c>
      <c r="AE19" s="1376" t="str">
        <f t="shared" si="7"/>
        <v/>
      </c>
      <c r="AF19" s="1377" t="str">
        <f>IF('Basic Info'!$C$44="","",(IF(AND(AC19="Yes",AD19&lt;&gt;"No"),IF('Basic Info'!$C$44="Market Rate",IF(AE19="Electricity","MPPMREINC","MPPMRGINC"),IF(AE19="Electricity","MPPLIEINC","MPPLIGINC")),"")))</f>
        <v/>
      </c>
      <c r="AG19" s="1378"/>
      <c r="AH19" s="1344"/>
      <c r="AI19" s="1370">
        <f t="shared" si="8"/>
        <v>0</v>
      </c>
      <c r="AJ19" s="1371">
        <f t="shared" si="9"/>
        <v>0</v>
      </c>
      <c r="AK19" s="1345"/>
      <c r="AL19" s="1356">
        <f t="shared" si="10"/>
        <v>0</v>
      </c>
      <c r="AM19" s="1357">
        <f t="shared" si="11"/>
        <v>0</v>
      </c>
      <c r="AN19" s="1357">
        <f t="shared" si="12"/>
        <v>0</v>
      </c>
      <c r="AO19" s="1357">
        <f t="shared" si="19"/>
        <v>0</v>
      </c>
      <c r="AP19" s="1357">
        <f t="shared" si="13"/>
        <v>0</v>
      </c>
      <c r="AQ19" s="1357">
        <f>IF(OR(N(S19)=0,N(J19)=0)=TRUE,0,-PV('Avoided Costs'!$C$3,J19,S19*0.00309*1000))</f>
        <v>0</v>
      </c>
      <c r="AR19" s="1358">
        <f>IF(N(J19)=0,0,-PV('Avoided Costs'!$C$3,J19,T19))</f>
        <v>0</v>
      </c>
      <c r="AS19" s="1358">
        <f t="shared" si="14"/>
        <v>0</v>
      </c>
      <c r="AT19" s="1358">
        <f t="shared" si="15"/>
        <v>0</v>
      </c>
      <c r="AU19" s="1358">
        <f t="shared" si="20"/>
        <v>0</v>
      </c>
      <c r="AV19" s="1359">
        <f t="shared" si="16"/>
        <v>0</v>
      </c>
      <c r="AW19" s="1359">
        <f t="shared" si="17"/>
        <v>0</v>
      </c>
      <c r="AX19" s="1360">
        <f t="shared" si="21"/>
        <v>0</v>
      </c>
    </row>
    <row r="20" spans="1:50">
      <c r="A20" s="1392">
        <v>12</v>
      </c>
      <c r="B20" s="1393">
        <f>'Results from eQUEST'!K41</f>
        <v>0</v>
      </c>
      <c r="C20" s="502"/>
      <c r="D20" s="698" t="e">
        <f>INDEX(ERMs!$B$5:$E$78,MATCH(A20,ERMs!$B$5:$B$78,0),4)</f>
        <v>#N/A</v>
      </c>
      <c r="E20" s="503"/>
      <c r="F20" s="504"/>
      <c r="G20" s="698" t="e">
        <f>INDEX(ERMs!$B$5:$E$78,MATCH(A20,ERMs!$B$5:$B$78,0),2)</f>
        <v>#N/A</v>
      </c>
      <c r="H20" s="503"/>
      <c r="I20" s="502"/>
      <c r="J20" s="1395" t="str">
        <f>IF(C20="","",VLOOKUP(C20,'Demand Savings Lookup'!$A$3:$G$42,6,FALSE))</f>
        <v/>
      </c>
      <c r="K20" s="1396" t="str">
        <f>IF(AND(N20=0,O20=0),"N/A",IF('Basic Info'!$C$49="natural gas","gas - firm",IF(AND('Basic Info'!$C$50="natural gas",'Basic Info'!$C$49="electric"),"gas - non firm","")))</f>
        <v>N/A</v>
      </c>
      <c r="L20" s="505"/>
      <c r="M20" s="1395" t="str">
        <f>IF(C20="","",VLOOKUP(C20,'Demand Savings Lookup'!$A$1:$G$42,7,FALSE))</f>
        <v/>
      </c>
      <c r="N20" s="1397">
        <f>IF(B20=0,0,(('Results from eQUEST'!BB40+'Results from eQUEST'!BH40)/10-('Results from eQUEST'!BB41+'Results from eQUEST'!BH41)/10))</f>
        <v>0</v>
      </c>
      <c r="O20" s="1397">
        <f>IF(B20=0,0,('Results from eQUEST'!BK40-'Results from eQUEST'!BK41)/10-N20)</f>
        <v>0</v>
      </c>
      <c r="P20" s="1397">
        <f>IF(B20=0,0,(('Results from eQUEST'!Q40+'Results from eQUEST'!R40)-('Results from eQUEST'!Q41+'Results from eQUEST'!R41)))</f>
        <v>0</v>
      </c>
      <c r="Q20" s="1398">
        <f>IF(B20=0,0,'Results from eQUEST'!Y40-'Results from eQUEST'!Y41-P20)</f>
        <v>0</v>
      </c>
      <c r="R20" s="1399">
        <f>IF(P20+Q20&lt;=0,0,IF(AND(P20=0,Q20=0),0,IF(B20=0,0,P20*VLOOKUP(C20,'Demand Savings Lookup'!$A$3:$E$42,IF('Basic Info'!$C$56=4,5,3),FALSE)+Q20*VLOOKUP(C20,'Demand Savings Lookup'!$A$3:$E$42,IF('Basic Info'!$C$56=4,4,2),FALSE))))</f>
        <v>0</v>
      </c>
      <c r="S20" s="483"/>
      <c r="T20" s="483"/>
      <c r="U20" s="513" t="str">
        <f t="shared" si="0"/>
        <v/>
      </c>
      <c r="V20" s="514" t="str">
        <f>IF(B20=0,"",(P20+Q20)*'Reporting Summary'!$C$112+(N20+O20)*'Reporting Summary'!$C$113*10+0.00309*S20*1000)</f>
        <v/>
      </c>
      <c r="W20" s="515" t="str">
        <f t="shared" si="1"/>
        <v/>
      </c>
      <c r="X20" s="515" t="str">
        <f t="shared" si="2"/>
        <v/>
      </c>
      <c r="Y20" s="512" t="str">
        <f t="shared" si="3"/>
        <v/>
      </c>
      <c r="Z20" s="516" t="str">
        <f t="shared" si="4"/>
        <v/>
      </c>
      <c r="AA20" s="517" t="str">
        <f t="shared" si="5"/>
        <v/>
      </c>
      <c r="AC20" s="1374" t="str">
        <f t="shared" si="6"/>
        <v/>
      </c>
      <c r="AD20" s="1375" t="str">
        <f t="shared" si="18"/>
        <v/>
      </c>
      <c r="AE20" s="1376" t="str">
        <f t="shared" si="7"/>
        <v/>
      </c>
      <c r="AF20" s="1377" t="str">
        <f>IF('Basic Info'!$C$44="","",(IF(AND(AC20="Yes",AD20&lt;&gt;"No"),IF('Basic Info'!$C$44="Market Rate",IF(AE20="Electricity","MPPMREINC","MPPMRGINC"),IF(AE20="Electricity","MPPLIEINC","MPPLIGINC")),"")))</f>
        <v/>
      </c>
      <c r="AG20" s="1378"/>
      <c r="AH20" s="1344"/>
      <c r="AI20" s="1370">
        <f t="shared" si="8"/>
        <v>0</v>
      </c>
      <c r="AJ20" s="1371">
        <f t="shared" si="9"/>
        <v>0</v>
      </c>
      <c r="AK20" s="1345"/>
      <c r="AL20" s="1356">
        <f t="shared" si="10"/>
        <v>0</v>
      </c>
      <c r="AM20" s="1357">
        <f t="shared" si="11"/>
        <v>0</v>
      </c>
      <c r="AN20" s="1357">
        <f t="shared" si="12"/>
        <v>0</v>
      </c>
      <c r="AO20" s="1357">
        <f t="shared" si="19"/>
        <v>0</v>
      </c>
      <c r="AP20" s="1357">
        <f t="shared" si="13"/>
        <v>0</v>
      </c>
      <c r="AQ20" s="1357">
        <f>IF(OR(N(S20)=0,N(J20)=0)=TRUE,0,-PV('Avoided Costs'!$C$3,J20,S20*0.00309*1000))</f>
        <v>0</v>
      </c>
      <c r="AR20" s="1358">
        <f>IF(N(J20)=0,0,-PV('Avoided Costs'!$C$3,J20,T20))</f>
        <v>0</v>
      </c>
      <c r="AS20" s="1358">
        <f t="shared" si="14"/>
        <v>0</v>
      </c>
      <c r="AT20" s="1358">
        <f t="shared" si="15"/>
        <v>0</v>
      </c>
      <c r="AU20" s="1358">
        <f t="shared" si="20"/>
        <v>0</v>
      </c>
      <c r="AV20" s="1359">
        <f t="shared" si="16"/>
        <v>0</v>
      </c>
      <c r="AW20" s="1359">
        <f t="shared" si="17"/>
        <v>0</v>
      </c>
      <c r="AX20" s="1360">
        <f t="shared" si="21"/>
        <v>0</v>
      </c>
    </row>
    <row r="21" spans="1:50">
      <c r="A21" s="1392">
        <v>13</v>
      </c>
      <c r="B21" s="1393">
        <f>'Results from eQUEST'!K42</f>
        <v>0</v>
      </c>
      <c r="C21" s="502"/>
      <c r="D21" s="698" t="e">
        <f>INDEX(ERMs!$B$5:$E$78,MATCH(A21,ERMs!$B$5:$B$78,0),4)</f>
        <v>#N/A</v>
      </c>
      <c r="E21" s="503"/>
      <c r="F21" s="504"/>
      <c r="G21" s="698" t="e">
        <f>INDEX(ERMs!$B$5:$E$78,MATCH(A21,ERMs!$B$5:$B$78,0),2)</f>
        <v>#N/A</v>
      </c>
      <c r="H21" s="503"/>
      <c r="I21" s="502"/>
      <c r="J21" s="1395" t="str">
        <f>IF(C21="","",VLOOKUP(C21,'Demand Savings Lookup'!$A$3:$G$42,6,FALSE))</f>
        <v/>
      </c>
      <c r="K21" s="1396" t="str">
        <f>IF(AND(N21=0,O21=0),"N/A",IF('Basic Info'!$C$49="natural gas","gas - firm",IF(AND('Basic Info'!$C$50="natural gas",'Basic Info'!$C$49="electric"),"gas - non firm","")))</f>
        <v>N/A</v>
      </c>
      <c r="L21" s="505"/>
      <c r="M21" s="1395" t="str">
        <f>IF(C21="","",VLOOKUP(C21,'Demand Savings Lookup'!$A$1:$G$42,7,FALSE))</f>
        <v/>
      </c>
      <c r="N21" s="1397">
        <f>IF(B21=0,0,(('Results from eQUEST'!BB41+'Results from eQUEST'!BH41)/10-('Results from eQUEST'!BB42+'Results from eQUEST'!BH42)/10))</f>
        <v>0</v>
      </c>
      <c r="O21" s="1397">
        <f>IF(B21=0,0,('Results from eQUEST'!BK41-'Results from eQUEST'!BK42)/10-N21)</f>
        <v>0</v>
      </c>
      <c r="P21" s="1397">
        <f>IF(B21=0,0,(('Results from eQUEST'!Q41+'Results from eQUEST'!R41)-('Results from eQUEST'!Q42+'Results from eQUEST'!R42)))</f>
        <v>0</v>
      </c>
      <c r="Q21" s="1398">
        <f>IF(B21=0,0,'Results from eQUEST'!Y41-'Results from eQUEST'!Y42-P21)</f>
        <v>0</v>
      </c>
      <c r="R21" s="1399">
        <f>IF(P21+Q21&lt;=0,0,IF(AND(P21=0,Q21=0),0,IF(B21=0,0,P21*VLOOKUP(C21,'Demand Savings Lookup'!$A$3:$E$42,IF('Basic Info'!$C$56=4,5,3),FALSE)+Q21*VLOOKUP(C21,'Demand Savings Lookup'!$A$3:$E$42,IF('Basic Info'!$C$56=4,4,2),FALSE))))</f>
        <v>0</v>
      </c>
      <c r="S21" s="483"/>
      <c r="T21" s="483"/>
      <c r="U21" s="513" t="str">
        <f t="shared" si="0"/>
        <v/>
      </c>
      <c r="V21" s="514" t="str">
        <f>IF(B21=0,"",(P21+Q21)*'Reporting Summary'!$C$112+(N21+O21)*'Reporting Summary'!$C$113*10+0.00309*S21*1000)</f>
        <v/>
      </c>
      <c r="W21" s="515" t="str">
        <f t="shared" si="1"/>
        <v/>
      </c>
      <c r="X21" s="515" t="str">
        <f t="shared" si="2"/>
        <v/>
      </c>
      <c r="Y21" s="512" t="str">
        <f t="shared" si="3"/>
        <v/>
      </c>
      <c r="Z21" s="516" t="str">
        <f t="shared" si="4"/>
        <v/>
      </c>
      <c r="AA21" s="517" t="str">
        <f t="shared" si="5"/>
        <v/>
      </c>
      <c r="AC21" s="1374" t="str">
        <f t="shared" si="6"/>
        <v/>
      </c>
      <c r="AD21" s="1375" t="str">
        <f t="shared" si="18"/>
        <v/>
      </c>
      <c r="AE21" s="1376" t="str">
        <f t="shared" si="7"/>
        <v/>
      </c>
      <c r="AF21" s="1377" t="str">
        <f>IF('Basic Info'!$C$44="","",(IF(AND(AC21="Yes",AD21&lt;&gt;"No"),IF('Basic Info'!$C$44="Market Rate",IF(AE21="Electricity","MPPMREINC","MPPMRGINC"),IF(AE21="Electricity","MPPLIEINC","MPPLIGINC")),"")))</f>
        <v/>
      </c>
      <c r="AG21" s="1378"/>
      <c r="AH21" s="1344"/>
      <c r="AI21" s="1370">
        <f t="shared" si="8"/>
        <v>0</v>
      </c>
      <c r="AJ21" s="1371">
        <f t="shared" si="9"/>
        <v>0</v>
      </c>
      <c r="AK21" s="1345"/>
      <c r="AL21" s="1356">
        <f t="shared" si="10"/>
        <v>0</v>
      </c>
      <c r="AM21" s="1357">
        <f t="shared" si="11"/>
        <v>0</v>
      </c>
      <c r="AN21" s="1357">
        <f t="shared" si="12"/>
        <v>0</v>
      </c>
      <c r="AO21" s="1357">
        <f t="shared" si="19"/>
        <v>0</v>
      </c>
      <c r="AP21" s="1357">
        <f t="shared" si="13"/>
        <v>0</v>
      </c>
      <c r="AQ21" s="1357">
        <f>IF(OR(N(S21)=0,N(J21)=0)=TRUE,0,-PV('Avoided Costs'!$C$3,J21,S21*0.00309*1000))</f>
        <v>0</v>
      </c>
      <c r="AR21" s="1358">
        <f>IF(N(J21)=0,0,-PV('Avoided Costs'!$C$3,J21,T21))</f>
        <v>0</v>
      </c>
      <c r="AS21" s="1358">
        <f t="shared" si="14"/>
        <v>0</v>
      </c>
      <c r="AT21" s="1358">
        <f t="shared" si="15"/>
        <v>0</v>
      </c>
      <c r="AU21" s="1358">
        <f t="shared" si="20"/>
        <v>0</v>
      </c>
      <c r="AV21" s="1359">
        <f t="shared" si="16"/>
        <v>0</v>
      </c>
      <c r="AW21" s="1359">
        <f t="shared" si="17"/>
        <v>0</v>
      </c>
      <c r="AX21" s="1360">
        <f t="shared" si="21"/>
        <v>0</v>
      </c>
    </row>
    <row r="22" spans="1:50">
      <c r="A22" s="1392">
        <v>14</v>
      </c>
      <c r="B22" s="1393">
        <f>'Results from eQUEST'!K43</f>
        <v>0</v>
      </c>
      <c r="C22" s="502"/>
      <c r="D22" s="698" t="e">
        <f>INDEX(ERMs!$B$5:$E$78,MATCH(A22,ERMs!$B$5:$B$78,0),4)</f>
        <v>#N/A</v>
      </c>
      <c r="E22" s="503"/>
      <c r="F22" s="504"/>
      <c r="G22" s="698" t="e">
        <f>INDEX(ERMs!$B$5:$E$78,MATCH(A22,ERMs!$B$5:$B$78,0),2)</f>
        <v>#N/A</v>
      </c>
      <c r="H22" s="503"/>
      <c r="I22" s="502"/>
      <c r="J22" s="1395" t="str">
        <f>IF(C22="","",VLOOKUP(C22,'Demand Savings Lookup'!$A$3:$G$42,6,FALSE))</f>
        <v/>
      </c>
      <c r="K22" s="1396" t="str">
        <f>IF(AND(N22=0,O22=0),"N/A",IF('Basic Info'!$C$49="natural gas","gas - firm",IF(AND('Basic Info'!$C$50="natural gas",'Basic Info'!$C$49="electric"),"gas - non firm","")))</f>
        <v>N/A</v>
      </c>
      <c r="L22" s="505"/>
      <c r="M22" s="1395" t="str">
        <f>IF(C22="","",VLOOKUP(C22,'Demand Savings Lookup'!$A$1:$G$42,7,FALSE))</f>
        <v/>
      </c>
      <c r="N22" s="1400">
        <f>IF(B22=0,0,(('Results from eQUEST'!BB42+'Results from eQUEST'!BH42)/10-('Results from eQUEST'!BB43+'Results from eQUEST'!BH43)/10))</f>
        <v>0</v>
      </c>
      <c r="O22" s="1401">
        <f>IF(B22=0,0,('Results from eQUEST'!BK42-'Results from eQUEST'!BK43)/10-N22)</f>
        <v>0</v>
      </c>
      <c r="P22" s="1401">
        <f>IF(B22=0,0,(('Results from eQUEST'!Q42+'Results from eQUEST'!R42)-('Results from eQUEST'!Q43+'Results from eQUEST'!R43)))</f>
        <v>0</v>
      </c>
      <c r="Q22" s="1398">
        <f>IF(B22=0,0,'Results from eQUEST'!Y42-'Results from eQUEST'!Y43-P22)</f>
        <v>0</v>
      </c>
      <c r="R22" s="1399">
        <f>IF(P22+Q22&lt;=0,0,IF(AND(P22=0,Q22=0),0,IF(B22=0,0,P22*VLOOKUP(C22,'Demand Savings Lookup'!$A$3:$E$42,IF('Basic Info'!$C$56=4,5,3),FALSE)+Q22*VLOOKUP(C22,'Demand Savings Lookup'!$A$3:$E$42,IF('Basic Info'!$C$56=4,4,2),FALSE))))</f>
        <v>0</v>
      </c>
      <c r="S22" s="483"/>
      <c r="T22" s="483"/>
      <c r="U22" s="513" t="str">
        <f t="shared" si="0"/>
        <v/>
      </c>
      <c r="V22" s="514" t="str">
        <f>IF(B22=0,"",(P22+Q22)*'Reporting Summary'!$C$112+(N22+O22)*'Reporting Summary'!$C$113*10+0.00309*S22*1000)</f>
        <v/>
      </c>
      <c r="W22" s="515" t="str">
        <f t="shared" si="1"/>
        <v/>
      </c>
      <c r="X22" s="515" t="str">
        <f t="shared" si="2"/>
        <v/>
      </c>
      <c r="Y22" s="512" t="str">
        <f t="shared" si="3"/>
        <v/>
      </c>
      <c r="Z22" s="516" t="str">
        <f t="shared" si="4"/>
        <v/>
      </c>
      <c r="AA22" s="517" t="str">
        <f t="shared" si="5"/>
        <v/>
      </c>
      <c r="AC22" s="1374" t="str">
        <f t="shared" si="6"/>
        <v/>
      </c>
      <c r="AD22" s="1375" t="str">
        <f t="shared" si="18"/>
        <v/>
      </c>
      <c r="AE22" s="1376" t="str">
        <f t="shared" si="7"/>
        <v/>
      </c>
      <c r="AF22" s="1377" t="str">
        <f>IF('Basic Info'!$C$44="","",(IF(AND(AC22="Yes",AD22&lt;&gt;"No"),IF('Basic Info'!$C$44="Market Rate",IF(AE22="Electricity","MPPMREINC","MPPMRGINC"),IF(AE22="Electricity","MPPLIEINC","MPPLIGINC")),"")))</f>
        <v/>
      </c>
      <c r="AG22" s="1378"/>
      <c r="AH22" s="1344"/>
      <c r="AI22" s="1370">
        <f t="shared" si="8"/>
        <v>0</v>
      </c>
      <c r="AJ22" s="1371">
        <f t="shared" si="9"/>
        <v>0</v>
      </c>
      <c r="AK22" s="1345"/>
      <c r="AL22" s="1356">
        <f t="shared" si="10"/>
        <v>0</v>
      </c>
      <c r="AM22" s="1357">
        <f t="shared" si="11"/>
        <v>0</v>
      </c>
      <c r="AN22" s="1357">
        <f t="shared" si="12"/>
        <v>0</v>
      </c>
      <c r="AO22" s="1357">
        <f t="shared" si="19"/>
        <v>0</v>
      </c>
      <c r="AP22" s="1357">
        <f t="shared" si="13"/>
        <v>0</v>
      </c>
      <c r="AQ22" s="1357">
        <f>IF(OR(N(S22)=0,N(J22)=0)=TRUE,0,-PV('Avoided Costs'!$C$3,J22,S22*0.00309*1000))</f>
        <v>0</v>
      </c>
      <c r="AR22" s="1358">
        <f>IF(N(J22)=0,0,-PV('Avoided Costs'!$C$3,J22,T22))</f>
        <v>0</v>
      </c>
      <c r="AS22" s="1358">
        <f t="shared" si="14"/>
        <v>0</v>
      </c>
      <c r="AT22" s="1358">
        <f t="shared" si="15"/>
        <v>0</v>
      </c>
      <c r="AU22" s="1358">
        <f t="shared" si="20"/>
        <v>0</v>
      </c>
      <c r="AV22" s="1359">
        <f t="shared" si="16"/>
        <v>0</v>
      </c>
      <c r="AW22" s="1359">
        <f t="shared" si="17"/>
        <v>0</v>
      </c>
      <c r="AX22" s="1360">
        <f t="shared" si="21"/>
        <v>0</v>
      </c>
    </row>
    <row r="23" spans="1:50">
      <c r="A23" s="1392">
        <v>15</v>
      </c>
      <c r="B23" s="1393">
        <f>'Results from eQUEST'!K44</f>
        <v>0</v>
      </c>
      <c r="C23" s="502"/>
      <c r="D23" s="698" t="e">
        <f>INDEX(ERMs!$B$5:$E$78,MATCH(A23,ERMs!$B$5:$B$78,0),4)</f>
        <v>#N/A</v>
      </c>
      <c r="E23" s="503"/>
      <c r="F23" s="504"/>
      <c r="G23" s="698" t="e">
        <f>INDEX(ERMs!$B$5:$E$78,MATCH(A23,ERMs!$B$5:$B$78,0),2)</f>
        <v>#N/A</v>
      </c>
      <c r="H23" s="503"/>
      <c r="I23" s="502"/>
      <c r="J23" s="1395" t="str">
        <f>IF(C23="","",VLOOKUP(C23,'Demand Savings Lookup'!$A$3:$G$42,6,FALSE))</f>
        <v/>
      </c>
      <c r="K23" s="1396" t="str">
        <f>IF(AND(N23=0,O23=0),"N/A",IF('Basic Info'!$C$49="natural gas","gas - firm",IF(AND('Basic Info'!$C$50="natural gas",'Basic Info'!$C$49="electric"),"gas - non firm","")))</f>
        <v>N/A</v>
      </c>
      <c r="L23" s="505"/>
      <c r="M23" s="1395" t="str">
        <f>IF(C23="","",VLOOKUP(C23,'Demand Savings Lookup'!$A$1:$G$42,7,FALSE))</f>
        <v/>
      </c>
      <c r="N23" s="1400">
        <f>IF(B23=0,0,(('Results from eQUEST'!BB43+'Results from eQUEST'!BH43)/10-('Results from eQUEST'!BB44+'Results from eQUEST'!BH44)/10))</f>
        <v>0</v>
      </c>
      <c r="O23" s="1402">
        <f>IF(B23=0,0,('Results from eQUEST'!BK43-'Results from eQUEST'!BK44)/10-N23)</f>
        <v>0</v>
      </c>
      <c r="P23" s="1401">
        <f>IF(B23=0,0,(('Results from eQUEST'!Q43+'Results from eQUEST'!R43)-('Results from eQUEST'!Q44+'Results from eQUEST'!R44)))</f>
        <v>0</v>
      </c>
      <c r="Q23" s="1398">
        <f>IF(B23=0,0,'Results from eQUEST'!Y43-'Results from eQUEST'!Y44-P23)</f>
        <v>0</v>
      </c>
      <c r="R23" s="1399">
        <f>IF(P23+Q23&lt;=0,0,IF(AND(P23=0,Q23=0),0,IF(B23=0,0,P23*VLOOKUP(C23,'Demand Savings Lookup'!$A$3:$E$42,IF('Basic Info'!$C$56=4,5,3),FALSE)+Q23*VLOOKUP(C23,'Demand Savings Lookup'!$A$3:$E$42,IF('Basic Info'!$C$56=4,4,2),FALSE))))</f>
        <v>0</v>
      </c>
      <c r="S23" s="483"/>
      <c r="T23" s="483"/>
      <c r="U23" s="513" t="str">
        <f t="shared" si="0"/>
        <v/>
      </c>
      <c r="V23" s="514" t="str">
        <f>IF(B23=0,"",(P23+Q23)*'Reporting Summary'!$C$112+(N23+O23)*'Reporting Summary'!$C$113*10+0.00309*S23*1000)</f>
        <v/>
      </c>
      <c r="W23" s="515" t="str">
        <f t="shared" si="1"/>
        <v/>
      </c>
      <c r="X23" s="515" t="str">
        <f t="shared" si="2"/>
        <v/>
      </c>
      <c r="Y23" s="512" t="str">
        <f t="shared" si="3"/>
        <v/>
      </c>
      <c r="Z23" s="516" t="str">
        <f t="shared" si="4"/>
        <v/>
      </c>
      <c r="AA23" s="517" t="str">
        <f t="shared" si="5"/>
        <v/>
      </c>
      <c r="AC23" s="1374" t="str">
        <f t="shared" si="6"/>
        <v/>
      </c>
      <c r="AD23" s="1375" t="str">
        <f t="shared" si="18"/>
        <v/>
      </c>
      <c r="AE23" s="1376" t="str">
        <f t="shared" si="7"/>
        <v/>
      </c>
      <c r="AF23" s="1377" t="str">
        <f>IF('Basic Info'!$C$44="","",(IF(AND(AC23="Yes",AD23&lt;&gt;"No"),IF('Basic Info'!$C$44="Market Rate",IF(AE23="Electricity","MPPMREINC","MPPMRGINC"),IF(AE23="Electricity","MPPLIEINC","MPPLIGINC")),"")))</f>
        <v/>
      </c>
      <c r="AG23" s="1378"/>
      <c r="AH23" s="1344"/>
      <c r="AI23" s="1370">
        <f t="shared" si="8"/>
        <v>0</v>
      </c>
      <c r="AJ23" s="1371">
        <f t="shared" si="9"/>
        <v>0</v>
      </c>
      <c r="AK23" s="1345"/>
      <c r="AL23" s="1356">
        <f t="shared" si="10"/>
        <v>0</v>
      </c>
      <c r="AM23" s="1357">
        <f t="shared" si="11"/>
        <v>0</v>
      </c>
      <c r="AN23" s="1357">
        <f t="shared" si="12"/>
        <v>0</v>
      </c>
      <c r="AO23" s="1357">
        <f t="shared" si="19"/>
        <v>0</v>
      </c>
      <c r="AP23" s="1357">
        <f t="shared" si="13"/>
        <v>0</v>
      </c>
      <c r="AQ23" s="1357">
        <f>IF(OR(N(S23)=0,N(J23)=0)=TRUE,0,-PV('Avoided Costs'!$C$3,J23,S23*0.00309*1000))</f>
        <v>0</v>
      </c>
      <c r="AR23" s="1358">
        <f>IF(N(J23)=0,0,-PV('Avoided Costs'!$C$3,J23,T23))</f>
        <v>0</v>
      </c>
      <c r="AS23" s="1358">
        <f t="shared" si="14"/>
        <v>0</v>
      </c>
      <c r="AT23" s="1358">
        <f t="shared" si="15"/>
        <v>0</v>
      </c>
      <c r="AU23" s="1358">
        <f t="shared" si="20"/>
        <v>0</v>
      </c>
      <c r="AV23" s="1359">
        <f t="shared" si="16"/>
        <v>0</v>
      </c>
      <c r="AW23" s="1359">
        <f t="shared" si="17"/>
        <v>0</v>
      </c>
      <c r="AX23" s="1360">
        <f t="shared" si="21"/>
        <v>0</v>
      </c>
    </row>
    <row r="24" spans="1:50">
      <c r="A24" s="1392">
        <v>16</v>
      </c>
      <c r="B24" s="1393">
        <f>'Results from eQUEST'!K45</f>
        <v>0</v>
      </c>
      <c r="C24" s="502"/>
      <c r="D24" s="698" t="e">
        <f>INDEX(ERMs!$B$5:$E$78,MATCH(A24,ERMs!$B$5:$B$78,0),4)</f>
        <v>#N/A</v>
      </c>
      <c r="E24" s="503"/>
      <c r="F24" s="504"/>
      <c r="G24" s="698" t="e">
        <f>INDEX(ERMs!$B$5:$E$78,MATCH(A24,ERMs!$B$5:$B$78,0),2)</f>
        <v>#N/A</v>
      </c>
      <c r="H24" s="503"/>
      <c r="I24" s="502"/>
      <c r="J24" s="1395" t="str">
        <f>IF(C24="","",VLOOKUP(C24,'Demand Savings Lookup'!$A$3:$G$42,6,FALSE))</f>
        <v/>
      </c>
      <c r="K24" s="1396" t="str">
        <f>IF(AND(N24=0,O24=0),"N/A",IF('Basic Info'!$C$49="natural gas","gas - firm",IF(AND('Basic Info'!$C$50="natural gas",'Basic Info'!$C$49="electric"),"gas - non firm","")))</f>
        <v>N/A</v>
      </c>
      <c r="L24" s="505"/>
      <c r="M24" s="1395" t="str">
        <f>IF(C24="","",VLOOKUP(C24,'Demand Savings Lookup'!$A$1:$G$42,7,FALSE))</f>
        <v/>
      </c>
      <c r="N24" s="1400">
        <f>IF(B24=0,0,(('Results from eQUEST'!BB44+'Results from eQUEST'!BH44)/10-('Results from eQUEST'!BB45+'Results from eQUEST'!BH45)/10))</f>
        <v>0</v>
      </c>
      <c r="O24" s="1402">
        <f>IF(B24=0,0,('Results from eQUEST'!BK44-'Results from eQUEST'!BK45)/10-N24)</f>
        <v>0</v>
      </c>
      <c r="P24" s="1401">
        <f>IF(B24=0,0,(('Results from eQUEST'!Q44+'Results from eQUEST'!R44)-('Results from eQUEST'!Q45+'Results from eQUEST'!R45)))</f>
        <v>0</v>
      </c>
      <c r="Q24" s="1398">
        <f>IF(B24=0,0,'Results from eQUEST'!Y44-'Results from eQUEST'!Y45-P24)</f>
        <v>0</v>
      </c>
      <c r="R24" s="1399">
        <f>IF(P24+Q24&lt;=0,0,IF(AND(P24=0,Q24=0),0,IF(B24=0,0,P24*VLOOKUP(C24,'Demand Savings Lookup'!$A$3:$E$42,IF('Basic Info'!$C$56=4,5,3),FALSE)+Q24*VLOOKUP(C24,'Demand Savings Lookup'!$A$3:$E$42,IF('Basic Info'!$C$56=4,4,2),FALSE))))</f>
        <v>0</v>
      </c>
      <c r="S24" s="483"/>
      <c r="T24" s="483"/>
      <c r="U24" s="513" t="str">
        <f t="shared" si="0"/>
        <v/>
      </c>
      <c r="V24" s="514" t="str">
        <f>IF(B24=0,"",(P24+Q24)*'Reporting Summary'!$C$112+(N24+O24)*'Reporting Summary'!$C$113*10+0.00309*S24*1000)</f>
        <v/>
      </c>
      <c r="W24" s="515" t="str">
        <f t="shared" si="1"/>
        <v/>
      </c>
      <c r="X24" s="515" t="str">
        <f t="shared" si="2"/>
        <v/>
      </c>
      <c r="Y24" s="512" t="str">
        <f t="shared" si="3"/>
        <v/>
      </c>
      <c r="Z24" s="516" t="str">
        <f t="shared" si="4"/>
        <v/>
      </c>
      <c r="AA24" s="517" t="str">
        <f t="shared" si="5"/>
        <v/>
      </c>
      <c r="AC24" s="1374" t="str">
        <f t="shared" si="6"/>
        <v/>
      </c>
      <c r="AD24" s="1375" t="str">
        <f t="shared" si="18"/>
        <v/>
      </c>
      <c r="AE24" s="1376" t="str">
        <f t="shared" si="7"/>
        <v/>
      </c>
      <c r="AF24" s="1377" t="str">
        <f>IF('Basic Info'!$C$44="","",(IF(AND(AC24="Yes",AD24&lt;&gt;"No"),IF('Basic Info'!$C$44="Market Rate",IF(AE24="Electricity","MPPMREINC","MPPMRGINC"),IF(AE24="Electricity","MPPLIEINC","MPPLIGINC")),"")))</f>
        <v/>
      </c>
      <c r="AG24" s="1378"/>
      <c r="AH24" s="1344"/>
      <c r="AI24" s="1370">
        <f t="shared" si="8"/>
        <v>0</v>
      </c>
      <c r="AJ24" s="1371">
        <f t="shared" si="9"/>
        <v>0</v>
      </c>
      <c r="AK24" s="1345"/>
      <c r="AL24" s="1356">
        <f t="shared" si="10"/>
        <v>0</v>
      </c>
      <c r="AM24" s="1357">
        <f t="shared" si="11"/>
        <v>0</v>
      </c>
      <c r="AN24" s="1357">
        <f t="shared" si="12"/>
        <v>0</v>
      </c>
      <c r="AO24" s="1357">
        <f t="shared" si="19"/>
        <v>0</v>
      </c>
      <c r="AP24" s="1357">
        <f t="shared" si="13"/>
        <v>0</v>
      </c>
      <c r="AQ24" s="1357">
        <f>IF(OR(N(S24)=0,N(J24)=0)=TRUE,0,-PV('Avoided Costs'!$C$3,J24,S24*0.00309*1000))</f>
        <v>0</v>
      </c>
      <c r="AR24" s="1358">
        <f>IF(N(J24)=0,0,-PV('Avoided Costs'!$C$3,J24,T24))</f>
        <v>0</v>
      </c>
      <c r="AS24" s="1358">
        <f t="shared" si="14"/>
        <v>0</v>
      </c>
      <c r="AT24" s="1358">
        <f t="shared" si="15"/>
        <v>0</v>
      </c>
      <c r="AU24" s="1358">
        <f t="shared" si="20"/>
        <v>0</v>
      </c>
      <c r="AV24" s="1359">
        <f t="shared" si="16"/>
        <v>0</v>
      </c>
      <c r="AW24" s="1359">
        <f t="shared" si="17"/>
        <v>0</v>
      </c>
      <c r="AX24" s="1360">
        <f t="shared" si="21"/>
        <v>0</v>
      </c>
    </row>
    <row r="25" spans="1:50">
      <c r="A25" s="1392">
        <v>17</v>
      </c>
      <c r="B25" s="1393">
        <f>'Results from eQUEST'!K46</f>
        <v>0</v>
      </c>
      <c r="C25" s="502"/>
      <c r="D25" s="698" t="e">
        <f>INDEX(ERMs!$B$5:$E$78,MATCH(A25,ERMs!$B$5:$B$78,0),4)</f>
        <v>#N/A</v>
      </c>
      <c r="E25" s="503"/>
      <c r="F25" s="504"/>
      <c r="G25" s="698" t="e">
        <f>INDEX(ERMs!$B$5:$E$78,MATCH(A25,ERMs!$B$5:$B$78,0),2)</f>
        <v>#N/A</v>
      </c>
      <c r="H25" s="503"/>
      <c r="I25" s="502"/>
      <c r="J25" s="1395" t="str">
        <f>IF(C25="","",VLOOKUP(C25,'Demand Savings Lookup'!$A$3:$G$42,6,FALSE))</f>
        <v/>
      </c>
      <c r="K25" s="1396" t="str">
        <f>IF(AND(N25=0,O25=0),"N/A",IF('Basic Info'!$C$49="natural gas","gas - firm",IF(AND('Basic Info'!$C$50="natural gas",'Basic Info'!$C$49="electric"),"gas - non firm","")))</f>
        <v>N/A</v>
      </c>
      <c r="L25" s="505"/>
      <c r="M25" s="1395" t="str">
        <f>IF(C25="","",VLOOKUP(C25,'Demand Savings Lookup'!$A$1:$G$42,7,FALSE))</f>
        <v/>
      </c>
      <c r="N25" s="1400">
        <f>IF(B25=0,0,(('Results from eQUEST'!BB45+'Results from eQUEST'!BH45)/10-('Results from eQUEST'!BB46+'Results from eQUEST'!BH46)/10))</f>
        <v>0</v>
      </c>
      <c r="O25" s="1402">
        <f>IF(B25=0,0,('Results from eQUEST'!BK45-'Results from eQUEST'!BK46)/10-N25)</f>
        <v>0</v>
      </c>
      <c r="P25" s="1401">
        <f>IF(B25=0,0,(('Results from eQUEST'!Q45+'Results from eQUEST'!R45)-('Results from eQUEST'!Q46+'Results from eQUEST'!R46)))</f>
        <v>0</v>
      </c>
      <c r="Q25" s="1398">
        <f>IF(B25=0,0,'Results from eQUEST'!Y45-'Results from eQUEST'!Y46-P25)</f>
        <v>0</v>
      </c>
      <c r="R25" s="1399">
        <f>IF(P25+Q25&lt;=0,0,IF(AND(P25=0,Q25=0),0,IF(B25=0,0,P25*VLOOKUP(C25,'Demand Savings Lookup'!$A$3:$E$42,IF('Basic Info'!$C$56=4,5,3),FALSE)+Q25*VLOOKUP(C25,'Demand Savings Lookup'!$A$3:$E$42,IF('Basic Info'!$C$56=4,4,2),FALSE))))</f>
        <v>0</v>
      </c>
      <c r="S25" s="483"/>
      <c r="T25" s="483"/>
      <c r="U25" s="513" t="str">
        <f t="shared" si="0"/>
        <v/>
      </c>
      <c r="V25" s="514" t="str">
        <f>IF(B25=0,"",(P25+Q25)*'Reporting Summary'!$C$112+(N25+O25)*'Reporting Summary'!$C$113*10+0.00309*S25*1000)</f>
        <v/>
      </c>
      <c r="W25" s="515" t="str">
        <f t="shared" si="1"/>
        <v/>
      </c>
      <c r="X25" s="515" t="str">
        <f t="shared" si="2"/>
        <v/>
      </c>
      <c r="Y25" s="512" t="str">
        <f t="shared" si="3"/>
        <v/>
      </c>
      <c r="Z25" s="516" t="str">
        <f t="shared" si="4"/>
        <v/>
      </c>
      <c r="AA25" s="517" t="str">
        <f t="shared" si="5"/>
        <v/>
      </c>
      <c r="AC25" s="1374" t="str">
        <f t="shared" si="6"/>
        <v/>
      </c>
      <c r="AD25" s="1375" t="str">
        <f t="shared" si="18"/>
        <v/>
      </c>
      <c r="AE25" s="1376" t="str">
        <f t="shared" si="7"/>
        <v/>
      </c>
      <c r="AF25" s="1377" t="str">
        <f>IF('Basic Info'!$C$44="","",(IF(AND(AC25="Yes",AD25&lt;&gt;"No"),IF('Basic Info'!$C$44="Market Rate",IF(AE25="Electricity","MPPMREINC","MPPMRGINC"),IF(AE25="Electricity","MPPLIEINC","MPPLIGINC")),"")))</f>
        <v/>
      </c>
      <c r="AG25" s="1378"/>
      <c r="AH25" s="1344"/>
      <c r="AI25" s="1370">
        <f t="shared" si="8"/>
        <v>0</v>
      </c>
      <c r="AJ25" s="1371">
        <f t="shared" si="9"/>
        <v>0</v>
      </c>
      <c r="AK25" s="1345"/>
      <c r="AL25" s="1356">
        <f t="shared" si="10"/>
        <v>0</v>
      </c>
      <c r="AM25" s="1357">
        <f t="shared" si="11"/>
        <v>0</v>
      </c>
      <c r="AN25" s="1357">
        <f t="shared" si="12"/>
        <v>0</v>
      </c>
      <c r="AO25" s="1357">
        <f t="shared" si="19"/>
        <v>0</v>
      </c>
      <c r="AP25" s="1357">
        <f t="shared" si="13"/>
        <v>0</v>
      </c>
      <c r="AQ25" s="1357">
        <f>IF(OR(N(S25)=0,N(J25)=0)=TRUE,0,-PV('Avoided Costs'!$C$3,J25,S25*0.00309*1000))</f>
        <v>0</v>
      </c>
      <c r="AR25" s="1358">
        <f>IF(N(J25)=0,0,-PV('Avoided Costs'!$C$3,J25,T25))</f>
        <v>0</v>
      </c>
      <c r="AS25" s="1358">
        <f t="shared" si="14"/>
        <v>0</v>
      </c>
      <c r="AT25" s="1358">
        <f t="shared" si="15"/>
        <v>0</v>
      </c>
      <c r="AU25" s="1358">
        <f t="shared" si="20"/>
        <v>0</v>
      </c>
      <c r="AV25" s="1359">
        <f t="shared" si="16"/>
        <v>0</v>
      </c>
      <c r="AW25" s="1359">
        <f t="shared" si="17"/>
        <v>0</v>
      </c>
      <c r="AX25" s="1360">
        <f t="shared" si="21"/>
        <v>0</v>
      </c>
    </row>
    <row r="26" spans="1:50">
      <c r="A26" s="1392">
        <v>18</v>
      </c>
      <c r="B26" s="1393">
        <f>'Results from eQUEST'!K47</f>
        <v>0</v>
      </c>
      <c r="C26" s="502"/>
      <c r="D26" s="698" t="e">
        <f>INDEX(ERMs!$B$5:$E$78,MATCH(A26,ERMs!$B$5:$B$78,0),4)</f>
        <v>#N/A</v>
      </c>
      <c r="E26" s="503"/>
      <c r="F26" s="504"/>
      <c r="G26" s="698" t="e">
        <f>INDEX(ERMs!$B$5:$E$78,MATCH(A26,ERMs!$B$5:$B$78,0),2)</f>
        <v>#N/A</v>
      </c>
      <c r="H26" s="503"/>
      <c r="I26" s="502"/>
      <c r="J26" s="1395" t="str">
        <f>IF(C26="","",VLOOKUP(C26,'Demand Savings Lookup'!$A$3:$G$42,6,FALSE))</f>
        <v/>
      </c>
      <c r="K26" s="1396" t="str">
        <f>IF(AND(N26=0,O26=0),"N/A",IF('Basic Info'!$C$49="natural gas","gas - firm",IF(AND('Basic Info'!$C$50="natural gas",'Basic Info'!$C$49="electric"),"gas - non firm","")))</f>
        <v>N/A</v>
      </c>
      <c r="L26" s="505"/>
      <c r="M26" s="1395" t="str">
        <f>IF(C26="","",VLOOKUP(C26,'Demand Savings Lookup'!$A$1:$G$42,7,FALSE))</f>
        <v/>
      </c>
      <c r="N26" s="1400">
        <f>IF(B26=0,0,(('Results from eQUEST'!BB46+'Results from eQUEST'!BH46)/10-('Results from eQUEST'!BB47+'Results from eQUEST'!BH47)/10))</f>
        <v>0</v>
      </c>
      <c r="O26" s="1402">
        <f>IF(B26=0,0,('Results from eQUEST'!BK46-'Results from eQUEST'!BK47)/10-N26)</f>
        <v>0</v>
      </c>
      <c r="P26" s="1401">
        <f>IF(B26=0,0,(('Results from eQUEST'!Q46+'Results from eQUEST'!R46)-('Results from eQUEST'!Q47+'Results from eQUEST'!R47)))</f>
        <v>0</v>
      </c>
      <c r="Q26" s="1398">
        <f>IF(B26=0,0,'Results from eQUEST'!Y46-'Results from eQUEST'!Y47-P26)</f>
        <v>0</v>
      </c>
      <c r="R26" s="1399">
        <f>IF(P26+Q26&lt;=0,0,IF(AND(P26=0,Q26=0),0,IF(B26=0,0,P26*VLOOKUP(C26,'Demand Savings Lookup'!$A$3:$E$42,IF('Basic Info'!$C$56=4,5,3),FALSE)+Q26*VLOOKUP(C26,'Demand Savings Lookup'!$A$3:$E$42,IF('Basic Info'!$C$56=4,4,2),FALSE))))</f>
        <v>0</v>
      </c>
      <c r="S26" s="483"/>
      <c r="T26" s="483"/>
      <c r="U26" s="513" t="str">
        <f t="shared" si="0"/>
        <v/>
      </c>
      <c r="V26" s="514" t="str">
        <f>IF(B26=0,"",(P26+Q26)*'Reporting Summary'!$C$112+(N26+O26)*'Reporting Summary'!$C$113*10+0.00309*S26*1000)</f>
        <v/>
      </c>
      <c r="W26" s="515" t="str">
        <f t="shared" si="1"/>
        <v/>
      </c>
      <c r="X26" s="515" t="str">
        <f t="shared" si="2"/>
        <v/>
      </c>
      <c r="Y26" s="512" t="str">
        <f t="shared" si="3"/>
        <v/>
      </c>
      <c r="Z26" s="516" t="str">
        <f t="shared" si="4"/>
        <v/>
      </c>
      <c r="AA26" s="517" t="str">
        <f t="shared" si="5"/>
        <v/>
      </c>
      <c r="AC26" s="1374" t="str">
        <f t="shared" si="6"/>
        <v/>
      </c>
      <c r="AD26" s="1375" t="str">
        <f t="shared" si="18"/>
        <v/>
      </c>
      <c r="AE26" s="1376" t="str">
        <f t="shared" si="7"/>
        <v/>
      </c>
      <c r="AF26" s="1377" t="str">
        <f>IF('Basic Info'!$C$44="","",(IF(AND(AC26="Yes",AD26&lt;&gt;"No"),IF('Basic Info'!$C$44="Market Rate",IF(AE26="Electricity","MPPMREINC","MPPMRGINC"),IF(AE26="Electricity","MPPLIEINC","MPPLIGINC")),"")))</f>
        <v/>
      </c>
      <c r="AG26" s="1378"/>
      <c r="AH26" s="1344"/>
      <c r="AI26" s="1370">
        <f t="shared" si="8"/>
        <v>0</v>
      </c>
      <c r="AJ26" s="1371">
        <f t="shared" si="9"/>
        <v>0</v>
      </c>
      <c r="AK26" s="1345"/>
      <c r="AL26" s="1356">
        <f t="shared" si="10"/>
        <v>0</v>
      </c>
      <c r="AM26" s="1357">
        <f t="shared" si="11"/>
        <v>0</v>
      </c>
      <c r="AN26" s="1357">
        <f t="shared" si="12"/>
        <v>0</v>
      </c>
      <c r="AO26" s="1357">
        <f t="shared" si="19"/>
        <v>0</v>
      </c>
      <c r="AP26" s="1357">
        <f t="shared" si="13"/>
        <v>0</v>
      </c>
      <c r="AQ26" s="1357">
        <f>IF(OR(N(S26)=0,N(J26)=0)=TRUE,0,-PV('Avoided Costs'!$C$3,J26,S26*0.00309*1000))</f>
        <v>0</v>
      </c>
      <c r="AR26" s="1358">
        <f>IF(N(J26)=0,0,-PV('Avoided Costs'!$C$3,J26,T26))</f>
        <v>0</v>
      </c>
      <c r="AS26" s="1358">
        <f t="shared" si="14"/>
        <v>0</v>
      </c>
      <c r="AT26" s="1358">
        <f t="shared" si="15"/>
        <v>0</v>
      </c>
      <c r="AU26" s="1358">
        <f t="shared" si="20"/>
        <v>0</v>
      </c>
      <c r="AV26" s="1359">
        <f t="shared" si="16"/>
        <v>0</v>
      </c>
      <c r="AW26" s="1359">
        <f t="shared" si="17"/>
        <v>0</v>
      </c>
      <c r="AX26" s="1360">
        <f t="shared" si="21"/>
        <v>0</v>
      </c>
    </row>
    <row r="27" spans="1:50">
      <c r="A27" s="1392">
        <v>19</v>
      </c>
      <c r="B27" s="1393">
        <f>'Results from eQUEST'!K48</f>
        <v>0</v>
      </c>
      <c r="C27" s="502"/>
      <c r="D27" s="698" t="e">
        <f>INDEX(ERMs!$B$5:$E$78,MATCH(A27,ERMs!$B$5:$B$78,0),4)</f>
        <v>#N/A</v>
      </c>
      <c r="E27" s="503"/>
      <c r="F27" s="504"/>
      <c r="G27" s="698" t="e">
        <f>INDEX(ERMs!$B$5:$E$78,MATCH(A27,ERMs!$B$5:$B$78,0),2)</f>
        <v>#N/A</v>
      </c>
      <c r="H27" s="503"/>
      <c r="I27" s="502"/>
      <c r="J27" s="1395" t="str">
        <f>IF(C27="","",VLOOKUP(C27,'Demand Savings Lookup'!$A$3:$G$42,6,FALSE))</f>
        <v/>
      </c>
      <c r="K27" s="1396" t="str">
        <f>IF(AND(N27=0,O27=0),"N/A",IF('Basic Info'!$C$49="natural gas","gas - firm",IF(AND('Basic Info'!$C$50="natural gas",'Basic Info'!$C$49="electric"),"gas - non firm","")))</f>
        <v>N/A</v>
      </c>
      <c r="L27" s="505"/>
      <c r="M27" s="1395" t="str">
        <f>IF(C27="","",VLOOKUP(C27,'Demand Savings Lookup'!$A$1:$G$42,7,FALSE))</f>
        <v/>
      </c>
      <c r="N27" s="1400">
        <f>IF(B27=0,0,(('Results from eQUEST'!BB47+'Results from eQUEST'!BH47)/10-('Results from eQUEST'!BB48+'Results from eQUEST'!BH48)/10))</f>
        <v>0</v>
      </c>
      <c r="O27" s="1402">
        <f>IF(B27=0,0,('Results from eQUEST'!BK47-'Results from eQUEST'!BK48)/10-N27)</f>
        <v>0</v>
      </c>
      <c r="P27" s="1401">
        <f>IF(B27=0,0,(('Results from eQUEST'!Q47+'Results from eQUEST'!R47)-('Results from eQUEST'!Q48+'Results from eQUEST'!R48)))</f>
        <v>0</v>
      </c>
      <c r="Q27" s="1398">
        <f>IF(B27=0,0,'Results from eQUEST'!Y47-'Results from eQUEST'!Y48-P27)</f>
        <v>0</v>
      </c>
      <c r="R27" s="1399">
        <f>IF(P27+Q27&lt;=0,0,IF(AND(P27=0,Q27=0),0,IF(B27=0,0,P27*VLOOKUP(C27,'Demand Savings Lookup'!$A$3:$E$42,IF('Basic Info'!$C$56=4,5,3),FALSE)+Q27*VLOOKUP(C27,'Demand Savings Lookup'!$A$3:$E$42,IF('Basic Info'!$C$56=4,4,2),FALSE))))</f>
        <v>0</v>
      </c>
      <c r="S27" s="483"/>
      <c r="T27" s="483"/>
      <c r="U27" s="513" t="str">
        <f t="shared" si="0"/>
        <v/>
      </c>
      <c r="V27" s="514" t="str">
        <f>IF(B27=0,"",(P27+Q27)*'Reporting Summary'!$C$112+(N27+O27)*'Reporting Summary'!$C$113*10+0.00309*S27*1000)</f>
        <v/>
      </c>
      <c r="W27" s="515" t="str">
        <f t="shared" si="1"/>
        <v/>
      </c>
      <c r="X27" s="515" t="str">
        <f t="shared" si="2"/>
        <v/>
      </c>
      <c r="Y27" s="512" t="str">
        <f t="shared" si="3"/>
        <v/>
      </c>
      <c r="Z27" s="516" t="str">
        <f t="shared" si="4"/>
        <v/>
      </c>
      <c r="AA27" s="517" t="str">
        <f t="shared" si="5"/>
        <v/>
      </c>
      <c r="AC27" s="1374" t="str">
        <f t="shared" si="6"/>
        <v/>
      </c>
      <c r="AD27" s="1375" t="str">
        <f t="shared" si="18"/>
        <v/>
      </c>
      <c r="AE27" s="1376" t="str">
        <f t="shared" si="7"/>
        <v/>
      </c>
      <c r="AF27" s="1377" t="str">
        <f>IF('Basic Info'!$C$44="","",(IF(AND(AC27="Yes",AD27&lt;&gt;"No"),IF('Basic Info'!$C$44="Market Rate",IF(AE27="Electricity","MPPMREINC","MPPMRGINC"),IF(AE27="Electricity","MPPLIEINC","MPPLIGINC")),"")))</f>
        <v/>
      </c>
      <c r="AG27" s="1378"/>
      <c r="AH27" s="1344"/>
      <c r="AI27" s="1370">
        <f t="shared" si="8"/>
        <v>0</v>
      </c>
      <c r="AJ27" s="1371">
        <f t="shared" si="9"/>
        <v>0</v>
      </c>
      <c r="AK27" s="1345"/>
      <c r="AL27" s="1356">
        <f t="shared" si="10"/>
        <v>0</v>
      </c>
      <c r="AM27" s="1357">
        <f t="shared" si="11"/>
        <v>0</v>
      </c>
      <c r="AN27" s="1357">
        <f t="shared" si="12"/>
        <v>0</v>
      </c>
      <c r="AO27" s="1357">
        <f t="shared" si="19"/>
        <v>0</v>
      </c>
      <c r="AP27" s="1357">
        <f t="shared" si="13"/>
        <v>0</v>
      </c>
      <c r="AQ27" s="1357">
        <f>IF(OR(N(S27)=0,N(J27)=0)=TRUE,0,-PV('Avoided Costs'!$C$3,J27,S27*0.00309*1000))</f>
        <v>0</v>
      </c>
      <c r="AR27" s="1358">
        <f>IF(N(J27)=0,0,-PV('Avoided Costs'!$C$3,J27,T27))</f>
        <v>0</v>
      </c>
      <c r="AS27" s="1358">
        <f t="shared" si="14"/>
        <v>0</v>
      </c>
      <c r="AT27" s="1358">
        <f t="shared" si="15"/>
        <v>0</v>
      </c>
      <c r="AU27" s="1358">
        <f t="shared" si="20"/>
        <v>0</v>
      </c>
      <c r="AV27" s="1359">
        <f t="shared" si="16"/>
        <v>0</v>
      </c>
      <c r="AW27" s="1359">
        <f t="shared" si="17"/>
        <v>0</v>
      </c>
      <c r="AX27" s="1360">
        <f t="shared" si="21"/>
        <v>0</v>
      </c>
    </row>
    <row r="28" spans="1:50" ht="12.75" thickBot="1">
      <c r="A28" s="1394">
        <v>20</v>
      </c>
      <c r="B28" s="1393">
        <f>'Results from eQUEST'!K49</f>
        <v>0</v>
      </c>
      <c r="C28" s="507"/>
      <c r="D28" s="698" t="e">
        <f>INDEX(ERMs!$B$5:$E$78,MATCH(A28,ERMs!$B$5:$B$78,0),4)</f>
        <v>#N/A</v>
      </c>
      <c r="E28" s="508"/>
      <c r="F28" s="509"/>
      <c r="G28" s="698" t="e">
        <f>INDEX(ERMs!$B$5:$E$78,MATCH(A28,ERMs!$B$5:$B$78,0),2)</f>
        <v>#N/A</v>
      </c>
      <c r="H28" s="508"/>
      <c r="I28" s="507"/>
      <c r="J28" s="1395" t="str">
        <f>IF(C28="","",VLOOKUP(C28,'Demand Savings Lookup'!$A$3:$G$42,6,FALSE))</f>
        <v/>
      </c>
      <c r="K28" s="1396" t="str">
        <f>IF(AND(N28=0,O28=0),"N/A",IF('Basic Info'!$C$49="natural gas","gas - firm",IF(AND('Basic Info'!$C$50="natural gas",'Basic Info'!$C$49="electric"),"gas - non firm","")))</f>
        <v>N/A</v>
      </c>
      <c r="L28" s="510"/>
      <c r="M28" s="1395" t="str">
        <f>IF(C28="","",VLOOKUP(C28,'Demand Savings Lookup'!$A$1:$G$42,7,FALSE))</f>
        <v/>
      </c>
      <c r="N28" s="1400">
        <f>IF(B28=0,0,(('Results from eQUEST'!BB48+'Results from eQUEST'!BH48)/10-('Results from eQUEST'!BB49+'Results from eQUEST'!BH49)/10))</f>
        <v>0</v>
      </c>
      <c r="O28" s="1402">
        <f>IF(B28=0,0,('Results from eQUEST'!BK48-'Results from eQUEST'!BK49)/10-N28)</f>
        <v>0</v>
      </c>
      <c r="P28" s="1401">
        <f>IF(B28=0,0,(('Results from eQUEST'!Q48+'Results from eQUEST'!R48)-('Results from eQUEST'!Q49+'Results from eQUEST'!R49)))</f>
        <v>0</v>
      </c>
      <c r="Q28" s="1398">
        <f>IF(B28=0,0,'Results from eQUEST'!Y48-'Results from eQUEST'!Y49-P28)</f>
        <v>0</v>
      </c>
      <c r="R28" s="1399">
        <f>IF(P28+Q28&lt;=0,0,IF(AND(P28=0,Q28=0),0,IF(B28=0,0,P28*VLOOKUP(C28,'Demand Savings Lookup'!$A$3:$E$42,IF('Basic Info'!$C$56=4,5,3),FALSE)+Q28*VLOOKUP(C28,'Demand Savings Lookup'!$A$3:$E$42,IF('Basic Info'!$C$56=4,4,2),FALSE))))</f>
        <v>0</v>
      </c>
      <c r="S28" s="511"/>
      <c r="T28" s="511"/>
      <c r="U28" s="513" t="str">
        <f t="shared" si="0"/>
        <v/>
      </c>
      <c r="V28" s="514" t="str">
        <f>IF(B28=0,"",(P28+Q28)*'Reporting Summary'!$C$112+(N28+O28)*'Reporting Summary'!$C$113*10+0.00309*S28*1000)</f>
        <v/>
      </c>
      <c r="W28" s="515" t="str">
        <f t="shared" si="1"/>
        <v/>
      </c>
      <c r="X28" s="515" t="str">
        <f t="shared" si="2"/>
        <v/>
      </c>
      <c r="Y28" s="512" t="str">
        <f t="shared" si="3"/>
        <v/>
      </c>
      <c r="Z28" s="516" t="str">
        <f t="shared" si="4"/>
        <v/>
      </c>
      <c r="AA28" s="517" t="str">
        <f t="shared" si="5"/>
        <v/>
      </c>
      <c r="AC28" s="1374" t="str">
        <f t="shared" si="6"/>
        <v/>
      </c>
      <c r="AD28" s="1375" t="str">
        <f t="shared" si="18"/>
        <v/>
      </c>
      <c r="AE28" s="1376" t="str">
        <f t="shared" si="7"/>
        <v/>
      </c>
      <c r="AF28" s="1377" t="str">
        <f>IF('Basic Info'!$C$44="","",(IF(AND(AC28="Yes",AD28&lt;&gt;"No"),IF('Basic Info'!$C$44="Market Rate",IF(AE28="Electricity","MPPMREINC","MPPMRGINC"),IF(AE28="Electricity","MPPLIEINC","MPPLIGINC")),"")))</f>
        <v/>
      </c>
      <c r="AG28" s="1379"/>
      <c r="AH28" s="1344"/>
      <c r="AI28" s="1370">
        <f t="shared" si="8"/>
        <v>0</v>
      </c>
      <c r="AJ28" s="1371">
        <f t="shared" si="9"/>
        <v>0</v>
      </c>
      <c r="AK28" s="1345"/>
      <c r="AL28" s="1361">
        <f t="shared" si="10"/>
        <v>0</v>
      </c>
      <c r="AM28" s="1362">
        <f t="shared" si="11"/>
        <v>0</v>
      </c>
      <c r="AN28" s="1362">
        <f t="shared" si="12"/>
        <v>0</v>
      </c>
      <c r="AO28" s="1357">
        <f t="shared" si="19"/>
        <v>0</v>
      </c>
      <c r="AP28" s="1357">
        <f t="shared" si="13"/>
        <v>0</v>
      </c>
      <c r="AQ28" s="1362">
        <f>IF(OR(N(S28)=0,N(J28)=0)=TRUE,0,-PV('Avoided Costs'!$C$3,J28,S28*0.00309*1000))</f>
        <v>0</v>
      </c>
      <c r="AR28" s="1363">
        <f>IF(N(J28)=0,0,-PV('Avoided Costs'!$C$3,J28,T28))</f>
        <v>0</v>
      </c>
      <c r="AS28" s="1363">
        <f t="shared" si="14"/>
        <v>0</v>
      </c>
      <c r="AT28" s="1358">
        <f t="shared" si="15"/>
        <v>0</v>
      </c>
      <c r="AU28" s="1358">
        <f t="shared" si="20"/>
        <v>0</v>
      </c>
      <c r="AV28" s="1359">
        <f t="shared" si="16"/>
        <v>0</v>
      </c>
      <c r="AW28" s="1359">
        <f t="shared" si="17"/>
        <v>0</v>
      </c>
      <c r="AX28" s="1360">
        <f t="shared" si="21"/>
        <v>0</v>
      </c>
    </row>
    <row r="29" spans="1:50" ht="12.75" thickBot="1">
      <c r="A29" s="1403"/>
      <c r="B29" s="1404"/>
      <c r="C29" s="1404"/>
      <c r="D29" s="1404"/>
      <c r="E29" s="1404"/>
      <c r="F29" s="1404"/>
      <c r="G29" s="1404"/>
      <c r="H29" s="1404"/>
      <c r="I29" s="1404"/>
      <c r="J29" s="1404"/>
      <c r="K29" s="1404"/>
      <c r="L29" s="1404"/>
      <c r="M29" s="1404"/>
      <c r="N29" s="1404"/>
      <c r="O29" s="1404"/>
      <c r="P29" s="1404"/>
      <c r="Q29" s="1404"/>
      <c r="R29" s="1404"/>
      <c r="S29" s="1404"/>
      <c r="T29" s="1404"/>
      <c r="U29" s="1404"/>
      <c r="V29" s="1404"/>
      <c r="W29" s="1404"/>
      <c r="X29" s="1404"/>
      <c r="Y29" s="1404"/>
      <c r="Z29" s="1404"/>
      <c r="AA29" s="1405"/>
      <c r="AC29" s="1364"/>
      <c r="AD29" s="1365"/>
      <c r="AE29" s="1365"/>
      <c r="AF29" s="1365"/>
      <c r="AG29" s="1366"/>
      <c r="AI29" s="1364"/>
      <c r="AJ29" s="1366"/>
      <c r="AK29" s="485"/>
      <c r="AL29" s="1364"/>
      <c r="AM29" s="1365"/>
      <c r="AN29" s="1365"/>
      <c r="AO29" s="1365"/>
      <c r="AP29" s="1365"/>
      <c r="AQ29" s="1365"/>
      <c r="AR29" s="1365"/>
      <c r="AS29" s="1365"/>
      <c r="AT29" s="1365"/>
      <c r="AU29" s="1365"/>
      <c r="AV29" s="1365"/>
      <c r="AW29" s="1365"/>
      <c r="AX29" s="1366"/>
    </row>
    <row r="30" spans="1:50" ht="12.75" customHeight="1" thickBot="1">
      <c r="D30" s="484"/>
      <c r="E30" s="484"/>
      <c r="F30" s="484"/>
      <c r="G30" s="484"/>
      <c r="H30" s="484"/>
      <c r="I30" s="484"/>
      <c r="M30" s="506" t="s">
        <v>2963</v>
      </c>
      <c r="N30" s="1406">
        <f t="shared" ref="N30:T30" si="22">SUM(N8:N29)</f>
        <v>0</v>
      </c>
      <c r="O30" s="1406">
        <f t="shared" si="22"/>
        <v>0</v>
      </c>
      <c r="P30" s="1406">
        <f t="shared" si="22"/>
        <v>0</v>
      </c>
      <c r="Q30" s="1406">
        <f t="shared" si="22"/>
        <v>0</v>
      </c>
      <c r="R30" s="1406">
        <f t="shared" si="22"/>
        <v>0</v>
      </c>
      <c r="S30" s="1406">
        <f t="shared" si="22"/>
        <v>0</v>
      </c>
      <c r="T30" s="1406">
        <f t="shared" si="22"/>
        <v>0</v>
      </c>
      <c r="U30" s="1407"/>
      <c r="V30" s="2127" t="s">
        <v>2735</v>
      </c>
      <c r="W30" s="2128"/>
      <c r="X30" s="2128"/>
      <c r="Y30" s="2128"/>
      <c r="Z30" s="2128"/>
      <c r="AA30" s="2129"/>
      <c r="AI30" s="481"/>
      <c r="AJ30" s="481"/>
      <c r="AK30" s="481"/>
      <c r="AL30" s="481"/>
      <c r="AM30" s="481"/>
      <c r="AN30" s="481"/>
      <c r="AO30" s="481"/>
      <c r="AS30" s="485"/>
      <c r="AX30" s="1367">
        <f>SUM(AX8:AX29)</f>
        <v>0</v>
      </c>
    </row>
    <row r="31" spans="1:50" ht="13.5" customHeight="1" thickBot="1">
      <c r="A31" s="484"/>
      <c r="B31" s="484"/>
      <c r="C31" s="484"/>
      <c r="D31" s="484"/>
      <c r="E31" s="484"/>
      <c r="F31" s="484"/>
      <c r="G31" s="484"/>
      <c r="H31" s="484"/>
      <c r="I31" s="484"/>
      <c r="J31" s="484"/>
      <c r="K31" s="484"/>
      <c r="L31" s="484"/>
      <c r="M31" s="484"/>
      <c r="N31" s="1408"/>
      <c r="O31" s="1408"/>
      <c r="P31" s="1408"/>
      <c r="Q31" s="2133" t="s">
        <v>2726</v>
      </c>
      <c r="R31" s="2134"/>
      <c r="S31" s="2134"/>
      <c r="T31" s="2135"/>
      <c r="U31" s="1409">
        <f>SUM(U8:U29)</f>
        <v>0</v>
      </c>
      <c r="V31" s="2130"/>
      <c r="W31" s="2131"/>
      <c r="X31" s="2131"/>
      <c r="Y31" s="2131"/>
      <c r="Z31" s="2131"/>
      <c r="AA31" s="2132"/>
      <c r="AB31" s="484"/>
      <c r="AM31" s="485"/>
      <c r="AX31" s="481"/>
    </row>
    <row r="32" spans="1:50" ht="12.75" customHeight="1">
      <c r="B32" s="1412" t="s">
        <v>2955</v>
      </c>
      <c r="C32" s="1413"/>
      <c r="D32" s="1413"/>
      <c r="E32" s="1413"/>
      <c r="F32" s="1414"/>
      <c r="G32" s="1415"/>
      <c r="H32" s="1414"/>
      <c r="I32" s="1414"/>
      <c r="J32" s="1414"/>
      <c r="K32" s="1414"/>
      <c r="L32" s="1414"/>
      <c r="M32" s="1414"/>
      <c r="N32" s="1416"/>
      <c r="O32" s="484"/>
      <c r="P32" s="484"/>
      <c r="Q32" s="2121" t="s">
        <v>2730</v>
      </c>
      <c r="R32" s="2122"/>
      <c r="S32" s="2122"/>
      <c r="T32" s="2123"/>
      <c r="U32" s="1409">
        <f>'Basic Info'!C59</f>
        <v>0</v>
      </c>
      <c r="V32" s="1306" t="s">
        <v>2732</v>
      </c>
      <c r="W32" s="1410" t="s">
        <v>2732</v>
      </c>
      <c r="X32" s="1410" t="s">
        <v>2732</v>
      </c>
      <c r="Y32" s="1410" t="s">
        <v>2732</v>
      </c>
      <c r="Z32" s="1410" t="s">
        <v>2732</v>
      </c>
      <c r="AA32" s="1306" t="s">
        <v>2736</v>
      </c>
      <c r="AB32" s="484"/>
    </row>
    <row r="33" spans="2:51" ht="12.75" customHeight="1">
      <c r="B33" s="1417" t="s">
        <v>3260</v>
      </c>
      <c r="C33" s="1201"/>
      <c r="D33" s="1201"/>
      <c r="E33" s="1201"/>
      <c r="F33" s="1200"/>
      <c r="G33" s="1418"/>
      <c r="H33" s="1419"/>
      <c r="I33" s="1419"/>
      <c r="J33" s="1419"/>
      <c r="K33" s="1419"/>
      <c r="L33" s="1419"/>
      <c r="M33" s="1419"/>
      <c r="N33" s="1420"/>
      <c r="O33" s="484"/>
      <c r="P33" s="484"/>
      <c r="Q33" s="2121" t="s">
        <v>2731</v>
      </c>
      <c r="R33" s="2122"/>
      <c r="S33" s="2122"/>
      <c r="T33" s="2123"/>
      <c r="U33" s="1409">
        <f>'Basic Info'!C60</f>
        <v>0</v>
      </c>
      <c r="V33" s="1411" t="s">
        <v>2713</v>
      </c>
      <c r="W33" s="1411" t="s">
        <v>2515</v>
      </c>
      <c r="X33" s="1411" t="s">
        <v>2959</v>
      </c>
      <c r="Y33" s="1411" t="s">
        <v>2958</v>
      </c>
      <c r="Z33" s="1411" t="s">
        <v>2734</v>
      </c>
      <c r="AA33" s="1411" t="s">
        <v>2737</v>
      </c>
      <c r="AB33" s="484"/>
      <c r="AY33" s="485"/>
    </row>
    <row r="34" spans="2:51" s="485" customFormat="1" ht="12.75" customHeight="1">
      <c r="B34" s="1417" t="s">
        <v>3253</v>
      </c>
      <c r="C34" s="1201"/>
      <c r="D34" s="1201"/>
      <c r="E34" s="1201"/>
      <c r="F34" s="1419"/>
      <c r="G34" s="1418"/>
      <c r="H34" s="1419"/>
      <c r="I34" s="1419"/>
      <c r="J34" s="1419"/>
      <c r="K34" s="1419"/>
      <c r="L34" s="1419"/>
      <c r="M34" s="1419"/>
      <c r="N34" s="1420"/>
      <c r="Q34" s="2121" t="str">
        <f>UPPER('Basic Info'!B61)</f>
        <v xml:space="preserve">PARTNER FEES - &lt;OTHER&gt; </v>
      </c>
      <c r="R34" s="2122"/>
      <c r="S34" s="2122"/>
      <c r="T34" s="2123"/>
      <c r="U34" s="1409">
        <f>'Basic Info'!C61</f>
        <v>0</v>
      </c>
      <c r="V34" s="1329" t="s">
        <v>2733</v>
      </c>
      <c r="W34" s="1411"/>
      <c r="X34" s="1411"/>
      <c r="Y34" s="1411"/>
      <c r="Z34" s="1411" t="s">
        <v>2733</v>
      </c>
      <c r="AA34" s="1329" t="s">
        <v>2513</v>
      </c>
    </row>
    <row r="35" spans="2:51" s="485" customFormat="1" ht="12.75" customHeight="1">
      <c r="B35" s="1417" t="s">
        <v>2968</v>
      </c>
      <c r="C35" s="1201"/>
      <c r="D35" s="1201"/>
      <c r="E35" s="1201"/>
      <c r="F35" s="1419"/>
      <c r="G35" s="1418"/>
      <c r="H35" s="1419"/>
      <c r="I35" s="1419"/>
      <c r="J35" s="1419"/>
      <c r="K35" s="1419"/>
      <c r="L35" s="1419"/>
      <c r="M35" s="1419"/>
      <c r="N35" s="1420"/>
      <c r="O35" s="486"/>
      <c r="P35" s="486"/>
      <c r="Q35" s="2124" t="s">
        <v>2727</v>
      </c>
      <c r="R35" s="2125"/>
      <c r="S35" s="2125"/>
      <c r="T35" s="2126"/>
      <c r="U35" s="521">
        <f>SUM(U31:U34)</f>
        <v>0</v>
      </c>
      <c r="V35" s="518">
        <f>SUM(V8:V29)</f>
        <v>0</v>
      </c>
      <c r="W35" s="911" t="e">
        <f>U31/V35</f>
        <v>#DIV/0!</v>
      </c>
      <c r="X35" s="519">
        <f>IF(V35&gt;0, -PV(AA2, AA35, V35)/U35, 0)</f>
        <v>0</v>
      </c>
      <c r="Y35" s="519" t="e">
        <f>'Funding Overview'!E18</f>
        <v>#DIV/0!</v>
      </c>
      <c r="Z35" s="520">
        <f>SUM(Z8:Z29)</f>
        <v>0</v>
      </c>
      <c r="AA35" s="912" t="e">
        <f>SUM(AA8:AA29)/V35</f>
        <v>#DIV/0!</v>
      </c>
      <c r="AB35" s="486"/>
    </row>
    <row r="36" spans="2:51" s="485" customFormat="1">
      <c r="B36" s="1417" t="s">
        <v>2969</v>
      </c>
      <c r="C36" s="1201"/>
      <c r="D36" s="1201"/>
      <c r="E36" s="1201"/>
      <c r="F36" s="1419"/>
      <c r="G36" s="1418"/>
      <c r="H36" s="1419"/>
      <c r="I36" s="1419"/>
      <c r="J36" s="1419"/>
      <c r="K36" s="1419"/>
      <c r="L36" s="1419"/>
      <c r="M36" s="1419"/>
      <c r="N36" s="1420"/>
      <c r="O36" s="487"/>
      <c r="P36" s="487"/>
      <c r="Q36" s="487"/>
      <c r="R36" s="487"/>
      <c r="S36" s="487"/>
      <c r="T36" s="487"/>
      <c r="V36" s="487"/>
      <c r="W36" s="487"/>
      <c r="X36" s="487"/>
      <c r="Y36" s="487"/>
      <c r="Z36" s="488"/>
      <c r="AA36" s="488"/>
    </row>
    <row r="37" spans="2:51" s="485" customFormat="1">
      <c r="B37" s="1417" t="s">
        <v>3254</v>
      </c>
      <c r="C37" s="1201"/>
      <c r="D37" s="1201"/>
      <c r="E37" s="1201"/>
      <c r="F37" s="1419"/>
      <c r="G37" s="1418"/>
      <c r="H37" s="1419"/>
      <c r="I37" s="1419"/>
      <c r="J37" s="1419"/>
      <c r="K37" s="1419"/>
      <c r="L37" s="1419"/>
      <c r="M37" s="1419"/>
      <c r="N37" s="1420"/>
      <c r="O37" s="487"/>
      <c r="P37" s="487"/>
      <c r="Q37" s="487"/>
      <c r="R37" s="487"/>
      <c r="S37" s="487"/>
      <c r="T37" s="487"/>
      <c r="V37" s="487"/>
      <c r="W37" s="487"/>
      <c r="X37" s="487"/>
      <c r="Y37" s="487"/>
      <c r="Z37" s="488"/>
      <c r="AA37" s="488"/>
    </row>
    <row r="38" spans="2:51" s="485" customFormat="1">
      <c r="B38" s="1417" t="s">
        <v>3255</v>
      </c>
      <c r="C38" s="1201"/>
      <c r="D38" s="1201"/>
      <c r="E38" s="1201"/>
      <c r="F38" s="1419"/>
      <c r="G38" s="1418"/>
      <c r="H38" s="1419"/>
      <c r="I38" s="1419"/>
      <c r="J38" s="1419"/>
      <c r="K38" s="1419"/>
      <c r="L38" s="1419"/>
      <c r="M38" s="1419"/>
      <c r="N38" s="1420"/>
      <c r="O38" s="487"/>
      <c r="P38" s="487"/>
      <c r="Q38" s="487"/>
      <c r="R38" s="487"/>
      <c r="S38" s="487"/>
      <c r="T38" s="487"/>
      <c r="V38" s="487"/>
      <c r="W38" s="487"/>
      <c r="X38" s="487"/>
      <c r="Y38" s="487"/>
      <c r="Z38" s="488"/>
      <c r="AA38" s="488"/>
    </row>
    <row r="39" spans="2:51" s="485" customFormat="1">
      <c r="B39" s="1417" t="s">
        <v>3256</v>
      </c>
      <c r="C39" s="1201"/>
      <c r="D39" s="1201"/>
      <c r="E39" s="1201"/>
      <c r="F39" s="1201"/>
      <c r="G39" s="1201"/>
      <c r="H39" s="1201"/>
      <c r="I39" s="1201"/>
      <c r="J39" s="1201"/>
      <c r="K39" s="1201"/>
      <c r="L39" s="1201"/>
      <c r="M39" s="1201"/>
      <c r="N39" s="1421"/>
      <c r="O39" s="1346"/>
      <c r="P39" s="1066"/>
      <c r="Q39" s="1066"/>
      <c r="R39" s="1066"/>
      <c r="S39" s="1347"/>
      <c r="T39" s="489"/>
      <c r="U39" s="490"/>
      <c r="V39" s="490"/>
      <c r="W39" s="491"/>
      <c r="X39" s="492"/>
      <c r="Y39" s="492"/>
      <c r="Z39" s="490"/>
      <c r="AA39" s="490"/>
    </row>
    <row r="40" spans="2:51" s="485" customFormat="1">
      <c r="B40" s="1417" t="s">
        <v>3257</v>
      </c>
      <c r="C40" s="1201"/>
      <c r="D40" s="1201"/>
      <c r="E40" s="1201"/>
      <c r="F40" s="1419"/>
      <c r="G40" s="1418"/>
      <c r="H40" s="1419"/>
      <c r="I40" s="1419"/>
      <c r="J40" s="1419"/>
      <c r="K40" s="1419"/>
      <c r="L40" s="1419"/>
      <c r="M40" s="1419"/>
      <c r="N40" s="1420"/>
      <c r="O40" s="1346"/>
      <c r="P40" s="1066"/>
      <c r="Q40" s="1066"/>
      <c r="R40" s="1066"/>
      <c r="S40" s="1347"/>
      <c r="T40" s="489"/>
      <c r="U40" s="490"/>
      <c r="V40" s="490"/>
      <c r="W40" s="491"/>
      <c r="X40" s="492"/>
      <c r="Y40" s="492"/>
      <c r="Z40" s="490"/>
      <c r="AA40" s="490"/>
    </row>
    <row r="41" spans="2:51" s="485" customFormat="1">
      <c r="B41" s="1417" t="s">
        <v>3258</v>
      </c>
      <c r="C41" s="1201"/>
      <c r="D41" s="1201"/>
      <c r="E41" s="1201"/>
      <c r="F41" s="1419"/>
      <c r="G41" s="1418"/>
      <c r="H41" s="1419"/>
      <c r="I41" s="1419"/>
      <c r="J41" s="1419"/>
      <c r="K41" s="1419"/>
      <c r="L41" s="1419"/>
      <c r="M41" s="1419"/>
      <c r="N41" s="1420"/>
      <c r="O41" s="1346"/>
      <c r="P41" s="1066"/>
      <c r="Q41" s="1066"/>
      <c r="R41" s="1066"/>
      <c r="S41" s="1347"/>
      <c r="T41" s="489"/>
      <c r="U41" s="490"/>
      <c r="V41" s="490"/>
      <c r="W41" s="491"/>
      <c r="X41" s="492"/>
      <c r="Y41" s="492"/>
      <c r="Z41" s="490"/>
      <c r="AA41" s="490"/>
    </row>
    <row r="42" spans="2:51" s="485" customFormat="1">
      <c r="B42" s="1417" t="s">
        <v>3259</v>
      </c>
      <c r="C42" s="1201"/>
      <c r="D42" s="1201"/>
      <c r="E42" s="1201"/>
      <c r="F42" s="1419"/>
      <c r="G42" s="1418"/>
      <c r="H42" s="1419"/>
      <c r="I42" s="1419"/>
      <c r="J42" s="1419"/>
      <c r="K42" s="1419"/>
      <c r="L42" s="1419"/>
      <c r="M42" s="1419"/>
      <c r="N42" s="1420"/>
      <c r="O42" s="1346"/>
      <c r="P42" s="1066"/>
      <c r="Q42" s="1066"/>
      <c r="R42" s="1066"/>
      <c r="S42" s="1347"/>
      <c r="T42" s="489"/>
      <c r="U42" s="490"/>
      <c r="V42" s="490"/>
      <c r="W42" s="491"/>
      <c r="X42" s="492"/>
      <c r="Y42" s="492"/>
      <c r="Z42" s="490"/>
      <c r="AA42" s="490"/>
    </row>
    <row r="43" spans="2:51" s="485" customFormat="1">
      <c r="B43" s="1417"/>
      <c r="C43" s="1201"/>
      <c r="D43" s="1201"/>
      <c r="E43" s="1201"/>
      <c r="F43" s="1419"/>
      <c r="G43" s="1418"/>
      <c r="H43" s="1419"/>
      <c r="I43" s="1419"/>
      <c r="J43" s="1419"/>
      <c r="K43" s="1419"/>
      <c r="L43" s="1419"/>
      <c r="M43" s="1419"/>
      <c r="N43" s="1420"/>
      <c r="O43" s="1067"/>
      <c r="P43" s="1067"/>
      <c r="Q43" s="1067"/>
      <c r="R43" s="1067"/>
      <c r="S43" s="1347"/>
      <c r="T43" s="489"/>
      <c r="U43" s="490"/>
      <c r="V43" s="490"/>
      <c r="W43" s="491"/>
      <c r="X43" s="492"/>
      <c r="Y43" s="492"/>
      <c r="Z43" s="490"/>
      <c r="AA43" s="490"/>
    </row>
    <row r="44" spans="2:51" s="485" customFormat="1" ht="12" customHeight="1">
      <c r="B44" s="1422" t="s">
        <v>3252</v>
      </c>
      <c r="C44" s="1201"/>
      <c r="D44" s="1201"/>
      <c r="E44" s="1423"/>
      <c r="F44" s="1201"/>
      <c r="G44" s="1424"/>
      <c r="H44" s="1201"/>
      <c r="I44" s="1201"/>
      <c r="J44" s="1201"/>
      <c r="K44" s="1201"/>
      <c r="L44" s="1201"/>
      <c r="M44" s="1201"/>
      <c r="N44" s="1425"/>
      <c r="O44" s="1067"/>
      <c r="P44" s="1067"/>
      <c r="Q44" s="1067"/>
      <c r="R44" s="1067"/>
      <c r="S44" s="1347"/>
      <c r="T44" s="489"/>
      <c r="U44" s="490"/>
      <c r="V44" s="490"/>
      <c r="W44" s="491"/>
      <c r="X44" s="492"/>
      <c r="Y44" s="492"/>
      <c r="Z44" s="490"/>
      <c r="AA44" s="490"/>
      <c r="AJ44" s="1348"/>
      <c r="AK44" s="1349"/>
    </row>
    <row r="45" spans="2:51" s="485" customFormat="1" ht="12" customHeight="1">
      <c r="B45" s="1426" t="s">
        <v>2956</v>
      </c>
      <c r="C45" s="1201"/>
      <c r="D45" s="1201"/>
      <c r="E45" s="630"/>
      <c r="F45" s="1424"/>
      <c r="G45" s="1424"/>
      <c r="H45" s="1201"/>
      <c r="I45" s="1201"/>
      <c r="J45" s="1201"/>
      <c r="K45" s="1201"/>
      <c r="L45" s="1201"/>
      <c r="M45" s="1201"/>
      <c r="N45" s="1425"/>
      <c r="O45" s="1346"/>
      <c r="P45" s="1066"/>
      <c r="Q45" s="1066"/>
      <c r="R45" s="1066"/>
      <c r="S45" s="1347"/>
      <c r="T45" s="489"/>
      <c r="U45" s="490"/>
      <c r="V45" s="490"/>
      <c r="W45" s="491"/>
      <c r="X45" s="492"/>
      <c r="Y45" s="492"/>
      <c r="Z45" s="490"/>
      <c r="AA45" s="490"/>
      <c r="AJ45" s="1348"/>
      <c r="AK45" s="1349"/>
    </row>
    <row r="46" spans="2:51" s="485" customFormat="1" ht="12.75">
      <c r="B46" s="1427" t="s">
        <v>3251</v>
      </c>
      <c r="C46" s="1201"/>
      <c r="D46" s="1201"/>
      <c r="E46" s="1201"/>
      <c r="F46" s="1424"/>
      <c r="G46" s="1424"/>
      <c r="H46" s="1201"/>
      <c r="I46" s="1201"/>
      <c r="J46" s="1201"/>
      <c r="K46" s="1201"/>
      <c r="L46" s="1201"/>
      <c r="M46" s="1201"/>
      <c r="N46" s="1425"/>
      <c r="O46" s="1346"/>
      <c r="P46" s="1066"/>
      <c r="Q46" s="1066"/>
      <c r="R46" s="1066"/>
      <c r="S46" s="1347"/>
      <c r="T46" s="489"/>
      <c r="U46" s="490"/>
      <c r="V46" s="490"/>
      <c r="W46" s="491"/>
      <c r="X46" s="492"/>
      <c r="Y46" s="492"/>
      <c r="Z46" s="490"/>
      <c r="AA46" s="490"/>
      <c r="AJ46" s="1350"/>
    </row>
    <row r="47" spans="2:51" s="485" customFormat="1" ht="13.5" thickBot="1">
      <c r="B47" s="1428"/>
      <c r="C47" s="1429"/>
      <c r="D47" s="1429"/>
      <c r="E47" s="1429"/>
      <c r="F47" s="1430"/>
      <c r="G47" s="1429"/>
      <c r="H47" s="1429"/>
      <c r="I47" s="1429"/>
      <c r="J47" s="1429"/>
      <c r="K47" s="1429"/>
      <c r="L47" s="1429"/>
      <c r="M47" s="1429"/>
      <c r="N47" s="1431"/>
      <c r="O47" s="1346"/>
      <c r="P47" s="1066"/>
      <c r="Q47" s="1066"/>
      <c r="R47" s="1066"/>
      <c r="S47" s="1347"/>
      <c r="T47" s="489"/>
      <c r="U47" s="490"/>
      <c r="V47" s="490"/>
      <c r="W47" s="491"/>
      <c r="X47" s="492"/>
      <c r="Y47" s="492"/>
      <c r="Z47" s="490"/>
      <c r="AA47" s="490"/>
      <c r="AJ47" s="1350"/>
    </row>
    <row r="48" spans="2:51" s="485" customFormat="1" ht="12.75">
      <c r="M48" s="482"/>
      <c r="N48" s="1346"/>
      <c r="O48" s="1346"/>
      <c r="P48" s="1066"/>
      <c r="Q48" s="1066"/>
      <c r="R48" s="1066"/>
      <c r="S48" s="1347"/>
      <c r="T48" s="489"/>
      <c r="U48" s="490"/>
      <c r="V48" s="490"/>
      <c r="W48" s="491"/>
      <c r="X48" s="492"/>
      <c r="Y48" s="492"/>
      <c r="Z48" s="490"/>
      <c r="AA48" s="490"/>
      <c r="AB48" s="499"/>
      <c r="AJ48" s="1350"/>
    </row>
    <row r="49" spans="1:51" s="485" customFormat="1" ht="12.75">
      <c r="B49" s="1821" t="s">
        <v>3845</v>
      </c>
      <c r="C49" s="1822"/>
      <c r="D49" s="1822"/>
      <c r="E49" s="1822"/>
      <c r="F49" s="1822"/>
      <c r="G49" s="1823"/>
      <c r="N49" s="1067"/>
      <c r="O49" s="1346"/>
      <c r="P49" s="1066"/>
      <c r="Q49" s="1066"/>
      <c r="R49" s="1066"/>
      <c r="S49" s="1347"/>
      <c r="T49" s="489"/>
      <c r="U49" s="490"/>
      <c r="V49" s="490"/>
      <c r="W49" s="491"/>
      <c r="X49" s="492"/>
      <c r="Y49" s="492"/>
      <c r="Z49" s="490"/>
      <c r="AA49" s="490"/>
      <c r="AB49" s="499"/>
      <c r="AJ49" s="1350"/>
    </row>
    <row r="50" spans="1:51" s="485" customFormat="1" ht="12.75">
      <c r="B50" s="1040"/>
      <c r="C50" s="1041"/>
      <c r="D50" s="1041"/>
      <c r="E50" s="1041"/>
      <c r="F50" s="1041"/>
      <c r="G50" s="1042"/>
      <c r="N50" s="1067"/>
      <c r="O50" s="1346"/>
      <c r="P50" s="1066"/>
      <c r="Q50" s="1066"/>
      <c r="R50" s="1066"/>
      <c r="S50" s="1347"/>
      <c r="T50" s="489"/>
      <c r="U50" s="490"/>
      <c r="V50" s="490"/>
      <c r="W50" s="491"/>
      <c r="X50" s="492"/>
      <c r="Y50" s="492"/>
      <c r="Z50" s="490"/>
      <c r="AA50" s="490"/>
      <c r="AB50" s="499"/>
      <c r="AJ50" s="1350"/>
    </row>
    <row r="51" spans="1:51" s="485" customFormat="1" ht="12.75">
      <c r="B51" s="1043"/>
      <c r="C51" s="1044"/>
      <c r="D51" s="1044"/>
      <c r="E51" s="1044"/>
      <c r="F51" s="1044"/>
      <c r="G51" s="1045"/>
      <c r="N51" s="1067"/>
      <c r="O51" s="1346"/>
      <c r="P51" s="1066"/>
      <c r="Q51" s="1066"/>
      <c r="R51" s="1066"/>
      <c r="S51" s="1347"/>
      <c r="T51" s="489"/>
      <c r="U51" s="490"/>
      <c r="V51" s="490"/>
      <c r="W51" s="491"/>
      <c r="X51" s="492"/>
      <c r="Y51" s="492"/>
      <c r="Z51" s="490"/>
      <c r="AA51" s="490"/>
      <c r="AB51" s="499"/>
      <c r="AJ51" s="1350"/>
    </row>
    <row r="52" spans="1:51" s="485" customFormat="1" ht="12.75">
      <c r="B52" s="1046"/>
      <c r="C52" s="1044"/>
      <c r="D52" s="1044"/>
      <c r="E52" s="1044"/>
      <c r="F52" s="1044"/>
      <c r="G52" s="1045"/>
      <c r="N52" s="1067"/>
      <c r="O52" s="1346"/>
      <c r="P52" s="1066"/>
      <c r="Q52" s="1066"/>
      <c r="R52" s="1066"/>
      <c r="S52" s="1347"/>
      <c r="T52" s="489"/>
      <c r="U52" s="490"/>
      <c r="V52" s="490"/>
      <c r="W52" s="491"/>
      <c r="X52" s="492"/>
      <c r="Y52" s="492"/>
      <c r="Z52" s="490"/>
      <c r="AA52" s="490"/>
      <c r="AB52" s="499"/>
      <c r="AJ52" s="1351"/>
    </row>
    <row r="53" spans="1:51" s="485" customFormat="1">
      <c r="B53" s="1046"/>
      <c r="C53" s="1044"/>
      <c r="D53" s="1044"/>
      <c r="E53" s="1044"/>
      <c r="F53" s="1044"/>
      <c r="G53" s="1045"/>
      <c r="N53" s="498"/>
      <c r="O53" s="1346"/>
      <c r="P53" s="1066"/>
      <c r="Q53" s="1066"/>
      <c r="R53" s="1066"/>
      <c r="S53" s="1347"/>
      <c r="T53" s="493"/>
      <c r="U53" s="493"/>
      <c r="V53" s="493"/>
      <c r="W53" s="493"/>
      <c r="X53" s="493"/>
      <c r="Y53" s="493"/>
      <c r="Z53" s="490"/>
      <c r="AA53" s="494"/>
      <c r="AB53" s="499"/>
    </row>
    <row r="54" spans="1:51" s="485" customFormat="1">
      <c r="B54" s="1047"/>
      <c r="C54" s="1048"/>
      <c r="D54" s="1048"/>
      <c r="E54" s="1048"/>
      <c r="F54" s="1048"/>
      <c r="G54" s="1049"/>
      <c r="O54" s="1346"/>
      <c r="P54" s="1066"/>
      <c r="Q54" s="1066"/>
      <c r="R54" s="1066"/>
      <c r="S54" s="1347"/>
      <c r="T54" s="495"/>
      <c r="U54" s="493"/>
      <c r="V54" s="496"/>
      <c r="W54" s="491"/>
      <c r="X54" s="492"/>
      <c r="Y54" s="492"/>
      <c r="Z54" s="490"/>
      <c r="AA54" s="494"/>
      <c r="AB54" s="499"/>
    </row>
    <row r="55" spans="1:51" s="485" customFormat="1">
      <c r="B55" s="499"/>
      <c r="C55" s="499"/>
      <c r="G55" s="499"/>
      <c r="H55" s="499"/>
      <c r="I55" s="499"/>
      <c r="J55" s="500"/>
      <c r="K55" s="500"/>
      <c r="L55" s="500"/>
      <c r="M55" s="500"/>
      <c r="N55" s="500"/>
      <c r="AB55" s="499"/>
      <c r="AJ55" s="499"/>
      <c r="AK55" s="499"/>
      <c r="AY55" s="499"/>
    </row>
    <row r="56" spans="1:51" s="499" customFormat="1">
      <c r="A56" s="485"/>
      <c r="D56" s="485"/>
      <c r="E56" s="485"/>
      <c r="F56" s="485"/>
      <c r="J56" s="500"/>
      <c r="K56" s="500"/>
      <c r="L56" s="500"/>
      <c r="M56" s="500"/>
      <c r="N56" s="500"/>
      <c r="O56" s="500"/>
      <c r="P56" s="500"/>
      <c r="U56" s="500"/>
      <c r="V56" s="500"/>
    </row>
    <row r="57" spans="1:51" s="499" customFormat="1">
      <c r="D57" s="485"/>
      <c r="E57" s="485"/>
      <c r="F57" s="485"/>
      <c r="J57" s="500"/>
      <c r="K57" s="500"/>
      <c r="L57" s="500"/>
      <c r="M57" s="500"/>
      <c r="N57" s="500"/>
      <c r="O57" s="500"/>
      <c r="P57" s="500"/>
      <c r="U57" s="500"/>
      <c r="V57" s="500"/>
      <c r="AB57" s="485"/>
    </row>
    <row r="58" spans="1:51" s="499" customFormat="1">
      <c r="D58" s="485"/>
      <c r="E58" s="485"/>
      <c r="F58" s="485"/>
      <c r="J58" s="500"/>
      <c r="K58" s="500"/>
      <c r="L58" s="500"/>
      <c r="M58" s="500"/>
      <c r="N58" s="500"/>
      <c r="O58" s="500"/>
      <c r="P58" s="500"/>
      <c r="U58" s="500"/>
      <c r="V58" s="500"/>
      <c r="AB58" s="485"/>
    </row>
    <row r="59" spans="1:51" s="499" customFormat="1">
      <c r="D59" s="485"/>
      <c r="E59" s="485"/>
      <c r="F59" s="485"/>
      <c r="J59" s="500"/>
      <c r="K59" s="500"/>
      <c r="L59" s="500"/>
      <c r="M59" s="500"/>
      <c r="N59" s="500"/>
      <c r="O59" s="500"/>
      <c r="P59" s="500"/>
      <c r="U59" s="500"/>
      <c r="V59" s="500"/>
      <c r="AB59" s="485"/>
    </row>
    <row r="60" spans="1:51" s="499" customFormat="1">
      <c r="D60" s="485"/>
      <c r="E60" s="485"/>
      <c r="F60" s="485"/>
      <c r="J60" s="500"/>
      <c r="K60" s="500"/>
      <c r="L60" s="500"/>
      <c r="M60" s="500"/>
      <c r="N60" s="500"/>
      <c r="O60" s="500"/>
      <c r="P60" s="500"/>
      <c r="U60" s="500"/>
      <c r="V60" s="500"/>
      <c r="AB60" s="485"/>
    </row>
    <row r="61" spans="1:51" s="499" customFormat="1">
      <c r="D61" s="485"/>
      <c r="E61" s="485"/>
      <c r="F61" s="485"/>
      <c r="J61" s="500"/>
      <c r="K61" s="500"/>
      <c r="L61" s="500"/>
      <c r="M61" s="500"/>
      <c r="N61" s="500"/>
      <c r="O61" s="500"/>
      <c r="P61" s="500"/>
      <c r="U61" s="500"/>
      <c r="V61" s="500"/>
      <c r="AB61" s="485"/>
    </row>
    <row r="62" spans="1:51" s="499" customFormat="1">
      <c r="D62" s="485"/>
      <c r="E62" s="485"/>
      <c r="F62" s="485"/>
      <c r="J62" s="500"/>
      <c r="K62" s="500"/>
      <c r="L62" s="500"/>
      <c r="M62" s="500"/>
      <c r="N62" s="500"/>
      <c r="O62" s="500"/>
      <c r="P62" s="500"/>
      <c r="Q62" s="500"/>
      <c r="R62" s="500"/>
      <c r="S62" s="500"/>
      <c r="T62" s="500"/>
      <c r="U62" s="500"/>
      <c r="V62" s="500"/>
      <c r="AB62" s="485"/>
    </row>
    <row r="63" spans="1:51" s="499" customFormat="1">
      <c r="B63" s="485"/>
      <c r="C63" s="485"/>
      <c r="D63" s="485"/>
      <c r="E63" s="485"/>
      <c r="F63" s="485"/>
      <c r="H63" s="485"/>
      <c r="I63" s="485"/>
      <c r="J63" s="485"/>
      <c r="K63" s="485"/>
      <c r="L63" s="485"/>
      <c r="M63" s="485"/>
      <c r="N63" s="485"/>
      <c r="O63" s="500"/>
      <c r="P63" s="500"/>
      <c r="Q63" s="500"/>
      <c r="R63" s="500"/>
      <c r="S63" s="500"/>
      <c r="T63" s="500"/>
      <c r="U63" s="500"/>
      <c r="V63" s="500"/>
      <c r="AB63" s="485"/>
    </row>
    <row r="64" spans="1:51" s="499" customFormat="1">
      <c r="B64" s="485"/>
      <c r="C64" s="485"/>
      <c r="D64" s="485"/>
      <c r="E64" s="485"/>
      <c r="F64" s="485"/>
      <c r="G64" s="485"/>
      <c r="H64" s="485"/>
      <c r="I64" s="485"/>
      <c r="J64" s="485"/>
      <c r="K64" s="485"/>
      <c r="L64" s="485"/>
      <c r="M64" s="485"/>
      <c r="N64" s="485"/>
      <c r="O64" s="500"/>
      <c r="P64" s="500"/>
      <c r="Q64" s="500"/>
      <c r="R64" s="500"/>
      <c r="S64" s="500"/>
      <c r="T64" s="500"/>
      <c r="U64" s="500"/>
      <c r="V64" s="500"/>
      <c r="AB64" s="485"/>
    </row>
    <row r="65" spans="1:51" s="499" customFormat="1">
      <c r="B65" s="485"/>
      <c r="C65" s="485"/>
      <c r="D65" s="485"/>
      <c r="E65" s="485"/>
      <c r="F65" s="485"/>
      <c r="G65" s="485"/>
      <c r="H65" s="485"/>
      <c r="I65" s="485"/>
      <c r="J65" s="485"/>
      <c r="K65" s="485"/>
      <c r="L65" s="485"/>
      <c r="M65" s="485"/>
      <c r="N65" s="485"/>
      <c r="O65" s="500"/>
      <c r="P65" s="500"/>
      <c r="Q65" s="500"/>
      <c r="R65" s="500"/>
      <c r="S65" s="500"/>
      <c r="T65" s="500"/>
      <c r="U65" s="500"/>
      <c r="V65" s="500"/>
      <c r="AB65" s="485"/>
    </row>
    <row r="66" spans="1:51" s="499" customFormat="1">
      <c r="B66" s="485"/>
      <c r="C66" s="485"/>
      <c r="D66" s="485"/>
      <c r="E66" s="485"/>
      <c r="F66" s="485"/>
      <c r="G66" s="485"/>
      <c r="H66" s="485"/>
      <c r="I66" s="485"/>
      <c r="J66" s="485"/>
      <c r="K66" s="485"/>
      <c r="L66" s="485"/>
      <c r="M66" s="485"/>
      <c r="N66" s="485"/>
      <c r="O66" s="500"/>
      <c r="P66" s="500"/>
      <c r="Q66" s="500"/>
      <c r="R66" s="500"/>
      <c r="S66" s="500"/>
      <c r="T66" s="500"/>
      <c r="U66" s="500"/>
      <c r="V66" s="500"/>
      <c r="AB66" s="485"/>
    </row>
    <row r="67" spans="1:51" s="499" customFormat="1">
      <c r="B67" s="485"/>
      <c r="C67" s="485"/>
      <c r="D67" s="485"/>
      <c r="E67" s="485"/>
      <c r="F67" s="485"/>
      <c r="G67" s="485"/>
      <c r="H67" s="485"/>
      <c r="I67" s="485"/>
      <c r="J67" s="485"/>
      <c r="K67" s="485"/>
      <c r="L67" s="485"/>
      <c r="M67" s="485"/>
      <c r="N67" s="485"/>
      <c r="O67" s="500"/>
      <c r="P67" s="500"/>
      <c r="Q67" s="500"/>
      <c r="R67" s="500"/>
      <c r="S67" s="500"/>
      <c r="T67" s="500"/>
      <c r="U67" s="500"/>
      <c r="V67" s="500"/>
      <c r="AB67" s="485"/>
      <c r="AJ67" s="485"/>
      <c r="AK67" s="485"/>
    </row>
    <row r="68" spans="1:51" s="499" customFormat="1">
      <c r="B68" s="485"/>
      <c r="C68" s="485"/>
      <c r="D68" s="485"/>
      <c r="E68" s="485"/>
      <c r="F68" s="485"/>
      <c r="G68" s="485"/>
      <c r="H68" s="485"/>
      <c r="I68" s="485"/>
      <c r="J68" s="485"/>
      <c r="K68" s="485"/>
      <c r="L68" s="485"/>
      <c r="M68" s="485"/>
      <c r="N68" s="485"/>
      <c r="O68" s="500"/>
      <c r="P68" s="500"/>
      <c r="U68" s="500"/>
      <c r="V68" s="500"/>
      <c r="AB68" s="485"/>
      <c r="AJ68" s="485"/>
      <c r="AK68" s="485"/>
      <c r="AY68" s="485"/>
    </row>
    <row r="69" spans="1:51" s="485" customFormat="1">
      <c r="A69" s="499"/>
    </row>
    <row r="70" spans="1:51" s="485" customFormat="1" ht="12" customHeight="1">
      <c r="A70" s="499"/>
    </row>
    <row r="71" spans="1:51" s="485" customFormat="1">
      <c r="A71" s="499"/>
    </row>
    <row r="72" spans="1:51" s="485" customFormat="1">
      <c r="A72" s="499"/>
    </row>
    <row r="73" spans="1:51" s="485" customFormat="1"/>
    <row r="74" spans="1:51" s="485" customFormat="1"/>
    <row r="75" spans="1:51" s="485" customFormat="1"/>
    <row r="76" spans="1:51" s="485" customFormat="1"/>
    <row r="77" spans="1:51" s="485" customFormat="1"/>
    <row r="78" spans="1:51" s="485" customFormat="1"/>
    <row r="79" spans="1:51" s="485" customFormat="1"/>
    <row r="80" spans="1:51" s="485" customFormat="1"/>
    <row r="81" spans="29:35" s="485" customFormat="1"/>
    <row r="82" spans="29:35" s="485" customFormat="1"/>
    <row r="83" spans="29:35" s="485" customFormat="1"/>
    <row r="84" spans="29:35" s="485" customFormat="1"/>
    <row r="85" spans="29:35" s="485" customFormat="1"/>
    <row r="86" spans="29:35" s="485" customFormat="1"/>
    <row r="87" spans="29:35" s="485" customFormat="1"/>
    <row r="88" spans="29:35" s="485" customFormat="1"/>
    <row r="89" spans="29:35" s="485" customFormat="1"/>
    <row r="90" spans="29:35" s="485" customFormat="1"/>
    <row r="91" spans="29:35" s="485" customFormat="1"/>
    <row r="92" spans="29:35" s="485" customFormat="1"/>
    <row r="93" spans="29:35" s="485" customFormat="1"/>
    <row r="94" spans="29:35" s="1352" customFormat="1" ht="12.75">
      <c r="AC94" s="479"/>
      <c r="AD94" s="479"/>
      <c r="AE94" s="479"/>
      <c r="AF94" s="479"/>
      <c r="AG94" s="479"/>
      <c r="AH94" s="479"/>
      <c r="AI94" s="479"/>
    </row>
    <row r="95" spans="29:35" s="1352" customFormat="1" ht="12.75">
      <c r="AC95" s="479"/>
      <c r="AD95" s="479"/>
      <c r="AE95" s="479"/>
      <c r="AF95" s="479"/>
      <c r="AG95" s="479"/>
      <c r="AH95" s="479"/>
      <c r="AI95" s="479"/>
    </row>
    <row r="96" spans="29:35" s="1352" customFormat="1" ht="24" customHeight="1">
      <c r="AC96" s="479"/>
      <c r="AD96" s="479"/>
      <c r="AE96" s="479"/>
      <c r="AF96" s="479"/>
      <c r="AG96" s="479"/>
      <c r="AH96" s="479"/>
      <c r="AI96" s="479"/>
    </row>
    <row r="97" spans="29:35" s="1352" customFormat="1" ht="12.75">
      <c r="AC97" s="479"/>
      <c r="AD97" s="479"/>
      <c r="AE97" s="479"/>
      <c r="AF97" s="479"/>
      <c r="AG97" s="479"/>
      <c r="AH97" s="479"/>
      <c r="AI97" s="479"/>
    </row>
    <row r="98" spans="29:35" s="1352" customFormat="1" ht="12.75">
      <c r="AC98" s="479"/>
      <c r="AD98" s="479"/>
      <c r="AE98" s="479"/>
      <c r="AF98" s="479"/>
      <c r="AG98" s="479"/>
      <c r="AH98" s="479"/>
      <c r="AI98" s="479"/>
    </row>
    <row r="99" spans="29:35" s="1352" customFormat="1" ht="12.75">
      <c r="AC99" s="479"/>
      <c r="AD99" s="479"/>
      <c r="AE99" s="479"/>
      <c r="AF99" s="479"/>
      <c r="AG99" s="479"/>
      <c r="AH99" s="479"/>
      <c r="AI99" s="479"/>
    </row>
    <row r="100" spans="29:35" s="1352" customFormat="1" ht="12.75">
      <c r="AC100" s="479"/>
      <c r="AD100" s="479"/>
      <c r="AE100" s="479"/>
      <c r="AF100" s="479"/>
      <c r="AG100" s="479"/>
      <c r="AH100" s="479"/>
      <c r="AI100" s="479"/>
    </row>
    <row r="101" spans="29:35" s="485" customFormat="1"/>
    <row r="102" spans="29:35" s="485" customFormat="1"/>
    <row r="103" spans="29:35" s="485" customFormat="1"/>
    <row r="104" spans="29:35" s="485" customFormat="1"/>
    <row r="105" spans="29:35" s="485" customFormat="1"/>
    <row r="106" spans="29:35" s="485" customFormat="1"/>
    <row r="107" spans="29:35" s="485" customFormat="1"/>
    <row r="108" spans="29:35" s="485" customFormat="1"/>
    <row r="109" spans="29:35" s="485" customFormat="1"/>
    <row r="110" spans="29:35" s="485" customFormat="1"/>
    <row r="111" spans="29:35" s="485" customFormat="1"/>
    <row r="112" spans="29:35" s="485" customFormat="1"/>
    <row r="113" spans="36:41" s="485" customFormat="1"/>
    <row r="114" spans="36:41" s="485" customFormat="1"/>
    <row r="115" spans="36:41" s="485" customFormat="1"/>
    <row r="116" spans="36:41" s="485" customFormat="1"/>
    <row r="117" spans="36:41" s="485" customFormat="1"/>
    <row r="118" spans="36:41" s="485" customFormat="1">
      <c r="AJ118" s="499"/>
      <c r="AK118" s="499"/>
      <c r="AL118" s="499"/>
      <c r="AM118" s="499"/>
      <c r="AN118" s="499"/>
      <c r="AO118" s="499"/>
    </row>
    <row r="119" spans="36:41" s="485" customFormat="1">
      <c r="AJ119" s="499"/>
      <c r="AK119" s="499"/>
      <c r="AL119" s="499"/>
      <c r="AM119" s="499"/>
      <c r="AN119" s="499"/>
      <c r="AO119" s="499"/>
    </row>
    <row r="120" spans="36:41" s="485" customFormat="1">
      <c r="AJ120" s="499"/>
      <c r="AK120" s="499"/>
      <c r="AL120" s="499"/>
      <c r="AM120" s="499"/>
      <c r="AN120" s="499"/>
      <c r="AO120" s="499"/>
    </row>
    <row r="121" spans="36:41" s="485" customFormat="1">
      <c r="AJ121" s="499"/>
      <c r="AK121" s="499"/>
      <c r="AL121" s="499"/>
      <c r="AM121" s="499"/>
      <c r="AN121" s="499"/>
      <c r="AO121" s="499"/>
    </row>
    <row r="122" spans="36:41" s="485" customFormat="1">
      <c r="AJ122" s="499"/>
      <c r="AK122" s="499"/>
      <c r="AL122" s="499"/>
      <c r="AM122" s="499"/>
      <c r="AN122" s="499"/>
      <c r="AO122" s="499"/>
    </row>
    <row r="123" spans="36:41" s="485" customFormat="1">
      <c r="AJ123" s="499"/>
      <c r="AK123" s="499"/>
      <c r="AL123" s="499"/>
      <c r="AM123" s="499"/>
      <c r="AN123" s="499"/>
      <c r="AO123" s="499"/>
    </row>
    <row r="124" spans="36:41" s="485" customFormat="1">
      <c r="AJ124" s="499"/>
      <c r="AK124" s="499"/>
      <c r="AL124" s="499"/>
      <c r="AM124" s="499"/>
      <c r="AN124" s="499"/>
      <c r="AO124" s="499"/>
    </row>
    <row r="125" spans="36:41" s="485" customFormat="1">
      <c r="AJ125" s="499"/>
      <c r="AL125" s="499"/>
      <c r="AM125" s="499"/>
      <c r="AN125" s="499"/>
      <c r="AO125" s="499"/>
    </row>
    <row r="126" spans="36:41" s="485" customFormat="1">
      <c r="AJ126" s="499"/>
      <c r="AN126" s="499"/>
      <c r="AO126" s="499"/>
    </row>
    <row r="127" spans="36:41" s="485" customFormat="1">
      <c r="AN127" s="499"/>
      <c r="AO127" s="499"/>
    </row>
    <row r="128" spans="36:41" s="485" customFormat="1"/>
    <row r="129" spans="35:35" s="485" customFormat="1"/>
    <row r="130" spans="35:35" s="485" customFormat="1"/>
    <row r="131" spans="35:35" s="485" customFormat="1"/>
    <row r="132" spans="35:35" s="485" customFormat="1">
      <c r="AI132" s="499"/>
    </row>
    <row r="133" spans="35:35" s="485" customFormat="1">
      <c r="AI133" s="499"/>
    </row>
    <row r="134" spans="35:35" s="485" customFormat="1">
      <c r="AI134" s="499"/>
    </row>
    <row r="135" spans="35:35" s="485" customFormat="1">
      <c r="AI135" s="499"/>
    </row>
    <row r="136" spans="35:35" s="485" customFormat="1">
      <c r="AI136" s="499"/>
    </row>
    <row r="137" spans="35:35" s="485" customFormat="1">
      <c r="AI137" s="499"/>
    </row>
    <row r="138" spans="35:35" s="485" customFormat="1">
      <c r="AI138" s="499"/>
    </row>
    <row r="139" spans="35:35" s="485" customFormat="1">
      <c r="AI139" s="499"/>
    </row>
    <row r="140" spans="35:35" s="485" customFormat="1">
      <c r="AI140" s="499"/>
    </row>
    <row r="141" spans="35:35" s="485" customFormat="1">
      <c r="AI141" s="499"/>
    </row>
    <row r="142" spans="35:35" s="485" customFormat="1">
      <c r="AI142" s="499"/>
    </row>
    <row r="143" spans="35:35" s="485" customFormat="1"/>
    <row r="144" spans="35:35" s="485" customFormat="1"/>
    <row r="145" s="485" customFormat="1"/>
    <row r="146" s="485" customFormat="1"/>
    <row r="147" s="485" customFormat="1"/>
    <row r="148" s="485" customFormat="1"/>
    <row r="149" s="485" customFormat="1"/>
    <row r="150" s="485" customFormat="1"/>
    <row r="151" s="485" customFormat="1"/>
    <row r="152" s="485" customFormat="1"/>
    <row r="153" s="485" customFormat="1"/>
    <row r="154" s="485" customFormat="1"/>
    <row r="155" s="485" customFormat="1"/>
    <row r="156" s="485" customFormat="1"/>
    <row r="157" s="485" customFormat="1"/>
    <row r="158" s="485" customFormat="1"/>
    <row r="159" s="485" customFormat="1"/>
    <row r="160" s="485" customFormat="1"/>
    <row r="161" s="485" customFormat="1"/>
    <row r="162" s="485" customFormat="1"/>
    <row r="163" s="485" customFormat="1"/>
    <row r="164" s="485" customFormat="1"/>
    <row r="165" s="485" customFormat="1"/>
    <row r="166" s="485" customFormat="1"/>
    <row r="167" s="485" customFormat="1"/>
    <row r="168" s="485" customFormat="1"/>
    <row r="169" s="485" customFormat="1"/>
    <row r="170" s="485" customFormat="1"/>
    <row r="171" s="485" customFormat="1"/>
    <row r="172" s="485" customFormat="1"/>
    <row r="173" s="485" customFormat="1"/>
    <row r="174" s="485" customFormat="1"/>
    <row r="175" s="485" customFormat="1"/>
    <row r="176" s="485" customFormat="1"/>
    <row r="177" s="485" customFormat="1"/>
    <row r="178" s="485" customFormat="1"/>
    <row r="179" s="485" customFormat="1"/>
    <row r="180" s="485" customFormat="1"/>
    <row r="181" s="485" customFormat="1"/>
    <row r="182" s="485" customFormat="1"/>
    <row r="183" s="485" customFormat="1"/>
    <row r="184" s="485" customFormat="1"/>
    <row r="185" s="485" customFormat="1"/>
    <row r="186" s="485" customFormat="1"/>
    <row r="187" s="485" customFormat="1"/>
    <row r="188" s="485" customFormat="1"/>
    <row r="189" s="485" customFormat="1"/>
    <row r="190" s="485" customFormat="1"/>
    <row r="191" s="485" customFormat="1"/>
    <row r="192" s="485" customFormat="1"/>
    <row r="193" spans="28:28" s="485" customFormat="1"/>
    <row r="194" spans="28:28" s="485" customFormat="1"/>
    <row r="195" spans="28:28" s="485" customFormat="1"/>
    <row r="196" spans="28:28" s="485" customFormat="1"/>
    <row r="197" spans="28:28" s="485" customFormat="1"/>
    <row r="198" spans="28:28" s="485" customFormat="1"/>
    <row r="199" spans="28:28" s="485" customFormat="1"/>
    <row r="200" spans="28:28" s="485" customFormat="1"/>
    <row r="201" spans="28:28" s="485" customFormat="1"/>
    <row r="202" spans="28:28" s="485" customFormat="1"/>
    <row r="203" spans="28:28" s="485" customFormat="1"/>
    <row r="204" spans="28:28" s="485" customFormat="1"/>
    <row r="205" spans="28:28" s="485" customFormat="1"/>
    <row r="206" spans="28:28" s="485" customFormat="1">
      <c r="AB206" s="479"/>
    </row>
    <row r="207" spans="28:28" s="485" customFormat="1">
      <c r="AB207" s="479"/>
    </row>
    <row r="208" spans="28:28" s="485" customFormat="1">
      <c r="AB208" s="479"/>
    </row>
    <row r="209" spans="2:57" s="485" customFormat="1">
      <c r="AB209" s="479"/>
    </row>
    <row r="210" spans="2:57" s="485" customFormat="1">
      <c r="AB210" s="479"/>
    </row>
    <row r="211" spans="2:57" s="485" customFormat="1">
      <c r="AB211" s="479"/>
    </row>
    <row r="212" spans="2:57" s="485" customFormat="1">
      <c r="AB212" s="479"/>
    </row>
    <row r="213" spans="2:57" s="485" customFormat="1">
      <c r="B213" s="479"/>
      <c r="C213" s="479"/>
      <c r="D213" s="479"/>
      <c r="E213" s="479"/>
      <c r="F213" s="479"/>
      <c r="G213" s="479"/>
      <c r="H213" s="479"/>
      <c r="I213" s="479"/>
      <c r="J213" s="479"/>
      <c r="K213" s="479"/>
      <c r="L213" s="479"/>
      <c r="M213" s="479"/>
      <c r="N213" s="479"/>
      <c r="AB213" s="479"/>
    </row>
    <row r="214" spans="2:57" s="485" customFormat="1">
      <c r="B214" s="479"/>
      <c r="C214" s="479"/>
      <c r="D214" s="479"/>
      <c r="E214" s="479"/>
      <c r="F214" s="479"/>
      <c r="G214" s="479"/>
      <c r="H214" s="479"/>
      <c r="I214" s="479"/>
      <c r="J214" s="479"/>
      <c r="K214" s="479"/>
      <c r="L214" s="479"/>
      <c r="M214" s="479"/>
      <c r="N214" s="479"/>
      <c r="AB214" s="479"/>
      <c r="AE214" s="479"/>
      <c r="AF214" s="479"/>
    </row>
    <row r="215" spans="2:57" s="485" customFormat="1">
      <c r="B215" s="479"/>
      <c r="C215" s="479"/>
      <c r="D215" s="479"/>
      <c r="E215" s="479"/>
      <c r="F215" s="479"/>
      <c r="G215" s="479"/>
      <c r="H215" s="479"/>
      <c r="I215" s="479"/>
      <c r="J215" s="479"/>
      <c r="K215" s="479"/>
      <c r="L215" s="479"/>
      <c r="M215" s="479"/>
      <c r="N215" s="479"/>
      <c r="AB215" s="479"/>
      <c r="AE215" s="479"/>
      <c r="AF215" s="479"/>
    </row>
    <row r="216" spans="2:57" s="485" customFormat="1">
      <c r="B216" s="479"/>
      <c r="C216" s="479"/>
      <c r="D216" s="479"/>
      <c r="E216" s="479"/>
      <c r="F216" s="479"/>
      <c r="G216" s="479"/>
      <c r="H216" s="479"/>
      <c r="I216" s="479"/>
      <c r="J216" s="479"/>
      <c r="K216" s="479"/>
      <c r="L216" s="479"/>
      <c r="M216" s="479"/>
      <c r="N216" s="479"/>
      <c r="AB216" s="479"/>
      <c r="AE216" s="479"/>
      <c r="AF216" s="479"/>
      <c r="AP216" s="479"/>
      <c r="AQ216" s="479"/>
    </row>
    <row r="217" spans="2:57" s="485" customFormat="1">
      <c r="B217" s="479"/>
      <c r="C217" s="479"/>
      <c r="D217" s="479"/>
      <c r="E217" s="479"/>
      <c r="F217" s="479"/>
      <c r="G217" s="479"/>
      <c r="H217" s="479"/>
      <c r="I217" s="479"/>
      <c r="J217" s="479"/>
      <c r="K217" s="479"/>
      <c r="L217" s="479"/>
      <c r="M217" s="479"/>
      <c r="N217" s="479"/>
      <c r="AB217" s="479"/>
      <c r="AE217" s="479"/>
      <c r="AF217" s="479"/>
      <c r="AP217" s="479"/>
      <c r="AQ217" s="479"/>
      <c r="AR217" s="479"/>
      <c r="AS217" s="479"/>
      <c r="AT217" s="479"/>
    </row>
    <row r="218" spans="2:57" s="485" customFormat="1">
      <c r="B218" s="479"/>
      <c r="C218" s="479"/>
      <c r="D218" s="479"/>
      <c r="E218" s="479"/>
      <c r="F218" s="479"/>
      <c r="G218" s="479"/>
      <c r="H218" s="479"/>
      <c r="I218" s="479"/>
      <c r="J218" s="479"/>
      <c r="K218" s="479"/>
      <c r="L218" s="479"/>
      <c r="M218" s="479"/>
      <c r="N218" s="479"/>
      <c r="AB218" s="479"/>
      <c r="AC218" s="479"/>
      <c r="AD218" s="479"/>
      <c r="AE218" s="479"/>
      <c r="AF218" s="479"/>
      <c r="AG218" s="479"/>
      <c r="AH218" s="479"/>
      <c r="AP218" s="479"/>
      <c r="AQ218" s="479"/>
      <c r="AR218" s="479"/>
      <c r="AS218" s="479"/>
      <c r="AT218" s="479"/>
      <c r="BE218" s="479"/>
    </row>
    <row r="219" spans="2:57">
      <c r="AI219" s="485"/>
      <c r="AJ219" s="485"/>
      <c r="AK219" s="485"/>
      <c r="AL219" s="485"/>
      <c r="AM219" s="485"/>
      <c r="AN219" s="485"/>
      <c r="AO219" s="485"/>
    </row>
    <row r="220" spans="2:57">
      <c r="AI220" s="485"/>
      <c r="AJ220" s="485"/>
      <c r="AK220" s="485"/>
      <c r="AL220" s="485"/>
      <c r="AM220" s="485"/>
      <c r="AN220" s="485"/>
      <c r="AO220" s="485"/>
    </row>
    <row r="221" spans="2:57">
      <c r="AI221" s="485"/>
      <c r="AJ221" s="485"/>
      <c r="AK221" s="485"/>
      <c r="AL221" s="485"/>
      <c r="AM221" s="485"/>
      <c r="AN221" s="485"/>
      <c r="AO221" s="485"/>
    </row>
    <row r="222" spans="2:57">
      <c r="AI222" s="485"/>
      <c r="AJ222" s="485"/>
      <c r="AK222" s="485"/>
      <c r="AL222" s="485"/>
      <c r="AM222" s="485"/>
      <c r="AN222" s="485"/>
      <c r="AO222" s="485"/>
    </row>
    <row r="223" spans="2:57">
      <c r="AI223" s="485"/>
      <c r="AJ223" s="485"/>
      <c r="AK223" s="485"/>
      <c r="AL223" s="485"/>
      <c r="AM223" s="485"/>
      <c r="AN223" s="485"/>
      <c r="AO223" s="485"/>
    </row>
    <row r="224" spans="2:57">
      <c r="AI224" s="485"/>
      <c r="AJ224" s="485"/>
      <c r="AK224" s="485"/>
      <c r="AL224" s="485"/>
      <c r="AM224" s="485"/>
      <c r="AN224" s="485"/>
      <c r="AO224" s="485"/>
    </row>
    <row r="225" spans="35:41">
      <c r="AI225" s="485"/>
      <c r="AJ225" s="485"/>
      <c r="AK225" s="485"/>
      <c r="AL225" s="485"/>
      <c r="AM225" s="485"/>
      <c r="AN225" s="485"/>
      <c r="AO225" s="485"/>
    </row>
    <row r="226" spans="35:41">
      <c r="AI226" s="485"/>
      <c r="AJ226" s="485"/>
      <c r="AK226" s="485"/>
      <c r="AL226" s="485"/>
      <c r="AM226" s="485"/>
      <c r="AN226" s="485"/>
      <c r="AO226" s="485"/>
    </row>
    <row r="227" spans="35:41">
      <c r="AI227" s="485"/>
      <c r="AJ227" s="485"/>
      <c r="AK227" s="485"/>
      <c r="AL227" s="485"/>
      <c r="AM227" s="485"/>
      <c r="AN227" s="485"/>
      <c r="AO227" s="485"/>
    </row>
    <row r="228" spans="35:41">
      <c r="AI228" s="485"/>
      <c r="AJ228" s="485"/>
      <c r="AK228" s="485"/>
      <c r="AL228" s="485"/>
      <c r="AM228" s="485"/>
      <c r="AN228" s="485"/>
      <c r="AO228" s="485"/>
    </row>
    <row r="229" spans="35:41">
      <c r="AI229" s="485"/>
      <c r="AJ229" s="485"/>
      <c r="AK229" s="485"/>
      <c r="AL229" s="485"/>
      <c r="AM229" s="485"/>
      <c r="AN229" s="485"/>
      <c r="AO229" s="485"/>
    </row>
    <row r="230" spans="35:41">
      <c r="AI230" s="485"/>
      <c r="AJ230" s="485"/>
      <c r="AK230" s="485"/>
      <c r="AL230" s="485"/>
      <c r="AM230" s="485"/>
      <c r="AN230" s="485"/>
      <c r="AO230" s="485"/>
    </row>
    <row r="231" spans="35:41">
      <c r="AI231" s="485"/>
      <c r="AJ231" s="485"/>
      <c r="AK231" s="485"/>
      <c r="AL231" s="485"/>
      <c r="AM231" s="485"/>
      <c r="AN231" s="485"/>
      <c r="AO231" s="485"/>
    </row>
    <row r="232" spans="35:41">
      <c r="AI232" s="485"/>
      <c r="AJ232" s="485"/>
      <c r="AK232" s="485"/>
      <c r="AL232" s="485"/>
      <c r="AM232" s="485"/>
      <c r="AN232" s="485"/>
      <c r="AO232" s="485"/>
    </row>
    <row r="233" spans="35:41">
      <c r="AI233" s="485"/>
      <c r="AJ233" s="485"/>
      <c r="AK233" s="485"/>
      <c r="AL233" s="485"/>
      <c r="AM233" s="485"/>
      <c r="AN233" s="485"/>
      <c r="AO233" s="485"/>
    </row>
    <row r="234" spans="35:41">
      <c r="AI234" s="485"/>
      <c r="AJ234" s="485"/>
      <c r="AK234" s="485"/>
      <c r="AL234" s="485"/>
      <c r="AM234" s="485"/>
      <c r="AN234" s="485"/>
      <c r="AO234" s="485"/>
    </row>
    <row r="235" spans="35:41">
      <c r="AI235" s="485"/>
      <c r="AJ235" s="485"/>
      <c r="AK235" s="485"/>
      <c r="AL235" s="485"/>
      <c r="AM235" s="485"/>
      <c r="AN235" s="485"/>
      <c r="AO235" s="485"/>
    </row>
    <row r="236" spans="35:41">
      <c r="AI236" s="485"/>
      <c r="AJ236" s="485"/>
      <c r="AK236" s="485"/>
      <c r="AL236" s="485"/>
      <c r="AM236" s="485"/>
      <c r="AN236" s="485"/>
      <c r="AO236" s="485"/>
    </row>
    <row r="237" spans="35:41">
      <c r="AI237" s="485"/>
      <c r="AJ237" s="485"/>
      <c r="AK237" s="485"/>
      <c r="AL237" s="485"/>
      <c r="AM237" s="485"/>
      <c r="AN237" s="485"/>
      <c r="AO237" s="485"/>
    </row>
    <row r="238" spans="35:41">
      <c r="AI238" s="485"/>
      <c r="AJ238" s="485"/>
      <c r="AK238" s="485"/>
      <c r="AL238" s="485"/>
      <c r="AM238" s="485"/>
      <c r="AN238" s="485"/>
      <c r="AO238" s="485"/>
    </row>
    <row r="239" spans="35:41">
      <c r="AI239" s="485"/>
      <c r="AJ239" s="485"/>
      <c r="AK239" s="485"/>
      <c r="AL239" s="485"/>
      <c r="AM239" s="485"/>
      <c r="AN239" s="485"/>
      <c r="AO239" s="485"/>
    </row>
    <row r="240" spans="35:41">
      <c r="AI240" s="485"/>
      <c r="AJ240" s="485"/>
      <c r="AK240" s="485"/>
      <c r="AL240" s="485"/>
      <c r="AM240" s="485"/>
      <c r="AN240" s="485"/>
      <c r="AO240" s="485"/>
    </row>
    <row r="241" spans="35:41">
      <c r="AI241" s="485"/>
      <c r="AJ241" s="485"/>
      <c r="AK241" s="485"/>
      <c r="AL241" s="485"/>
      <c r="AM241" s="485"/>
      <c r="AN241" s="485"/>
      <c r="AO241" s="485"/>
    </row>
    <row r="242" spans="35:41">
      <c r="AI242" s="485"/>
      <c r="AJ242" s="485"/>
      <c r="AK242" s="485"/>
      <c r="AL242" s="485"/>
      <c r="AM242" s="485"/>
      <c r="AN242" s="485"/>
      <c r="AO242" s="485"/>
    </row>
    <row r="243" spans="35:41">
      <c r="AI243" s="485"/>
      <c r="AJ243" s="485"/>
      <c r="AK243" s="485"/>
      <c r="AL243" s="485"/>
      <c r="AM243" s="485"/>
      <c r="AN243" s="485"/>
      <c r="AO243" s="485"/>
    </row>
    <row r="244" spans="35:41">
      <c r="AI244" s="485"/>
      <c r="AJ244" s="485"/>
      <c r="AK244" s="485"/>
      <c r="AL244" s="485"/>
      <c r="AM244" s="485"/>
      <c r="AN244" s="485"/>
      <c r="AO244" s="485"/>
    </row>
    <row r="245" spans="35:41">
      <c r="AI245" s="485"/>
      <c r="AJ245" s="485"/>
      <c r="AK245" s="485"/>
      <c r="AL245" s="485"/>
      <c r="AM245" s="485"/>
      <c r="AN245" s="485"/>
      <c r="AO245" s="485"/>
    </row>
    <row r="246" spans="35:41">
      <c r="AI246" s="485"/>
      <c r="AJ246" s="485"/>
      <c r="AK246" s="485"/>
      <c r="AL246" s="485"/>
      <c r="AM246" s="485"/>
      <c r="AN246" s="485"/>
      <c r="AO246" s="485"/>
    </row>
    <row r="247" spans="35:41">
      <c r="AI247" s="485"/>
      <c r="AJ247" s="485"/>
      <c r="AK247" s="485"/>
      <c r="AL247" s="485"/>
      <c r="AM247" s="485"/>
      <c r="AN247" s="485"/>
      <c r="AO247" s="485"/>
    </row>
    <row r="248" spans="35:41">
      <c r="AI248" s="485"/>
      <c r="AJ248" s="485"/>
      <c r="AK248" s="485"/>
      <c r="AL248" s="485"/>
      <c r="AM248" s="485"/>
      <c r="AN248" s="485"/>
      <c r="AO248" s="485"/>
    </row>
    <row r="249" spans="35:41">
      <c r="AI249" s="485"/>
      <c r="AJ249" s="485"/>
      <c r="AK249" s="485"/>
      <c r="AL249" s="485"/>
      <c r="AM249" s="485"/>
      <c r="AN249" s="485"/>
      <c r="AO249" s="485"/>
    </row>
    <row r="250" spans="35:41">
      <c r="AI250" s="485"/>
      <c r="AJ250" s="485"/>
      <c r="AK250" s="485"/>
      <c r="AL250" s="485"/>
      <c r="AM250" s="485"/>
      <c r="AN250" s="485"/>
      <c r="AO250" s="485"/>
    </row>
    <row r="251" spans="35:41">
      <c r="AI251" s="485"/>
      <c r="AK251" s="485"/>
      <c r="AL251" s="485"/>
      <c r="AM251" s="485"/>
      <c r="AN251" s="485"/>
      <c r="AO251" s="485"/>
    </row>
    <row r="252" spans="35:41">
      <c r="AI252" s="485"/>
      <c r="AK252" s="485"/>
      <c r="AL252" s="485"/>
      <c r="AM252" s="485"/>
      <c r="AN252" s="485"/>
      <c r="AO252" s="485"/>
    </row>
    <row r="253" spans="35:41">
      <c r="AI253" s="485"/>
      <c r="AK253" s="485"/>
      <c r="AL253" s="485"/>
      <c r="AM253" s="485"/>
      <c r="AN253" s="485"/>
      <c r="AO253" s="485"/>
    </row>
    <row r="254" spans="35:41">
      <c r="AI254" s="485"/>
      <c r="AK254" s="485"/>
      <c r="AL254" s="485"/>
      <c r="AM254" s="485"/>
      <c r="AN254" s="485"/>
      <c r="AO254" s="485"/>
    </row>
    <row r="255" spans="35:41">
      <c r="AI255" s="485"/>
      <c r="AK255" s="485"/>
      <c r="AL255" s="485"/>
      <c r="AM255" s="485"/>
      <c r="AN255" s="485"/>
      <c r="AO255" s="485"/>
    </row>
    <row r="256" spans="35:41">
      <c r="AI256" s="485"/>
      <c r="AK256" s="485"/>
      <c r="AL256" s="485"/>
      <c r="AM256" s="485"/>
      <c r="AN256" s="485"/>
      <c r="AO256" s="485"/>
    </row>
    <row r="257" spans="35:41">
      <c r="AI257" s="485"/>
      <c r="AK257" s="485"/>
      <c r="AL257" s="485"/>
      <c r="AM257" s="485"/>
      <c r="AN257" s="485"/>
      <c r="AO257" s="485"/>
    </row>
    <row r="258" spans="35:41">
      <c r="AI258" s="485"/>
      <c r="AK258" s="485"/>
      <c r="AL258" s="485"/>
      <c r="AM258" s="485"/>
      <c r="AN258" s="485"/>
      <c r="AO258" s="485"/>
    </row>
    <row r="259" spans="35:41">
      <c r="AI259" s="485"/>
      <c r="AK259" s="485"/>
      <c r="AL259" s="485"/>
      <c r="AM259" s="485"/>
      <c r="AN259" s="485"/>
      <c r="AO259" s="485"/>
    </row>
    <row r="260" spans="35:41">
      <c r="AI260" s="485"/>
      <c r="AK260" s="485"/>
      <c r="AL260" s="485"/>
      <c r="AN260" s="485"/>
      <c r="AO260" s="485"/>
    </row>
    <row r="261" spans="35:41">
      <c r="AI261" s="485"/>
      <c r="AK261" s="485"/>
      <c r="AL261" s="485"/>
    </row>
    <row r="262" spans="35:41">
      <c r="AI262" s="485"/>
      <c r="AK262" s="485"/>
    </row>
    <row r="263" spans="35:41">
      <c r="AI263" s="485"/>
      <c r="AK263" s="485"/>
    </row>
    <row r="264" spans="35:41">
      <c r="AI264" s="485"/>
    </row>
  </sheetData>
  <sheetProtection sheet="1" objects="1" scenarios="1" formatCells="0" insertRows="0" deleteRows="0"/>
  <mergeCells count="54">
    <mergeCell ref="AX5:AX7"/>
    <mergeCell ref="AU5:AU7"/>
    <mergeCell ref="AT5:AT7"/>
    <mergeCell ref="AS5:AS7"/>
    <mergeCell ref="AN5:AN7"/>
    <mergeCell ref="AR5:AR7"/>
    <mergeCell ref="AQ5:AQ7"/>
    <mergeCell ref="AP5:AP7"/>
    <mergeCell ref="AO5:AO7"/>
    <mergeCell ref="AW5:AW7"/>
    <mergeCell ref="AV5:AV7"/>
    <mergeCell ref="AC5:AC7"/>
    <mergeCell ref="A5:A7"/>
    <mergeCell ref="J6:J7"/>
    <mergeCell ref="H6:H7"/>
    <mergeCell ref="G6:G7"/>
    <mergeCell ref="F6:F7"/>
    <mergeCell ref="E6:E7"/>
    <mergeCell ref="D6:D7"/>
    <mergeCell ref="I6:I7"/>
    <mergeCell ref="D5:F5"/>
    <mergeCell ref="G5:M5"/>
    <mergeCell ref="K6:K7"/>
    <mergeCell ref="L6:L7"/>
    <mergeCell ref="M6:M7"/>
    <mergeCell ref="C5:C7"/>
    <mergeCell ref="B5:B7"/>
    <mergeCell ref="AM5:AM7"/>
    <mergeCell ref="AL5:AL7"/>
    <mergeCell ref="AE5:AE7"/>
    <mergeCell ref="AF5:AF7"/>
    <mergeCell ref="AD5:AD7"/>
    <mergeCell ref="AG5:AG7"/>
    <mergeCell ref="AJ5:AJ7"/>
    <mergeCell ref="AI5:AI7"/>
    <mergeCell ref="T6:T7"/>
    <mergeCell ref="N5:AA5"/>
    <mergeCell ref="Z6:Z7"/>
    <mergeCell ref="AA6:AA7"/>
    <mergeCell ref="N6:Q6"/>
    <mergeCell ref="U6:U7"/>
    <mergeCell ref="V6:V7"/>
    <mergeCell ref="W6:W7"/>
    <mergeCell ref="X6:X7"/>
    <mergeCell ref="Y6:Y7"/>
    <mergeCell ref="R6:R7"/>
    <mergeCell ref="S6:S7"/>
    <mergeCell ref="B49:G49"/>
    <mergeCell ref="Q34:T34"/>
    <mergeCell ref="Q35:T35"/>
    <mergeCell ref="V30:AA31"/>
    <mergeCell ref="Q31:T31"/>
    <mergeCell ref="Q32:T32"/>
    <mergeCell ref="Q33:T33"/>
  </mergeCells>
  <phoneticPr fontId="11" type="noConversion"/>
  <conditionalFormatting sqref="R9:R28">
    <cfRule type="expression" dxfId="30" priority="9">
      <formula>$C9="Other"</formula>
    </cfRule>
  </conditionalFormatting>
  <conditionalFormatting sqref="D9:G28">
    <cfRule type="expression" dxfId="29" priority="7">
      <formula>ISNA(D9)</formula>
    </cfRule>
  </conditionalFormatting>
  <conditionalFormatting sqref="V9:V28">
    <cfRule type="expression" dxfId="28" priority="6">
      <formula>V9&lt;0</formula>
    </cfRule>
  </conditionalFormatting>
  <conditionalFormatting sqref="X35:Y35">
    <cfRule type="expression" dxfId="27" priority="5">
      <formula>AND(X35&gt;0,X35&lt;0.95)</formula>
    </cfRule>
  </conditionalFormatting>
  <conditionalFormatting sqref="AG9:AG28">
    <cfRule type="expression" dxfId="26" priority="4">
      <formula>AD9="No"</formula>
    </cfRule>
  </conditionalFormatting>
  <conditionalFormatting sqref="AF9:AF28">
    <cfRule type="expression" dxfId="25" priority="3">
      <formula>AF9="Please select"</formula>
    </cfRule>
  </conditionalFormatting>
  <conditionalFormatting sqref="AC9:AC28">
    <cfRule type="expression" dxfId="24" priority="2">
      <formula>AC9="Please select"</formula>
    </cfRule>
  </conditionalFormatting>
  <conditionalFormatting sqref="K9:K28">
    <cfRule type="expression" dxfId="23" priority="1">
      <formula>K9=""</formula>
    </cfRule>
  </conditionalFormatting>
  <conditionalFormatting sqref="Y9:Y28">
    <cfRule type="expression" dxfId="22" priority="30">
      <formula>OR(AND(Y9&lt;0.95,Y9&gt;0),AU9&lt;0,U9&lt;0)</formula>
    </cfRule>
  </conditionalFormatting>
  <dataValidations xWindow="638" yWindow="394" count="7">
    <dataValidation errorTitle="Unit Value not Recognized" error="The unit value for this measure is not recognized.  Please add this unit value to the list at the bottom of this spreadsheet by inserting a new cell above the orange cell and entering this value." promptTitle="Units" prompt="Select the unit that corresponds to the measure and quantity indicated." sqref="W39:W52 L9:P28 W54 J9:J28 V9:W28"/>
    <dataValidation allowBlank="1" showInputMessage="1" sqref="AF9:AF28"/>
    <dataValidation type="list" allowBlank="1" showInputMessage="1" sqref="AC9:AD28">
      <formula1>YesNo</formula1>
    </dataValidation>
    <dataValidation showErrorMessage="1" errorTitle="Unit Value not Recognized" error="The unit value for this measure is not recognized.  Please add this unit value to the list at the bottom of this spreadsheet by inserting a new cell above the orange cell and entering this value." promptTitle="Units" prompt="Select the unit that corresponds to the measure and quantity indicated." sqref="Q9:T28"/>
    <dataValidation type="list" allowBlank="1" showInputMessage="1" showErrorMessage="1" sqref="C9:C28">
      <formula1>Measure_Type</formula1>
    </dataValidation>
    <dataValidation errorTitle="Unit Value not Recognized" error="The unit value for this measure is not recognized.  Please add this unit value to the list at the bottom of this spreadsheet by inserting a new cell above the orange cell and entering this value." promptTitle="Units" prompt="Select the unit that corresponds to the measure and quantity indicated." sqref="K9:K28"/>
    <dataValidation type="list" allowBlank="1" showInputMessage="1" sqref="AG9:AG28">
      <formula1>"RGGIMPP,RGGIMPPLI,GAH,Owner - Gas,Owner - Electric,Owner - Other"</formula1>
    </dataValidation>
  </dataValidations>
  <pageMargins left="0.5" right="0.5" top="1" bottom="1" header="0.5" footer="0.5"/>
  <pageSetup scale="60" orientation="landscape" r:id="rId1"/>
  <headerFooter alignWithMargins="0"/>
  <colBreaks count="1" manualBreakCount="1">
    <brk id="25"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0" tint="-0.249977111117893"/>
  </sheetPr>
  <dimension ref="B1:H115"/>
  <sheetViews>
    <sheetView showGridLines="0" zoomScaleNormal="100" workbookViewId="0">
      <selection activeCell="H18" sqref="H18"/>
    </sheetView>
  </sheetViews>
  <sheetFormatPr defaultRowHeight="12"/>
  <cols>
    <col min="1" max="1" width="9.140625" style="417"/>
    <col min="2" max="2" width="28.5703125" style="417" customWidth="1"/>
    <col min="3" max="8" width="17.42578125" style="417" customWidth="1"/>
    <col min="9" max="16384" width="9.140625" style="417"/>
  </cols>
  <sheetData>
    <row r="1" spans="2:8" ht="12.75" thickBot="1"/>
    <row r="2" spans="2:8">
      <c r="B2" s="2184" t="s">
        <v>3752</v>
      </c>
      <c r="C2" s="2185"/>
      <c r="D2" s="2185"/>
      <c r="E2" s="2185"/>
      <c r="F2" s="2185"/>
      <c r="G2" s="2185"/>
      <c r="H2" s="2186"/>
    </row>
    <row r="3" spans="2:8">
      <c r="B3" s="2187"/>
      <c r="C3" s="2188"/>
      <c r="D3" s="2188"/>
      <c r="E3" s="2188"/>
      <c r="F3" s="2188"/>
      <c r="G3" s="2188"/>
      <c r="H3" s="2189"/>
    </row>
    <row r="4" spans="2:8" ht="12.75" thickBot="1">
      <c r="B4" s="2190"/>
      <c r="C4" s="2191"/>
      <c r="D4" s="2191"/>
      <c r="E4" s="2191"/>
      <c r="F4" s="2191"/>
      <c r="G4" s="2191"/>
      <c r="H4" s="2192"/>
    </row>
    <row r="5" spans="2:8" ht="12.75" thickBot="1">
      <c r="B5" s="963" t="s">
        <v>3753</v>
      </c>
      <c r="C5" s="632"/>
      <c r="D5" s="632"/>
      <c r="E5" s="632"/>
      <c r="F5" s="632"/>
      <c r="G5" s="632"/>
      <c r="H5" s="633"/>
    </row>
    <row r="6" spans="2:8">
      <c r="B6" s="873" t="s">
        <v>3835</v>
      </c>
      <c r="C6" s="874"/>
      <c r="D6" s="874"/>
      <c r="E6" s="874"/>
      <c r="F6" s="874"/>
      <c r="G6" s="874"/>
      <c r="H6" s="875"/>
    </row>
    <row r="7" spans="2:8">
      <c r="B7" s="876" t="s">
        <v>4082</v>
      </c>
      <c r="C7" s="501"/>
      <c r="D7" s="501"/>
      <c r="E7" s="501"/>
      <c r="F7" s="501"/>
      <c r="G7" s="501"/>
      <c r="H7" s="877"/>
    </row>
    <row r="8" spans="2:8">
      <c r="B8" s="878" t="s">
        <v>4083</v>
      </c>
      <c r="C8" s="501"/>
      <c r="D8" s="501"/>
      <c r="E8" s="501"/>
      <c r="F8" s="501"/>
      <c r="G8" s="501"/>
      <c r="H8" s="877"/>
    </row>
    <row r="9" spans="2:8">
      <c r="B9" s="2203" t="s">
        <v>4084</v>
      </c>
      <c r="C9" s="2204"/>
      <c r="D9" s="2204"/>
      <c r="E9" s="2204"/>
      <c r="F9" s="2204"/>
      <c r="G9" s="2204"/>
      <c r="H9" s="2205"/>
    </row>
    <row r="10" spans="2:8">
      <c r="B10" s="876" t="s">
        <v>4085</v>
      </c>
      <c r="C10" s="501"/>
      <c r="D10" s="501"/>
      <c r="E10" s="501"/>
      <c r="F10" s="501"/>
      <c r="G10" s="501"/>
      <c r="H10" s="877"/>
    </row>
    <row r="11" spans="2:8">
      <c r="B11" s="876" t="s">
        <v>4086</v>
      </c>
      <c r="C11" s="501"/>
      <c r="D11" s="501"/>
      <c r="E11" s="501"/>
      <c r="F11" s="501"/>
      <c r="G11" s="501"/>
      <c r="H11" s="877"/>
    </row>
    <row r="12" spans="2:8">
      <c r="B12" s="878" t="s">
        <v>4087</v>
      </c>
      <c r="C12" s="501"/>
      <c r="D12" s="501"/>
      <c r="E12" s="501"/>
      <c r="F12" s="501"/>
      <c r="G12" s="501"/>
      <c r="H12" s="877"/>
    </row>
    <row r="13" spans="2:8">
      <c r="B13" s="878" t="s">
        <v>4088</v>
      </c>
      <c r="C13" s="484"/>
      <c r="D13" s="501"/>
      <c r="E13" s="501"/>
      <c r="F13" s="501"/>
      <c r="G13" s="501"/>
      <c r="H13" s="877"/>
    </row>
    <row r="14" spans="2:8">
      <c r="B14" s="878" t="s">
        <v>4089</v>
      </c>
      <c r="C14" s="484"/>
      <c r="D14" s="501"/>
      <c r="E14" s="501"/>
      <c r="F14" s="501"/>
      <c r="G14" s="501"/>
      <c r="H14" s="877"/>
    </row>
    <row r="15" spans="2:8">
      <c r="B15" s="855"/>
      <c r="H15" s="856"/>
    </row>
    <row r="16" spans="2:8">
      <c r="B16" s="876"/>
      <c r="C16" s="501"/>
      <c r="D16" s="501"/>
      <c r="E16" s="501"/>
      <c r="F16" s="501"/>
      <c r="G16" s="485"/>
      <c r="H16" s="892"/>
    </row>
    <row r="17" spans="2:8">
      <c r="B17" s="2197" t="s">
        <v>3763</v>
      </c>
      <c r="C17" s="2198"/>
      <c r="D17" s="501"/>
      <c r="E17" s="964" t="s">
        <v>3762</v>
      </c>
      <c r="F17" s="484"/>
      <c r="G17" s="2201" t="s">
        <v>3761</v>
      </c>
      <c r="H17" s="2202"/>
    </row>
    <row r="18" spans="2:8">
      <c r="B18" s="889" t="s">
        <v>3754</v>
      </c>
      <c r="C18" s="951">
        <f>MIN(SUM('Detailed Measures'!AJ8:AJ29),H21)</f>
        <v>0</v>
      </c>
      <c r="D18" s="501"/>
      <c r="E18" s="933" t="e">
        <f>C103/C104</f>
        <v>#DIV/0!</v>
      </c>
      <c r="F18" s="484"/>
      <c r="G18" s="886" t="s">
        <v>3757</v>
      </c>
      <c r="H18" s="929" t="str">
        <f>IF('Basic Info'!$C$44="","",IF('Reporting Summary'!$I$27&lt;50,IF('Basic Info'!$C$44="Affordable",'Tables of Values'!B22*'Reporting Summary'!$I$27,'Tables of Values'!C22*'Reporting Summary'!$I$27),IF('Basic Info'!$C$44="Affordable",'Tables of Values'!B28*'Reporting Summary'!$I$27,'Tables of Values'!C28*'Reporting Summary'!$I$27)))</f>
        <v/>
      </c>
    </row>
    <row r="19" spans="2:8">
      <c r="B19" s="880" t="s">
        <v>3755</v>
      </c>
      <c r="C19" s="952">
        <f>C18</f>
        <v>0</v>
      </c>
      <c r="D19" s="501"/>
      <c r="E19" s="501"/>
      <c r="F19" s="484"/>
      <c r="G19" s="886" t="s">
        <v>3758</v>
      </c>
      <c r="H19" s="929" t="str">
        <f>IF('Basic Info'!$C$44="","",IF('Reporting Summary'!$I$27&lt;50,IF('Basic Info'!$C$44="Affordable",'Tables of Values'!B23*'Reporting Summary'!$I$27,'Tables of Values'!C23*'Reporting Summary'!$I$27),IF('Basic Info'!$C$44="Affordable",'Tables of Values'!B29*'Reporting Summary'!$I$27,'Tables of Values'!C29*'Reporting Summary'!$I$27)))</f>
        <v/>
      </c>
    </row>
    <row r="20" spans="2:8">
      <c r="B20" s="879" t="s">
        <v>3756</v>
      </c>
      <c r="C20" s="951">
        <f>IF(SUM(C41:C43)&gt;0,H21-C25,0)</f>
        <v>0</v>
      </c>
      <c r="D20" s="501"/>
      <c r="E20" s="485"/>
      <c r="F20" s="888"/>
      <c r="G20" s="886" t="s">
        <v>3759</v>
      </c>
      <c r="H20" s="929" t="str">
        <f>IF('Basic Info'!$C$44="","",IF('Reporting Summary'!$I$27&lt;50,IF('Basic Info'!$C$44="Affordable",'Tables of Values'!B24*'Reporting Summary'!$I$27,'Tables of Values'!C24*'Reporting Summary'!$I$27),IF('Basic Info'!$C$44="Affordable",'Tables of Values'!B30*'Reporting Summary'!$I$27,'Tables of Values'!C30*'Reporting Summary'!$I$27)))</f>
        <v/>
      </c>
    </row>
    <row r="21" spans="2:8">
      <c r="B21" s="879" t="s">
        <v>3829</v>
      </c>
      <c r="C21" s="951">
        <f>'Detailed Measures'!U35</f>
        <v>0</v>
      </c>
      <c r="D21" s="501"/>
      <c r="E21" s="485"/>
      <c r="F21" s="934"/>
      <c r="G21" s="2193" t="s">
        <v>3790</v>
      </c>
      <c r="H21" s="2195">
        <f>SUM(H18:H20)</f>
        <v>0</v>
      </c>
    </row>
    <row r="22" spans="2:8" ht="12.75" thickBot="1">
      <c r="B22" s="925" t="s">
        <v>3838</v>
      </c>
      <c r="C22" s="950" t="str">
        <f>IF(C19=H21,"Incentive cap hit",IFERROR(C19/C21,0%))</f>
        <v>Incentive cap hit</v>
      </c>
      <c r="D22" s="935"/>
      <c r="E22" s="485"/>
      <c r="G22" s="2194"/>
      <c r="H22" s="2196"/>
    </row>
    <row r="23" spans="2:8" ht="24">
      <c r="B23" s="928" t="s">
        <v>3832</v>
      </c>
      <c r="C23" s="951">
        <f>MIN(C21*0.5-C19,H21-C19)</f>
        <v>0</v>
      </c>
      <c r="D23" s="927"/>
      <c r="E23" s="965" t="s">
        <v>3830</v>
      </c>
      <c r="F23" s="888"/>
      <c r="H23" s="856"/>
    </row>
    <row r="24" spans="2:8">
      <c r="B24" s="949" t="s">
        <v>3833</v>
      </c>
      <c r="C24" s="952">
        <v>0</v>
      </c>
      <c r="E24" s="828" t="str">
        <f>IF(C18=0,"",IF(C22&lt;50%,"Yes","No"))</f>
        <v/>
      </c>
      <c r="F24" s="936"/>
      <c r="H24" s="856"/>
    </row>
    <row r="25" spans="2:8">
      <c r="B25" s="926" t="s">
        <v>3831</v>
      </c>
      <c r="C25" s="951">
        <f>C19+C24</f>
        <v>0</v>
      </c>
      <c r="E25" s="485"/>
      <c r="F25" s="485"/>
      <c r="H25" s="856"/>
    </row>
    <row r="26" spans="2:8" ht="24">
      <c r="B26" s="926" t="s">
        <v>3837</v>
      </c>
      <c r="C26" s="1020" t="str">
        <f>IF(C19=H21,"",IFERROR(C25/C21,0))</f>
        <v/>
      </c>
      <c r="E26" s="485"/>
      <c r="F26" s="485"/>
      <c r="H26" s="856"/>
    </row>
    <row r="27" spans="2:8" ht="12.75" thickBot="1">
      <c r="B27" s="915"/>
      <c r="C27" s="916"/>
      <c r="D27" s="871"/>
      <c r="E27" s="916"/>
      <c r="F27" s="916"/>
      <c r="G27" s="916"/>
      <c r="H27" s="917"/>
    </row>
    <row r="28" spans="2:8" ht="12.75" thickBot="1">
      <c r="B28" s="961" t="s">
        <v>3764</v>
      </c>
      <c r="C28" s="895"/>
      <c r="D28" s="895"/>
      <c r="E28" s="895"/>
      <c r="F28" s="895"/>
      <c r="G28" s="895"/>
      <c r="H28" s="896"/>
    </row>
    <row r="29" spans="2:8">
      <c r="B29" s="873" t="s">
        <v>3765</v>
      </c>
      <c r="C29" s="874"/>
      <c r="D29" s="874"/>
      <c r="E29" s="874"/>
      <c r="F29" s="874"/>
      <c r="G29" s="874"/>
      <c r="H29" s="875"/>
    </row>
    <row r="30" spans="2:8">
      <c r="B30" s="876" t="s">
        <v>4065</v>
      </c>
      <c r="C30" s="501"/>
      <c r="D30" s="501"/>
      <c r="E30" s="501"/>
      <c r="F30" s="501"/>
      <c r="G30" s="897" t="s">
        <v>3777</v>
      </c>
      <c r="H30" s="966" t="s">
        <v>3779</v>
      </c>
    </row>
    <row r="31" spans="2:8">
      <c r="B31" s="876"/>
      <c r="C31" s="501"/>
      <c r="D31" s="501"/>
      <c r="E31" s="501"/>
      <c r="F31" s="501"/>
      <c r="G31" s="501"/>
      <c r="H31" s="877"/>
    </row>
    <row r="32" spans="2:8">
      <c r="B32" s="2210" t="s">
        <v>3766</v>
      </c>
      <c r="C32" s="1765" t="s">
        <v>3772</v>
      </c>
      <c r="D32" s="1766" t="s">
        <v>3771</v>
      </c>
      <c r="E32" s="2199" t="s">
        <v>3774</v>
      </c>
      <c r="F32" s="2200"/>
      <c r="G32" s="2199" t="s">
        <v>3775</v>
      </c>
      <c r="H32" s="2224"/>
    </row>
    <row r="33" spans="2:8">
      <c r="B33" s="2211"/>
      <c r="C33" s="1767" t="s">
        <v>3773</v>
      </c>
      <c r="D33" s="1768" t="s">
        <v>3789</v>
      </c>
      <c r="E33" s="2222" t="s">
        <v>3773</v>
      </c>
      <c r="F33" s="2223"/>
      <c r="G33" s="2225" t="s">
        <v>3776</v>
      </c>
      <c r="H33" s="2226"/>
    </row>
    <row r="34" spans="2:8">
      <c r="B34" s="879" t="s">
        <v>3767</v>
      </c>
      <c r="C34" s="1763">
        <f>SUMIF('Detailed Measures'!$AF$9:$AF$29,B34,'Detailed Measures'!$AJ$9:$AJ$29)</f>
        <v>0</v>
      </c>
      <c r="D34" s="1764">
        <f>SUMIF('Detailed Measures'!$AF$9:$AF$29,B34,'Detailed Measures'!$AX$9:$AX$29)</f>
        <v>0</v>
      </c>
      <c r="E34" s="902">
        <f>IF(C34&gt;0,C34/SUM($C$34:$C$37),0)*$C$25</f>
        <v>0</v>
      </c>
      <c r="F34" s="543">
        <f>IF(C34&gt;0,C34/SUM($C$34:$C$37),0)</f>
        <v>0</v>
      </c>
      <c r="G34" s="903">
        <f>IF(D34&gt;0,D34/SUM($D$34:$D$37),0)*$C$25</f>
        <v>0</v>
      </c>
      <c r="H34" s="904">
        <f>IF(D34&gt;0,D34/SUM($D$34:$D$37),0)</f>
        <v>0</v>
      </c>
    </row>
    <row r="35" spans="2:8">
      <c r="B35" s="879" t="s">
        <v>3768</v>
      </c>
      <c r="C35" s="1763">
        <f>SUMIF('Detailed Measures'!$AF$9:$AF$29,B35,'Detailed Measures'!$AJ$9:$AJ$29)</f>
        <v>0</v>
      </c>
      <c r="D35" s="1764">
        <f>SUMIF('Detailed Measures'!$AF$9:$AF$29,B35,'Detailed Measures'!$AX$9:$AX$29)</f>
        <v>0</v>
      </c>
      <c r="E35" s="902">
        <f>IF(C35&gt;0,C35/SUM($C$34:$C$37),0)*$C$25</f>
        <v>0</v>
      </c>
      <c r="F35" s="543">
        <f>IF(C35&gt;0,C35/SUM($C$34:$C$37),0)</f>
        <v>0</v>
      </c>
      <c r="G35" s="903">
        <f>IF(D35&gt;0,D35/SUM($D$34:$D$37),0)*$C$25</f>
        <v>0</v>
      </c>
      <c r="H35" s="904">
        <f>IF(D35&gt;0,D35/SUM($D$34:$D$37),0)</f>
        <v>0</v>
      </c>
    </row>
    <row r="36" spans="2:8">
      <c r="B36" s="879" t="s">
        <v>3769</v>
      </c>
      <c r="C36" s="1763">
        <f>SUMIF('Detailed Measures'!$AF$9:$AF$29,B36,'Detailed Measures'!$AJ$9:$AJ$29)</f>
        <v>0</v>
      </c>
      <c r="D36" s="1764">
        <f>SUMIF('Detailed Measures'!$AF$9:$AF$29,B36,'Detailed Measures'!$AX$9:$AX$29)</f>
        <v>0</v>
      </c>
      <c r="E36" s="902">
        <f>IF(C36&gt;0,C36/SUM($C$34:$C$37),0)*$C$25</f>
        <v>0</v>
      </c>
      <c r="F36" s="543">
        <f>IF(C36&gt;0,C36/SUM($C$34:$C$37),0)</f>
        <v>0</v>
      </c>
      <c r="G36" s="903">
        <f>IF(D36&gt;0,D36/SUM($D$34:$D$37),0)*$C$25</f>
        <v>0</v>
      </c>
      <c r="H36" s="904">
        <f>IF(D36&gt;0,D36/SUM($D$34:$D$37),0)</f>
        <v>0</v>
      </c>
    </row>
    <row r="37" spans="2:8">
      <c r="B37" s="879" t="s">
        <v>3770</v>
      </c>
      <c r="C37" s="1763">
        <f>SUMIF('Detailed Measures'!$AF$9:$AF$29,B37,'Detailed Measures'!$AJ$9:$AJ$29)</f>
        <v>0</v>
      </c>
      <c r="D37" s="1764">
        <f>SUMIF('Detailed Measures'!$AF$9:$AF$29,B37,'Detailed Measures'!$AX$9:$AX$29)</f>
        <v>0</v>
      </c>
      <c r="E37" s="902">
        <f>IF(C37&gt;0,C37/SUM($C$34:$C$37),0)*$C$25</f>
        <v>0</v>
      </c>
      <c r="F37" s="543">
        <f>IF(C37&gt;0,C37/SUM($C$34:$C$37),0)</f>
        <v>0</v>
      </c>
      <c r="G37" s="903">
        <f>IF(D37&gt;0,D37/SUM($D$34:$D$37),0)*$C$25</f>
        <v>0</v>
      </c>
      <c r="H37" s="904">
        <f>IF(D37&gt;0,D37/SUM($D$34:$D$37),0)</f>
        <v>0</v>
      </c>
    </row>
    <row r="38" spans="2:8">
      <c r="B38" s="890"/>
      <c r="C38" s="1762"/>
      <c r="D38" s="1762"/>
      <c r="E38" s="913"/>
      <c r="F38" s="913"/>
      <c r="G38" s="913"/>
      <c r="H38" s="894"/>
    </row>
    <row r="39" spans="2:8">
      <c r="B39" s="2210" t="s">
        <v>3782</v>
      </c>
      <c r="C39" s="1765" t="s">
        <v>3772</v>
      </c>
      <c r="D39" s="1766" t="s">
        <v>3771</v>
      </c>
      <c r="E39" s="2199" t="s">
        <v>3796</v>
      </c>
      <c r="F39" s="2200"/>
      <c r="G39" s="2217" t="s">
        <v>3788</v>
      </c>
      <c r="H39" s="887"/>
    </row>
    <row r="40" spans="2:8">
      <c r="B40" s="2211"/>
      <c r="C40" s="1767" t="s">
        <v>3773</v>
      </c>
      <c r="D40" s="1768" t="s">
        <v>3789</v>
      </c>
      <c r="E40" s="914" t="s">
        <v>2575</v>
      </c>
      <c r="F40" s="914" t="s">
        <v>2733</v>
      </c>
      <c r="G40" s="2218"/>
      <c r="H40" s="887"/>
    </row>
    <row r="41" spans="2:8">
      <c r="B41" s="879" t="s">
        <v>3783</v>
      </c>
      <c r="C41" s="1763">
        <f>SUMIF('Detailed Measures'!$AG$9:$AG$29,B41,'Detailed Measures'!$U$9:$U$29)</f>
        <v>0</v>
      </c>
      <c r="D41" s="1764">
        <f>SUMIF('Detailed Measures'!$AG$9:$AG$29,B41,'Detailed Measures'!$AX$9:$AX$29)</f>
        <v>0</v>
      </c>
      <c r="E41" s="543">
        <f>IFERROR(C41/'Detailed Measures'!$U$31,0)</f>
        <v>0</v>
      </c>
      <c r="F41" s="543">
        <f>IFERROR(D41/'Detailed Measures'!$AX$30,0)</f>
        <v>0</v>
      </c>
      <c r="G41" s="905">
        <f>MIN(C41,C20)</f>
        <v>0</v>
      </c>
      <c r="H41" s="887"/>
    </row>
    <row r="42" spans="2:8">
      <c r="B42" s="879" t="s">
        <v>3784</v>
      </c>
      <c r="C42" s="1763">
        <f>SUMIF('Detailed Measures'!$AG$9:$AG$29,B42,'Detailed Measures'!$U$9:$U$29)</f>
        <v>0</v>
      </c>
      <c r="D42" s="1764">
        <f>SUMIF('Detailed Measures'!$AG$9:$AG$29,B42,'Detailed Measures'!$AX$9:$AX$29)</f>
        <v>0</v>
      </c>
      <c r="E42" s="543">
        <f>IFERROR(C42/'Detailed Measures'!$U$31,0)</f>
        <v>0</v>
      </c>
      <c r="F42" s="543">
        <f>IFERROR(D42/'Detailed Measures'!$AX$30,0)</f>
        <v>0</v>
      </c>
      <c r="G42" s="905">
        <f>MIN(C42,C20)</f>
        <v>0</v>
      </c>
      <c r="H42" s="892"/>
    </row>
    <row r="43" spans="2:8">
      <c r="B43" s="879" t="s">
        <v>3785</v>
      </c>
      <c r="C43" s="1763">
        <f>SUMIF('Detailed Measures'!$AG$9:$AG$29,B43,'Detailed Measures'!$U$9:$U$29)</f>
        <v>0</v>
      </c>
      <c r="D43" s="1764">
        <f>SUMIF('Detailed Measures'!$AG$9:$AG$29,B43,'Detailed Measures'!$AX$9:$AX$29)</f>
        <v>0</v>
      </c>
      <c r="E43" s="543">
        <f>IFERROR(C43/'Detailed Measures'!$U$31,0)</f>
        <v>0</v>
      </c>
      <c r="F43" s="543">
        <f>IFERROR(D43/'Detailed Measures'!$AX$30,0)</f>
        <v>0</v>
      </c>
      <c r="G43" s="905">
        <f>MIN(C43,C28)</f>
        <v>0</v>
      </c>
      <c r="H43" s="892"/>
    </row>
    <row r="44" spans="2:8">
      <c r="B44" s="879" t="s">
        <v>3786</v>
      </c>
      <c r="C44" s="1763">
        <f>SUMIF('Detailed Measures'!$AG$9:$AG$29,B44,'Detailed Measures'!$U$9:$U$29)</f>
        <v>0</v>
      </c>
      <c r="D44" s="1764">
        <f>SUMIF('Detailed Measures'!$AG$9:$AG$29,B44,'Detailed Measures'!$AX$9:$AX$29)</f>
        <v>0</v>
      </c>
      <c r="E44" s="543">
        <f>IFERROR(C44/'Detailed Measures'!$U$31,0)</f>
        <v>0</v>
      </c>
      <c r="F44" s="543">
        <f>IFERROR(D44/'Detailed Measures'!$AX$30,0)</f>
        <v>0</v>
      </c>
      <c r="G44" s="485"/>
      <c r="H44" s="892"/>
    </row>
    <row r="45" spans="2:8">
      <c r="B45" s="879" t="s">
        <v>3787</v>
      </c>
      <c r="C45" s="1763">
        <f>SUMIF('Detailed Measures'!$AG$9:$AG$29,B45,'Detailed Measures'!$U$9:$U$29)</f>
        <v>0</v>
      </c>
      <c r="D45" s="1764">
        <f>SUMIF('Detailed Measures'!$AG$9:$AG$29,B45,'Detailed Measures'!$AX$9:$AX$29)</f>
        <v>0</v>
      </c>
      <c r="E45" s="543">
        <f>IFERROR(C45/'Detailed Measures'!$U$31,0)</f>
        <v>0</v>
      </c>
      <c r="F45" s="543">
        <f>IFERROR(D45/'Detailed Measures'!$AX$30,0)</f>
        <v>0</v>
      </c>
      <c r="G45" s="485"/>
      <c r="H45" s="892"/>
    </row>
    <row r="46" spans="2:8">
      <c r="B46" s="879" t="s">
        <v>3834</v>
      </c>
      <c r="C46" s="1763">
        <f>SUMIF('Detailed Measures'!$AG$9:$AG$29,B46,'Detailed Measures'!$U$9:$U$29)</f>
        <v>0</v>
      </c>
      <c r="D46" s="1764">
        <f>SUMIF('Detailed Measures'!$AG$9:$AG$29,B46,'Detailed Measures'!$AX$9:$AX$29)</f>
        <v>0</v>
      </c>
      <c r="E46" s="543">
        <f>IFERROR(C46/'Detailed Measures'!$U$31,0)</f>
        <v>0</v>
      </c>
      <c r="F46" s="543">
        <f>IFERROR(D46/'Detailed Measures'!$AX$30,0)</f>
        <v>0</v>
      </c>
      <c r="G46" s="485"/>
      <c r="H46" s="892"/>
    </row>
    <row r="47" spans="2:8" ht="12.75" thickBot="1">
      <c r="B47" s="915"/>
      <c r="C47" s="916"/>
      <c r="D47" s="916"/>
      <c r="E47" s="916"/>
      <c r="F47" s="916"/>
      <c r="G47" s="916"/>
      <c r="H47" s="917"/>
    </row>
    <row r="48" spans="2:8" ht="12.75" thickBot="1">
      <c r="B48" s="960" t="s">
        <v>3791</v>
      </c>
      <c r="C48" s="898"/>
      <c r="D48" s="898"/>
      <c r="E48" s="898"/>
      <c r="F48" s="898"/>
      <c r="G48" s="898"/>
      <c r="H48" s="899"/>
    </row>
    <row r="49" spans="2:8">
      <c r="B49" s="900" t="s">
        <v>3792</v>
      </c>
      <c r="C49" s="482"/>
      <c r="D49" s="482"/>
      <c r="E49" s="937"/>
      <c r="F49" s="937"/>
      <c r="G49" s="482"/>
      <c r="H49" s="901"/>
    </row>
    <row r="50" spans="2:8">
      <c r="B50" s="891"/>
      <c r="C50" s="485"/>
      <c r="D50" s="938"/>
      <c r="E50" s="938"/>
      <c r="F50" s="938"/>
      <c r="G50" s="485"/>
      <c r="H50" s="892"/>
    </row>
    <row r="51" spans="2:8">
      <c r="B51" s="891"/>
      <c r="C51" s="939" t="s">
        <v>2732</v>
      </c>
      <c r="D51" s="939" t="s">
        <v>3795</v>
      </c>
      <c r="E51" s="940"/>
      <c r="F51" s="940"/>
      <c r="G51" s="938"/>
      <c r="H51" s="941"/>
    </row>
    <row r="52" spans="2:8">
      <c r="B52" s="918" t="s">
        <v>3793</v>
      </c>
      <c r="C52" s="942">
        <f>IFERROR(C113*1.3/D113,0)</f>
        <v>0</v>
      </c>
      <c r="D52" s="942">
        <f>IF('Basic Info'!$C$44="Affordable",'Funding Overview'!C108,IF('Basic Info'!C44="Market Rate",'Funding Overview'!C107,0))</f>
        <v>0</v>
      </c>
      <c r="E52" s="940"/>
      <c r="F52" s="940"/>
      <c r="G52" s="938"/>
      <c r="H52" s="941"/>
    </row>
    <row r="53" spans="2:8">
      <c r="B53" s="906" t="s">
        <v>3794</v>
      </c>
      <c r="C53" s="942">
        <f>IFERROR(C114*1.3/D114,0)</f>
        <v>0</v>
      </c>
      <c r="D53" s="942">
        <f>IF('Basic Info'!C44="Affordable",'Funding Overview'!C110,IF('Basic Info'!C44="Market Rate",'Funding Overview'!C109,0))</f>
        <v>0</v>
      </c>
      <c r="E53" s="940"/>
      <c r="F53" s="940"/>
      <c r="G53" s="940"/>
      <c r="H53" s="943"/>
    </row>
    <row r="54" spans="2:8" ht="12.75" thickBot="1">
      <c r="B54" s="944"/>
      <c r="C54" s="945"/>
      <c r="D54" s="945"/>
      <c r="E54" s="945"/>
      <c r="F54" s="945"/>
      <c r="G54" s="945"/>
      <c r="H54" s="946"/>
    </row>
    <row r="55" spans="2:8" ht="12.75" thickBot="1">
      <c r="B55" s="962" t="s">
        <v>4066</v>
      </c>
      <c r="C55" s="908"/>
      <c r="D55" s="908"/>
      <c r="E55" s="908"/>
      <c r="F55" s="908"/>
      <c r="G55" s="908"/>
      <c r="H55" s="909"/>
    </row>
    <row r="56" spans="2:8">
      <c r="B56" s="1022" t="s">
        <v>4069</v>
      </c>
      <c r="C56" s="910"/>
      <c r="D56" s="851"/>
      <c r="E56" s="851"/>
      <c r="F56" s="851"/>
      <c r="G56" s="851"/>
      <c r="H56" s="536"/>
    </row>
    <row r="57" spans="2:8">
      <c r="B57" s="1023" t="s">
        <v>4070</v>
      </c>
      <c r="C57" s="930"/>
      <c r="D57" s="930"/>
      <c r="E57" s="930"/>
      <c r="F57" s="930"/>
      <c r="G57" s="930"/>
      <c r="H57" s="931"/>
    </row>
    <row r="58" spans="2:8">
      <c r="B58" s="1023" t="s">
        <v>4071</v>
      </c>
      <c r="C58" s="930"/>
      <c r="D58" s="930"/>
      <c r="E58" s="930"/>
      <c r="F58" s="930"/>
      <c r="G58" s="930"/>
      <c r="H58" s="931"/>
    </row>
    <row r="59" spans="2:8">
      <c r="B59" s="855"/>
      <c r="H59" s="856"/>
    </row>
    <row r="60" spans="2:8">
      <c r="B60" s="2206" t="s">
        <v>3812</v>
      </c>
      <c r="C60" s="2208" t="s">
        <v>3813</v>
      </c>
      <c r="D60" s="2208" t="s">
        <v>3828</v>
      </c>
      <c r="H60" s="856"/>
    </row>
    <row r="61" spans="2:8">
      <c r="B61" s="2207"/>
      <c r="C61" s="2209"/>
      <c r="D61" s="2209" t="s">
        <v>3827</v>
      </c>
      <c r="H61" s="856"/>
    </row>
    <row r="62" spans="2:8">
      <c r="B62" s="532" t="s">
        <v>3814</v>
      </c>
      <c r="C62" s="907">
        <f>C36+C37+IF(C66="Gas/Fuel Incentive Cap",C24,0)+IF(C66="Split",C69,0)</f>
        <v>0</v>
      </c>
      <c r="D62" s="907">
        <f>IF(H30="Measure Cost",E36+E37,G36+G37)</f>
        <v>0</v>
      </c>
      <c r="E62" s="924" t="str">
        <f>IF(D62&gt;C62,"Gas incentive cap is exceeded by incentives using the split chosen.","")</f>
        <v/>
      </c>
      <c r="H62" s="856"/>
    </row>
    <row r="63" spans="2:8">
      <c r="B63" s="532" t="s">
        <v>3815</v>
      </c>
      <c r="C63" s="881">
        <f>C34+C35+IF(C66="Electrc Incentive Cap",C25,0)+IF(C66="Split",C70,0)</f>
        <v>0</v>
      </c>
      <c r="D63" s="881">
        <f>IF(H30="Measure Cost",E34+E35,G34+G35)</f>
        <v>0</v>
      </c>
      <c r="E63" s="924" t="str">
        <f>IF(D63&gt;C63,"Electric incentive cap is exceeded by incentives using the split chosen.","")</f>
        <v/>
      </c>
      <c r="H63" s="856"/>
    </row>
    <row r="64" spans="2:8">
      <c r="B64" s="532" t="s">
        <v>3816</v>
      </c>
      <c r="C64" s="881">
        <v>0</v>
      </c>
      <c r="D64" s="881">
        <f>IF(H30="Measure Cost",E91,F91)</f>
        <v>0</v>
      </c>
      <c r="H64" s="856"/>
    </row>
    <row r="65" spans="2:8">
      <c r="B65" s="855"/>
      <c r="C65" s="953"/>
      <c r="D65" s="953"/>
      <c r="H65" s="856"/>
    </row>
    <row r="66" spans="2:8">
      <c r="B66" s="919" t="s">
        <v>3839</v>
      </c>
      <c r="C66" s="2227" t="str">
        <f>IF(AND(C24&gt;0,H30="Measure Cost"),"Split","")</f>
        <v/>
      </c>
      <c r="D66" s="2227"/>
      <c r="H66" s="856"/>
    </row>
    <row r="67" spans="2:8">
      <c r="B67" s="919" t="s">
        <v>3839</v>
      </c>
      <c r="C67" s="2231" t="s">
        <v>4079</v>
      </c>
      <c r="D67" s="2231"/>
      <c r="H67" s="856"/>
    </row>
    <row r="68" spans="2:8">
      <c r="B68" s="891"/>
      <c r="C68" s="953"/>
      <c r="D68" s="953"/>
      <c r="H68" s="856"/>
    </row>
    <row r="69" spans="2:8">
      <c r="B69" s="919" t="s">
        <v>3840</v>
      </c>
      <c r="C69" s="907">
        <f>IF(H30="Measure cost", C24-C70,IF(C66="Split",C24-C70,IF(C66="Gas/Fuel Incentive Cap",C24,"")))</f>
        <v>0</v>
      </c>
      <c r="D69" s="953"/>
      <c r="H69" s="856"/>
    </row>
    <row r="70" spans="2:8">
      <c r="B70" s="919" t="s">
        <v>3841</v>
      </c>
      <c r="C70" s="881">
        <f>IF(H30="Measure cost",D63-C34-C35,IF(C66="Split",D63-C34-C35,IF(C66="Electric Incentive Cap",C24,"")))</f>
        <v>0</v>
      </c>
      <c r="D70" s="953"/>
      <c r="H70" s="856"/>
    </row>
    <row r="71" spans="2:8">
      <c r="B71" s="855"/>
      <c r="C71" s="953"/>
      <c r="D71" s="953"/>
      <c r="H71" s="856"/>
    </row>
    <row r="72" spans="2:8" ht="12.75" thickBot="1">
      <c r="B72" s="534"/>
      <c r="C72" s="871"/>
      <c r="D72" s="871"/>
      <c r="E72" s="871"/>
      <c r="F72" s="871"/>
      <c r="G72" s="871"/>
      <c r="H72" s="860"/>
    </row>
    <row r="73" spans="2:8" ht="12.75" thickBot="1">
      <c r="B73" s="962" t="s">
        <v>4067</v>
      </c>
      <c r="C73" s="908"/>
      <c r="D73" s="908"/>
      <c r="E73" s="908"/>
      <c r="F73" s="908"/>
      <c r="G73" s="908"/>
      <c r="H73" s="909"/>
    </row>
    <row r="74" spans="2:8">
      <c r="B74" s="548" t="s">
        <v>4068</v>
      </c>
      <c r="C74" s="910"/>
      <c r="D74" s="851"/>
      <c r="E74" s="851"/>
      <c r="F74" s="851"/>
      <c r="G74" s="851"/>
      <c r="H74" s="536"/>
    </row>
    <row r="75" spans="2:8" ht="12.75" customHeight="1">
      <c r="B75" s="932" t="s">
        <v>3836</v>
      </c>
      <c r="C75" s="930"/>
      <c r="D75" s="930"/>
      <c r="E75" s="930"/>
      <c r="F75" s="930"/>
      <c r="G75" s="930"/>
      <c r="H75" s="931"/>
    </row>
    <row r="76" spans="2:8" ht="12.75" customHeight="1">
      <c r="B76" s="954" t="s">
        <v>3842</v>
      </c>
      <c r="C76" s="930"/>
      <c r="D76" s="930"/>
      <c r="E76" s="930"/>
      <c r="F76" s="930"/>
      <c r="G76" s="930"/>
      <c r="H76" s="931"/>
    </row>
    <row r="77" spans="2:8">
      <c r="B77" s="855"/>
      <c r="C77" s="923"/>
      <c r="H77" s="856"/>
    </row>
    <row r="78" spans="2:8">
      <c r="B78" s="532" t="s">
        <v>3810</v>
      </c>
      <c r="C78" s="955" t="str">
        <f>IF('Basic Info'!C31="","",'Basic Info'!C31)</f>
        <v/>
      </c>
      <c r="H78" s="856"/>
    </row>
    <row r="79" spans="2:8">
      <c r="B79" s="919" t="s">
        <v>3811</v>
      </c>
      <c r="C79" s="956">
        <f>C25+C20</f>
        <v>0</v>
      </c>
      <c r="H79" s="856"/>
    </row>
    <row r="80" spans="2:8">
      <c r="B80" s="855"/>
      <c r="H80" s="856"/>
    </row>
    <row r="81" spans="2:8">
      <c r="B81" s="2206" t="s">
        <v>3812</v>
      </c>
      <c r="C81" s="2208" t="s">
        <v>3813</v>
      </c>
      <c r="H81" s="856"/>
    </row>
    <row r="82" spans="2:8">
      <c r="B82" s="2207"/>
      <c r="C82" s="2215"/>
      <c r="H82" s="856"/>
    </row>
    <row r="83" spans="2:8">
      <c r="B83" s="532" t="s">
        <v>3814</v>
      </c>
      <c r="C83" s="957">
        <f>C62</f>
        <v>0</v>
      </c>
      <c r="E83" s="473" t="s">
        <v>3817</v>
      </c>
      <c r="F83" s="959">
        <f>H36+H37</f>
        <v>0</v>
      </c>
      <c r="H83" s="856"/>
    </row>
    <row r="84" spans="2:8">
      <c r="B84" s="532" t="s">
        <v>3815</v>
      </c>
      <c r="C84" s="958">
        <f>C63</f>
        <v>0</v>
      </c>
      <c r="E84" s="473" t="s">
        <v>3818</v>
      </c>
      <c r="F84" s="959">
        <f>H34+H35</f>
        <v>0</v>
      </c>
      <c r="H84" s="856"/>
    </row>
    <row r="85" spans="2:8">
      <c r="B85" s="532" t="s">
        <v>3816</v>
      </c>
      <c r="C85" s="958">
        <f>C64</f>
        <v>0</v>
      </c>
      <c r="H85" s="856"/>
    </row>
    <row r="86" spans="2:8">
      <c r="B86" s="532" t="s">
        <v>4090</v>
      </c>
      <c r="C86" s="1799">
        <f>'Detailed Measures'!R30</f>
        <v>0</v>
      </c>
      <c r="E86" s="2229" t="str">
        <f>IF(H30="&lt;Select One&gt;","Complete cell H30",H30)</f>
        <v>Measure cost</v>
      </c>
      <c r="F86" s="2230"/>
      <c r="H86" s="856"/>
    </row>
    <row r="87" spans="2:8">
      <c r="B87" s="855"/>
      <c r="C87" s="485"/>
      <c r="D87" s="2216" t="s">
        <v>3823</v>
      </c>
      <c r="E87" s="2216" t="s">
        <v>3825</v>
      </c>
      <c r="F87" s="2216" t="s">
        <v>3826</v>
      </c>
      <c r="H87" s="856"/>
    </row>
    <row r="88" spans="2:8">
      <c r="B88" s="891"/>
      <c r="C88" s="485"/>
      <c r="D88" s="2216"/>
      <c r="E88" s="2216" t="s">
        <v>3825</v>
      </c>
      <c r="F88" s="2216" t="s">
        <v>3826</v>
      </c>
      <c r="G88" s="947"/>
      <c r="H88" s="856"/>
    </row>
    <row r="89" spans="2:8">
      <c r="B89" s="920" t="s">
        <v>3819</v>
      </c>
      <c r="C89" s="921" t="s">
        <v>3824</v>
      </c>
      <c r="D89" s="2219" t="str">
        <f>IF(C79=0,"",IF(C79&lt;H18,C79,H18))</f>
        <v/>
      </c>
      <c r="E89" s="881" t="e">
        <f>($D$89-$C$85)*C83/($C$83+$C$84)</f>
        <v>#VALUE!</v>
      </c>
      <c r="F89" s="881" t="e">
        <f>($D$89-$C$85)*F83</f>
        <v>#VALUE!</v>
      </c>
      <c r="H89" s="856"/>
    </row>
    <row r="90" spans="2:8">
      <c r="B90" s="891"/>
      <c r="C90" s="921" t="s">
        <v>1892</v>
      </c>
      <c r="D90" s="2219"/>
      <c r="E90" s="881" t="e">
        <f>($D$89-$C$85)*C84/($C$83+$C$84)</f>
        <v>#VALUE!</v>
      </c>
      <c r="F90" s="881" t="e">
        <f>($D$89-$C$85)*F84</f>
        <v>#VALUE!</v>
      </c>
      <c r="H90" s="856"/>
    </row>
    <row r="91" spans="2:8">
      <c r="B91" s="891"/>
      <c r="C91" s="921" t="s">
        <v>3816</v>
      </c>
      <c r="D91" s="2219"/>
      <c r="E91" s="881">
        <f>C85</f>
        <v>0</v>
      </c>
      <c r="F91" s="881">
        <f>C85</f>
        <v>0</v>
      </c>
      <c r="H91" s="856"/>
    </row>
    <row r="92" spans="2:8">
      <c r="B92" s="920" t="s">
        <v>3820</v>
      </c>
      <c r="C92" s="921" t="s">
        <v>3824</v>
      </c>
      <c r="D92" s="2220" t="str">
        <f>IF(C79=0,"",IF(C79&lt;H18,0,IF(C79&lt;(H18+H19),C79-H18,H19)))</f>
        <v/>
      </c>
      <c r="E92" s="1021" t="e">
        <f>D92*C83/(C83+C84)</f>
        <v>#VALUE!</v>
      </c>
      <c r="F92" s="881" t="e">
        <f>$D$92*F83</f>
        <v>#VALUE!</v>
      </c>
      <c r="H92" s="856"/>
    </row>
    <row r="93" spans="2:8">
      <c r="B93" s="891"/>
      <c r="C93" s="921" t="s">
        <v>1892</v>
      </c>
      <c r="D93" s="2221"/>
      <c r="E93" s="1021" t="e">
        <f>D92*C84/(C83+C84)</f>
        <v>#VALUE!</v>
      </c>
      <c r="F93" s="881" t="e">
        <f>$D$92*F84</f>
        <v>#VALUE!</v>
      </c>
      <c r="H93" s="856"/>
    </row>
    <row r="94" spans="2:8">
      <c r="B94" s="920" t="s">
        <v>3822</v>
      </c>
      <c r="C94" s="921" t="s">
        <v>3824</v>
      </c>
      <c r="D94" s="2220" t="str">
        <f>IF(C79=0,"",IF(C79&lt;(H18+H19),0,IF(C79&lt;(H18+H19+H20),C79-H18-H19,H20)))</f>
        <v/>
      </c>
      <c r="E94" s="1021" t="e">
        <f>D94*C83/(C83+C84)</f>
        <v>#VALUE!</v>
      </c>
      <c r="F94" s="881" t="e">
        <f>D94*F83</f>
        <v>#VALUE!</v>
      </c>
      <c r="H94" s="856"/>
    </row>
    <row r="95" spans="2:8">
      <c r="B95" s="891"/>
      <c r="C95" s="921" t="s">
        <v>1892</v>
      </c>
      <c r="D95" s="2221"/>
      <c r="E95" s="1021" t="e">
        <f>D94*C84/(C83+C84)</f>
        <v>#VALUE!</v>
      </c>
      <c r="F95" s="881" t="e">
        <f>D94*F84</f>
        <v>#VALUE!</v>
      </c>
      <c r="H95" s="856"/>
    </row>
    <row r="96" spans="2:8">
      <c r="B96" s="920" t="s">
        <v>3821</v>
      </c>
      <c r="C96" s="921" t="s">
        <v>3824</v>
      </c>
      <c r="D96" s="2228">
        <v>0</v>
      </c>
      <c r="E96" s="922" t="e">
        <f>D96*C83/(C83+C84)</f>
        <v>#DIV/0!</v>
      </c>
      <c r="F96" s="881">
        <f>D96*F83</f>
        <v>0</v>
      </c>
      <c r="H96" s="856"/>
    </row>
    <row r="97" spans="2:8">
      <c r="B97" s="855"/>
      <c r="C97" s="473" t="s">
        <v>1892</v>
      </c>
      <c r="D97" s="2228"/>
      <c r="E97" s="922" t="e">
        <f>D96*C84/(C83+C84)</f>
        <v>#DIV/0!</v>
      </c>
      <c r="F97" s="881">
        <f>D96*F84</f>
        <v>0</v>
      </c>
      <c r="H97" s="856"/>
    </row>
    <row r="98" spans="2:8" ht="12.75" thickBot="1">
      <c r="B98" s="534"/>
      <c r="C98" s="871"/>
      <c r="D98" s="871"/>
      <c r="E98" s="871"/>
      <c r="F98" s="871"/>
      <c r="G98" s="871"/>
      <c r="H98" s="860"/>
    </row>
    <row r="99" spans="2:8" ht="6" customHeight="1" thickBot="1">
      <c r="B99" s="1792"/>
      <c r="C99" s="1793"/>
      <c r="D99" s="1793"/>
      <c r="E99" s="1793"/>
      <c r="F99" s="1793"/>
      <c r="G99" s="1793"/>
      <c r="H99" s="1794"/>
    </row>
    <row r="100" spans="2:8" ht="12.75" thickBot="1">
      <c r="B100" s="2212" t="s">
        <v>3797</v>
      </c>
      <c r="C100" s="2213"/>
      <c r="D100" s="2213"/>
      <c r="E100" s="2213"/>
      <c r="F100" s="2213"/>
      <c r="G100" s="2213"/>
      <c r="H100" s="2214"/>
    </row>
    <row r="101" spans="2:8" ht="6.75" customHeight="1" thickBot="1">
      <c r="B101" s="1780"/>
      <c r="C101" s="1781"/>
      <c r="D101" s="1781"/>
      <c r="E101" s="1781"/>
      <c r="F101" s="1781"/>
      <c r="G101" s="1781"/>
      <c r="H101" s="1782"/>
    </row>
    <row r="102" spans="2:8">
      <c r="B102" s="1769"/>
      <c r="C102" s="940"/>
      <c r="D102" s="940"/>
      <c r="E102" s="940"/>
      <c r="F102" s="940"/>
      <c r="G102" s="940"/>
      <c r="H102" s="1770"/>
    </row>
    <row r="103" spans="2:8">
      <c r="B103" s="1771" t="s">
        <v>3798</v>
      </c>
      <c r="C103" s="1783">
        <f>SUM('Detailed Measures'!AI8:AI29)</f>
        <v>0</v>
      </c>
      <c r="D103" s="1784"/>
      <c r="E103" s="948"/>
      <c r="F103" s="948"/>
      <c r="G103" s="940"/>
      <c r="H103" s="1770"/>
    </row>
    <row r="104" spans="2:8">
      <c r="B104" s="1771" t="s">
        <v>3799</v>
      </c>
      <c r="C104" s="1783">
        <f>SUM('Detailed Measures'!AJ8:AJ29)+0.3*MIN(C25,H21)-SUM('Detailed Measures'!AR8:AR29)-SUM('Detailed Measures'!AQ8:AQ29)</f>
        <v>0</v>
      </c>
      <c r="D104" s="1784"/>
      <c r="E104" s="485"/>
      <c r="F104" s="485"/>
      <c r="G104" s="940"/>
      <c r="H104" s="1770"/>
    </row>
    <row r="105" spans="2:8">
      <c r="B105" s="1772"/>
      <c r="C105" s="1784"/>
      <c r="D105" s="1784"/>
      <c r="E105" s="485"/>
      <c r="F105" s="485"/>
      <c r="G105" s="948"/>
      <c r="H105" s="1773"/>
    </row>
    <row r="106" spans="2:8">
      <c r="B106" s="1774" t="s">
        <v>3800</v>
      </c>
      <c r="C106" s="1784"/>
      <c r="D106" s="1784"/>
      <c r="E106" s="485"/>
      <c r="F106" s="485"/>
      <c r="G106" s="485"/>
      <c r="H106" s="1775"/>
    </row>
    <row r="107" spans="2:8">
      <c r="B107" s="1785" t="s">
        <v>3801</v>
      </c>
      <c r="C107" s="1786">
        <v>182</v>
      </c>
      <c r="D107" s="1784" t="s">
        <v>3805</v>
      </c>
      <c r="E107" s="485"/>
      <c r="F107" s="485"/>
      <c r="G107" s="485"/>
      <c r="H107" s="1775"/>
    </row>
    <row r="108" spans="2:8">
      <c r="B108" s="1785" t="s">
        <v>3802</v>
      </c>
      <c r="C108" s="1786">
        <v>276</v>
      </c>
      <c r="D108" s="1784" t="s">
        <v>3805</v>
      </c>
      <c r="E108" s="485"/>
      <c r="F108" s="485"/>
      <c r="G108" s="485"/>
      <c r="H108" s="1775"/>
    </row>
    <row r="109" spans="2:8">
      <c r="B109" s="1785" t="s">
        <v>3803</v>
      </c>
      <c r="C109" s="1786">
        <v>56</v>
      </c>
      <c r="D109" s="1787" t="s">
        <v>3806</v>
      </c>
      <c r="E109" s="485"/>
      <c r="F109" s="485"/>
      <c r="G109" s="485"/>
      <c r="H109" s="1775"/>
    </row>
    <row r="110" spans="2:8">
      <c r="B110" s="1785" t="s">
        <v>3804</v>
      </c>
      <c r="C110" s="1786">
        <v>89</v>
      </c>
      <c r="D110" s="1787" t="s">
        <v>3806</v>
      </c>
      <c r="E110" s="499"/>
      <c r="F110" s="499"/>
      <c r="G110" s="485"/>
      <c r="H110" s="1775"/>
    </row>
    <row r="111" spans="2:8">
      <c r="B111" s="1788"/>
      <c r="C111" s="1787"/>
      <c r="D111" s="1787"/>
      <c r="E111" s="499"/>
      <c r="F111" s="499"/>
      <c r="G111" s="485"/>
      <c r="H111" s="1775"/>
    </row>
    <row r="112" spans="2:8">
      <c r="B112" s="1788"/>
      <c r="C112" s="1789" t="s">
        <v>3807</v>
      </c>
      <c r="D112" s="1789" t="s">
        <v>3808</v>
      </c>
      <c r="E112" s="499"/>
      <c r="F112" s="499"/>
      <c r="G112" s="499"/>
      <c r="H112" s="1776"/>
    </row>
    <row r="113" spans="2:8">
      <c r="B113" s="1785" t="s">
        <v>4080</v>
      </c>
      <c r="C113" s="1795">
        <f>IF(H30="Measure Cost",E34+E35,IF(H30="Measure Savings",G34+G35,0))</f>
        <v>0</v>
      </c>
      <c r="D113" s="1790">
        <f>('Detailed Measures'!P30+'Detailed Measures'!Q30)/1000</f>
        <v>0</v>
      </c>
      <c r="E113" s="499"/>
      <c r="F113" s="499"/>
      <c r="G113" s="499"/>
      <c r="H113" s="1776"/>
    </row>
    <row r="114" spans="2:8">
      <c r="B114" s="1791" t="s">
        <v>4081</v>
      </c>
      <c r="C114" s="1795">
        <f>IF(H30="Measure Cost",E36+E37,IF(H30="Measure Savings",G36+G37,0))</f>
        <v>0</v>
      </c>
      <c r="D114" s="1790">
        <f>'Detailed Measures'!N30+'Detailed Measures'!O30</f>
        <v>0</v>
      </c>
      <c r="E114" s="499"/>
      <c r="F114" s="499"/>
      <c r="G114" s="499"/>
      <c r="H114" s="1776"/>
    </row>
    <row r="115" spans="2:8" ht="12.75" thickBot="1">
      <c r="B115" s="1777"/>
      <c r="C115" s="1778"/>
      <c r="D115" s="1778"/>
      <c r="E115" s="1778"/>
      <c r="F115" s="1778"/>
      <c r="G115" s="1778"/>
      <c r="H115" s="1779"/>
    </row>
  </sheetData>
  <mergeCells count="30">
    <mergeCell ref="C66:D66"/>
    <mergeCell ref="D94:D95"/>
    <mergeCell ref="D96:D97"/>
    <mergeCell ref="E87:E88"/>
    <mergeCell ref="F87:F88"/>
    <mergeCell ref="E86:F86"/>
    <mergeCell ref="C67:D67"/>
    <mergeCell ref="B60:B61"/>
    <mergeCell ref="C60:C61"/>
    <mergeCell ref="D60:D61"/>
    <mergeCell ref="B32:B33"/>
    <mergeCell ref="B100:H100"/>
    <mergeCell ref="B81:B82"/>
    <mergeCell ref="C81:C82"/>
    <mergeCell ref="D87:D88"/>
    <mergeCell ref="E39:F39"/>
    <mergeCell ref="G39:G40"/>
    <mergeCell ref="B39:B40"/>
    <mergeCell ref="D89:D91"/>
    <mergeCell ref="D92:D93"/>
    <mergeCell ref="E33:F33"/>
    <mergeCell ref="G32:H32"/>
    <mergeCell ref="G33:H33"/>
    <mergeCell ref="B2:H4"/>
    <mergeCell ref="G21:G22"/>
    <mergeCell ref="H21:H22"/>
    <mergeCell ref="B17:C17"/>
    <mergeCell ref="E32:F32"/>
    <mergeCell ref="G17:H17"/>
    <mergeCell ref="B9:H9"/>
  </mergeCells>
  <conditionalFormatting sqref="E86:F86">
    <cfRule type="expression" dxfId="21" priority="3">
      <formula>$E$86="Complete cell H30"</formula>
    </cfRule>
  </conditionalFormatting>
  <conditionalFormatting sqref="B66:D66">
    <cfRule type="expression" dxfId="20" priority="2">
      <formula>$H$30="Measure cost"</formula>
    </cfRule>
  </conditionalFormatting>
  <conditionalFormatting sqref="B67:D67">
    <cfRule type="expression" dxfId="19" priority="1">
      <formula>$H$30="Measure savings"</formula>
    </cfRule>
  </conditionalFormatting>
  <dataValidations count="3">
    <dataValidation type="list" allowBlank="1" showInputMessage="1" showErrorMessage="1" sqref="H30">
      <formula1>SplitType</formula1>
    </dataValidation>
    <dataValidation type="list" allowBlank="1" showInputMessage="1" sqref="C66:D66">
      <formula1>"Gas/Fuel Incentive Cap, Electric Incentive Cap,Split"</formula1>
    </dataValidation>
    <dataValidation allowBlank="1" showInputMessage="1" sqref="C67:D67"/>
  </dataValidations>
  <pageMargins left="0.7" right="0.7" top="0.75" bottom="0.75" header="0.3" footer="0.3"/>
  <pageSetup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theme="0" tint="-0.249977111117893"/>
  </sheetPr>
  <dimension ref="A1:CE131"/>
  <sheetViews>
    <sheetView zoomScaleNormal="100" workbookViewId="0"/>
  </sheetViews>
  <sheetFormatPr defaultRowHeight="12"/>
  <cols>
    <col min="1" max="1" width="14.7109375" style="1432" bestFit="1" customWidth="1"/>
    <col min="2" max="13" width="13.7109375" style="1432" customWidth="1"/>
    <col min="14" max="17" width="13.7109375" style="1434" customWidth="1"/>
    <col min="18" max="18" width="13.85546875" style="1434" customWidth="1"/>
    <col min="19" max="19" width="13.28515625" style="1434" customWidth="1"/>
    <col min="20" max="20" width="12.42578125" style="1434" customWidth="1"/>
    <col min="21" max="21" width="15.5703125" style="1434" bestFit="1" customWidth="1"/>
    <col min="22" max="22" width="16.140625" style="1434" customWidth="1"/>
    <col min="23" max="23" width="13.85546875" style="1434" customWidth="1"/>
    <col min="24" max="24" width="17" style="1434" customWidth="1"/>
    <col min="25" max="25" width="14.42578125" style="1434" customWidth="1"/>
    <col min="26" max="50" width="9.140625" style="1434" hidden="1" customWidth="1"/>
    <col min="51" max="51" width="13.85546875" style="1434" bestFit="1" customWidth="1"/>
    <col min="52" max="52" width="13.28515625" style="1434" customWidth="1"/>
    <col min="53" max="53" width="15.5703125" style="1434" bestFit="1" customWidth="1"/>
    <col min="54" max="54" width="15.28515625" style="1434" customWidth="1"/>
    <col min="55" max="55" width="14.28515625" style="1434" customWidth="1"/>
    <col min="56" max="56" width="13.7109375" style="1434" customWidth="1"/>
    <col min="57" max="57" width="13.5703125" style="1434" customWidth="1"/>
    <col min="58" max="58" width="12.7109375" style="1434" customWidth="1"/>
    <col min="59" max="59" width="11.85546875" style="1434" customWidth="1"/>
    <col min="60" max="71" width="13.7109375" style="1434" customWidth="1"/>
    <col min="72" max="72" width="0" style="1434" hidden="1" customWidth="1"/>
    <col min="73" max="77" width="0" style="1432" hidden="1" customWidth="1"/>
    <col min="78" max="16384" width="9.140625" style="1432"/>
  </cols>
  <sheetData>
    <row r="1" spans="1:77" ht="18.75">
      <c r="A1" s="812"/>
      <c r="B1" s="1489" t="s">
        <v>3004</v>
      </c>
      <c r="M1" s="1028"/>
    </row>
    <row r="2" spans="1:77">
      <c r="A2" s="1490" t="s">
        <v>3020</v>
      </c>
      <c r="B2" s="813" t="s">
        <v>3022</v>
      </c>
      <c r="M2" s="1028"/>
    </row>
    <row r="3" spans="1:77">
      <c r="A3" s="1490" t="s">
        <v>3020</v>
      </c>
      <c r="B3" s="813" t="s">
        <v>3021</v>
      </c>
      <c r="D3" s="1435"/>
      <c r="E3" s="1435"/>
      <c r="F3" s="1435"/>
      <c r="M3" s="1028"/>
    </row>
    <row r="4" spans="1:77">
      <c r="A4" s="1490"/>
      <c r="B4" s="813"/>
      <c r="D4" s="1435"/>
      <c r="E4" s="1435"/>
      <c r="F4" s="1435"/>
      <c r="M4" s="1028"/>
    </row>
    <row r="5" spans="1:77">
      <c r="A5" s="1491" t="s">
        <v>3009</v>
      </c>
      <c r="B5" s="1492" t="s">
        <v>1024</v>
      </c>
      <c r="D5" s="1436"/>
      <c r="E5" s="1436"/>
      <c r="F5" s="1436"/>
      <c r="M5" s="1028"/>
    </row>
    <row r="6" spans="1:77">
      <c r="A6" s="812"/>
      <c r="B6" s="812"/>
      <c r="M6" s="1028"/>
    </row>
    <row r="7" spans="1:77" ht="12.75" thickBot="1">
      <c r="A7" s="1493" t="s">
        <v>3010</v>
      </c>
      <c r="B7" s="1494" t="s">
        <v>3018</v>
      </c>
      <c r="M7" s="1028"/>
    </row>
    <row r="8" spans="1:77" ht="12.75" thickBot="1">
      <c r="M8" s="1504" t="s">
        <v>1487</v>
      </c>
      <c r="N8" s="1504" t="s">
        <v>1487</v>
      </c>
      <c r="O8" s="1504" t="s">
        <v>1489</v>
      </c>
      <c r="P8" s="1504" t="s">
        <v>1485</v>
      </c>
      <c r="Q8" s="1504" t="s">
        <v>1486</v>
      </c>
      <c r="R8" s="1504" t="s">
        <v>1486</v>
      </c>
      <c r="S8" s="1504" t="s">
        <v>3720</v>
      </c>
      <c r="T8" s="1504" t="s">
        <v>3719</v>
      </c>
      <c r="U8" s="1504" t="s">
        <v>1489</v>
      </c>
      <c r="V8" s="1504" t="s">
        <v>1485</v>
      </c>
      <c r="W8" s="1504" t="s">
        <v>1488</v>
      </c>
      <c r="X8" s="1505" t="s">
        <v>1487</v>
      </c>
      <c r="Y8" s="1505"/>
      <c r="Z8" s="1506"/>
      <c r="AA8" s="1506"/>
      <c r="AB8" s="1506"/>
      <c r="AC8" s="1506"/>
      <c r="AD8" s="1506"/>
      <c r="AE8" s="1506"/>
      <c r="AF8" s="1506"/>
      <c r="AG8" s="1506"/>
      <c r="AH8" s="1506"/>
      <c r="AI8" s="1506"/>
      <c r="AJ8" s="1506"/>
      <c r="AK8" s="1506"/>
      <c r="AL8" s="1506"/>
      <c r="AM8" s="1506"/>
      <c r="AN8" s="1506"/>
      <c r="AO8" s="1506"/>
      <c r="AP8" s="1506"/>
      <c r="AQ8" s="1506"/>
      <c r="AR8" s="1506"/>
      <c r="AS8" s="1506"/>
      <c r="AT8" s="1506"/>
      <c r="AU8" s="1506"/>
      <c r="AV8" s="1506"/>
      <c r="AW8" s="1506"/>
      <c r="AX8" s="1506"/>
      <c r="AY8" s="1504" t="s">
        <v>1487</v>
      </c>
      <c r="AZ8" s="1504" t="s">
        <v>1487</v>
      </c>
      <c r="BA8" s="1504" t="s">
        <v>1489</v>
      </c>
      <c r="BB8" s="1504" t="s">
        <v>1485</v>
      </c>
      <c r="BC8" s="1504" t="s">
        <v>1486</v>
      </c>
      <c r="BD8" s="1504" t="s">
        <v>1486</v>
      </c>
      <c r="BE8" s="1504" t="s">
        <v>3720</v>
      </c>
      <c r="BF8" s="1504" t="s">
        <v>3719</v>
      </c>
      <c r="BG8" s="1504" t="s">
        <v>1489</v>
      </c>
      <c r="BH8" s="1504" t="s">
        <v>1485</v>
      </c>
      <c r="BI8" s="1504" t="s">
        <v>1488</v>
      </c>
      <c r="BJ8" s="1505" t="s">
        <v>1487</v>
      </c>
      <c r="BK8" s="1505" t="str">
        <f t="shared" ref="BK8" si="0">BK9</f>
        <v>TOTAL</v>
      </c>
    </row>
    <row r="9" spans="1:77" ht="12.75" hidden="1" thickBot="1">
      <c r="C9" s="1441"/>
      <c r="M9" s="1438" t="s">
        <v>1487</v>
      </c>
      <c r="N9" s="1438" t="s">
        <v>1487</v>
      </c>
      <c r="O9" s="1438" t="s">
        <v>1489</v>
      </c>
      <c r="P9" s="1438" t="s">
        <v>1485</v>
      </c>
      <c r="Q9" s="1438" t="s">
        <v>1486</v>
      </c>
      <c r="R9" s="1438" t="s">
        <v>1486</v>
      </c>
      <c r="S9" s="1438" t="s">
        <v>1490</v>
      </c>
      <c r="T9" s="1438" t="s">
        <v>1490</v>
      </c>
      <c r="U9" s="1438" t="s">
        <v>1489</v>
      </c>
      <c r="V9" s="1438" t="s">
        <v>1485</v>
      </c>
      <c r="W9" s="1438" t="s">
        <v>1488</v>
      </c>
      <c r="X9" s="1439" t="s">
        <v>1490</v>
      </c>
      <c r="Y9" s="1439"/>
      <c r="Z9" s="1440"/>
      <c r="AA9" s="1440"/>
      <c r="AB9" s="1440"/>
      <c r="AC9" s="1440"/>
      <c r="AD9" s="1440"/>
      <c r="AE9" s="1440"/>
      <c r="AF9" s="1440"/>
      <c r="AG9" s="1440"/>
      <c r="AH9" s="1440"/>
      <c r="AI9" s="1440"/>
      <c r="AJ9" s="1440"/>
      <c r="AK9" s="1440"/>
      <c r="AL9" s="1440"/>
      <c r="AM9" s="1440"/>
      <c r="AN9" s="1440"/>
      <c r="AO9" s="1440"/>
      <c r="AP9" s="1440"/>
      <c r="AQ9" s="1440"/>
      <c r="AR9" s="1440"/>
      <c r="AS9" s="1440"/>
      <c r="AT9" s="1440"/>
      <c r="AU9" s="1440"/>
      <c r="AV9" s="1440"/>
      <c r="AW9" s="1440"/>
      <c r="AX9" s="1440"/>
      <c r="AY9" s="1438" t="s">
        <v>1487</v>
      </c>
      <c r="AZ9" s="1438" t="s">
        <v>1487</v>
      </c>
      <c r="BA9" s="1438" t="s">
        <v>1489</v>
      </c>
      <c r="BB9" s="1438" t="s">
        <v>1485</v>
      </c>
      <c r="BC9" s="1438" t="s">
        <v>1486</v>
      </c>
      <c r="BD9" s="1438" t="s">
        <v>1486</v>
      </c>
      <c r="BE9" s="1438" t="s">
        <v>1490</v>
      </c>
      <c r="BF9" s="1438" t="s">
        <v>1490</v>
      </c>
      <c r="BG9" s="1438" t="s">
        <v>1489</v>
      </c>
      <c r="BH9" s="1438" t="s">
        <v>1485</v>
      </c>
      <c r="BI9" s="1438" t="s">
        <v>1488</v>
      </c>
      <c r="BJ9" s="1439" t="s">
        <v>1490</v>
      </c>
      <c r="BK9" s="1439" t="s">
        <v>3008</v>
      </c>
      <c r="BT9" s="1432"/>
    </row>
    <row r="10" spans="1:77" s="1442" customFormat="1" ht="12.75" customHeight="1">
      <c r="B10" s="1495"/>
      <c r="C10" s="1496"/>
      <c r="D10" s="1496"/>
      <c r="E10" s="1496"/>
      <c r="F10" s="1496"/>
      <c r="G10" s="1496"/>
      <c r="H10" s="1496"/>
      <c r="I10" s="1496"/>
      <c r="J10" s="1496"/>
      <c r="K10" s="1496"/>
      <c r="L10" s="1496"/>
      <c r="M10" s="1496" t="s">
        <v>544</v>
      </c>
      <c r="N10" s="1496"/>
      <c r="O10" s="1496"/>
      <c r="P10" s="1496"/>
      <c r="Q10" s="1496"/>
      <c r="R10" s="1496"/>
      <c r="S10" s="1496"/>
      <c r="T10" s="1496"/>
      <c r="U10" s="1496"/>
      <c r="V10" s="1496"/>
      <c r="W10" s="1496"/>
      <c r="X10" s="1496"/>
      <c r="Y10" s="1496"/>
      <c r="Z10" s="1496" t="s">
        <v>545</v>
      </c>
      <c r="AA10" s="1496"/>
      <c r="AB10" s="1496"/>
      <c r="AC10" s="1496"/>
      <c r="AD10" s="1496"/>
      <c r="AE10" s="1496"/>
      <c r="AF10" s="1496"/>
      <c r="AG10" s="1496"/>
      <c r="AH10" s="1496"/>
      <c r="AI10" s="1496"/>
      <c r="AJ10" s="1496"/>
      <c r="AK10" s="1496"/>
      <c r="AL10" s="1496" t="s">
        <v>546</v>
      </c>
      <c r="AM10" s="1496"/>
      <c r="AN10" s="1496"/>
      <c r="AO10" s="1496"/>
      <c r="AP10" s="1496"/>
      <c r="AQ10" s="1496"/>
      <c r="AR10" s="1496"/>
      <c r="AS10" s="1496"/>
      <c r="AT10" s="1496"/>
      <c r="AU10" s="1496"/>
      <c r="AV10" s="1496"/>
      <c r="AW10" s="1496"/>
      <c r="AX10" s="1496"/>
      <c r="AY10" s="1496" t="s">
        <v>547</v>
      </c>
      <c r="AZ10" s="1496"/>
      <c r="BA10" s="1496"/>
      <c r="BB10" s="1496"/>
      <c r="BC10" s="1496"/>
      <c r="BD10" s="1496"/>
      <c r="BE10" s="1496"/>
      <c r="BF10" s="1496"/>
      <c r="BG10" s="1496"/>
      <c r="BH10" s="1496"/>
      <c r="BI10" s="1496"/>
      <c r="BJ10" s="1496"/>
      <c r="BK10" s="1496"/>
      <c r="BL10" s="1496" t="s">
        <v>548</v>
      </c>
      <c r="BM10" s="1496"/>
      <c r="BN10" s="1496" t="s">
        <v>549</v>
      </c>
      <c r="BO10" s="2234" t="s">
        <v>550</v>
      </c>
      <c r="BP10" s="2235"/>
      <c r="BQ10" s="2236"/>
      <c r="BR10" s="1496"/>
      <c r="BS10" s="1497"/>
      <c r="BT10" s="2237" t="s">
        <v>3024</v>
      </c>
      <c r="BU10" s="2237"/>
      <c r="BV10" s="2237"/>
      <c r="BW10" s="2237"/>
      <c r="BX10" s="2237"/>
      <c r="BY10" s="2238"/>
    </row>
    <row r="11" spans="1:77" s="1442" customFormat="1">
      <c r="B11" s="1498"/>
      <c r="C11" s="1499"/>
      <c r="D11" s="1499"/>
      <c r="E11" s="1499"/>
      <c r="F11" s="1499"/>
      <c r="G11" s="1499"/>
      <c r="H11" s="1499"/>
      <c r="I11" s="1499"/>
      <c r="J11" s="1499"/>
      <c r="K11" s="1499"/>
      <c r="L11" s="1499" t="s">
        <v>551</v>
      </c>
      <c r="M11" s="1499" t="s">
        <v>552</v>
      </c>
      <c r="N11" s="1499" t="s">
        <v>552</v>
      </c>
      <c r="O11" s="1499" t="s">
        <v>552</v>
      </c>
      <c r="P11" s="1499" t="s">
        <v>552</v>
      </c>
      <c r="Q11" s="1499" t="s">
        <v>552</v>
      </c>
      <c r="R11" s="1499" t="s">
        <v>552</v>
      </c>
      <c r="S11" s="1499" t="s">
        <v>552</v>
      </c>
      <c r="T11" s="1499" t="s">
        <v>552</v>
      </c>
      <c r="U11" s="1499" t="s">
        <v>552</v>
      </c>
      <c r="V11" s="1499" t="s">
        <v>552</v>
      </c>
      <c r="W11" s="1499" t="s">
        <v>552</v>
      </c>
      <c r="X11" s="1499" t="s">
        <v>552</v>
      </c>
      <c r="Y11" s="1499" t="s">
        <v>552</v>
      </c>
      <c r="Z11" s="1499" t="s">
        <v>552</v>
      </c>
      <c r="AA11" s="1499" t="s">
        <v>552</v>
      </c>
      <c r="AB11" s="1499" t="s">
        <v>552</v>
      </c>
      <c r="AC11" s="1499" t="s">
        <v>552</v>
      </c>
      <c r="AD11" s="1499" t="s">
        <v>552</v>
      </c>
      <c r="AE11" s="1499" t="s">
        <v>552</v>
      </c>
      <c r="AF11" s="1499" t="s">
        <v>552</v>
      </c>
      <c r="AG11" s="1499" t="s">
        <v>552</v>
      </c>
      <c r="AH11" s="1499" t="s">
        <v>552</v>
      </c>
      <c r="AI11" s="1499" t="s">
        <v>552</v>
      </c>
      <c r="AJ11" s="1499" t="s">
        <v>552</v>
      </c>
      <c r="AK11" s="1499" t="s">
        <v>552</v>
      </c>
      <c r="AL11" s="1499" t="s">
        <v>552</v>
      </c>
      <c r="AM11" s="1499" t="s">
        <v>552</v>
      </c>
      <c r="AN11" s="1499" t="s">
        <v>552</v>
      </c>
      <c r="AO11" s="1499" t="s">
        <v>552</v>
      </c>
      <c r="AP11" s="1499" t="s">
        <v>552</v>
      </c>
      <c r="AQ11" s="1499" t="s">
        <v>552</v>
      </c>
      <c r="AR11" s="1499" t="s">
        <v>552</v>
      </c>
      <c r="AS11" s="1499" t="s">
        <v>552</v>
      </c>
      <c r="AT11" s="1499" t="s">
        <v>552</v>
      </c>
      <c r="AU11" s="1499" t="s">
        <v>552</v>
      </c>
      <c r="AV11" s="1499" t="s">
        <v>552</v>
      </c>
      <c r="AW11" s="1499" t="s">
        <v>552</v>
      </c>
      <c r="AX11" s="1499" t="s">
        <v>552</v>
      </c>
      <c r="AY11" s="1499" t="s">
        <v>552</v>
      </c>
      <c r="AZ11" s="1499" t="s">
        <v>552</v>
      </c>
      <c r="BA11" s="1499" t="s">
        <v>552</v>
      </c>
      <c r="BB11" s="1499" t="s">
        <v>552</v>
      </c>
      <c r="BC11" s="1499" t="s">
        <v>552</v>
      </c>
      <c r="BD11" s="1499" t="s">
        <v>552</v>
      </c>
      <c r="BE11" s="1499" t="s">
        <v>552</v>
      </c>
      <c r="BF11" s="1499" t="s">
        <v>552</v>
      </c>
      <c r="BG11" s="1499" t="s">
        <v>552</v>
      </c>
      <c r="BH11" s="1499" t="s">
        <v>552</v>
      </c>
      <c r="BI11" s="1499" t="s">
        <v>552</v>
      </c>
      <c r="BJ11" s="1499" t="s">
        <v>552</v>
      </c>
      <c r="BK11" s="1499" t="s">
        <v>552</v>
      </c>
      <c r="BL11" s="1499" t="s">
        <v>553</v>
      </c>
      <c r="BM11" s="1499" t="s">
        <v>553</v>
      </c>
      <c r="BN11" s="1499" t="s">
        <v>554</v>
      </c>
      <c r="BO11" s="1499" t="s">
        <v>554</v>
      </c>
      <c r="BP11" s="1499" t="s">
        <v>555</v>
      </c>
      <c r="BQ11" s="1499" t="s">
        <v>555</v>
      </c>
      <c r="BR11" s="1499" t="s">
        <v>555</v>
      </c>
      <c r="BS11" s="1500" t="s">
        <v>555</v>
      </c>
      <c r="BT11" s="1447" t="s">
        <v>553</v>
      </c>
      <c r="BU11" s="1447" t="s">
        <v>553</v>
      </c>
      <c r="BV11" s="1447" t="s">
        <v>3025</v>
      </c>
      <c r="BW11" s="1447"/>
      <c r="BX11" s="1447" t="s">
        <v>553</v>
      </c>
      <c r="BY11" s="1447" t="s">
        <v>553</v>
      </c>
    </row>
    <row r="12" spans="1:77" s="1442" customFormat="1">
      <c r="B12" s="1498"/>
      <c r="C12" s="1499"/>
      <c r="D12" s="1499"/>
      <c r="E12" s="1499"/>
      <c r="F12" s="1499"/>
      <c r="G12" s="1499"/>
      <c r="H12" s="1499"/>
      <c r="I12" s="1499"/>
      <c r="J12" s="1499"/>
      <c r="K12" s="1499"/>
      <c r="L12" s="1499" t="s">
        <v>556</v>
      </c>
      <c r="M12" s="1499" t="s">
        <v>557</v>
      </c>
      <c r="N12" s="1499" t="s">
        <v>558</v>
      </c>
      <c r="O12" s="1499" t="s">
        <v>559</v>
      </c>
      <c r="P12" s="1499" t="s">
        <v>560</v>
      </c>
      <c r="Q12" s="1499" t="s">
        <v>560</v>
      </c>
      <c r="R12" s="1499" t="s">
        <v>561</v>
      </c>
      <c r="S12" s="1499" t="s">
        <v>1254</v>
      </c>
      <c r="T12" s="1499" t="s">
        <v>562</v>
      </c>
      <c r="U12" s="1499" t="s">
        <v>563</v>
      </c>
      <c r="V12" s="1499" t="s">
        <v>564</v>
      </c>
      <c r="W12" s="1499" t="s">
        <v>565</v>
      </c>
      <c r="X12" s="1499" t="s">
        <v>566</v>
      </c>
      <c r="Y12" s="1499"/>
      <c r="Z12" s="1499" t="s">
        <v>557</v>
      </c>
      <c r="AA12" s="1499" t="s">
        <v>558</v>
      </c>
      <c r="AB12" s="1499" t="s">
        <v>559</v>
      </c>
      <c r="AC12" s="1499" t="s">
        <v>560</v>
      </c>
      <c r="AD12" s="1499" t="s">
        <v>560</v>
      </c>
      <c r="AE12" s="1499" t="s">
        <v>561</v>
      </c>
      <c r="AF12" s="1499" t="s">
        <v>1254</v>
      </c>
      <c r="AG12" s="1499" t="s">
        <v>562</v>
      </c>
      <c r="AH12" s="1499" t="s">
        <v>563</v>
      </c>
      <c r="AI12" s="1499" t="s">
        <v>564</v>
      </c>
      <c r="AJ12" s="1499" t="s">
        <v>565</v>
      </c>
      <c r="AK12" s="1499" t="s">
        <v>566</v>
      </c>
      <c r="AL12" s="1499" t="s">
        <v>557</v>
      </c>
      <c r="AM12" s="1499" t="s">
        <v>558</v>
      </c>
      <c r="AN12" s="1499" t="s">
        <v>559</v>
      </c>
      <c r="AO12" s="1499" t="s">
        <v>560</v>
      </c>
      <c r="AP12" s="1499" t="s">
        <v>560</v>
      </c>
      <c r="AQ12" s="1499" t="s">
        <v>561</v>
      </c>
      <c r="AR12" s="1499" t="s">
        <v>1254</v>
      </c>
      <c r="AS12" s="1499" t="s">
        <v>562</v>
      </c>
      <c r="AT12" s="1499" t="s">
        <v>563</v>
      </c>
      <c r="AU12" s="1499" t="s">
        <v>564</v>
      </c>
      <c r="AV12" s="1499" t="s">
        <v>565</v>
      </c>
      <c r="AW12" s="1499" t="s">
        <v>566</v>
      </c>
      <c r="AX12" s="1499" t="s">
        <v>567</v>
      </c>
      <c r="AY12" s="1499" t="s">
        <v>557</v>
      </c>
      <c r="AZ12" s="1499" t="s">
        <v>558</v>
      </c>
      <c r="BA12" s="1499" t="s">
        <v>559</v>
      </c>
      <c r="BB12" s="1499" t="s">
        <v>560</v>
      </c>
      <c r="BC12" s="1499" t="s">
        <v>560</v>
      </c>
      <c r="BD12" s="1499" t="s">
        <v>561</v>
      </c>
      <c r="BE12" s="1499" t="s">
        <v>1254</v>
      </c>
      <c r="BF12" s="1499" t="s">
        <v>562</v>
      </c>
      <c r="BG12" s="1499" t="s">
        <v>563</v>
      </c>
      <c r="BH12" s="1499" t="s">
        <v>564</v>
      </c>
      <c r="BI12" s="1499" t="s">
        <v>565</v>
      </c>
      <c r="BJ12" s="1499" t="s">
        <v>566</v>
      </c>
      <c r="BK12" s="1499"/>
      <c r="BL12" s="1499" t="s">
        <v>567</v>
      </c>
      <c r="BM12" s="1499" t="s">
        <v>567</v>
      </c>
      <c r="BN12" s="1499" t="s">
        <v>567</v>
      </c>
      <c r="BO12" s="1499" t="s">
        <v>567</v>
      </c>
      <c r="BP12" s="1499" t="s">
        <v>1255</v>
      </c>
      <c r="BQ12" s="1499" t="s">
        <v>1255</v>
      </c>
      <c r="BR12" s="1499" t="s">
        <v>1892</v>
      </c>
      <c r="BS12" s="1500" t="s">
        <v>1892</v>
      </c>
      <c r="BT12" s="1447" t="s">
        <v>3026</v>
      </c>
      <c r="BU12" s="1447" t="s">
        <v>3027</v>
      </c>
      <c r="BV12" s="1447" t="s">
        <v>3028</v>
      </c>
      <c r="BW12" s="1447" t="s">
        <v>3026</v>
      </c>
      <c r="BX12" s="1447" t="s">
        <v>3029</v>
      </c>
      <c r="BY12" s="1447" t="s">
        <v>3030</v>
      </c>
    </row>
    <row r="13" spans="1:77" s="1442" customFormat="1">
      <c r="B13" s="1498" t="s">
        <v>568</v>
      </c>
      <c r="C13" s="1499" t="s">
        <v>569</v>
      </c>
      <c r="D13" s="1499" t="s">
        <v>570</v>
      </c>
      <c r="E13" s="1499" t="s">
        <v>571</v>
      </c>
      <c r="F13" s="1499" t="s">
        <v>572</v>
      </c>
      <c r="G13" s="1499" t="s">
        <v>573</v>
      </c>
      <c r="H13" s="1499" t="s">
        <v>573</v>
      </c>
      <c r="I13" s="1499" t="s">
        <v>3007</v>
      </c>
      <c r="J13" s="1499"/>
      <c r="K13" s="1499"/>
      <c r="L13" s="1499" t="s">
        <v>574</v>
      </c>
      <c r="M13" s="1499" t="s">
        <v>575</v>
      </c>
      <c r="N13" s="1499" t="s">
        <v>575</v>
      </c>
      <c r="O13" s="1499" t="s">
        <v>576</v>
      </c>
      <c r="P13" s="1499" t="s">
        <v>577</v>
      </c>
      <c r="Q13" s="1499" t="s">
        <v>1876</v>
      </c>
      <c r="R13" s="1499" t="s">
        <v>578</v>
      </c>
      <c r="S13" s="1499" t="s">
        <v>579</v>
      </c>
      <c r="T13" s="1499" t="s">
        <v>580</v>
      </c>
      <c r="U13" s="1499" t="s">
        <v>696</v>
      </c>
      <c r="V13" s="1499" t="s">
        <v>697</v>
      </c>
      <c r="W13" s="1499" t="s">
        <v>698</v>
      </c>
      <c r="X13" s="1499" t="s">
        <v>699</v>
      </c>
      <c r="Y13" s="1499" t="s">
        <v>1255</v>
      </c>
      <c r="Z13" s="1499" t="s">
        <v>575</v>
      </c>
      <c r="AA13" s="1499" t="s">
        <v>575</v>
      </c>
      <c r="AB13" s="1499" t="s">
        <v>576</v>
      </c>
      <c r="AC13" s="1499" t="s">
        <v>577</v>
      </c>
      <c r="AD13" s="1499" t="s">
        <v>1876</v>
      </c>
      <c r="AE13" s="1499" t="s">
        <v>578</v>
      </c>
      <c r="AF13" s="1499" t="s">
        <v>579</v>
      </c>
      <c r="AG13" s="1499" t="s">
        <v>580</v>
      </c>
      <c r="AH13" s="1499" t="s">
        <v>696</v>
      </c>
      <c r="AI13" s="1499" t="s">
        <v>697</v>
      </c>
      <c r="AJ13" s="1499" t="s">
        <v>698</v>
      </c>
      <c r="AK13" s="1499" t="s">
        <v>699</v>
      </c>
      <c r="AL13" s="1499" t="s">
        <v>575</v>
      </c>
      <c r="AM13" s="1499" t="s">
        <v>575</v>
      </c>
      <c r="AN13" s="1499" t="s">
        <v>576</v>
      </c>
      <c r="AO13" s="1499" t="s">
        <v>577</v>
      </c>
      <c r="AP13" s="1499" t="s">
        <v>1876</v>
      </c>
      <c r="AQ13" s="1499" t="s">
        <v>578</v>
      </c>
      <c r="AR13" s="1499" t="s">
        <v>579</v>
      </c>
      <c r="AS13" s="1499" t="s">
        <v>580</v>
      </c>
      <c r="AT13" s="1499" t="s">
        <v>696</v>
      </c>
      <c r="AU13" s="1499" t="s">
        <v>697</v>
      </c>
      <c r="AV13" s="1499" t="s">
        <v>698</v>
      </c>
      <c r="AW13" s="1499" t="s">
        <v>699</v>
      </c>
      <c r="AX13" s="1499" t="s">
        <v>1255</v>
      </c>
      <c r="AY13" s="1499" t="s">
        <v>575</v>
      </c>
      <c r="AZ13" s="1499" t="s">
        <v>575</v>
      </c>
      <c r="BA13" s="1499" t="s">
        <v>576</v>
      </c>
      <c r="BB13" s="1499" t="s">
        <v>577</v>
      </c>
      <c r="BC13" s="1499" t="s">
        <v>1876</v>
      </c>
      <c r="BD13" s="1499" t="s">
        <v>578</v>
      </c>
      <c r="BE13" s="1499" t="s">
        <v>579</v>
      </c>
      <c r="BF13" s="1499" t="s">
        <v>580</v>
      </c>
      <c r="BG13" s="1499" t="s">
        <v>696</v>
      </c>
      <c r="BH13" s="1499" t="s">
        <v>697</v>
      </c>
      <c r="BI13" s="1499" t="s">
        <v>698</v>
      </c>
      <c r="BJ13" s="1499" t="s">
        <v>699</v>
      </c>
      <c r="BK13" s="1499" t="s">
        <v>1255</v>
      </c>
      <c r="BL13" s="1499" t="s">
        <v>2189</v>
      </c>
      <c r="BM13" s="1499" t="s">
        <v>700</v>
      </c>
      <c r="BN13" s="1499" t="s">
        <v>2189</v>
      </c>
      <c r="BO13" s="1499" t="s">
        <v>700</v>
      </c>
      <c r="BP13" s="1499" t="s">
        <v>1892</v>
      </c>
      <c r="BQ13" s="1499" t="s">
        <v>1046</v>
      </c>
      <c r="BR13" s="1499" t="s">
        <v>139</v>
      </c>
      <c r="BS13" s="1500" t="s">
        <v>140</v>
      </c>
      <c r="BT13" s="1447" t="s">
        <v>3031</v>
      </c>
      <c r="BU13" s="1447" t="s">
        <v>3032</v>
      </c>
      <c r="BV13" s="1447" t="s">
        <v>3033</v>
      </c>
      <c r="BW13" s="1447" t="s">
        <v>3031</v>
      </c>
      <c r="BX13" s="1447" t="s">
        <v>3032</v>
      </c>
      <c r="BY13" s="1447" t="s">
        <v>3032</v>
      </c>
    </row>
    <row r="14" spans="1:77" s="1442" customFormat="1" ht="12.75" thickBot="1">
      <c r="B14" s="1501" t="s">
        <v>1047</v>
      </c>
      <c r="C14" s="1502" t="s">
        <v>1048</v>
      </c>
      <c r="D14" s="1502" t="s">
        <v>1049</v>
      </c>
      <c r="E14" s="1502" t="s">
        <v>1050</v>
      </c>
      <c r="F14" s="1502" t="s">
        <v>1051</v>
      </c>
      <c r="G14" s="1502" t="s">
        <v>1052</v>
      </c>
      <c r="H14" s="1502" t="s">
        <v>68</v>
      </c>
      <c r="I14" s="1502" t="s">
        <v>3006</v>
      </c>
      <c r="J14" s="1502" t="s">
        <v>69</v>
      </c>
      <c r="K14" s="1502" t="s">
        <v>70</v>
      </c>
      <c r="L14" s="1502" t="s">
        <v>2191</v>
      </c>
      <c r="M14" s="1502" t="s">
        <v>139</v>
      </c>
      <c r="N14" s="1502" t="s">
        <v>139</v>
      </c>
      <c r="O14" s="1502" t="s">
        <v>139</v>
      </c>
      <c r="P14" s="1502" t="s">
        <v>139</v>
      </c>
      <c r="Q14" s="1502" t="s">
        <v>139</v>
      </c>
      <c r="R14" s="1502" t="s">
        <v>139</v>
      </c>
      <c r="S14" s="1502" t="s">
        <v>139</v>
      </c>
      <c r="T14" s="1502" t="s">
        <v>139</v>
      </c>
      <c r="U14" s="1502" t="s">
        <v>139</v>
      </c>
      <c r="V14" s="1502" t="s">
        <v>139</v>
      </c>
      <c r="W14" s="1502" t="s">
        <v>139</v>
      </c>
      <c r="X14" s="1502" t="s">
        <v>139</v>
      </c>
      <c r="Y14" s="1502" t="s">
        <v>139</v>
      </c>
      <c r="Z14" s="1502" t="s">
        <v>140</v>
      </c>
      <c r="AA14" s="1502" t="s">
        <v>140</v>
      </c>
      <c r="AB14" s="1502" t="s">
        <v>140</v>
      </c>
      <c r="AC14" s="1502" t="s">
        <v>140</v>
      </c>
      <c r="AD14" s="1502" t="s">
        <v>140</v>
      </c>
      <c r="AE14" s="1502" t="s">
        <v>140</v>
      </c>
      <c r="AF14" s="1502" t="s">
        <v>140</v>
      </c>
      <c r="AG14" s="1502" t="s">
        <v>140</v>
      </c>
      <c r="AH14" s="1502" t="s">
        <v>140</v>
      </c>
      <c r="AI14" s="1502" t="s">
        <v>140</v>
      </c>
      <c r="AJ14" s="1502" t="s">
        <v>140</v>
      </c>
      <c r="AK14" s="1502" t="s">
        <v>140</v>
      </c>
      <c r="AL14" s="1502" t="s">
        <v>140</v>
      </c>
      <c r="AM14" s="1502" t="s">
        <v>140</v>
      </c>
      <c r="AN14" s="1502" t="s">
        <v>140</v>
      </c>
      <c r="AO14" s="1502" t="s">
        <v>140</v>
      </c>
      <c r="AP14" s="1502" t="s">
        <v>140</v>
      </c>
      <c r="AQ14" s="1502" t="s">
        <v>140</v>
      </c>
      <c r="AR14" s="1502" t="s">
        <v>140</v>
      </c>
      <c r="AS14" s="1502" t="s">
        <v>140</v>
      </c>
      <c r="AT14" s="1502" t="s">
        <v>140</v>
      </c>
      <c r="AU14" s="1502" t="s">
        <v>140</v>
      </c>
      <c r="AV14" s="1502" t="s">
        <v>140</v>
      </c>
      <c r="AW14" s="1502" t="s">
        <v>140</v>
      </c>
      <c r="AX14" s="1502" t="s">
        <v>140</v>
      </c>
      <c r="AY14" s="1502" t="s">
        <v>1881</v>
      </c>
      <c r="AZ14" s="1502" t="s">
        <v>1881</v>
      </c>
      <c r="BA14" s="1502" t="s">
        <v>1881</v>
      </c>
      <c r="BB14" s="1502" t="s">
        <v>1881</v>
      </c>
      <c r="BC14" s="1502" t="s">
        <v>1881</v>
      </c>
      <c r="BD14" s="1502" t="s">
        <v>1881</v>
      </c>
      <c r="BE14" s="1502" t="s">
        <v>1881</v>
      </c>
      <c r="BF14" s="1502" t="s">
        <v>1881</v>
      </c>
      <c r="BG14" s="1502" t="s">
        <v>1881</v>
      </c>
      <c r="BH14" s="1502" t="s">
        <v>1881</v>
      </c>
      <c r="BI14" s="1502" t="s">
        <v>1881</v>
      </c>
      <c r="BJ14" s="1502" t="s">
        <v>1881</v>
      </c>
      <c r="BK14" s="1502" t="s">
        <v>1881</v>
      </c>
      <c r="BL14" s="1502" t="s">
        <v>71</v>
      </c>
      <c r="BM14" s="1502" t="s">
        <v>72</v>
      </c>
      <c r="BN14" s="1502" t="s">
        <v>73</v>
      </c>
      <c r="BO14" s="1502" t="s">
        <v>1901</v>
      </c>
      <c r="BP14" s="1502" t="s">
        <v>141</v>
      </c>
      <c r="BQ14" s="1502" t="s">
        <v>141</v>
      </c>
      <c r="BR14" s="1502" t="s">
        <v>141</v>
      </c>
      <c r="BS14" s="1503" t="s">
        <v>141</v>
      </c>
      <c r="BT14" s="1450" t="s">
        <v>3034</v>
      </c>
      <c r="BU14" s="1450" t="s">
        <v>3034</v>
      </c>
      <c r="BV14" s="1450" t="s">
        <v>3035</v>
      </c>
      <c r="BW14" s="1450" t="s">
        <v>3035</v>
      </c>
      <c r="BX14" s="1450" t="s">
        <v>3035</v>
      </c>
      <c r="BY14" s="1450" t="s">
        <v>3035</v>
      </c>
    </row>
    <row r="15" spans="1:77" s="1028" customFormat="1" ht="12.75">
      <c r="B15" s="1452"/>
      <c r="C15" s="1453"/>
      <c r="D15" s="1453"/>
      <c r="E15" s="1453"/>
      <c r="F15" s="1453"/>
      <c r="G15" s="1454"/>
      <c r="H15" s="1454"/>
      <c r="I15" s="1453"/>
      <c r="J15" s="1453"/>
      <c r="K15" s="1453"/>
      <c r="L15" s="1453"/>
      <c r="M15" s="1453"/>
      <c r="N15" s="1453"/>
      <c r="O15" s="1453"/>
      <c r="P15" s="1453"/>
      <c r="Q15" s="1453"/>
      <c r="R15" s="1453"/>
      <c r="S15" s="1453"/>
      <c r="T15" s="1453"/>
      <c r="U15" s="1453"/>
      <c r="V15" s="1453"/>
      <c r="W15" s="1453"/>
      <c r="X15" s="1453"/>
      <c r="Y15" s="1453"/>
      <c r="Z15" s="1453"/>
      <c r="AA15" s="1453"/>
      <c r="AB15" s="1453"/>
      <c r="AC15" s="1453"/>
      <c r="AD15" s="1453"/>
      <c r="AE15" s="1453"/>
      <c r="AF15" s="1453"/>
      <c r="AG15" s="1453"/>
      <c r="AH15" s="1453"/>
      <c r="AI15" s="1453"/>
      <c r="AJ15" s="1453"/>
      <c r="AK15" s="1453"/>
      <c r="AL15" s="1453"/>
      <c r="AM15" s="1453"/>
      <c r="AN15" s="1453"/>
      <c r="AO15" s="1453"/>
      <c r="AP15" s="1453"/>
      <c r="AQ15" s="1453"/>
      <c r="AR15" s="1453"/>
      <c r="AS15" s="1453"/>
      <c r="AT15" s="1453"/>
      <c r="AU15" s="1453"/>
      <c r="AV15" s="1453"/>
      <c r="AW15" s="1453"/>
      <c r="AX15" s="1453"/>
      <c r="AY15" s="1453"/>
      <c r="AZ15" s="1453"/>
      <c r="BA15" s="1453"/>
      <c r="BB15" s="1453"/>
      <c r="BC15" s="1453"/>
      <c r="BD15" s="1453"/>
      <c r="BE15" s="1453"/>
      <c r="BF15" s="1453"/>
      <c r="BG15" s="1453"/>
      <c r="BH15" s="1453"/>
      <c r="BI15" s="1453"/>
      <c r="BJ15" s="1453"/>
      <c r="BK15" s="1453"/>
      <c r="BL15" s="1453"/>
      <c r="BM15" s="1453"/>
      <c r="BN15" s="1453"/>
      <c r="BO15" s="1453"/>
      <c r="BP15" s="1453"/>
      <c r="BQ15" s="1453"/>
      <c r="BR15" s="1453"/>
      <c r="BS15" s="1455"/>
      <c r="BT15" s="1352">
        <v>0</v>
      </c>
      <c r="BU15" s="1352">
        <v>0</v>
      </c>
      <c r="BV15" s="1352">
        <v>8760</v>
      </c>
      <c r="BW15" s="1352">
        <v>0</v>
      </c>
      <c r="BX15" s="1456"/>
      <c r="BY15" s="1457"/>
    </row>
    <row r="16" spans="1:77" s="1028" customFormat="1">
      <c r="B16" s="1452"/>
      <c r="C16" s="1453"/>
      <c r="D16" s="1453"/>
      <c r="E16" s="1453"/>
      <c r="F16" s="1453"/>
      <c r="G16" s="1454"/>
      <c r="H16" s="1454"/>
      <c r="I16" s="1453"/>
      <c r="J16" s="1453"/>
      <c r="K16" s="1453"/>
      <c r="L16" s="1453"/>
      <c r="M16" s="1453"/>
      <c r="N16" s="1453"/>
      <c r="O16" s="1453"/>
      <c r="P16" s="1453"/>
      <c r="Q16" s="1453"/>
      <c r="R16" s="1453"/>
      <c r="S16" s="1453"/>
      <c r="T16" s="1453"/>
      <c r="U16" s="1453"/>
      <c r="V16" s="1453"/>
      <c r="W16" s="1453"/>
      <c r="X16" s="1453"/>
      <c r="Y16" s="1453"/>
      <c r="Z16" s="1453"/>
      <c r="AA16" s="1453"/>
      <c r="AB16" s="1453"/>
      <c r="AC16" s="1453"/>
      <c r="AD16" s="1453"/>
      <c r="AE16" s="1453"/>
      <c r="AF16" s="1453"/>
      <c r="AG16" s="1453"/>
      <c r="AH16" s="1453"/>
      <c r="AI16" s="1453"/>
      <c r="AJ16" s="1453"/>
      <c r="AK16" s="1453"/>
      <c r="AL16" s="1453"/>
      <c r="AM16" s="1453"/>
      <c r="AN16" s="1453"/>
      <c r="AO16" s="1453"/>
      <c r="AP16" s="1453"/>
      <c r="AQ16" s="1453"/>
      <c r="AR16" s="1453"/>
      <c r="AS16" s="1453"/>
      <c r="AT16" s="1453"/>
      <c r="AU16" s="1453"/>
      <c r="AV16" s="1453"/>
      <c r="AW16" s="1453"/>
      <c r="AX16" s="1453"/>
      <c r="AY16" s="1453"/>
      <c r="AZ16" s="1453"/>
      <c r="BA16" s="1453"/>
      <c r="BB16" s="1453"/>
      <c r="BC16" s="1453"/>
      <c r="BD16" s="1453"/>
      <c r="BE16" s="1453"/>
      <c r="BF16" s="1453"/>
      <c r="BG16" s="1453"/>
      <c r="BH16" s="1453"/>
      <c r="BI16" s="1453"/>
      <c r="BJ16" s="1453"/>
      <c r="BK16" s="1453"/>
      <c r="BL16" s="1453"/>
      <c r="BM16" s="1453"/>
      <c r="BN16" s="1453"/>
      <c r="BO16" s="1453"/>
      <c r="BP16" s="1453"/>
      <c r="BQ16" s="1453"/>
      <c r="BR16" s="1453"/>
      <c r="BS16" s="1455"/>
      <c r="BT16" s="1453"/>
      <c r="BU16" s="1453"/>
      <c r="BV16" s="1453"/>
      <c r="BW16" s="1453"/>
      <c r="BX16" s="1453"/>
      <c r="BY16" s="1455"/>
    </row>
    <row r="17" spans="1:83" s="1028" customFormat="1">
      <c r="B17" s="1452"/>
      <c r="C17" s="1453"/>
      <c r="D17" s="1453"/>
      <c r="E17" s="1453"/>
      <c r="F17" s="1453"/>
      <c r="G17" s="1454"/>
      <c r="H17" s="1454"/>
      <c r="I17" s="1453"/>
      <c r="J17" s="1453"/>
      <c r="K17" s="1453"/>
      <c r="L17" s="1453"/>
      <c r="M17" s="1453"/>
      <c r="N17" s="1453"/>
      <c r="O17" s="1453"/>
      <c r="P17" s="1453"/>
      <c r="Q17" s="1453"/>
      <c r="R17" s="1453"/>
      <c r="S17" s="1453"/>
      <c r="T17" s="1453"/>
      <c r="U17" s="1453"/>
      <c r="V17" s="1453"/>
      <c r="W17" s="1453"/>
      <c r="X17" s="1453"/>
      <c r="Y17" s="1453"/>
      <c r="Z17" s="1453"/>
      <c r="AA17" s="1453"/>
      <c r="AB17" s="1453"/>
      <c r="AC17" s="1453"/>
      <c r="AD17" s="1453"/>
      <c r="AE17" s="1453"/>
      <c r="AF17" s="1453"/>
      <c r="AG17" s="1453"/>
      <c r="AH17" s="1453"/>
      <c r="AI17" s="1453"/>
      <c r="AJ17" s="1453"/>
      <c r="AK17" s="1453"/>
      <c r="AL17" s="1453"/>
      <c r="AM17" s="1453"/>
      <c r="AN17" s="1453"/>
      <c r="AO17" s="1453"/>
      <c r="AP17" s="1453"/>
      <c r="AQ17" s="1453"/>
      <c r="AR17" s="1453"/>
      <c r="AS17" s="1453"/>
      <c r="AT17" s="1453"/>
      <c r="AU17" s="1453"/>
      <c r="AV17" s="1453"/>
      <c r="AW17" s="1453"/>
      <c r="AX17" s="1453"/>
      <c r="AY17" s="1453"/>
      <c r="AZ17" s="1453"/>
      <c r="BA17" s="1453"/>
      <c r="BB17" s="1453"/>
      <c r="BC17" s="1453"/>
      <c r="BD17" s="1453"/>
      <c r="BE17" s="1453"/>
      <c r="BF17" s="1453"/>
      <c r="BG17" s="1453"/>
      <c r="BH17" s="1453"/>
      <c r="BI17" s="1453"/>
      <c r="BJ17" s="1453"/>
      <c r="BK17" s="1453"/>
      <c r="BL17" s="1453"/>
      <c r="BM17" s="1453"/>
      <c r="BN17" s="1453"/>
      <c r="BO17" s="1453"/>
      <c r="BP17" s="1453"/>
      <c r="BQ17" s="1453"/>
      <c r="BR17" s="1453"/>
      <c r="BS17" s="1455"/>
      <c r="BT17" s="1453"/>
      <c r="BU17" s="1453"/>
      <c r="BV17" s="1453"/>
      <c r="BW17" s="1453"/>
      <c r="BX17" s="1453"/>
      <c r="BY17" s="1455"/>
    </row>
    <row r="18" spans="1:83" s="1028" customFormat="1" ht="12.75" thickBot="1">
      <c r="B18" s="1458"/>
      <c r="C18" s="1459"/>
      <c r="D18" s="1459"/>
      <c r="E18" s="1459"/>
      <c r="F18" s="1459"/>
      <c r="G18" s="1460"/>
      <c r="H18" s="1460"/>
      <c r="I18" s="1459"/>
      <c r="J18" s="1459"/>
      <c r="K18" s="1459"/>
      <c r="L18" s="1459"/>
      <c r="M18" s="1459"/>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c r="AL18" s="1459"/>
      <c r="AM18" s="1459"/>
      <c r="AN18" s="1459"/>
      <c r="AO18" s="1459"/>
      <c r="AP18" s="1459"/>
      <c r="AQ18" s="1459"/>
      <c r="AR18" s="1459"/>
      <c r="AS18" s="1459"/>
      <c r="AT18" s="1459"/>
      <c r="AU18" s="1459"/>
      <c r="AV18" s="1459"/>
      <c r="AW18" s="1459"/>
      <c r="AX18" s="1459"/>
      <c r="AY18" s="1459"/>
      <c r="AZ18" s="1459"/>
      <c r="BA18" s="1459"/>
      <c r="BB18" s="1459"/>
      <c r="BC18" s="1459"/>
      <c r="BD18" s="1459"/>
      <c r="BE18" s="1459"/>
      <c r="BF18" s="1459"/>
      <c r="BG18" s="1459"/>
      <c r="BH18" s="1459"/>
      <c r="BI18" s="1459"/>
      <c r="BJ18" s="1459"/>
      <c r="BK18" s="1459"/>
      <c r="BL18" s="1459"/>
      <c r="BM18" s="1459"/>
      <c r="BN18" s="1459"/>
      <c r="BO18" s="1459"/>
      <c r="BP18" s="1459"/>
      <c r="BQ18" s="1459"/>
      <c r="BR18" s="1459"/>
      <c r="BS18" s="1461"/>
      <c r="BT18" s="1459"/>
      <c r="BU18" s="1459"/>
      <c r="BV18" s="1459"/>
      <c r="BW18" s="1459"/>
      <c r="BX18" s="1459"/>
      <c r="BY18" s="1461"/>
    </row>
    <row r="19" spans="1:83" s="1434" customFormat="1" ht="12.75" thickBot="1">
      <c r="A19" s="1507" t="s">
        <v>3016</v>
      </c>
      <c r="B19" s="2232" t="s">
        <v>1053</v>
      </c>
      <c r="C19" s="2233"/>
      <c r="D19" s="2233"/>
      <c r="E19" s="2233"/>
      <c r="F19" s="2233"/>
      <c r="G19" s="2233"/>
      <c r="H19" s="2233"/>
      <c r="I19" s="2233"/>
      <c r="J19" s="2233"/>
      <c r="K19" s="2233"/>
      <c r="L19" s="2233"/>
      <c r="M19" s="1508" t="e">
        <f t="shared" ref="M19:BS19" si="1">AVERAGE(M15:M18)</f>
        <v>#DIV/0!</v>
      </c>
      <c r="N19" s="1508" t="e">
        <f t="shared" si="1"/>
        <v>#DIV/0!</v>
      </c>
      <c r="O19" s="1508" t="e">
        <f t="shared" si="1"/>
        <v>#DIV/0!</v>
      </c>
      <c r="P19" s="1508" t="e">
        <f t="shared" si="1"/>
        <v>#DIV/0!</v>
      </c>
      <c r="Q19" s="1509" t="e">
        <f t="shared" si="1"/>
        <v>#DIV/0!</v>
      </c>
      <c r="R19" s="1508" t="e">
        <f t="shared" si="1"/>
        <v>#DIV/0!</v>
      </c>
      <c r="S19" s="1508" t="e">
        <f t="shared" si="1"/>
        <v>#DIV/0!</v>
      </c>
      <c r="T19" s="1509" t="e">
        <f t="shared" si="1"/>
        <v>#DIV/0!</v>
      </c>
      <c r="U19" s="1508" t="e">
        <f t="shared" si="1"/>
        <v>#DIV/0!</v>
      </c>
      <c r="V19" s="1508" t="e">
        <f t="shared" si="1"/>
        <v>#DIV/0!</v>
      </c>
      <c r="W19" s="1508" t="e">
        <f t="shared" si="1"/>
        <v>#DIV/0!</v>
      </c>
      <c r="X19" s="1508" t="e">
        <f t="shared" si="1"/>
        <v>#DIV/0!</v>
      </c>
      <c r="Y19" s="1509" t="e">
        <f t="shared" si="1"/>
        <v>#DIV/0!</v>
      </c>
      <c r="Z19" s="1508" t="e">
        <f t="shared" si="1"/>
        <v>#DIV/0!</v>
      </c>
      <c r="AA19" s="1508" t="e">
        <f t="shared" si="1"/>
        <v>#DIV/0!</v>
      </c>
      <c r="AB19" s="1508" t="e">
        <f t="shared" si="1"/>
        <v>#DIV/0!</v>
      </c>
      <c r="AC19" s="1508" t="e">
        <f t="shared" si="1"/>
        <v>#DIV/0!</v>
      </c>
      <c r="AD19" s="1508" t="e">
        <f t="shared" si="1"/>
        <v>#DIV/0!</v>
      </c>
      <c r="AE19" s="1508" t="e">
        <f t="shared" si="1"/>
        <v>#DIV/0!</v>
      </c>
      <c r="AF19" s="1508" t="e">
        <f t="shared" si="1"/>
        <v>#DIV/0!</v>
      </c>
      <c r="AG19" s="1508" t="e">
        <f t="shared" si="1"/>
        <v>#DIV/0!</v>
      </c>
      <c r="AH19" s="1508" t="e">
        <f t="shared" si="1"/>
        <v>#DIV/0!</v>
      </c>
      <c r="AI19" s="1508" t="e">
        <f t="shared" si="1"/>
        <v>#DIV/0!</v>
      </c>
      <c r="AJ19" s="1508" t="e">
        <f t="shared" si="1"/>
        <v>#DIV/0!</v>
      </c>
      <c r="AK19" s="1508" t="e">
        <f t="shared" si="1"/>
        <v>#DIV/0!</v>
      </c>
      <c r="AL19" s="1508" t="e">
        <f t="shared" si="1"/>
        <v>#DIV/0!</v>
      </c>
      <c r="AM19" s="1508" t="e">
        <f t="shared" si="1"/>
        <v>#DIV/0!</v>
      </c>
      <c r="AN19" s="1508" t="e">
        <f t="shared" si="1"/>
        <v>#DIV/0!</v>
      </c>
      <c r="AO19" s="1508" t="e">
        <f t="shared" si="1"/>
        <v>#DIV/0!</v>
      </c>
      <c r="AP19" s="1508" t="e">
        <f t="shared" si="1"/>
        <v>#DIV/0!</v>
      </c>
      <c r="AQ19" s="1508" t="e">
        <f t="shared" si="1"/>
        <v>#DIV/0!</v>
      </c>
      <c r="AR19" s="1508" t="e">
        <f t="shared" si="1"/>
        <v>#DIV/0!</v>
      </c>
      <c r="AS19" s="1508" t="e">
        <f t="shared" si="1"/>
        <v>#DIV/0!</v>
      </c>
      <c r="AT19" s="1508" t="e">
        <f t="shared" si="1"/>
        <v>#DIV/0!</v>
      </c>
      <c r="AU19" s="1508" t="e">
        <f t="shared" si="1"/>
        <v>#DIV/0!</v>
      </c>
      <c r="AV19" s="1508" t="e">
        <f t="shared" si="1"/>
        <v>#DIV/0!</v>
      </c>
      <c r="AW19" s="1508" t="e">
        <f t="shared" si="1"/>
        <v>#DIV/0!</v>
      </c>
      <c r="AX19" s="1508" t="e">
        <f t="shared" si="1"/>
        <v>#DIV/0!</v>
      </c>
      <c r="AY19" s="1508" t="e">
        <f t="shared" si="1"/>
        <v>#DIV/0!</v>
      </c>
      <c r="AZ19" s="1508" t="e">
        <f t="shared" si="1"/>
        <v>#DIV/0!</v>
      </c>
      <c r="BA19" s="1508" t="e">
        <f t="shared" si="1"/>
        <v>#DIV/0!</v>
      </c>
      <c r="BB19" s="1509" t="e">
        <f t="shared" si="1"/>
        <v>#DIV/0!</v>
      </c>
      <c r="BC19" s="1508" t="e">
        <f t="shared" si="1"/>
        <v>#DIV/0!</v>
      </c>
      <c r="BD19" s="1508" t="e">
        <f t="shared" si="1"/>
        <v>#DIV/0!</v>
      </c>
      <c r="BE19" s="1508" t="e">
        <f t="shared" si="1"/>
        <v>#DIV/0!</v>
      </c>
      <c r="BF19" s="1508" t="e">
        <f t="shared" si="1"/>
        <v>#DIV/0!</v>
      </c>
      <c r="BG19" s="1508" t="e">
        <f t="shared" si="1"/>
        <v>#DIV/0!</v>
      </c>
      <c r="BH19" s="1508" t="e">
        <f t="shared" si="1"/>
        <v>#DIV/0!</v>
      </c>
      <c r="BI19" s="1509" t="e">
        <f t="shared" si="1"/>
        <v>#DIV/0!</v>
      </c>
      <c r="BJ19" s="1509" t="e">
        <f t="shared" si="1"/>
        <v>#DIV/0!</v>
      </c>
      <c r="BK19" s="1509" t="e">
        <f t="shared" si="1"/>
        <v>#DIV/0!</v>
      </c>
      <c r="BL19" s="1510" t="e">
        <f t="shared" si="1"/>
        <v>#DIV/0!</v>
      </c>
      <c r="BM19" s="1508" t="e">
        <f t="shared" si="1"/>
        <v>#DIV/0!</v>
      </c>
      <c r="BN19" s="1508" t="e">
        <f t="shared" si="1"/>
        <v>#DIV/0!</v>
      </c>
      <c r="BO19" s="1508" t="e">
        <f t="shared" si="1"/>
        <v>#DIV/0!</v>
      </c>
      <c r="BP19" s="1509" t="e">
        <f t="shared" si="1"/>
        <v>#DIV/0!</v>
      </c>
      <c r="BQ19" s="1508" t="e">
        <f t="shared" si="1"/>
        <v>#DIV/0!</v>
      </c>
      <c r="BR19" s="1509" t="e">
        <f t="shared" si="1"/>
        <v>#DIV/0!</v>
      </c>
      <c r="BS19" s="1511" t="e">
        <f t="shared" si="1"/>
        <v>#DIV/0!</v>
      </c>
      <c r="BT19" s="1462">
        <f t="shared" ref="BT19:BY19" si="2">AVERAGE(BT15:BT18)</f>
        <v>0</v>
      </c>
      <c r="BU19" s="1462">
        <f t="shared" si="2"/>
        <v>0</v>
      </c>
      <c r="BV19" s="1463">
        <f t="shared" si="2"/>
        <v>8760</v>
      </c>
      <c r="BW19" s="1462">
        <f t="shared" si="2"/>
        <v>0</v>
      </c>
      <c r="BX19" s="1463" t="e">
        <f t="shared" si="2"/>
        <v>#DIV/0!</v>
      </c>
      <c r="BY19" s="1464" t="e">
        <f t="shared" si="2"/>
        <v>#DIV/0!</v>
      </c>
      <c r="BZ19" s="1465"/>
      <c r="CA19" s="1465"/>
      <c r="CB19" s="1465"/>
      <c r="CC19" s="1465"/>
      <c r="CD19" s="1465"/>
      <c r="CE19" s="1465"/>
    </row>
    <row r="20" spans="1:83">
      <c r="B20" s="1437"/>
      <c r="C20" s="1437"/>
      <c r="BU20" s="1466"/>
      <c r="BV20" s="1434"/>
      <c r="BW20" s="1434"/>
    </row>
    <row r="21" spans="1:83" ht="12.75" thickBot="1">
      <c r="A21" s="1493" t="s">
        <v>3011</v>
      </c>
      <c r="B21" s="1494" t="s">
        <v>3019</v>
      </c>
      <c r="BU21" s="1466"/>
      <c r="BV21" s="1434"/>
      <c r="BW21" s="1434"/>
    </row>
    <row r="22" spans="1:83" s="1028" customFormat="1" ht="12.75" thickBot="1">
      <c r="B22" s="1467"/>
      <c r="C22" s="1468"/>
      <c r="D22" s="1468"/>
      <c r="E22" s="1468"/>
      <c r="F22" s="1468"/>
      <c r="G22" s="1469"/>
      <c r="H22" s="1469"/>
      <c r="I22" s="1468"/>
      <c r="J22" s="1468"/>
      <c r="K22" s="1468"/>
      <c r="L22" s="1468"/>
      <c r="M22" s="1468"/>
      <c r="N22" s="1468"/>
      <c r="O22" s="1468"/>
      <c r="P22" s="1468"/>
      <c r="Q22" s="1468"/>
      <c r="R22" s="1468"/>
      <c r="S22" s="1468"/>
      <c r="T22" s="1468"/>
      <c r="U22" s="1468"/>
      <c r="V22" s="1468"/>
      <c r="W22" s="1468"/>
      <c r="X22" s="1468"/>
      <c r="Y22" s="1468"/>
      <c r="Z22" s="1468"/>
      <c r="AA22" s="1468"/>
      <c r="AB22" s="1468"/>
      <c r="AC22" s="1468"/>
      <c r="AD22" s="1468"/>
      <c r="AE22" s="1468"/>
      <c r="AF22" s="1468"/>
      <c r="AG22" s="1468"/>
      <c r="AH22" s="1468"/>
      <c r="AI22" s="1468"/>
      <c r="AJ22" s="1468"/>
      <c r="AK22" s="1468"/>
      <c r="AL22" s="1468"/>
      <c r="AM22" s="1468"/>
      <c r="AN22" s="1468"/>
      <c r="AO22" s="1468"/>
      <c r="AP22" s="1468"/>
      <c r="AQ22" s="1468"/>
      <c r="AR22" s="1468"/>
      <c r="AS22" s="1468"/>
      <c r="AT22" s="1468"/>
      <c r="AU22" s="1468"/>
      <c r="AV22" s="1468"/>
      <c r="AW22" s="1468"/>
      <c r="AX22" s="1468"/>
      <c r="AY22" s="1468"/>
      <c r="AZ22" s="1468"/>
      <c r="BA22" s="1468"/>
      <c r="BB22" s="1468"/>
      <c r="BC22" s="1468"/>
      <c r="BD22" s="1468"/>
      <c r="BE22" s="1468"/>
      <c r="BF22" s="1468"/>
      <c r="BG22" s="1468"/>
      <c r="BH22" s="1468"/>
      <c r="BI22" s="1468"/>
      <c r="BJ22" s="1468"/>
      <c r="BK22" s="1468"/>
      <c r="BL22" s="1468"/>
      <c r="BM22" s="1468"/>
      <c r="BN22" s="1468"/>
      <c r="BO22" s="1468"/>
      <c r="BP22" s="1468"/>
      <c r="BQ22" s="1468"/>
      <c r="BR22" s="1468"/>
      <c r="BS22" s="1470"/>
      <c r="BT22" s="1471"/>
      <c r="BU22" s="1471"/>
      <c r="BV22" s="1471"/>
      <c r="BW22" s="1471"/>
      <c r="BX22" s="1471"/>
      <c r="BY22" s="1472"/>
    </row>
    <row r="23" spans="1:83">
      <c r="M23" s="1434"/>
      <c r="BU23" s="1434"/>
      <c r="BV23" s="1434"/>
      <c r="BW23" s="1434"/>
    </row>
    <row r="24" spans="1:83">
      <c r="B24" s="1441"/>
      <c r="M24" s="1434"/>
      <c r="BU24" s="1434"/>
      <c r="BV24" s="1434"/>
      <c r="BW24" s="1434"/>
    </row>
    <row r="25" spans="1:83" ht="12.75" thickBot="1">
      <c r="G25" s="1473"/>
      <c r="H25" s="1473"/>
      <c r="M25" s="1434"/>
      <c r="BU25" s="1434"/>
      <c r="BV25" s="1434"/>
      <c r="BW25" s="1434"/>
    </row>
    <row r="26" spans="1:83" ht="12.75" thickBot="1">
      <c r="A26" s="1493" t="s">
        <v>3017</v>
      </c>
      <c r="B26" s="1494" t="s">
        <v>3023</v>
      </c>
      <c r="G26" s="1473"/>
      <c r="H26" s="1473"/>
      <c r="M26" s="1434"/>
      <c r="BT26" s="1443" t="s">
        <v>553</v>
      </c>
      <c r="BU26" s="1444" t="s">
        <v>553</v>
      </c>
      <c r="BV26" s="1444" t="s">
        <v>3025</v>
      </c>
      <c r="BW26" s="1444"/>
      <c r="BX26" s="1444" t="s">
        <v>553</v>
      </c>
      <c r="BY26" s="1445" t="s">
        <v>553</v>
      </c>
    </row>
    <row r="27" spans="1:83" s="1442" customFormat="1">
      <c r="B27" s="1495"/>
      <c r="C27" s="1496"/>
      <c r="D27" s="1496"/>
      <c r="E27" s="1496"/>
      <c r="F27" s="1496"/>
      <c r="G27" s="1496"/>
      <c r="H27" s="1496"/>
      <c r="I27" s="1496"/>
      <c r="J27" s="1496"/>
      <c r="K27" s="1496"/>
      <c r="L27" s="1496" t="s">
        <v>556</v>
      </c>
      <c r="M27" s="1496" t="s">
        <v>557</v>
      </c>
      <c r="N27" s="1496" t="s">
        <v>558</v>
      </c>
      <c r="O27" s="1496" t="s">
        <v>559</v>
      </c>
      <c r="P27" s="1496" t="s">
        <v>560</v>
      </c>
      <c r="Q27" s="1496" t="s">
        <v>560</v>
      </c>
      <c r="R27" s="1496" t="s">
        <v>561</v>
      </c>
      <c r="S27" s="1496" t="s">
        <v>1254</v>
      </c>
      <c r="T27" s="1496" t="s">
        <v>562</v>
      </c>
      <c r="U27" s="1496" t="s">
        <v>563</v>
      </c>
      <c r="V27" s="1496" t="s">
        <v>564</v>
      </c>
      <c r="W27" s="1496" t="s">
        <v>565</v>
      </c>
      <c r="X27" s="1496" t="s">
        <v>566</v>
      </c>
      <c r="Y27" s="1496"/>
      <c r="Z27" s="1496" t="s">
        <v>557</v>
      </c>
      <c r="AA27" s="1496" t="s">
        <v>558</v>
      </c>
      <c r="AB27" s="1496" t="s">
        <v>559</v>
      </c>
      <c r="AC27" s="1496" t="s">
        <v>560</v>
      </c>
      <c r="AD27" s="1496" t="s">
        <v>560</v>
      </c>
      <c r="AE27" s="1496" t="s">
        <v>561</v>
      </c>
      <c r="AF27" s="1496" t="s">
        <v>1254</v>
      </c>
      <c r="AG27" s="1496" t="s">
        <v>562</v>
      </c>
      <c r="AH27" s="1496" t="s">
        <v>563</v>
      </c>
      <c r="AI27" s="1496" t="s">
        <v>564</v>
      </c>
      <c r="AJ27" s="1496" t="s">
        <v>565</v>
      </c>
      <c r="AK27" s="1496" t="s">
        <v>566</v>
      </c>
      <c r="AL27" s="1496" t="s">
        <v>557</v>
      </c>
      <c r="AM27" s="1496" t="s">
        <v>558</v>
      </c>
      <c r="AN27" s="1496" t="s">
        <v>559</v>
      </c>
      <c r="AO27" s="1496" t="s">
        <v>560</v>
      </c>
      <c r="AP27" s="1496" t="s">
        <v>560</v>
      </c>
      <c r="AQ27" s="1496" t="s">
        <v>561</v>
      </c>
      <c r="AR27" s="1496" t="s">
        <v>1254</v>
      </c>
      <c r="AS27" s="1496" t="s">
        <v>562</v>
      </c>
      <c r="AT27" s="1496" t="s">
        <v>563</v>
      </c>
      <c r="AU27" s="1496" t="s">
        <v>564</v>
      </c>
      <c r="AV27" s="1496" t="s">
        <v>565</v>
      </c>
      <c r="AW27" s="1496" t="s">
        <v>566</v>
      </c>
      <c r="AX27" s="1496" t="s">
        <v>567</v>
      </c>
      <c r="AY27" s="1496" t="s">
        <v>557</v>
      </c>
      <c r="AZ27" s="1496" t="s">
        <v>558</v>
      </c>
      <c r="BA27" s="1496" t="s">
        <v>559</v>
      </c>
      <c r="BB27" s="1496" t="s">
        <v>560</v>
      </c>
      <c r="BC27" s="1496" t="s">
        <v>560</v>
      </c>
      <c r="BD27" s="1496" t="s">
        <v>561</v>
      </c>
      <c r="BE27" s="1496" t="s">
        <v>1254</v>
      </c>
      <c r="BF27" s="1496" t="s">
        <v>562</v>
      </c>
      <c r="BG27" s="1496" t="s">
        <v>563</v>
      </c>
      <c r="BH27" s="1496" t="s">
        <v>564</v>
      </c>
      <c r="BI27" s="1496" t="s">
        <v>565</v>
      </c>
      <c r="BJ27" s="1496" t="s">
        <v>566</v>
      </c>
      <c r="BK27" s="1496"/>
      <c r="BL27" s="1496" t="s">
        <v>567</v>
      </c>
      <c r="BM27" s="1496" t="s">
        <v>567</v>
      </c>
      <c r="BN27" s="1496" t="s">
        <v>567</v>
      </c>
      <c r="BO27" s="1496" t="s">
        <v>567</v>
      </c>
      <c r="BP27" s="1496" t="s">
        <v>1255</v>
      </c>
      <c r="BQ27" s="1496" t="s">
        <v>1255</v>
      </c>
      <c r="BR27" s="1496" t="s">
        <v>1892</v>
      </c>
      <c r="BS27" s="1497" t="s">
        <v>1892</v>
      </c>
      <c r="BT27" s="1446" t="s">
        <v>3026</v>
      </c>
      <c r="BU27" s="1447" t="s">
        <v>3027</v>
      </c>
      <c r="BV27" s="1447" t="s">
        <v>3028</v>
      </c>
      <c r="BW27" s="1447" t="s">
        <v>3026</v>
      </c>
      <c r="BX27" s="1447" t="s">
        <v>3029</v>
      </c>
      <c r="BY27" s="1448" t="s">
        <v>3030</v>
      </c>
    </row>
    <row r="28" spans="1:83" s="1442" customFormat="1">
      <c r="B28" s="1498" t="s">
        <v>568</v>
      </c>
      <c r="C28" s="1499" t="s">
        <v>569</v>
      </c>
      <c r="D28" s="1499" t="s">
        <v>570</v>
      </c>
      <c r="E28" s="1499" t="s">
        <v>571</v>
      </c>
      <c r="F28" s="1499" t="s">
        <v>572</v>
      </c>
      <c r="G28" s="1499" t="s">
        <v>573</v>
      </c>
      <c r="H28" s="1499" t="s">
        <v>573</v>
      </c>
      <c r="I28" s="1499" t="s">
        <v>3007</v>
      </c>
      <c r="J28" s="1499"/>
      <c r="K28" s="1499"/>
      <c r="L28" s="1499" t="s">
        <v>574</v>
      </c>
      <c r="M28" s="1499" t="s">
        <v>575</v>
      </c>
      <c r="N28" s="1499" t="s">
        <v>575</v>
      </c>
      <c r="O28" s="1499" t="s">
        <v>576</v>
      </c>
      <c r="P28" s="1499" t="s">
        <v>577</v>
      </c>
      <c r="Q28" s="1499" t="s">
        <v>1876</v>
      </c>
      <c r="R28" s="1499" t="s">
        <v>578</v>
      </c>
      <c r="S28" s="1499" t="s">
        <v>579</v>
      </c>
      <c r="T28" s="1499" t="s">
        <v>580</v>
      </c>
      <c r="U28" s="1499" t="s">
        <v>696</v>
      </c>
      <c r="V28" s="1499" t="s">
        <v>697</v>
      </c>
      <c r="W28" s="1499" t="s">
        <v>698</v>
      </c>
      <c r="X28" s="1499" t="s">
        <v>699</v>
      </c>
      <c r="Y28" s="1499" t="s">
        <v>1255</v>
      </c>
      <c r="Z28" s="1499" t="s">
        <v>575</v>
      </c>
      <c r="AA28" s="1499" t="s">
        <v>575</v>
      </c>
      <c r="AB28" s="1499" t="s">
        <v>576</v>
      </c>
      <c r="AC28" s="1499" t="s">
        <v>577</v>
      </c>
      <c r="AD28" s="1499" t="s">
        <v>1876</v>
      </c>
      <c r="AE28" s="1499" t="s">
        <v>578</v>
      </c>
      <c r="AF28" s="1499" t="s">
        <v>579</v>
      </c>
      <c r="AG28" s="1499" t="s">
        <v>580</v>
      </c>
      <c r="AH28" s="1499" t="s">
        <v>696</v>
      </c>
      <c r="AI28" s="1499" t="s">
        <v>697</v>
      </c>
      <c r="AJ28" s="1499" t="s">
        <v>698</v>
      </c>
      <c r="AK28" s="1499" t="s">
        <v>699</v>
      </c>
      <c r="AL28" s="1499" t="s">
        <v>575</v>
      </c>
      <c r="AM28" s="1499" t="s">
        <v>575</v>
      </c>
      <c r="AN28" s="1499" t="s">
        <v>576</v>
      </c>
      <c r="AO28" s="1499" t="s">
        <v>577</v>
      </c>
      <c r="AP28" s="1499" t="s">
        <v>1876</v>
      </c>
      <c r="AQ28" s="1499" t="s">
        <v>578</v>
      </c>
      <c r="AR28" s="1499" t="s">
        <v>579</v>
      </c>
      <c r="AS28" s="1499" t="s">
        <v>580</v>
      </c>
      <c r="AT28" s="1499" t="s">
        <v>696</v>
      </c>
      <c r="AU28" s="1499" t="s">
        <v>697</v>
      </c>
      <c r="AV28" s="1499" t="s">
        <v>698</v>
      </c>
      <c r="AW28" s="1499" t="s">
        <v>699</v>
      </c>
      <c r="AX28" s="1499" t="s">
        <v>1255</v>
      </c>
      <c r="AY28" s="1499" t="s">
        <v>575</v>
      </c>
      <c r="AZ28" s="1499" t="s">
        <v>575</v>
      </c>
      <c r="BA28" s="1499" t="s">
        <v>576</v>
      </c>
      <c r="BB28" s="1499" t="s">
        <v>577</v>
      </c>
      <c r="BC28" s="1499" t="s">
        <v>1876</v>
      </c>
      <c r="BD28" s="1499" t="s">
        <v>578</v>
      </c>
      <c r="BE28" s="1499" t="s">
        <v>579</v>
      </c>
      <c r="BF28" s="1499" t="s">
        <v>580</v>
      </c>
      <c r="BG28" s="1499" t="s">
        <v>696</v>
      </c>
      <c r="BH28" s="1499" t="s">
        <v>697</v>
      </c>
      <c r="BI28" s="1499" t="s">
        <v>698</v>
      </c>
      <c r="BJ28" s="1499" t="s">
        <v>699</v>
      </c>
      <c r="BK28" s="1499" t="s">
        <v>1255</v>
      </c>
      <c r="BL28" s="1499" t="s">
        <v>2189</v>
      </c>
      <c r="BM28" s="1499" t="s">
        <v>700</v>
      </c>
      <c r="BN28" s="1499" t="s">
        <v>2189</v>
      </c>
      <c r="BO28" s="1499" t="s">
        <v>700</v>
      </c>
      <c r="BP28" s="1499" t="s">
        <v>1892</v>
      </c>
      <c r="BQ28" s="1499" t="s">
        <v>1046</v>
      </c>
      <c r="BR28" s="1499" t="s">
        <v>139</v>
      </c>
      <c r="BS28" s="1500" t="s">
        <v>140</v>
      </c>
      <c r="BT28" s="1446" t="s">
        <v>3031</v>
      </c>
      <c r="BU28" s="1447" t="s">
        <v>3032</v>
      </c>
      <c r="BV28" s="1447" t="s">
        <v>3033</v>
      </c>
      <c r="BW28" s="1447" t="s">
        <v>3031</v>
      </c>
      <c r="BX28" s="1447" t="s">
        <v>3032</v>
      </c>
      <c r="BY28" s="1448" t="s">
        <v>3032</v>
      </c>
    </row>
    <row r="29" spans="1:83" s="1442" customFormat="1" ht="12.75" thickBot="1">
      <c r="B29" s="1501" t="s">
        <v>1047</v>
      </c>
      <c r="C29" s="1502" t="s">
        <v>1048</v>
      </c>
      <c r="D29" s="1502" t="s">
        <v>1049</v>
      </c>
      <c r="E29" s="1502" t="s">
        <v>1050</v>
      </c>
      <c r="F29" s="1502" t="s">
        <v>1051</v>
      </c>
      <c r="G29" s="1502" t="s">
        <v>1052</v>
      </c>
      <c r="H29" s="1502" t="s">
        <v>3005</v>
      </c>
      <c r="I29" s="1502" t="s">
        <v>3006</v>
      </c>
      <c r="J29" s="1502" t="s">
        <v>69</v>
      </c>
      <c r="K29" s="1502" t="s">
        <v>70</v>
      </c>
      <c r="L29" s="1502" t="s">
        <v>2191</v>
      </c>
      <c r="M29" s="1502" t="s">
        <v>139</v>
      </c>
      <c r="N29" s="1502" t="s">
        <v>139</v>
      </c>
      <c r="O29" s="1502" t="s">
        <v>139</v>
      </c>
      <c r="P29" s="1502" t="s">
        <v>139</v>
      </c>
      <c r="Q29" s="1502" t="s">
        <v>139</v>
      </c>
      <c r="R29" s="1502" t="s">
        <v>139</v>
      </c>
      <c r="S29" s="1502" t="s">
        <v>139</v>
      </c>
      <c r="T29" s="1502" t="s">
        <v>139</v>
      </c>
      <c r="U29" s="1502" t="s">
        <v>139</v>
      </c>
      <c r="V29" s="1502" t="s">
        <v>139</v>
      </c>
      <c r="W29" s="1502" t="s">
        <v>139</v>
      </c>
      <c r="X29" s="1502" t="s">
        <v>139</v>
      </c>
      <c r="Y29" s="1502" t="s">
        <v>139</v>
      </c>
      <c r="Z29" s="1502" t="s">
        <v>140</v>
      </c>
      <c r="AA29" s="1502" t="s">
        <v>140</v>
      </c>
      <c r="AB29" s="1502" t="s">
        <v>140</v>
      </c>
      <c r="AC29" s="1502" t="s">
        <v>140</v>
      </c>
      <c r="AD29" s="1502" t="s">
        <v>140</v>
      </c>
      <c r="AE29" s="1502" t="s">
        <v>140</v>
      </c>
      <c r="AF29" s="1502" t="s">
        <v>140</v>
      </c>
      <c r="AG29" s="1502" t="s">
        <v>140</v>
      </c>
      <c r="AH29" s="1502" t="s">
        <v>140</v>
      </c>
      <c r="AI29" s="1502" t="s">
        <v>140</v>
      </c>
      <c r="AJ29" s="1502" t="s">
        <v>140</v>
      </c>
      <c r="AK29" s="1502" t="s">
        <v>140</v>
      </c>
      <c r="AL29" s="1502" t="s">
        <v>140</v>
      </c>
      <c r="AM29" s="1502" t="s">
        <v>140</v>
      </c>
      <c r="AN29" s="1502" t="s">
        <v>140</v>
      </c>
      <c r="AO29" s="1502" t="s">
        <v>140</v>
      </c>
      <c r="AP29" s="1502" t="s">
        <v>140</v>
      </c>
      <c r="AQ29" s="1502" t="s">
        <v>140</v>
      </c>
      <c r="AR29" s="1502" t="s">
        <v>140</v>
      </c>
      <c r="AS29" s="1502" t="s">
        <v>140</v>
      </c>
      <c r="AT29" s="1502" t="s">
        <v>140</v>
      </c>
      <c r="AU29" s="1502" t="s">
        <v>140</v>
      </c>
      <c r="AV29" s="1502" t="s">
        <v>140</v>
      </c>
      <c r="AW29" s="1502" t="s">
        <v>140</v>
      </c>
      <c r="AX29" s="1502" t="s">
        <v>140</v>
      </c>
      <c r="AY29" s="1502" t="s">
        <v>1881</v>
      </c>
      <c r="AZ29" s="1502" t="s">
        <v>1881</v>
      </c>
      <c r="BA29" s="1502" t="s">
        <v>1881</v>
      </c>
      <c r="BB29" s="1502" t="s">
        <v>1881</v>
      </c>
      <c r="BC29" s="1502" t="s">
        <v>1881</v>
      </c>
      <c r="BD29" s="1502" t="s">
        <v>1881</v>
      </c>
      <c r="BE29" s="1502" t="s">
        <v>1881</v>
      </c>
      <c r="BF29" s="1502" t="s">
        <v>1881</v>
      </c>
      <c r="BG29" s="1502" t="s">
        <v>1881</v>
      </c>
      <c r="BH29" s="1502" t="s">
        <v>1881</v>
      </c>
      <c r="BI29" s="1502" t="s">
        <v>1881</v>
      </c>
      <c r="BJ29" s="1502" t="s">
        <v>1881</v>
      </c>
      <c r="BK29" s="1502" t="s">
        <v>1881</v>
      </c>
      <c r="BL29" s="1502" t="s">
        <v>71</v>
      </c>
      <c r="BM29" s="1502" t="s">
        <v>72</v>
      </c>
      <c r="BN29" s="1502" t="s">
        <v>73</v>
      </c>
      <c r="BO29" s="1502" t="s">
        <v>1901</v>
      </c>
      <c r="BP29" s="1502" t="s">
        <v>141</v>
      </c>
      <c r="BQ29" s="1502" t="s">
        <v>141</v>
      </c>
      <c r="BR29" s="1502" t="s">
        <v>141</v>
      </c>
      <c r="BS29" s="1503" t="s">
        <v>141</v>
      </c>
      <c r="BT29" s="1449" t="s">
        <v>3034</v>
      </c>
      <c r="BU29" s="1450" t="s">
        <v>3034</v>
      </c>
      <c r="BV29" s="1450" t="s">
        <v>3035</v>
      </c>
      <c r="BW29" s="1450" t="s">
        <v>3035</v>
      </c>
      <c r="BX29" s="1450" t="s">
        <v>3035</v>
      </c>
      <c r="BY29" s="1451" t="s">
        <v>3035</v>
      </c>
    </row>
    <row r="30" spans="1:83" s="1028" customFormat="1">
      <c r="B30" s="1474"/>
      <c r="C30" s="1475"/>
      <c r="D30" s="1475"/>
      <c r="E30" s="1475"/>
      <c r="F30" s="1475"/>
      <c r="G30" s="1476"/>
      <c r="H30" s="1476"/>
      <c r="I30" s="1475"/>
      <c r="J30" s="1475"/>
      <c r="K30" s="1475"/>
      <c r="L30" s="1475"/>
      <c r="M30" s="1475"/>
      <c r="N30" s="1475"/>
      <c r="O30" s="1475"/>
      <c r="P30" s="1475"/>
      <c r="Q30" s="1475"/>
      <c r="R30" s="1475"/>
      <c r="S30" s="1475"/>
      <c r="T30" s="1475"/>
      <c r="U30" s="1475"/>
      <c r="V30" s="1475"/>
      <c r="W30" s="1475"/>
      <c r="X30" s="1475"/>
      <c r="Y30" s="1475"/>
      <c r="Z30" s="1475"/>
      <c r="AA30" s="1475"/>
      <c r="AB30" s="1475"/>
      <c r="AC30" s="1475"/>
      <c r="AD30" s="1475"/>
      <c r="AE30" s="1475"/>
      <c r="AF30" s="1475"/>
      <c r="AG30" s="1475"/>
      <c r="AH30" s="1475"/>
      <c r="AI30" s="1475"/>
      <c r="AJ30" s="1475"/>
      <c r="AK30" s="1475"/>
      <c r="AL30" s="1475"/>
      <c r="AM30" s="1475"/>
      <c r="AN30" s="1475"/>
      <c r="AO30" s="1475"/>
      <c r="AP30" s="1475"/>
      <c r="AQ30" s="1475"/>
      <c r="AR30" s="1475"/>
      <c r="AS30" s="1475"/>
      <c r="AT30" s="1475"/>
      <c r="AU30" s="1475"/>
      <c r="AV30" s="1475"/>
      <c r="AW30" s="1475"/>
      <c r="AX30" s="1475"/>
      <c r="AY30" s="1475"/>
      <c r="AZ30" s="1475"/>
      <c r="BA30" s="1475"/>
      <c r="BB30" s="1475"/>
      <c r="BC30" s="1475"/>
      <c r="BD30" s="1475"/>
      <c r="BE30" s="1475"/>
      <c r="BF30" s="1475"/>
      <c r="BG30" s="1475"/>
      <c r="BH30" s="1475"/>
      <c r="BI30" s="1475"/>
      <c r="BJ30" s="1475"/>
      <c r="BK30" s="1475"/>
      <c r="BL30" s="1475"/>
      <c r="BM30" s="1475"/>
      <c r="BN30" s="1475"/>
      <c r="BO30" s="1475"/>
      <c r="BP30" s="1475"/>
      <c r="BQ30" s="1475"/>
      <c r="BR30" s="1475"/>
      <c r="BS30" s="1477"/>
      <c r="BT30" s="1453">
        <v>0.71</v>
      </c>
      <c r="BU30" s="1453">
        <v>0</v>
      </c>
      <c r="BV30" s="1453">
        <v>8760</v>
      </c>
      <c r="BW30" s="1453">
        <v>62</v>
      </c>
      <c r="BX30" s="1453"/>
      <c r="BY30" s="1455"/>
    </row>
    <row r="31" spans="1:83" s="1028" customFormat="1">
      <c r="B31" s="1478"/>
      <c r="C31" s="1044"/>
      <c r="D31" s="1044"/>
      <c r="E31" s="1044"/>
      <c r="F31" s="1044"/>
      <c r="G31" s="1479"/>
      <c r="H31" s="1479"/>
      <c r="I31" s="1044"/>
      <c r="J31" s="1044"/>
      <c r="K31" s="1044"/>
      <c r="L31" s="1044"/>
      <c r="M31" s="1044"/>
      <c r="N31" s="1044"/>
      <c r="O31" s="1044"/>
      <c r="P31" s="1044"/>
      <c r="Q31" s="1044"/>
      <c r="R31" s="1044"/>
      <c r="S31" s="1044"/>
      <c r="T31" s="1044"/>
      <c r="U31" s="1044"/>
      <c r="V31" s="1044"/>
      <c r="W31" s="1044"/>
      <c r="X31" s="1044"/>
      <c r="Y31" s="1044"/>
      <c r="Z31" s="1044"/>
      <c r="AA31" s="1044"/>
      <c r="AB31" s="1044"/>
      <c r="AC31" s="1044"/>
      <c r="AD31" s="1044"/>
      <c r="AE31" s="1044"/>
      <c r="AF31" s="1044"/>
      <c r="AG31" s="1044"/>
      <c r="AH31" s="1044"/>
      <c r="AI31" s="1044"/>
      <c r="AJ31" s="1044"/>
      <c r="AK31" s="1044"/>
      <c r="AL31" s="1044"/>
      <c r="AM31" s="1044"/>
      <c r="AN31" s="1044"/>
      <c r="AO31" s="1044"/>
      <c r="AP31" s="1044"/>
      <c r="AQ31" s="1044"/>
      <c r="AR31" s="1044"/>
      <c r="AS31" s="1044"/>
      <c r="AT31" s="1044"/>
      <c r="AU31" s="1044"/>
      <c r="AV31" s="1044"/>
      <c r="AW31" s="1044"/>
      <c r="AX31" s="1044"/>
      <c r="AY31" s="1044"/>
      <c r="AZ31" s="1044"/>
      <c r="BA31" s="1044"/>
      <c r="BB31" s="1044"/>
      <c r="BC31" s="1044"/>
      <c r="BD31" s="1044"/>
      <c r="BE31" s="1044"/>
      <c r="BF31" s="1044"/>
      <c r="BG31" s="1044"/>
      <c r="BH31" s="1044"/>
      <c r="BI31" s="1044"/>
      <c r="BJ31" s="1044"/>
      <c r="BK31" s="1044"/>
      <c r="BL31" s="1044"/>
      <c r="BM31" s="1044"/>
      <c r="BN31" s="1044"/>
      <c r="BO31" s="1044"/>
      <c r="BP31" s="1044"/>
      <c r="BQ31" s="1044"/>
      <c r="BR31" s="1044"/>
      <c r="BS31" s="1480"/>
      <c r="BT31" s="1453">
        <v>0.01</v>
      </c>
      <c r="BU31" s="1453">
        <v>0</v>
      </c>
      <c r="BV31" s="1453">
        <v>8760</v>
      </c>
      <c r="BW31" s="1453">
        <v>1</v>
      </c>
      <c r="BX31" s="1453"/>
      <c r="BY31" s="1455"/>
    </row>
    <row r="32" spans="1:83" s="1028" customFormat="1">
      <c r="B32" s="1478"/>
      <c r="C32" s="1044"/>
      <c r="D32" s="1044"/>
      <c r="E32" s="1044"/>
      <c r="F32" s="1044"/>
      <c r="G32" s="1479"/>
      <c r="H32" s="1479"/>
      <c r="I32" s="1044"/>
      <c r="J32" s="1044"/>
      <c r="K32" s="1044"/>
      <c r="L32" s="1044"/>
      <c r="M32" s="1044"/>
      <c r="N32" s="1044"/>
      <c r="O32" s="1044"/>
      <c r="P32" s="1044"/>
      <c r="Q32" s="1044"/>
      <c r="R32" s="1044"/>
      <c r="S32" s="1044"/>
      <c r="T32" s="1044"/>
      <c r="U32" s="1044"/>
      <c r="V32" s="1044"/>
      <c r="W32" s="1044"/>
      <c r="X32" s="1044"/>
      <c r="Y32" s="1044"/>
      <c r="Z32" s="1044"/>
      <c r="AA32" s="1044"/>
      <c r="AB32" s="1044"/>
      <c r="AC32" s="1044"/>
      <c r="AD32" s="1044"/>
      <c r="AE32" s="1044"/>
      <c r="AF32" s="1044"/>
      <c r="AG32" s="1044"/>
      <c r="AH32" s="1044"/>
      <c r="AI32" s="1044"/>
      <c r="AJ32" s="1044"/>
      <c r="AK32" s="1044"/>
      <c r="AL32" s="1044"/>
      <c r="AM32" s="1044"/>
      <c r="AN32" s="1044"/>
      <c r="AO32" s="1044"/>
      <c r="AP32" s="1044"/>
      <c r="AQ32" s="1044"/>
      <c r="AR32" s="1044"/>
      <c r="AS32" s="1044"/>
      <c r="AT32" s="1044"/>
      <c r="AU32" s="1044"/>
      <c r="AV32" s="1044"/>
      <c r="AW32" s="1044"/>
      <c r="AX32" s="1044"/>
      <c r="AY32" s="1044"/>
      <c r="AZ32" s="1044"/>
      <c r="BA32" s="1044"/>
      <c r="BB32" s="1044"/>
      <c r="BC32" s="1044"/>
      <c r="BD32" s="1044"/>
      <c r="BE32" s="1044"/>
      <c r="BF32" s="1044"/>
      <c r="BG32" s="1044"/>
      <c r="BH32" s="1044"/>
      <c r="BI32" s="1044"/>
      <c r="BJ32" s="1044"/>
      <c r="BK32" s="1044"/>
      <c r="BL32" s="1044"/>
      <c r="BM32" s="1044"/>
      <c r="BN32" s="1044"/>
      <c r="BO32" s="1044"/>
      <c r="BP32" s="1044"/>
      <c r="BQ32" s="1044"/>
      <c r="BR32" s="1044"/>
      <c r="BS32" s="1480"/>
      <c r="BT32" s="1453">
        <v>0.01</v>
      </c>
      <c r="BU32" s="1453">
        <v>0</v>
      </c>
      <c r="BV32" s="1453">
        <v>8760</v>
      </c>
      <c r="BW32" s="1453">
        <v>1</v>
      </c>
      <c r="BX32" s="1453"/>
      <c r="BY32" s="1455"/>
    </row>
    <row r="33" spans="2:77" s="1028" customFormat="1">
      <c r="B33" s="1478"/>
      <c r="C33" s="1044"/>
      <c r="D33" s="1044"/>
      <c r="E33" s="1044"/>
      <c r="F33" s="1044"/>
      <c r="G33" s="1479"/>
      <c r="H33" s="1479"/>
      <c r="I33" s="1044"/>
      <c r="J33" s="1044"/>
      <c r="K33" s="1044"/>
      <c r="L33" s="1044"/>
      <c r="M33" s="1044"/>
      <c r="N33" s="1044"/>
      <c r="O33" s="1044"/>
      <c r="P33" s="1044"/>
      <c r="Q33" s="1044"/>
      <c r="R33" s="1044"/>
      <c r="S33" s="1044"/>
      <c r="T33" s="1044"/>
      <c r="U33" s="1044"/>
      <c r="V33" s="1044"/>
      <c r="W33" s="1044"/>
      <c r="X33" s="1044"/>
      <c r="Y33" s="1044"/>
      <c r="Z33" s="1044"/>
      <c r="AA33" s="1044"/>
      <c r="AB33" s="1044"/>
      <c r="AC33" s="1044"/>
      <c r="AD33" s="1044"/>
      <c r="AE33" s="1044"/>
      <c r="AF33" s="1044"/>
      <c r="AG33" s="1044"/>
      <c r="AH33" s="1044"/>
      <c r="AI33" s="1044"/>
      <c r="AJ33" s="1044"/>
      <c r="AK33" s="1044"/>
      <c r="AL33" s="1044"/>
      <c r="AM33" s="1044"/>
      <c r="AN33" s="1044"/>
      <c r="AO33" s="1044"/>
      <c r="AP33" s="1044"/>
      <c r="AQ33" s="1044"/>
      <c r="AR33" s="1044"/>
      <c r="AS33" s="1044"/>
      <c r="AT33" s="1044"/>
      <c r="AU33" s="1044"/>
      <c r="AV33" s="1044"/>
      <c r="AW33" s="1044"/>
      <c r="AX33" s="1044"/>
      <c r="AY33" s="1044"/>
      <c r="AZ33" s="1044"/>
      <c r="BA33" s="1044"/>
      <c r="BB33" s="1044"/>
      <c r="BC33" s="1044"/>
      <c r="BD33" s="1044"/>
      <c r="BE33" s="1044"/>
      <c r="BF33" s="1044"/>
      <c r="BG33" s="1044"/>
      <c r="BH33" s="1044"/>
      <c r="BI33" s="1044"/>
      <c r="BJ33" s="1044"/>
      <c r="BK33" s="1044"/>
      <c r="BL33" s="1044"/>
      <c r="BM33" s="1044"/>
      <c r="BN33" s="1044"/>
      <c r="BO33" s="1044"/>
      <c r="BP33" s="1044"/>
      <c r="BQ33" s="1044"/>
      <c r="BR33" s="1044"/>
      <c r="BS33" s="1480"/>
      <c r="BT33" s="1453">
        <v>0.02</v>
      </c>
      <c r="BU33" s="1453">
        <v>0</v>
      </c>
      <c r="BV33" s="1453">
        <v>8760</v>
      </c>
      <c r="BW33" s="1453">
        <v>2</v>
      </c>
      <c r="BX33" s="1453"/>
      <c r="BY33" s="1455"/>
    </row>
    <row r="34" spans="2:77" s="1028" customFormat="1">
      <c r="B34" s="1478"/>
      <c r="C34" s="1044"/>
      <c r="D34" s="1044"/>
      <c r="E34" s="1044"/>
      <c r="F34" s="1044"/>
      <c r="G34" s="1479"/>
      <c r="H34" s="1479"/>
      <c r="I34" s="1044"/>
      <c r="J34" s="1044"/>
      <c r="K34" s="1044"/>
      <c r="L34" s="1044"/>
      <c r="M34" s="1044"/>
      <c r="N34" s="1044"/>
      <c r="O34" s="1044"/>
      <c r="P34" s="1044"/>
      <c r="Q34" s="1044"/>
      <c r="R34" s="1044"/>
      <c r="S34" s="1044"/>
      <c r="T34" s="1044"/>
      <c r="U34" s="1044"/>
      <c r="V34" s="1044"/>
      <c r="W34" s="1044"/>
      <c r="X34" s="1044"/>
      <c r="Y34" s="1044"/>
      <c r="Z34" s="1044"/>
      <c r="AA34" s="1044"/>
      <c r="AB34" s="1044"/>
      <c r="AC34" s="1044"/>
      <c r="AD34" s="1044"/>
      <c r="AE34" s="1044"/>
      <c r="AF34" s="1044"/>
      <c r="AG34" s="1044"/>
      <c r="AH34" s="1044"/>
      <c r="AI34" s="1044"/>
      <c r="AJ34" s="1044"/>
      <c r="AK34" s="1044"/>
      <c r="AL34" s="1044"/>
      <c r="AM34" s="1044"/>
      <c r="AN34" s="1044"/>
      <c r="AO34" s="1044"/>
      <c r="AP34" s="1044"/>
      <c r="AQ34" s="1044"/>
      <c r="AR34" s="1044"/>
      <c r="AS34" s="1044"/>
      <c r="AT34" s="1044"/>
      <c r="AU34" s="1044"/>
      <c r="AV34" s="1044"/>
      <c r="AW34" s="1044"/>
      <c r="AX34" s="1044"/>
      <c r="AY34" s="1044"/>
      <c r="AZ34" s="1044"/>
      <c r="BA34" s="1044"/>
      <c r="BB34" s="1044"/>
      <c r="BC34" s="1044"/>
      <c r="BD34" s="1044"/>
      <c r="BE34" s="1044"/>
      <c r="BF34" s="1044"/>
      <c r="BG34" s="1044"/>
      <c r="BH34" s="1044"/>
      <c r="BI34" s="1044"/>
      <c r="BJ34" s="1044"/>
      <c r="BK34" s="1044"/>
      <c r="BL34" s="1044"/>
      <c r="BM34" s="1044"/>
      <c r="BN34" s="1044"/>
      <c r="BO34" s="1044"/>
      <c r="BP34" s="1044"/>
      <c r="BQ34" s="1044"/>
      <c r="BR34" s="1044"/>
      <c r="BS34" s="1480"/>
      <c r="BT34" s="1453">
        <v>0.02</v>
      </c>
      <c r="BU34" s="1453">
        <v>0</v>
      </c>
      <c r="BV34" s="1453">
        <v>8760</v>
      </c>
      <c r="BW34" s="1453">
        <v>2</v>
      </c>
      <c r="BX34" s="1453"/>
      <c r="BY34" s="1455"/>
    </row>
    <row r="35" spans="2:77" s="1028" customFormat="1">
      <c r="B35" s="1478"/>
      <c r="C35" s="1044"/>
      <c r="D35" s="1044"/>
      <c r="E35" s="1044"/>
      <c r="F35" s="1044"/>
      <c r="G35" s="1479"/>
      <c r="H35" s="1479"/>
      <c r="I35" s="1044"/>
      <c r="J35" s="1044"/>
      <c r="K35" s="1044"/>
      <c r="L35" s="1044"/>
      <c r="M35" s="1044"/>
      <c r="N35" s="1044"/>
      <c r="O35" s="1044"/>
      <c r="P35" s="1044"/>
      <c r="Q35" s="1044"/>
      <c r="R35" s="1044"/>
      <c r="S35" s="1044"/>
      <c r="T35" s="1044"/>
      <c r="U35" s="1044"/>
      <c r="V35" s="1044"/>
      <c r="W35" s="1044"/>
      <c r="X35" s="1044"/>
      <c r="Y35" s="1044"/>
      <c r="Z35" s="1044"/>
      <c r="AA35" s="1044"/>
      <c r="AB35" s="1044"/>
      <c r="AC35" s="1044"/>
      <c r="AD35" s="1044"/>
      <c r="AE35" s="1044"/>
      <c r="AF35" s="1044"/>
      <c r="AG35" s="1044"/>
      <c r="AH35" s="1044"/>
      <c r="AI35" s="1044"/>
      <c r="AJ35" s="1044"/>
      <c r="AK35" s="1044"/>
      <c r="AL35" s="1044"/>
      <c r="AM35" s="1044"/>
      <c r="AN35" s="1044"/>
      <c r="AO35" s="1044"/>
      <c r="AP35" s="1044"/>
      <c r="AQ35" s="1044"/>
      <c r="AR35" s="1044"/>
      <c r="AS35" s="1044"/>
      <c r="AT35" s="1044"/>
      <c r="AU35" s="1044"/>
      <c r="AV35" s="1044"/>
      <c r="AW35" s="1044"/>
      <c r="AX35" s="1044"/>
      <c r="AY35" s="1044"/>
      <c r="AZ35" s="1044"/>
      <c r="BA35" s="1044"/>
      <c r="BB35" s="1044"/>
      <c r="BC35" s="1044"/>
      <c r="BD35" s="1044"/>
      <c r="BE35" s="1044"/>
      <c r="BF35" s="1044"/>
      <c r="BG35" s="1044"/>
      <c r="BH35" s="1044"/>
      <c r="BI35" s="1044"/>
      <c r="BJ35" s="1044"/>
      <c r="BK35" s="1044"/>
      <c r="BL35" s="1044"/>
      <c r="BM35" s="1044"/>
      <c r="BN35" s="1044"/>
      <c r="BO35" s="1044"/>
      <c r="BP35" s="1044"/>
      <c r="BQ35" s="1044"/>
      <c r="BR35" s="1044"/>
      <c r="BS35" s="1480"/>
      <c r="BT35" s="1453">
        <v>0.01</v>
      </c>
      <c r="BU35" s="1453">
        <v>0</v>
      </c>
      <c r="BV35" s="1453">
        <v>8760</v>
      </c>
      <c r="BW35" s="1453">
        <v>1</v>
      </c>
      <c r="BX35" s="1453"/>
      <c r="BY35" s="1455"/>
    </row>
    <row r="36" spans="2:77">
      <c r="B36" s="1478"/>
      <c r="C36" s="1044"/>
      <c r="D36" s="1044"/>
      <c r="E36" s="1044"/>
      <c r="F36" s="1044"/>
      <c r="G36" s="1479"/>
      <c r="H36" s="1479"/>
      <c r="I36" s="1044"/>
      <c r="J36" s="1044"/>
      <c r="K36" s="1044"/>
      <c r="L36" s="1044"/>
      <c r="M36" s="1044"/>
      <c r="N36" s="1044"/>
      <c r="O36" s="1044"/>
      <c r="P36" s="1044"/>
      <c r="Q36" s="1044"/>
      <c r="R36" s="1044"/>
      <c r="S36" s="1044"/>
      <c r="T36" s="1044"/>
      <c r="U36" s="1044"/>
      <c r="V36" s="1044"/>
      <c r="W36" s="1044"/>
      <c r="X36" s="1044"/>
      <c r="Y36" s="1044"/>
      <c r="Z36" s="1044"/>
      <c r="AA36" s="1044"/>
      <c r="AB36" s="1044"/>
      <c r="AC36" s="1044"/>
      <c r="AD36" s="1044"/>
      <c r="AE36" s="1044"/>
      <c r="AF36" s="1044"/>
      <c r="AG36" s="1044"/>
      <c r="AH36" s="1044"/>
      <c r="AI36" s="1044"/>
      <c r="AJ36" s="1044"/>
      <c r="AK36" s="1044"/>
      <c r="AL36" s="1044"/>
      <c r="AM36" s="1044"/>
      <c r="AN36" s="1044"/>
      <c r="AO36" s="1044"/>
      <c r="AP36" s="1044"/>
      <c r="AQ36" s="1044"/>
      <c r="AR36" s="1044"/>
      <c r="AS36" s="1044"/>
      <c r="AT36" s="1044"/>
      <c r="AU36" s="1044"/>
      <c r="AV36" s="1044"/>
      <c r="AW36" s="1044"/>
      <c r="AX36" s="1044"/>
      <c r="AY36" s="1044"/>
      <c r="AZ36" s="1044"/>
      <c r="BA36" s="1044"/>
      <c r="BB36" s="1044"/>
      <c r="BC36" s="1044"/>
      <c r="BD36" s="1044"/>
      <c r="BE36" s="1044"/>
      <c r="BF36" s="1044"/>
      <c r="BG36" s="1044"/>
      <c r="BH36" s="1044"/>
      <c r="BI36" s="1044"/>
      <c r="BJ36" s="1044"/>
      <c r="BK36" s="1044"/>
      <c r="BL36" s="1044"/>
      <c r="BM36" s="1044"/>
      <c r="BN36" s="1044"/>
      <c r="BO36" s="1044"/>
      <c r="BP36" s="1044"/>
      <c r="BQ36" s="1044"/>
      <c r="BR36" s="1044"/>
      <c r="BS36" s="1480"/>
      <c r="BT36" s="1453">
        <v>0</v>
      </c>
      <c r="BU36" s="1453">
        <v>0</v>
      </c>
      <c r="BV36" s="1453">
        <v>8760</v>
      </c>
      <c r="BW36" s="1453">
        <v>0</v>
      </c>
      <c r="BX36" s="1453"/>
      <c r="BY36" s="1455"/>
    </row>
    <row r="37" spans="2:77">
      <c r="B37" s="1478"/>
      <c r="C37" s="1044"/>
      <c r="D37" s="1044"/>
      <c r="E37" s="1044"/>
      <c r="F37" s="1044"/>
      <c r="G37" s="1479"/>
      <c r="H37" s="1479"/>
      <c r="I37" s="1044"/>
      <c r="J37" s="1044"/>
      <c r="K37" s="1044"/>
      <c r="L37" s="1044"/>
      <c r="M37" s="1044"/>
      <c r="N37" s="1044"/>
      <c r="O37" s="1044"/>
      <c r="P37" s="1044"/>
      <c r="Q37" s="1044"/>
      <c r="R37" s="1044"/>
      <c r="S37" s="1044"/>
      <c r="T37" s="1044"/>
      <c r="U37" s="1044"/>
      <c r="V37" s="1044"/>
      <c r="W37" s="1044"/>
      <c r="X37" s="1044"/>
      <c r="Y37" s="1044"/>
      <c r="Z37" s="1044"/>
      <c r="AA37" s="1044"/>
      <c r="AB37" s="1044"/>
      <c r="AC37" s="1044"/>
      <c r="AD37" s="1044"/>
      <c r="AE37" s="1044"/>
      <c r="AF37" s="1044"/>
      <c r="AG37" s="1044"/>
      <c r="AH37" s="1044"/>
      <c r="AI37" s="1044"/>
      <c r="AJ37" s="1044"/>
      <c r="AK37" s="1044"/>
      <c r="AL37" s="1044"/>
      <c r="AM37" s="1044"/>
      <c r="AN37" s="1044"/>
      <c r="AO37" s="1044"/>
      <c r="AP37" s="1044"/>
      <c r="AQ37" s="1044"/>
      <c r="AR37" s="1044"/>
      <c r="AS37" s="1044"/>
      <c r="AT37" s="1044"/>
      <c r="AU37" s="1044"/>
      <c r="AV37" s="1044"/>
      <c r="AW37" s="1044"/>
      <c r="AX37" s="1044"/>
      <c r="AY37" s="1044"/>
      <c r="AZ37" s="1044"/>
      <c r="BA37" s="1044"/>
      <c r="BB37" s="1044"/>
      <c r="BC37" s="1044"/>
      <c r="BD37" s="1044"/>
      <c r="BE37" s="1044"/>
      <c r="BF37" s="1044"/>
      <c r="BG37" s="1044"/>
      <c r="BH37" s="1044"/>
      <c r="BI37" s="1044"/>
      <c r="BJ37" s="1044"/>
      <c r="BK37" s="1044"/>
      <c r="BL37" s="1044"/>
      <c r="BM37" s="1044"/>
      <c r="BN37" s="1044"/>
      <c r="BO37" s="1044"/>
      <c r="BP37" s="1044"/>
      <c r="BQ37" s="1044"/>
      <c r="BR37" s="1044"/>
      <c r="BS37" s="1480"/>
      <c r="BT37" s="1453">
        <v>0</v>
      </c>
      <c r="BU37" s="1453">
        <v>0</v>
      </c>
      <c r="BV37" s="1453">
        <v>8760</v>
      </c>
      <c r="BW37" s="1453">
        <v>0</v>
      </c>
      <c r="BX37" s="1453"/>
      <c r="BY37" s="1455"/>
    </row>
    <row r="38" spans="2:77">
      <c r="B38" s="1478"/>
      <c r="C38" s="1044"/>
      <c r="D38" s="1044"/>
      <c r="E38" s="1044"/>
      <c r="F38" s="1044"/>
      <c r="G38" s="1479"/>
      <c r="H38" s="1479"/>
      <c r="I38" s="1044"/>
      <c r="J38" s="1044"/>
      <c r="K38" s="1044"/>
      <c r="L38" s="1044"/>
      <c r="M38" s="1044"/>
      <c r="N38" s="1044"/>
      <c r="O38" s="1044"/>
      <c r="P38" s="1044"/>
      <c r="Q38" s="1044"/>
      <c r="R38" s="1044"/>
      <c r="S38" s="1044"/>
      <c r="T38" s="1044"/>
      <c r="U38" s="1044"/>
      <c r="V38" s="1044"/>
      <c r="W38" s="1044"/>
      <c r="X38" s="1044"/>
      <c r="Y38" s="1044"/>
      <c r="Z38" s="1044"/>
      <c r="AA38" s="1044"/>
      <c r="AB38" s="1044"/>
      <c r="AC38" s="1044"/>
      <c r="AD38" s="1044"/>
      <c r="AE38" s="1044"/>
      <c r="AF38" s="1044"/>
      <c r="AG38" s="1044"/>
      <c r="AH38" s="1044"/>
      <c r="AI38" s="1044"/>
      <c r="AJ38" s="1044"/>
      <c r="AK38" s="1044"/>
      <c r="AL38" s="1044"/>
      <c r="AM38" s="1044"/>
      <c r="AN38" s="1044"/>
      <c r="AO38" s="1044"/>
      <c r="AP38" s="1044"/>
      <c r="AQ38" s="1044"/>
      <c r="AR38" s="1044"/>
      <c r="AS38" s="1044"/>
      <c r="AT38" s="1044"/>
      <c r="AU38" s="1044"/>
      <c r="AV38" s="1044"/>
      <c r="AW38" s="1044"/>
      <c r="AX38" s="1044"/>
      <c r="AY38" s="1044"/>
      <c r="AZ38" s="1044"/>
      <c r="BA38" s="1044"/>
      <c r="BB38" s="1044"/>
      <c r="BC38" s="1044"/>
      <c r="BD38" s="1044"/>
      <c r="BE38" s="1044"/>
      <c r="BF38" s="1044"/>
      <c r="BG38" s="1044"/>
      <c r="BH38" s="1044"/>
      <c r="BI38" s="1044"/>
      <c r="BJ38" s="1044"/>
      <c r="BK38" s="1044"/>
      <c r="BL38" s="1044"/>
      <c r="BM38" s="1044"/>
      <c r="BN38" s="1044"/>
      <c r="BO38" s="1044"/>
      <c r="BP38" s="1044"/>
      <c r="BQ38" s="1044"/>
      <c r="BR38" s="1044"/>
      <c r="BS38" s="1480"/>
      <c r="BT38" s="1453">
        <v>0</v>
      </c>
      <c r="BU38" s="1453">
        <v>0</v>
      </c>
      <c r="BV38" s="1453">
        <v>8760</v>
      </c>
      <c r="BW38" s="1453">
        <v>0</v>
      </c>
      <c r="BX38" s="1453"/>
      <c r="BY38" s="1455"/>
    </row>
    <row r="39" spans="2:77">
      <c r="B39" s="1478"/>
      <c r="C39" s="1044"/>
      <c r="D39" s="1044"/>
      <c r="E39" s="1044"/>
      <c r="F39" s="1044"/>
      <c r="G39" s="1479"/>
      <c r="H39" s="1479"/>
      <c r="I39" s="1044"/>
      <c r="J39" s="1044"/>
      <c r="K39" s="1044"/>
      <c r="L39" s="1044"/>
      <c r="M39" s="1044"/>
      <c r="N39" s="1044"/>
      <c r="O39" s="1044"/>
      <c r="P39" s="1044"/>
      <c r="Q39" s="1044"/>
      <c r="R39" s="1044"/>
      <c r="S39" s="1044"/>
      <c r="T39" s="1044"/>
      <c r="U39" s="1044"/>
      <c r="V39" s="1044"/>
      <c r="W39" s="1044"/>
      <c r="X39" s="1044"/>
      <c r="Y39" s="1044"/>
      <c r="Z39" s="1044"/>
      <c r="AA39" s="1044"/>
      <c r="AB39" s="1044"/>
      <c r="AC39" s="1044"/>
      <c r="AD39" s="1044"/>
      <c r="AE39" s="1044"/>
      <c r="AF39" s="1044"/>
      <c r="AG39" s="1044"/>
      <c r="AH39" s="1044"/>
      <c r="AI39" s="1044"/>
      <c r="AJ39" s="1044"/>
      <c r="AK39" s="1044"/>
      <c r="AL39" s="1044"/>
      <c r="AM39" s="1044"/>
      <c r="AN39" s="1044"/>
      <c r="AO39" s="1044"/>
      <c r="AP39" s="1044"/>
      <c r="AQ39" s="1044"/>
      <c r="AR39" s="1044"/>
      <c r="AS39" s="1044"/>
      <c r="AT39" s="1044"/>
      <c r="AU39" s="1044"/>
      <c r="AV39" s="1044"/>
      <c r="AW39" s="1044"/>
      <c r="AX39" s="1044"/>
      <c r="AY39" s="1044"/>
      <c r="AZ39" s="1044"/>
      <c r="BA39" s="1044"/>
      <c r="BB39" s="1044"/>
      <c r="BC39" s="1044"/>
      <c r="BD39" s="1044"/>
      <c r="BE39" s="1044"/>
      <c r="BF39" s="1044"/>
      <c r="BG39" s="1044"/>
      <c r="BH39" s="1044"/>
      <c r="BI39" s="1044"/>
      <c r="BJ39" s="1044"/>
      <c r="BK39" s="1044"/>
      <c r="BL39" s="1044"/>
      <c r="BM39" s="1044"/>
      <c r="BN39" s="1044"/>
      <c r="BO39" s="1044"/>
      <c r="BP39" s="1044"/>
      <c r="BQ39" s="1044"/>
      <c r="BR39" s="1044"/>
      <c r="BS39" s="1480"/>
      <c r="BT39" s="1453">
        <v>0</v>
      </c>
      <c r="BU39" s="1453">
        <v>0</v>
      </c>
      <c r="BV39" s="1453">
        <v>8760</v>
      </c>
      <c r="BW39" s="1453">
        <v>0</v>
      </c>
      <c r="BX39" s="1453"/>
      <c r="BY39" s="1455"/>
    </row>
    <row r="40" spans="2:77">
      <c r="B40" s="1478"/>
      <c r="C40" s="1044"/>
      <c r="D40" s="1044"/>
      <c r="E40" s="1044"/>
      <c r="F40" s="1044"/>
      <c r="G40" s="1479"/>
      <c r="H40" s="1479"/>
      <c r="I40" s="1044"/>
      <c r="J40" s="1044"/>
      <c r="K40" s="1044"/>
      <c r="L40" s="1044"/>
      <c r="M40" s="1044"/>
      <c r="N40" s="1044"/>
      <c r="O40" s="1044"/>
      <c r="P40" s="1044"/>
      <c r="Q40" s="1044"/>
      <c r="R40" s="1044"/>
      <c r="S40" s="1044"/>
      <c r="T40" s="1044"/>
      <c r="U40" s="1044"/>
      <c r="V40" s="1044"/>
      <c r="W40" s="1044"/>
      <c r="X40" s="1044"/>
      <c r="Y40" s="1044"/>
      <c r="Z40" s="1044"/>
      <c r="AA40" s="1044"/>
      <c r="AB40" s="1044"/>
      <c r="AC40" s="1044"/>
      <c r="AD40" s="1044"/>
      <c r="AE40" s="1044"/>
      <c r="AF40" s="1044"/>
      <c r="AG40" s="1044"/>
      <c r="AH40" s="1044"/>
      <c r="AI40" s="1044"/>
      <c r="AJ40" s="1044"/>
      <c r="AK40" s="1044"/>
      <c r="AL40" s="1044"/>
      <c r="AM40" s="1044"/>
      <c r="AN40" s="1044"/>
      <c r="AO40" s="1044"/>
      <c r="AP40" s="1044"/>
      <c r="AQ40" s="1044"/>
      <c r="AR40" s="1044"/>
      <c r="AS40" s="1044"/>
      <c r="AT40" s="1044"/>
      <c r="AU40" s="1044"/>
      <c r="AV40" s="1044"/>
      <c r="AW40" s="1044"/>
      <c r="AX40" s="1044"/>
      <c r="AY40" s="1044"/>
      <c r="AZ40" s="1044"/>
      <c r="BA40" s="1044"/>
      <c r="BB40" s="1044"/>
      <c r="BC40" s="1044"/>
      <c r="BD40" s="1044"/>
      <c r="BE40" s="1044"/>
      <c r="BF40" s="1044"/>
      <c r="BG40" s="1044"/>
      <c r="BH40" s="1044"/>
      <c r="BI40" s="1044"/>
      <c r="BJ40" s="1044"/>
      <c r="BK40" s="1044"/>
      <c r="BL40" s="1044"/>
      <c r="BM40" s="1044"/>
      <c r="BN40" s="1044"/>
      <c r="BO40" s="1044"/>
      <c r="BP40" s="1044"/>
      <c r="BQ40" s="1044"/>
      <c r="BR40" s="1044"/>
      <c r="BS40" s="1480"/>
      <c r="BT40" s="1453">
        <v>0</v>
      </c>
      <c r="BU40" s="1453">
        <v>0</v>
      </c>
      <c r="BV40" s="1453">
        <v>8760</v>
      </c>
      <c r="BW40" s="1453">
        <v>0</v>
      </c>
      <c r="BX40" s="1453"/>
      <c r="BY40" s="1455"/>
    </row>
    <row r="41" spans="2:77">
      <c r="B41" s="1478"/>
      <c r="C41" s="1044"/>
      <c r="D41" s="1044"/>
      <c r="E41" s="1044"/>
      <c r="F41" s="1044"/>
      <c r="G41" s="1479"/>
      <c r="H41" s="1479"/>
      <c r="I41" s="1044"/>
      <c r="J41" s="1044"/>
      <c r="K41" s="1044"/>
      <c r="L41" s="1044"/>
      <c r="M41" s="1044"/>
      <c r="N41" s="1044"/>
      <c r="O41" s="1044"/>
      <c r="P41" s="1044"/>
      <c r="Q41" s="1044"/>
      <c r="R41" s="1044"/>
      <c r="S41" s="1044"/>
      <c r="T41" s="1044"/>
      <c r="U41" s="1044"/>
      <c r="V41" s="1044"/>
      <c r="W41" s="1044"/>
      <c r="X41" s="1044"/>
      <c r="Y41" s="1044"/>
      <c r="Z41" s="1044"/>
      <c r="AA41" s="1044"/>
      <c r="AB41" s="1044"/>
      <c r="AC41" s="1044"/>
      <c r="AD41" s="1044"/>
      <c r="AE41" s="1044"/>
      <c r="AF41" s="1044"/>
      <c r="AG41" s="1044"/>
      <c r="AH41" s="1044"/>
      <c r="AI41" s="1044"/>
      <c r="AJ41" s="1044"/>
      <c r="AK41" s="1044"/>
      <c r="AL41" s="1044"/>
      <c r="AM41" s="1044"/>
      <c r="AN41" s="1044"/>
      <c r="AO41" s="1044"/>
      <c r="AP41" s="1044"/>
      <c r="AQ41" s="1044"/>
      <c r="AR41" s="1044"/>
      <c r="AS41" s="1044"/>
      <c r="AT41" s="1044"/>
      <c r="AU41" s="1044"/>
      <c r="AV41" s="1044"/>
      <c r="AW41" s="1044"/>
      <c r="AX41" s="1044"/>
      <c r="AY41" s="1044"/>
      <c r="AZ41" s="1044"/>
      <c r="BA41" s="1044"/>
      <c r="BB41" s="1044"/>
      <c r="BC41" s="1044"/>
      <c r="BD41" s="1044"/>
      <c r="BE41" s="1044"/>
      <c r="BF41" s="1044"/>
      <c r="BG41" s="1044"/>
      <c r="BH41" s="1044"/>
      <c r="BI41" s="1044"/>
      <c r="BJ41" s="1044"/>
      <c r="BK41" s="1044"/>
      <c r="BL41" s="1044"/>
      <c r="BM41" s="1044"/>
      <c r="BN41" s="1044"/>
      <c r="BO41" s="1044"/>
      <c r="BP41" s="1044"/>
      <c r="BQ41" s="1044"/>
      <c r="BR41" s="1044"/>
      <c r="BS41" s="1480"/>
      <c r="BT41" s="1453">
        <v>0</v>
      </c>
      <c r="BU41" s="1453">
        <v>0</v>
      </c>
      <c r="BV41" s="1453">
        <v>8760</v>
      </c>
      <c r="BW41" s="1453">
        <v>0</v>
      </c>
      <c r="BX41" s="1453"/>
      <c r="BY41" s="1455"/>
    </row>
    <row r="42" spans="2:77">
      <c r="B42" s="1478"/>
      <c r="C42" s="1044"/>
      <c r="D42" s="1044"/>
      <c r="E42" s="1044"/>
      <c r="F42" s="1044"/>
      <c r="G42" s="1479"/>
      <c r="H42" s="1479"/>
      <c r="I42" s="1044"/>
      <c r="J42" s="1044"/>
      <c r="K42" s="1044"/>
      <c r="L42" s="1044"/>
      <c r="M42" s="1044"/>
      <c r="N42" s="1044"/>
      <c r="O42" s="1044"/>
      <c r="P42" s="1044"/>
      <c r="Q42" s="1044"/>
      <c r="R42" s="1044"/>
      <c r="S42" s="1044"/>
      <c r="T42" s="1044"/>
      <c r="U42" s="1044"/>
      <c r="V42" s="1044"/>
      <c r="W42" s="1044"/>
      <c r="X42" s="1044"/>
      <c r="Y42" s="1044"/>
      <c r="Z42" s="1044"/>
      <c r="AA42" s="1044"/>
      <c r="AB42" s="1044"/>
      <c r="AC42" s="1044"/>
      <c r="AD42" s="1044"/>
      <c r="AE42" s="1044"/>
      <c r="AF42" s="1044"/>
      <c r="AG42" s="1044"/>
      <c r="AH42" s="1044"/>
      <c r="AI42" s="1044"/>
      <c r="AJ42" s="1044"/>
      <c r="AK42" s="1044"/>
      <c r="AL42" s="1044"/>
      <c r="AM42" s="1044"/>
      <c r="AN42" s="1044"/>
      <c r="AO42" s="1044"/>
      <c r="AP42" s="1044"/>
      <c r="AQ42" s="1044"/>
      <c r="AR42" s="1044"/>
      <c r="AS42" s="1044"/>
      <c r="AT42" s="1044"/>
      <c r="AU42" s="1044"/>
      <c r="AV42" s="1044"/>
      <c r="AW42" s="1044"/>
      <c r="AX42" s="1044"/>
      <c r="AY42" s="1044"/>
      <c r="AZ42" s="1044"/>
      <c r="BA42" s="1044"/>
      <c r="BB42" s="1044"/>
      <c r="BC42" s="1044"/>
      <c r="BD42" s="1044"/>
      <c r="BE42" s="1044"/>
      <c r="BF42" s="1044"/>
      <c r="BG42" s="1044"/>
      <c r="BH42" s="1044"/>
      <c r="BI42" s="1044"/>
      <c r="BJ42" s="1044"/>
      <c r="BK42" s="1044"/>
      <c r="BL42" s="1044"/>
      <c r="BM42" s="1044"/>
      <c r="BN42" s="1044"/>
      <c r="BO42" s="1044"/>
      <c r="BP42" s="1044"/>
      <c r="BQ42" s="1044"/>
      <c r="BR42" s="1044"/>
      <c r="BS42" s="1480"/>
      <c r="BT42" s="1453">
        <v>0</v>
      </c>
      <c r="BU42" s="1453">
        <v>0</v>
      </c>
      <c r="BV42" s="1453">
        <v>8760</v>
      </c>
      <c r="BW42" s="1453">
        <v>0</v>
      </c>
      <c r="BX42" s="1453"/>
      <c r="BY42" s="1455"/>
    </row>
    <row r="43" spans="2:77">
      <c r="B43" s="1478"/>
      <c r="C43" s="1044"/>
      <c r="D43" s="1044"/>
      <c r="E43" s="1044"/>
      <c r="F43" s="1044"/>
      <c r="G43" s="1044"/>
      <c r="H43" s="1044"/>
      <c r="I43" s="1044"/>
      <c r="J43" s="1044"/>
      <c r="K43" s="1044"/>
      <c r="L43" s="1044"/>
      <c r="M43" s="1044"/>
      <c r="N43" s="1044"/>
      <c r="O43" s="1044"/>
      <c r="P43" s="1044"/>
      <c r="Q43" s="1044"/>
      <c r="R43" s="1044"/>
      <c r="S43" s="1044"/>
      <c r="T43" s="1044"/>
      <c r="U43" s="1044"/>
      <c r="V43" s="1044"/>
      <c r="W43" s="1044"/>
      <c r="X43" s="1044"/>
      <c r="Y43" s="1044"/>
      <c r="Z43" s="1044"/>
      <c r="AA43" s="1044"/>
      <c r="AB43" s="1044"/>
      <c r="AC43" s="1044"/>
      <c r="AD43" s="1044"/>
      <c r="AE43" s="1044"/>
      <c r="AF43" s="1044"/>
      <c r="AG43" s="1044"/>
      <c r="AH43" s="1044"/>
      <c r="AI43" s="1044"/>
      <c r="AJ43" s="1044"/>
      <c r="AK43" s="1044"/>
      <c r="AL43" s="1044"/>
      <c r="AM43" s="1044"/>
      <c r="AN43" s="1044"/>
      <c r="AO43" s="1044"/>
      <c r="AP43" s="1044"/>
      <c r="AQ43" s="1044"/>
      <c r="AR43" s="1044"/>
      <c r="AS43" s="1044"/>
      <c r="AT43" s="1044"/>
      <c r="AU43" s="1044"/>
      <c r="AV43" s="1044"/>
      <c r="AW43" s="1044"/>
      <c r="AX43" s="1044"/>
      <c r="AY43" s="1044"/>
      <c r="AZ43" s="1044"/>
      <c r="BA43" s="1044"/>
      <c r="BB43" s="1044"/>
      <c r="BC43" s="1044"/>
      <c r="BD43" s="1044"/>
      <c r="BE43" s="1044"/>
      <c r="BF43" s="1044"/>
      <c r="BG43" s="1044"/>
      <c r="BH43" s="1044"/>
      <c r="BI43" s="1044"/>
      <c r="BJ43" s="1044"/>
      <c r="BK43" s="1044"/>
      <c r="BL43" s="1044"/>
      <c r="BM43" s="1044"/>
      <c r="BN43" s="1044"/>
      <c r="BO43" s="1044"/>
      <c r="BP43" s="1044"/>
      <c r="BQ43" s="1044"/>
      <c r="BR43" s="1044"/>
      <c r="BS43" s="1480"/>
      <c r="BT43" s="1453">
        <v>0</v>
      </c>
      <c r="BU43" s="1453">
        <v>0</v>
      </c>
      <c r="BV43" s="1453">
        <v>8760</v>
      </c>
      <c r="BW43" s="1453">
        <v>0</v>
      </c>
      <c r="BX43" s="1453"/>
      <c r="BY43" s="1455"/>
    </row>
    <row r="44" spans="2:77">
      <c r="B44" s="1478"/>
      <c r="C44" s="1044"/>
      <c r="D44" s="1044"/>
      <c r="E44" s="1044"/>
      <c r="F44" s="1044"/>
      <c r="G44" s="1044"/>
      <c r="H44" s="1044"/>
      <c r="I44" s="1044"/>
      <c r="J44" s="1044"/>
      <c r="K44" s="1044"/>
      <c r="L44" s="1044"/>
      <c r="M44" s="1044"/>
      <c r="N44" s="1044"/>
      <c r="O44" s="1044"/>
      <c r="P44" s="1044"/>
      <c r="Q44" s="1044"/>
      <c r="R44" s="1044"/>
      <c r="S44" s="1044"/>
      <c r="T44" s="1044"/>
      <c r="U44" s="1044"/>
      <c r="V44" s="1044"/>
      <c r="W44" s="1044"/>
      <c r="X44" s="1044"/>
      <c r="Y44" s="1044"/>
      <c r="Z44" s="1044"/>
      <c r="AA44" s="1044"/>
      <c r="AB44" s="1044"/>
      <c r="AC44" s="1044"/>
      <c r="AD44" s="1044"/>
      <c r="AE44" s="1044"/>
      <c r="AF44" s="1044"/>
      <c r="AG44" s="1044"/>
      <c r="AH44" s="1044"/>
      <c r="AI44" s="1044"/>
      <c r="AJ44" s="1044"/>
      <c r="AK44" s="1044"/>
      <c r="AL44" s="1044"/>
      <c r="AM44" s="1044"/>
      <c r="AN44" s="1044"/>
      <c r="AO44" s="1044"/>
      <c r="AP44" s="1044"/>
      <c r="AQ44" s="1044"/>
      <c r="AR44" s="1044"/>
      <c r="AS44" s="1044"/>
      <c r="AT44" s="1044"/>
      <c r="AU44" s="1044"/>
      <c r="AV44" s="1044"/>
      <c r="AW44" s="1044"/>
      <c r="AX44" s="1044"/>
      <c r="AY44" s="1044"/>
      <c r="AZ44" s="1044"/>
      <c r="BA44" s="1044"/>
      <c r="BB44" s="1044"/>
      <c r="BC44" s="1044"/>
      <c r="BD44" s="1044"/>
      <c r="BE44" s="1044"/>
      <c r="BF44" s="1044"/>
      <c r="BG44" s="1044"/>
      <c r="BH44" s="1044"/>
      <c r="BI44" s="1044"/>
      <c r="BJ44" s="1044"/>
      <c r="BK44" s="1044"/>
      <c r="BL44" s="1044"/>
      <c r="BM44" s="1044"/>
      <c r="BN44" s="1044"/>
      <c r="BO44" s="1044"/>
      <c r="BP44" s="1044"/>
      <c r="BQ44" s="1044"/>
      <c r="BR44" s="1044"/>
      <c r="BS44" s="1480"/>
      <c r="BT44" s="1453"/>
      <c r="BU44" s="1453"/>
      <c r="BV44" s="1453"/>
      <c r="BW44" s="1453"/>
      <c r="BX44" s="1453"/>
      <c r="BY44" s="1455"/>
    </row>
    <row r="45" spans="2:77">
      <c r="B45" s="1478"/>
      <c r="C45" s="1044"/>
      <c r="D45" s="1044"/>
      <c r="E45" s="1044"/>
      <c r="F45" s="1044"/>
      <c r="G45" s="1044"/>
      <c r="H45" s="1044"/>
      <c r="I45" s="1044"/>
      <c r="J45" s="1044"/>
      <c r="K45" s="1044"/>
      <c r="L45" s="1044"/>
      <c r="M45" s="1044"/>
      <c r="N45" s="1044"/>
      <c r="O45" s="1044"/>
      <c r="P45" s="1044"/>
      <c r="Q45" s="1044"/>
      <c r="R45" s="1044"/>
      <c r="S45" s="1044"/>
      <c r="T45" s="1044"/>
      <c r="U45" s="1044"/>
      <c r="V45" s="1044"/>
      <c r="W45" s="1044"/>
      <c r="X45" s="1044"/>
      <c r="Y45" s="1044"/>
      <c r="Z45" s="1044"/>
      <c r="AA45" s="1044"/>
      <c r="AB45" s="1044"/>
      <c r="AC45" s="1044"/>
      <c r="AD45" s="1044"/>
      <c r="AE45" s="1044"/>
      <c r="AF45" s="1044"/>
      <c r="AG45" s="1044"/>
      <c r="AH45" s="1044"/>
      <c r="AI45" s="1044"/>
      <c r="AJ45" s="1044"/>
      <c r="AK45" s="1044"/>
      <c r="AL45" s="1044"/>
      <c r="AM45" s="1044"/>
      <c r="AN45" s="1044"/>
      <c r="AO45" s="1044"/>
      <c r="AP45" s="1044"/>
      <c r="AQ45" s="1044"/>
      <c r="AR45" s="1044"/>
      <c r="AS45" s="1044"/>
      <c r="AT45" s="1044"/>
      <c r="AU45" s="1044"/>
      <c r="AV45" s="1044"/>
      <c r="AW45" s="1044"/>
      <c r="AX45" s="1044"/>
      <c r="AY45" s="1044"/>
      <c r="AZ45" s="1044"/>
      <c r="BA45" s="1044"/>
      <c r="BB45" s="1044"/>
      <c r="BC45" s="1044"/>
      <c r="BD45" s="1044"/>
      <c r="BE45" s="1044"/>
      <c r="BF45" s="1044"/>
      <c r="BG45" s="1044"/>
      <c r="BH45" s="1044"/>
      <c r="BI45" s="1044"/>
      <c r="BJ45" s="1044"/>
      <c r="BK45" s="1044"/>
      <c r="BL45" s="1044"/>
      <c r="BM45" s="1044"/>
      <c r="BN45" s="1044"/>
      <c r="BO45" s="1044"/>
      <c r="BP45" s="1044"/>
      <c r="BQ45" s="1044"/>
      <c r="BR45" s="1044"/>
      <c r="BS45" s="1480"/>
      <c r="BT45" s="1453"/>
      <c r="BU45" s="1453"/>
      <c r="BV45" s="1453"/>
      <c r="BW45" s="1453"/>
      <c r="BX45" s="1453"/>
      <c r="BY45" s="1455"/>
    </row>
    <row r="46" spans="2:77">
      <c r="B46" s="1478"/>
      <c r="C46" s="1044"/>
      <c r="D46" s="1044"/>
      <c r="E46" s="1044"/>
      <c r="F46" s="1044"/>
      <c r="G46" s="1044"/>
      <c r="H46" s="1044"/>
      <c r="I46" s="1044"/>
      <c r="J46" s="1044"/>
      <c r="K46" s="1044"/>
      <c r="L46" s="1044"/>
      <c r="M46" s="1044"/>
      <c r="N46" s="1044"/>
      <c r="O46" s="1044"/>
      <c r="P46" s="1044"/>
      <c r="Q46" s="1044"/>
      <c r="R46" s="1044"/>
      <c r="S46" s="1044"/>
      <c r="T46" s="1044"/>
      <c r="U46" s="1044"/>
      <c r="V46" s="1044"/>
      <c r="W46" s="1044"/>
      <c r="X46" s="1044"/>
      <c r="Y46" s="1044"/>
      <c r="Z46" s="1044"/>
      <c r="AA46" s="1044"/>
      <c r="AB46" s="1044"/>
      <c r="AC46" s="1044"/>
      <c r="AD46" s="1044"/>
      <c r="AE46" s="1044"/>
      <c r="AF46" s="1044"/>
      <c r="AG46" s="1044"/>
      <c r="AH46" s="1044"/>
      <c r="AI46" s="1044"/>
      <c r="AJ46" s="1044"/>
      <c r="AK46" s="1044"/>
      <c r="AL46" s="1044"/>
      <c r="AM46" s="1044"/>
      <c r="AN46" s="1044"/>
      <c r="AO46" s="1044"/>
      <c r="AP46" s="1044"/>
      <c r="AQ46" s="1044"/>
      <c r="AR46" s="1044"/>
      <c r="AS46" s="1044"/>
      <c r="AT46" s="1044"/>
      <c r="AU46" s="1044"/>
      <c r="AV46" s="1044"/>
      <c r="AW46" s="1044"/>
      <c r="AX46" s="1044"/>
      <c r="AY46" s="1044"/>
      <c r="AZ46" s="1044"/>
      <c r="BA46" s="1044"/>
      <c r="BB46" s="1044"/>
      <c r="BC46" s="1044"/>
      <c r="BD46" s="1044"/>
      <c r="BE46" s="1044"/>
      <c r="BF46" s="1044"/>
      <c r="BG46" s="1044"/>
      <c r="BH46" s="1044"/>
      <c r="BI46" s="1044"/>
      <c r="BJ46" s="1044"/>
      <c r="BK46" s="1044"/>
      <c r="BL46" s="1044"/>
      <c r="BM46" s="1044"/>
      <c r="BN46" s="1044"/>
      <c r="BO46" s="1044"/>
      <c r="BP46" s="1044"/>
      <c r="BQ46" s="1044"/>
      <c r="BR46" s="1044"/>
      <c r="BS46" s="1480"/>
      <c r="BT46" s="1453"/>
      <c r="BU46" s="1453"/>
      <c r="BV46" s="1453"/>
      <c r="BW46" s="1453"/>
      <c r="BX46" s="1453"/>
      <c r="BY46" s="1455"/>
    </row>
    <row r="47" spans="2:77">
      <c r="B47" s="1478"/>
      <c r="C47" s="1044"/>
      <c r="D47" s="1044"/>
      <c r="E47" s="1044"/>
      <c r="F47" s="1044"/>
      <c r="G47" s="1044"/>
      <c r="H47" s="1044"/>
      <c r="I47" s="1044"/>
      <c r="J47" s="1044"/>
      <c r="K47" s="1044"/>
      <c r="L47" s="1044"/>
      <c r="M47" s="1044"/>
      <c r="N47" s="1044"/>
      <c r="O47" s="1044"/>
      <c r="P47" s="1044"/>
      <c r="Q47" s="1044"/>
      <c r="R47" s="1044"/>
      <c r="S47" s="1044"/>
      <c r="T47" s="1044"/>
      <c r="U47" s="1044"/>
      <c r="V47" s="1044"/>
      <c r="W47" s="1044"/>
      <c r="X47" s="1044"/>
      <c r="Y47" s="1044"/>
      <c r="Z47" s="1044"/>
      <c r="AA47" s="1044"/>
      <c r="AB47" s="1044"/>
      <c r="AC47" s="1044"/>
      <c r="AD47" s="1044"/>
      <c r="AE47" s="1044"/>
      <c r="AF47" s="1044"/>
      <c r="AG47" s="1044"/>
      <c r="AH47" s="1044"/>
      <c r="AI47" s="1044"/>
      <c r="AJ47" s="1044"/>
      <c r="AK47" s="1044"/>
      <c r="AL47" s="1044"/>
      <c r="AM47" s="1044"/>
      <c r="AN47" s="1044"/>
      <c r="AO47" s="1044"/>
      <c r="AP47" s="1044"/>
      <c r="AQ47" s="1044"/>
      <c r="AR47" s="1044"/>
      <c r="AS47" s="1044"/>
      <c r="AT47" s="1044"/>
      <c r="AU47" s="1044"/>
      <c r="AV47" s="1044"/>
      <c r="AW47" s="1044"/>
      <c r="AX47" s="1044"/>
      <c r="AY47" s="1044"/>
      <c r="AZ47" s="1044"/>
      <c r="BA47" s="1044"/>
      <c r="BB47" s="1044"/>
      <c r="BC47" s="1044"/>
      <c r="BD47" s="1044"/>
      <c r="BE47" s="1044"/>
      <c r="BF47" s="1044"/>
      <c r="BG47" s="1044"/>
      <c r="BH47" s="1044"/>
      <c r="BI47" s="1044"/>
      <c r="BJ47" s="1044"/>
      <c r="BK47" s="1044"/>
      <c r="BL47" s="1044"/>
      <c r="BM47" s="1044"/>
      <c r="BN47" s="1044"/>
      <c r="BO47" s="1044"/>
      <c r="BP47" s="1044"/>
      <c r="BQ47" s="1044"/>
      <c r="BR47" s="1044"/>
      <c r="BS47" s="1480"/>
      <c r="BT47" s="1453"/>
      <c r="BU47" s="1453"/>
      <c r="BV47" s="1453"/>
      <c r="BW47" s="1453"/>
      <c r="BX47" s="1453"/>
      <c r="BY47" s="1455"/>
    </row>
    <row r="48" spans="2:77">
      <c r="B48" s="1478"/>
      <c r="C48" s="1044"/>
      <c r="D48" s="1044"/>
      <c r="E48" s="1044"/>
      <c r="F48" s="1044"/>
      <c r="G48" s="1044"/>
      <c r="H48" s="1044"/>
      <c r="I48" s="1044"/>
      <c r="J48" s="1044"/>
      <c r="K48" s="1044"/>
      <c r="L48" s="1044"/>
      <c r="M48" s="1044"/>
      <c r="N48" s="1044"/>
      <c r="O48" s="1044"/>
      <c r="P48" s="1044"/>
      <c r="Q48" s="1044"/>
      <c r="R48" s="1044"/>
      <c r="S48" s="1044"/>
      <c r="T48" s="1044"/>
      <c r="U48" s="1044"/>
      <c r="V48" s="1044"/>
      <c r="W48" s="1044"/>
      <c r="X48" s="1044"/>
      <c r="Y48" s="1044"/>
      <c r="Z48" s="1044"/>
      <c r="AA48" s="1044"/>
      <c r="AB48" s="1044"/>
      <c r="AC48" s="1044"/>
      <c r="AD48" s="1044"/>
      <c r="AE48" s="1044"/>
      <c r="AF48" s="1044"/>
      <c r="AG48" s="1044"/>
      <c r="AH48" s="1044"/>
      <c r="AI48" s="1044"/>
      <c r="AJ48" s="1044"/>
      <c r="AK48" s="1044"/>
      <c r="AL48" s="1044"/>
      <c r="AM48" s="1044"/>
      <c r="AN48" s="1044"/>
      <c r="AO48" s="1044"/>
      <c r="AP48" s="1044"/>
      <c r="AQ48" s="1044"/>
      <c r="AR48" s="1044"/>
      <c r="AS48" s="1044"/>
      <c r="AT48" s="1044"/>
      <c r="AU48" s="1044"/>
      <c r="AV48" s="1044"/>
      <c r="AW48" s="1044"/>
      <c r="AX48" s="1044"/>
      <c r="AY48" s="1044"/>
      <c r="AZ48" s="1044"/>
      <c r="BA48" s="1044"/>
      <c r="BB48" s="1044"/>
      <c r="BC48" s="1044"/>
      <c r="BD48" s="1044"/>
      <c r="BE48" s="1044"/>
      <c r="BF48" s="1044"/>
      <c r="BG48" s="1044"/>
      <c r="BH48" s="1044"/>
      <c r="BI48" s="1044"/>
      <c r="BJ48" s="1044"/>
      <c r="BK48" s="1044"/>
      <c r="BL48" s="1044"/>
      <c r="BM48" s="1044"/>
      <c r="BN48" s="1044"/>
      <c r="BO48" s="1044"/>
      <c r="BP48" s="1044"/>
      <c r="BQ48" s="1044"/>
      <c r="BR48" s="1044"/>
      <c r="BS48" s="1480"/>
      <c r="BT48" s="1453"/>
      <c r="BU48" s="1453"/>
      <c r="BV48" s="1453"/>
      <c r="BW48" s="1453"/>
      <c r="BX48" s="1453"/>
      <c r="BY48" s="1455"/>
    </row>
    <row r="49" spans="2:77" ht="12.75" thickBot="1">
      <c r="B49" s="1481"/>
      <c r="C49" s="1482"/>
      <c r="D49" s="1482"/>
      <c r="E49" s="1482"/>
      <c r="F49" s="1482"/>
      <c r="G49" s="1482"/>
      <c r="H49" s="1482"/>
      <c r="I49" s="1482"/>
      <c r="J49" s="1482"/>
      <c r="K49" s="1482"/>
      <c r="L49" s="1482"/>
      <c r="M49" s="1482"/>
      <c r="N49" s="1482"/>
      <c r="O49" s="1482"/>
      <c r="P49" s="1482"/>
      <c r="Q49" s="1482"/>
      <c r="R49" s="1482"/>
      <c r="S49" s="1482"/>
      <c r="T49" s="1482"/>
      <c r="U49" s="1482"/>
      <c r="V49" s="1482"/>
      <c r="W49" s="1482"/>
      <c r="X49" s="1482"/>
      <c r="Y49" s="1482"/>
      <c r="Z49" s="1482"/>
      <c r="AA49" s="1482"/>
      <c r="AB49" s="1482"/>
      <c r="AC49" s="1482"/>
      <c r="AD49" s="1482"/>
      <c r="AE49" s="1482"/>
      <c r="AF49" s="1482"/>
      <c r="AG49" s="1482"/>
      <c r="AH49" s="1482"/>
      <c r="AI49" s="1482"/>
      <c r="AJ49" s="1482"/>
      <c r="AK49" s="1482"/>
      <c r="AL49" s="1482"/>
      <c r="AM49" s="1482"/>
      <c r="AN49" s="1482"/>
      <c r="AO49" s="1482"/>
      <c r="AP49" s="1482"/>
      <c r="AQ49" s="1482"/>
      <c r="AR49" s="1482"/>
      <c r="AS49" s="1482"/>
      <c r="AT49" s="1482"/>
      <c r="AU49" s="1482"/>
      <c r="AV49" s="1482"/>
      <c r="AW49" s="1482"/>
      <c r="AX49" s="1482"/>
      <c r="AY49" s="1482"/>
      <c r="AZ49" s="1482"/>
      <c r="BA49" s="1482"/>
      <c r="BB49" s="1482"/>
      <c r="BC49" s="1482"/>
      <c r="BD49" s="1482"/>
      <c r="BE49" s="1482"/>
      <c r="BF49" s="1482"/>
      <c r="BG49" s="1482"/>
      <c r="BH49" s="1482"/>
      <c r="BI49" s="1482"/>
      <c r="BJ49" s="1482"/>
      <c r="BK49" s="1482"/>
      <c r="BL49" s="1482"/>
      <c r="BM49" s="1482"/>
      <c r="BN49" s="1482"/>
      <c r="BO49" s="1482"/>
      <c r="BP49" s="1482"/>
      <c r="BQ49" s="1482"/>
      <c r="BR49" s="1482"/>
      <c r="BS49" s="1483"/>
      <c r="BT49" s="1484"/>
      <c r="BU49" s="1484"/>
      <c r="BV49" s="1484"/>
      <c r="BW49" s="1484"/>
      <c r="BX49" s="1484"/>
      <c r="BY49" s="1485"/>
    </row>
    <row r="50" spans="2:77" ht="12.75" thickBot="1">
      <c r="B50" s="1486"/>
      <c r="C50" s="1487"/>
      <c r="D50" s="1487"/>
      <c r="E50" s="1487"/>
      <c r="F50" s="1487"/>
      <c r="G50" s="1487"/>
      <c r="H50" s="1487"/>
      <c r="I50" s="1487"/>
      <c r="J50" s="1487"/>
      <c r="K50" s="1487"/>
      <c r="L50" s="1487"/>
      <c r="M50" s="1487"/>
      <c r="N50" s="1487"/>
      <c r="O50" s="1487"/>
      <c r="P50" s="1487"/>
      <c r="Q50" s="1487"/>
      <c r="R50" s="1487"/>
      <c r="S50" s="1487"/>
      <c r="T50" s="1487"/>
      <c r="U50" s="1487"/>
      <c r="V50" s="1487"/>
      <c r="W50" s="1487"/>
      <c r="X50" s="1487"/>
      <c r="Y50" s="1487"/>
      <c r="Z50" s="1487"/>
      <c r="AA50" s="1487"/>
      <c r="AB50" s="1487"/>
      <c r="AC50" s="1487"/>
      <c r="AD50" s="1487"/>
      <c r="AE50" s="1487"/>
      <c r="AF50" s="1487"/>
      <c r="AG50" s="1487"/>
      <c r="AH50" s="1487"/>
      <c r="AI50" s="1487"/>
      <c r="AJ50" s="1487"/>
      <c r="AK50" s="1487"/>
      <c r="AL50" s="1487"/>
      <c r="AM50" s="1487"/>
      <c r="AN50" s="1487"/>
      <c r="AO50" s="1487"/>
      <c r="AP50" s="1487"/>
      <c r="AQ50" s="1487"/>
      <c r="AR50" s="1487"/>
      <c r="AS50" s="1487"/>
      <c r="AT50" s="1487"/>
      <c r="AU50" s="1487"/>
      <c r="AV50" s="1487"/>
      <c r="AW50" s="1487"/>
      <c r="AX50" s="1487"/>
      <c r="AY50" s="1487"/>
      <c r="AZ50" s="1487"/>
      <c r="BA50" s="1487"/>
      <c r="BB50" s="1487"/>
      <c r="BC50" s="1487"/>
      <c r="BD50" s="1487"/>
      <c r="BE50" s="1487"/>
      <c r="BF50" s="1487"/>
      <c r="BG50" s="1487"/>
      <c r="BH50" s="1487"/>
      <c r="BI50" s="1487"/>
      <c r="BJ50" s="1487"/>
      <c r="BK50" s="1487"/>
      <c r="BL50" s="1487"/>
      <c r="BM50" s="1487"/>
      <c r="BN50" s="1487"/>
      <c r="BO50" s="1487"/>
      <c r="BP50" s="1487"/>
      <c r="BQ50" s="1487"/>
      <c r="BR50" s="1487"/>
      <c r="BS50" s="1488"/>
      <c r="BU50" s="1434"/>
      <c r="BV50" s="1434"/>
      <c r="BW50" s="1434"/>
    </row>
    <row r="51" spans="2:77">
      <c r="BU51" s="1434"/>
      <c r="BV51" s="1434"/>
      <c r="BW51" s="1434"/>
    </row>
    <row r="52" spans="2:77">
      <c r="BU52" s="1434"/>
      <c r="BV52" s="1434"/>
      <c r="BW52" s="1434"/>
    </row>
    <row r="53" spans="2:77">
      <c r="B53" s="1821" t="s">
        <v>3845</v>
      </c>
      <c r="C53" s="1822"/>
      <c r="D53" s="1822"/>
      <c r="E53" s="1822"/>
      <c r="F53" s="1822"/>
      <c r="G53" s="1823"/>
      <c r="BU53" s="1434"/>
      <c r="BV53" s="1434"/>
      <c r="BW53" s="1434"/>
    </row>
    <row r="54" spans="2:77">
      <c r="B54" s="1040"/>
      <c r="C54" s="1041"/>
      <c r="D54" s="1041"/>
      <c r="E54" s="1041"/>
      <c r="F54" s="1041"/>
      <c r="G54" s="1042"/>
      <c r="BU54" s="1434"/>
      <c r="BV54" s="1434"/>
      <c r="BW54" s="1434"/>
    </row>
    <row r="55" spans="2:77">
      <c r="B55" s="1043"/>
      <c r="C55" s="1044"/>
      <c r="D55" s="1044"/>
      <c r="E55" s="1044"/>
      <c r="F55" s="1044"/>
      <c r="G55" s="1045"/>
      <c r="BU55" s="1434"/>
      <c r="BV55" s="1434"/>
      <c r="BW55" s="1434"/>
    </row>
    <row r="56" spans="2:77">
      <c r="B56" s="1046"/>
      <c r="C56" s="1044"/>
      <c r="D56" s="1044"/>
      <c r="E56" s="1044"/>
      <c r="F56" s="1044"/>
      <c r="G56" s="1045"/>
      <c r="BU56" s="1434"/>
      <c r="BV56" s="1434"/>
      <c r="BW56" s="1434"/>
    </row>
    <row r="57" spans="2:77">
      <c r="B57" s="1046"/>
      <c r="C57" s="1044"/>
      <c r="D57" s="1044"/>
      <c r="E57" s="1044"/>
      <c r="F57" s="1044"/>
      <c r="G57" s="1045"/>
      <c r="BU57" s="1434"/>
      <c r="BV57" s="1434"/>
      <c r="BW57" s="1434"/>
    </row>
    <row r="58" spans="2:77">
      <c r="B58" s="1047"/>
      <c r="C58" s="1048"/>
      <c r="D58" s="1048"/>
      <c r="E58" s="1048"/>
      <c r="F58" s="1048"/>
      <c r="G58" s="1049"/>
      <c r="BU58" s="1434"/>
      <c r="BV58" s="1434"/>
      <c r="BW58" s="1434"/>
    </row>
    <row r="59" spans="2:77">
      <c r="BU59" s="1434"/>
      <c r="BV59" s="1434"/>
      <c r="BW59" s="1434"/>
    </row>
    <row r="60" spans="2:77">
      <c r="BU60" s="1434"/>
      <c r="BV60" s="1434"/>
      <c r="BW60" s="1434"/>
    </row>
    <row r="61" spans="2:77">
      <c r="BU61" s="1434"/>
      <c r="BV61" s="1434"/>
      <c r="BW61" s="1434"/>
    </row>
    <row r="62" spans="2:77">
      <c r="BU62" s="1434"/>
      <c r="BV62" s="1434"/>
      <c r="BW62" s="1434"/>
    </row>
    <row r="63" spans="2:77">
      <c r="BU63" s="1434"/>
      <c r="BV63" s="1434"/>
      <c r="BW63" s="1434"/>
    </row>
    <row r="64" spans="2:77">
      <c r="BU64" s="1434"/>
      <c r="BV64" s="1434"/>
      <c r="BW64" s="1434"/>
    </row>
    <row r="65" spans="73:75">
      <c r="BU65" s="1434"/>
      <c r="BV65" s="1434"/>
      <c r="BW65" s="1434"/>
    </row>
    <row r="66" spans="73:75">
      <c r="BU66" s="1434"/>
      <c r="BV66" s="1434"/>
      <c r="BW66" s="1434"/>
    </row>
    <row r="67" spans="73:75">
      <c r="BU67" s="1434"/>
      <c r="BV67" s="1434"/>
      <c r="BW67" s="1434"/>
    </row>
    <row r="68" spans="73:75">
      <c r="BU68" s="1434"/>
      <c r="BV68" s="1434"/>
      <c r="BW68" s="1434"/>
    </row>
    <row r="69" spans="73:75">
      <c r="BU69" s="1434"/>
      <c r="BV69" s="1434"/>
      <c r="BW69" s="1434"/>
    </row>
    <row r="70" spans="73:75">
      <c r="BU70" s="1434"/>
      <c r="BV70" s="1434"/>
      <c r="BW70" s="1434"/>
    </row>
    <row r="71" spans="73:75">
      <c r="BU71" s="1434"/>
      <c r="BV71" s="1434"/>
      <c r="BW71" s="1434"/>
    </row>
    <row r="72" spans="73:75">
      <c r="BU72" s="1434"/>
      <c r="BV72" s="1434"/>
      <c r="BW72" s="1434"/>
    </row>
    <row r="73" spans="73:75">
      <c r="BU73" s="1434"/>
      <c r="BV73" s="1434"/>
      <c r="BW73" s="1434"/>
    </row>
    <row r="74" spans="73:75">
      <c r="BU74" s="1434"/>
      <c r="BV74" s="1434"/>
      <c r="BW74" s="1434"/>
    </row>
    <row r="75" spans="73:75">
      <c r="BU75" s="1434"/>
      <c r="BV75" s="1434"/>
      <c r="BW75" s="1434"/>
    </row>
    <row r="76" spans="73:75">
      <c r="BU76" s="1434"/>
      <c r="BV76" s="1434"/>
      <c r="BW76" s="1434"/>
    </row>
    <row r="77" spans="73:75">
      <c r="BU77" s="1434"/>
      <c r="BV77" s="1434"/>
      <c r="BW77" s="1434"/>
    </row>
    <row r="78" spans="73:75">
      <c r="BU78" s="1434"/>
      <c r="BV78" s="1434"/>
      <c r="BW78" s="1434"/>
    </row>
    <row r="79" spans="73:75">
      <c r="BU79" s="1434"/>
      <c r="BV79" s="1434"/>
      <c r="BW79" s="1434"/>
    </row>
    <row r="80" spans="73:75">
      <c r="BU80" s="1434"/>
      <c r="BV80" s="1434"/>
      <c r="BW80" s="1434"/>
    </row>
    <row r="81" spans="73:75">
      <c r="BU81" s="1434"/>
      <c r="BV81" s="1434"/>
      <c r="BW81" s="1434"/>
    </row>
    <row r="82" spans="73:75">
      <c r="BU82" s="1434"/>
      <c r="BV82" s="1434"/>
      <c r="BW82" s="1434"/>
    </row>
    <row r="83" spans="73:75">
      <c r="BU83" s="1434"/>
      <c r="BV83" s="1434"/>
      <c r="BW83" s="1434"/>
    </row>
    <row r="84" spans="73:75">
      <c r="BU84" s="1434"/>
      <c r="BV84" s="1434"/>
      <c r="BW84" s="1434"/>
    </row>
    <row r="85" spans="73:75">
      <c r="BU85" s="1434"/>
      <c r="BV85" s="1434"/>
      <c r="BW85" s="1434"/>
    </row>
    <row r="86" spans="73:75">
      <c r="BU86" s="1434"/>
      <c r="BV86" s="1434"/>
      <c r="BW86" s="1434"/>
    </row>
    <row r="87" spans="73:75">
      <c r="BU87" s="1434"/>
      <c r="BV87" s="1434"/>
      <c r="BW87" s="1434"/>
    </row>
    <row r="88" spans="73:75">
      <c r="BU88" s="1434"/>
      <c r="BV88" s="1434"/>
      <c r="BW88" s="1434"/>
    </row>
    <row r="89" spans="73:75">
      <c r="BU89" s="1434"/>
      <c r="BV89" s="1434"/>
      <c r="BW89" s="1434"/>
    </row>
    <row r="90" spans="73:75">
      <c r="BU90" s="1434"/>
      <c r="BV90" s="1434"/>
      <c r="BW90" s="1434"/>
    </row>
    <row r="91" spans="73:75">
      <c r="BU91" s="1434"/>
      <c r="BV91" s="1434"/>
      <c r="BW91" s="1434"/>
    </row>
    <row r="92" spans="73:75">
      <c r="BU92" s="1434"/>
      <c r="BV92" s="1434"/>
      <c r="BW92" s="1434"/>
    </row>
    <row r="93" spans="73:75">
      <c r="BU93" s="1434"/>
      <c r="BV93" s="1434"/>
      <c r="BW93" s="1434"/>
    </row>
    <row r="94" spans="73:75">
      <c r="BU94" s="1434"/>
      <c r="BV94" s="1434"/>
      <c r="BW94" s="1434"/>
    </row>
    <row r="95" spans="73:75">
      <c r="BU95" s="1434"/>
      <c r="BV95" s="1434"/>
      <c r="BW95" s="1434"/>
    </row>
    <row r="96" spans="73:75">
      <c r="BU96" s="1434"/>
      <c r="BV96" s="1434"/>
      <c r="BW96" s="1434"/>
    </row>
    <row r="97" spans="73:75">
      <c r="BU97" s="1434"/>
      <c r="BV97" s="1434"/>
      <c r="BW97" s="1434"/>
    </row>
    <row r="98" spans="73:75">
      <c r="BU98" s="1434"/>
      <c r="BV98" s="1434"/>
      <c r="BW98" s="1434"/>
    </row>
    <row r="99" spans="73:75">
      <c r="BU99" s="1434"/>
      <c r="BV99" s="1434"/>
      <c r="BW99" s="1434"/>
    </row>
    <row r="100" spans="73:75">
      <c r="BU100" s="1434"/>
      <c r="BV100" s="1434"/>
      <c r="BW100" s="1434"/>
    </row>
    <row r="101" spans="73:75">
      <c r="BU101" s="1434"/>
      <c r="BV101" s="1434"/>
      <c r="BW101" s="1434"/>
    </row>
    <row r="102" spans="73:75">
      <c r="BU102" s="1434"/>
      <c r="BV102" s="1434"/>
      <c r="BW102" s="1434"/>
    </row>
    <row r="103" spans="73:75">
      <c r="BU103" s="1434"/>
      <c r="BV103" s="1434"/>
      <c r="BW103" s="1434"/>
    </row>
    <row r="104" spans="73:75">
      <c r="BU104" s="1434"/>
      <c r="BV104" s="1434"/>
      <c r="BW104" s="1434"/>
    </row>
    <row r="105" spans="73:75">
      <c r="BU105" s="1434"/>
      <c r="BV105" s="1434"/>
      <c r="BW105" s="1434"/>
    </row>
    <row r="106" spans="73:75">
      <c r="BU106" s="1434"/>
      <c r="BV106" s="1434"/>
      <c r="BW106" s="1434"/>
    </row>
    <row r="107" spans="73:75">
      <c r="BU107" s="1434"/>
      <c r="BV107" s="1434"/>
      <c r="BW107" s="1434"/>
    </row>
    <row r="108" spans="73:75">
      <c r="BU108" s="1434"/>
      <c r="BV108" s="1434"/>
      <c r="BW108" s="1434"/>
    </row>
    <row r="109" spans="73:75">
      <c r="BU109" s="1434"/>
      <c r="BV109" s="1434"/>
      <c r="BW109" s="1434"/>
    </row>
    <row r="110" spans="73:75">
      <c r="BU110" s="1434"/>
      <c r="BV110" s="1434"/>
      <c r="BW110" s="1434"/>
    </row>
    <row r="111" spans="73:75">
      <c r="BU111" s="1434"/>
      <c r="BV111" s="1434"/>
      <c r="BW111" s="1434"/>
    </row>
    <row r="112" spans="73:75">
      <c r="BU112" s="1434"/>
      <c r="BV112" s="1434"/>
      <c r="BW112" s="1434"/>
    </row>
    <row r="113" spans="73:75">
      <c r="BU113" s="1434"/>
      <c r="BV113" s="1434"/>
      <c r="BW113" s="1434"/>
    </row>
    <row r="114" spans="73:75">
      <c r="BU114" s="1434"/>
      <c r="BV114" s="1434"/>
      <c r="BW114" s="1434"/>
    </row>
    <row r="115" spans="73:75">
      <c r="BU115" s="1434"/>
      <c r="BV115" s="1434"/>
      <c r="BW115" s="1434"/>
    </row>
    <row r="116" spans="73:75">
      <c r="BU116" s="1434"/>
      <c r="BV116" s="1434"/>
      <c r="BW116" s="1434"/>
    </row>
    <row r="117" spans="73:75">
      <c r="BU117" s="1434"/>
      <c r="BV117" s="1434"/>
      <c r="BW117" s="1434"/>
    </row>
    <row r="118" spans="73:75">
      <c r="BU118" s="1434"/>
      <c r="BV118" s="1434"/>
      <c r="BW118" s="1434"/>
    </row>
    <row r="119" spans="73:75">
      <c r="BU119" s="1434"/>
      <c r="BV119" s="1434"/>
      <c r="BW119" s="1434"/>
    </row>
    <row r="120" spans="73:75">
      <c r="BU120" s="1434"/>
      <c r="BV120" s="1434"/>
      <c r="BW120" s="1434"/>
    </row>
    <row r="121" spans="73:75">
      <c r="BU121" s="1434"/>
      <c r="BV121" s="1434"/>
      <c r="BW121" s="1434"/>
    </row>
    <row r="122" spans="73:75">
      <c r="BU122" s="1434"/>
      <c r="BV122" s="1434"/>
      <c r="BW122" s="1434"/>
    </row>
    <row r="123" spans="73:75">
      <c r="BU123" s="1434"/>
      <c r="BV123" s="1434"/>
      <c r="BW123" s="1434"/>
    </row>
    <row r="124" spans="73:75">
      <c r="BU124" s="1434"/>
      <c r="BV124" s="1434"/>
      <c r="BW124" s="1434"/>
    </row>
    <row r="125" spans="73:75">
      <c r="BU125" s="1434"/>
      <c r="BV125" s="1434"/>
      <c r="BW125" s="1434"/>
    </row>
    <row r="126" spans="73:75">
      <c r="BU126" s="1434"/>
      <c r="BV126" s="1434"/>
      <c r="BW126" s="1434"/>
    </row>
    <row r="127" spans="73:75">
      <c r="BU127" s="1434"/>
      <c r="BV127" s="1434"/>
      <c r="BW127" s="1434"/>
    </row>
    <row r="128" spans="73:75">
      <c r="BU128" s="1434"/>
      <c r="BV128" s="1434"/>
      <c r="BW128" s="1434"/>
    </row>
    <row r="129" spans="73:75">
      <c r="BU129" s="1434"/>
      <c r="BV129" s="1434"/>
      <c r="BW129" s="1434"/>
    </row>
    <row r="130" spans="73:75">
      <c r="BU130" s="1434"/>
      <c r="BV130" s="1434"/>
      <c r="BW130" s="1434"/>
    </row>
    <row r="131" spans="73:75">
      <c r="BU131" s="1434"/>
      <c r="BV131" s="1434"/>
      <c r="BW131" s="1434"/>
    </row>
  </sheetData>
  <sheetProtection sheet="1" objects="1" scenarios="1" formatCells="0" insertRows="0" deleteRows="0"/>
  <mergeCells count="4">
    <mergeCell ref="B19:L19"/>
    <mergeCell ref="BO10:BQ10"/>
    <mergeCell ref="BT10:BY10"/>
    <mergeCell ref="B53:G53"/>
  </mergeCells>
  <phoneticPr fontId="32" type="noConversion"/>
  <pageMargins left="0.7" right="0.7" top="0.75" bottom="0.75" header="0.3" footer="0.3"/>
  <pageSetup orientation="portrait" horizontalDpi="4294967293" vertic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FF99"/>
    <pageSetUpPr fitToPage="1"/>
  </sheetPr>
  <dimension ref="B1:C38"/>
  <sheetViews>
    <sheetView showGridLines="0" workbookViewId="0">
      <selection activeCell="B2" sqref="B2"/>
    </sheetView>
  </sheetViews>
  <sheetFormatPr defaultRowHeight="12"/>
  <cols>
    <col min="1" max="1" width="2.42578125" style="471" customWidth="1"/>
    <col min="2" max="2" width="9.140625" style="471"/>
    <col min="3" max="3" width="112.85546875" style="471" customWidth="1"/>
    <col min="4" max="258" width="9.140625" style="471"/>
    <col min="259" max="259" width="112.7109375" style="471" customWidth="1"/>
    <col min="260" max="514" width="9.140625" style="471"/>
    <col min="515" max="515" width="112.7109375" style="471" customWidth="1"/>
    <col min="516" max="770" width="9.140625" style="471"/>
    <col min="771" max="771" width="112.7109375" style="471" customWidth="1"/>
    <col min="772" max="1026" width="9.140625" style="471"/>
    <col min="1027" max="1027" width="112.7109375" style="471" customWidth="1"/>
    <col min="1028" max="1282" width="9.140625" style="471"/>
    <col min="1283" max="1283" width="112.7109375" style="471" customWidth="1"/>
    <col min="1284" max="1538" width="9.140625" style="471"/>
    <col min="1539" max="1539" width="112.7109375" style="471" customWidth="1"/>
    <col min="1540" max="1794" width="9.140625" style="471"/>
    <col min="1795" max="1795" width="112.7109375" style="471" customWidth="1"/>
    <col min="1796" max="2050" width="9.140625" style="471"/>
    <col min="2051" max="2051" width="112.7109375" style="471" customWidth="1"/>
    <col min="2052" max="2306" width="9.140625" style="471"/>
    <col min="2307" max="2307" width="112.7109375" style="471" customWidth="1"/>
    <col min="2308" max="2562" width="9.140625" style="471"/>
    <col min="2563" max="2563" width="112.7109375" style="471" customWidth="1"/>
    <col min="2564" max="2818" width="9.140625" style="471"/>
    <col min="2819" max="2819" width="112.7109375" style="471" customWidth="1"/>
    <col min="2820" max="3074" width="9.140625" style="471"/>
    <col min="3075" max="3075" width="112.7109375" style="471" customWidth="1"/>
    <col min="3076" max="3330" width="9.140625" style="471"/>
    <col min="3331" max="3331" width="112.7109375" style="471" customWidth="1"/>
    <col min="3332" max="3586" width="9.140625" style="471"/>
    <col min="3587" max="3587" width="112.7109375" style="471" customWidth="1"/>
    <col min="3588" max="3842" width="9.140625" style="471"/>
    <col min="3843" max="3843" width="112.7109375" style="471" customWidth="1"/>
    <col min="3844" max="4098" width="9.140625" style="471"/>
    <col min="4099" max="4099" width="112.7109375" style="471" customWidth="1"/>
    <col min="4100" max="4354" width="9.140625" style="471"/>
    <col min="4355" max="4355" width="112.7109375" style="471" customWidth="1"/>
    <col min="4356" max="4610" width="9.140625" style="471"/>
    <col min="4611" max="4611" width="112.7109375" style="471" customWidth="1"/>
    <col min="4612" max="4866" width="9.140625" style="471"/>
    <col min="4867" max="4867" width="112.7109375" style="471" customWidth="1"/>
    <col min="4868" max="5122" width="9.140625" style="471"/>
    <col min="5123" max="5123" width="112.7109375" style="471" customWidth="1"/>
    <col min="5124" max="5378" width="9.140625" style="471"/>
    <col min="5379" max="5379" width="112.7109375" style="471" customWidth="1"/>
    <col min="5380" max="5634" width="9.140625" style="471"/>
    <col min="5635" max="5635" width="112.7109375" style="471" customWidth="1"/>
    <col min="5636" max="5890" width="9.140625" style="471"/>
    <col min="5891" max="5891" width="112.7109375" style="471" customWidth="1"/>
    <col min="5892" max="6146" width="9.140625" style="471"/>
    <col min="6147" max="6147" width="112.7109375" style="471" customWidth="1"/>
    <col min="6148" max="6402" width="9.140625" style="471"/>
    <col min="6403" max="6403" width="112.7109375" style="471" customWidth="1"/>
    <col min="6404" max="6658" width="9.140625" style="471"/>
    <col min="6659" max="6659" width="112.7109375" style="471" customWidth="1"/>
    <col min="6660" max="6914" width="9.140625" style="471"/>
    <col min="6915" max="6915" width="112.7109375" style="471" customWidth="1"/>
    <col min="6916" max="7170" width="9.140625" style="471"/>
    <col min="7171" max="7171" width="112.7109375" style="471" customWidth="1"/>
    <col min="7172" max="7426" width="9.140625" style="471"/>
    <col min="7427" max="7427" width="112.7109375" style="471" customWidth="1"/>
    <col min="7428" max="7682" width="9.140625" style="471"/>
    <col min="7683" max="7683" width="112.7109375" style="471" customWidth="1"/>
    <col min="7684" max="7938" width="9.140625" style="471"/>
    <col min="7939" max="7939" width="112.7109375" style="471" customWidth="1"/>
    <col min="7940" max="8194" width="9.140625" style="471"/>
    <col min="8195" max="8195" width="112.7109375" style="471" customWidth="1"/>
    <col min="8196" max="8450" width="9.140625" style="471"/>
    <col min="8451" max="8451" width="112.7109375" style="471" customWidth="1"/>
    <col min="8452" max="8706" width="9.140625" style="471"/>
    <col min="8707" max="8707" width="112.7109375" style="471" customWidth="1"/>
    <col min="8708" max="8962" width="9.140625" style="471"/>
    <col min="8963" max="8963" width="112.7109375" style="471" customWidth="1"/>
    <col min="8964" max="9218" width="9.140625" style="471"/>
    <col min="9219" max="9219" width="112.7109375" style="471" customWidth="1"/>
    <col min="9220" max="9474" width="9.140625" style="471"/>
    <col min="9475" max="9475" width="112.7109375" style="471" customWidth="1"/>
    <col min="9476" max="9730" width="9.140625" style="471"/>
    <col min="9731" max="9731" width="112.7109375" style="471" customWidth="1"/>
    <col min="9732" max="9986" width="9.140625" style="471"/>
    <col min="9987" max="9987" width="112.7109375" style="471" customWidth="1"/>
    <col min="9988" max="10242" width="9.140625" style="471"/>
    <col min="10243" max="10243" width="112.7109375" style="471" customWidth="1"/>
    <col min="10244" max="10498" width="9.140625" style="471"/>
    <col min="10499" max="10499" width="112.7109375" style="471" customWidth="1"/>
    <col min="10500" max="10754" width="9.140625" style="471"/>
    <col min="10755" max="10755" width="112.7109375" style="471" customWidth="1"/>
    <col min="10756" max="11010" width="9.140625" style="471"/>
    <col min="11011" max="11011" width="112.7109375" style="471" customWidth="1"/>
    <col min="11012" max="11266" width="9.140625" style="471"/>
    <col min="11267" max="11267" width="112.7109375" style="471" customWidth="1"/>
    <col min="11268" max="11522" width="9.140625" style="471"/>
    <col min="11523" max="11523" width="112.7109375" style="471" customWidth="1"/>
    <col min="11524" max="11778" width="9.140625" style="471"/>
    <col min="11779" max="11779" width="112.7109375" style="471" customWidth="1"/>
    <col min="11780" max="12034" width="9.140625" style="471"/>
    <col min="12035" max="12035" width="112.7109375" style="471" customWidth="1"/>
    <col min="12036" max="12290" width="9.140625" style="471"/>
    <col min="12291" max="12291" width="112.7109375" style="471" customWidth="1"/>
    <col min="12292" max="12546" width="9.140625" style="471"/>
    <col min="12547" max="12547" width="112.7109375" style="471" customWidth="1"/>
    <col min="12548" max="12802" width="9.140625" style="471"/>
    <col min="12803" max="12803" width="112.7109375" style="471" customWidth="1"/>
    <col min="12804" max="13058" width="9.140625" style="471"/>
    <col min="13059" max="13059" width="112.7109375" style="471" customWidth="1"/>
    <col min="13060" max="13314" width="9.140625" style="471"/>
    <col min="13315" max="13315" width="112.7109375" style="471" customWidth="1"/>
    <col min="13316" max="13570" width="9.140625" style="471"/>
    <col min="13571" max="13571" width="112.7109375" style="471" customWidth="1"/>
    <col min="13572" max="13826" width="9.140625" style="471"/>
    <col min="13827" max="13827" width="112.7109375" style="471" customWidth="1"/>
    <col min="13828" max="14082" width="9.140625" style="471"/>
    <col min="14083" max="14083" width="112.7109375" style="471" customWidth="1"/>
    <col min="14084" max="14338" width="9.140625" style="471"/>
    <col min="14339" max="14339" width="112.7109375" style="471" customWidth="1"/>
    <col min="14340" max="14594" width="9.140625" style="471"/>
    <col min="14595" max="14595" width="112.7109375" style="471" customWidth="1"/>
    <col min="14596" max="14850" width="9.140625" style="471"/>
    <col min="14851" max="14851" width="112.7109375" style="471" customWidth="1"/>
    <col min="14852" max="15106" width="9.140625" style="471"/>
    <col min="15107" max="15107" width="112.7109375" style="471" customWidth="1"/>
    <col min="15108" max="15362" width="9.140625" style="471"/>
    <col min="15363" max="15363" width="112.7109375" style="471" customWidth="1"/>
    <col min="15364" max="15618" width="9.140625" style="471"/>
    <col min="15619" max="15619" width="112.7109375" style="471" customWidth="1"/>
    <col min="15620" max="15874" width="9.140625" style="471"/>
    <col min="15875" max="15875" width="112.7109375" style="471" customWidth="1"/>
    <col min="15876" max="16130" width="9.140625" style="471"/>
    <col min="16131" max="16131" width="112.7109375" style="471" customWidth="1"/>
    <col min="16132" max="16384" width="9.140625" style="471"/>
  </cols>
  <sheetData>
    <row r="1" spans="2:3" ht="18.75">
      <c r="B1" s="583" t="s">
        <v>3344</v>
      </c>
      <c r="C1" s="572"/>
    </row>
    <row r="2" spans="2:3" ht="18.75">
      <c r="B2" s="583" t="s">
        <v>4056</v>
      </c>
      <c r="C2" s="572"/>
    </row>
    <row r="3" spans="2:3" ht="12.75" thickBot="1">
      <c r="B3" s="573"/>
      <c r="C3" s="574"/>
    </row>
    <row r="4" spans="2:3" ht="35.25" customHeight="1">
      <c r="B4" s="1804" t="s">
        <v>3685</v>
      </c>
      <c r="C4" s="1805"/>
    </row>
    <row r="5" spans="2:3">
      <c r="B5" s="575"/>
      <c r="C5" s="576"/>
    </row>
    <row r="6" spans="2:3" ht="30.75" customHeight="1">
      <c r="B6" s="2239" t="s">
        <v>3345</v>
      </c>
      <c r="C6" s="2240"/>
    </row>
    <row r="7" spans="2:3">
      <c r="B7" s="575"/>
      <c r="C7" s="576"/>
    </row>
    <row r="8" spans="2:3">
      <c r="B8" s="577" t="s">
        <v>3346</v>
      </c>
      <c r="C8" s="578"/>
    </row>
    <row r="9" spans="2:3">
      <c r="B9" s="577"/>
      <c r="C9" s="579" t="s">
        <v>3347</v>
      </c>
    </row>
    <row r="10" spans="2:3">
      <c r="B10" s="577"/>
      <c r="C10" s="578"/>
    </row>
    <row r="11" spans="2:3">
      <c r="B11" s="577" t="s">
        <v>3348</v>
      </c>
      <c r="C11" s="578"/>
    </row>
    <row r="12" spans="2:3" ht="24">
      <c r="B12" s="577"/>
      <c r="C12" s="579" t="s">
        <v>3349</v>
      </c>
    </row>
    <row r="13" spans="2:3">
      <c r="B13" s="577"/>
      <c r="C13" s="582"/>
    </row>
    <row r="14" spans="2:3">
      <c r="B14" s="577" t="s">
        <v>520</v>
      </c>
      <c r="C14" s="578"/>
    </row>
    <row r="15" spans="2:3">
      <c r="B15" s="577"/>
      <c r="C15" s="579" t="s">
        <v>3350</v>
      </c>
    </row>
    <row r="16" spans="2:3">
      <c r="B16" s="577"/>
      <c r="C16" s="582"/>
    </row>
    <row r="17" spans="2:3">
      <c r="B17" s="577" t="s">
        <v>3351</v>
      </c>
      <c r="C17" s="578"/>
    </row>
    <row r="18" spans="2:3" ht="24">
      <c r="B18" s="577"/>
      <c r="C18" s="579" t="s">
        <v>3352</v>
      </c>
    </row>
    <row r="19" spans="2:3">
      <c r="B19" s="577"/>
      <c r="C19" s="582"/>
    </row>
    <row r="20" spans="2:3">
      <c r="B20" s="577" t="s">
        <v>3353</v>
      </c>
      <c r="C20" s="578"/>
    </row>
    <row r="21" spans="2:3" ht="60">
      <c r="B21" s="577"/>
      <c r="C21" s="579" t="s">
        <v>3354</v>
      </c>
    </row>
    <row r="22" spans="2:3">
      <c r="B22" s="577"/>
      <c r="C22" s="582"/>
    </row>
    <row r="23" spans="2:3">
      <c r="B23" s="577" t="s">
        <v>3313</v>
      </c>
      <c r="C23" s="578"/>
    </row>
    <row r="24" spans="2:3" ht="14.25" customHeight="1">
      <c r="B24" s="577"/>
      <c r="C24" s="579" t="s">
        <v>3355</v>
      </c>
    </row>
    <row r="25" spans="2:3">
      <c r="B25" s="577"/>
      <c r="C25" s="582"/>
    </row>
    <row r="26" spans="2:3">
      <c r="B26" s="577"/>
      <c r="C26" s="582"/>
    </row>
    <row r="27" spans="2:3">
      <c r="B27" s="577" t="s">
        <v>3080</v>
      </c>
      <c r="C27" s="578"/>
    </row>
    <row r="28" spans="2:3" ht="48">
      <c r="B28" s="577"/>
      <c r="C28" s="579" t="s">
        <v>3686</v>
      </c>
    </row>
    <row r="29" spans="2:3">
      <c r="B29" s="577"/>
      <c r="C29" s="578"/>
    </row>
    <row r="30" spans="2:3">
      <c r="B30" s="577" t="s">
        <v>3356</v>
      </c>
      <c r="C30" s="578"/>
    </row>
    <row r="31" spans="2:3">
      <c r="B31" s="577"/>
      <c r="C31" s="579" t="s">
        <v>3987</v>
      </c>
    </row>
    <row r="32" spans="2:3">
      <c r="B32" s="577"/>
      <c r="C32" s="578"/>
    </row>
    <row r="33" spans="2:3">
      <c r="B33" s="577" t="s">
        <v>3357</v>
      </c>
      <c r="C33" s="578"/>
    </row>
    <row r="34" spans="2:3" ht="24">
      <c r="B34" s="577"/>
      <c r="C34" s="579" t="s">
        <v>3358</v>
      </c>
    </row>
    <row r="35" spans="2:3">
      <c r="B35" s="577"/>
      <c r="C35" s="578"/>
    </row>
    <row r="36" spans="2:3">
      <c r="B36" s="577" t="s">
        <v>3359</v>
      </c>
      <c r="C36" s="578"/>
    </row>
    <row r="37" spans="2:3" ht="27.75" customHeight="1">
      <c r="B37" s="577"/>
      <c r="C37" s="579" t="s">
        <v>3360</v>
      </c>
    </row>
    <row r="38" spans="2:3" ht="12.75" thickBot="1">
      <c r="B38" s="796"/>
      <c r="C38" s="797"/>
    </row>
  </sheetData>
  <mergeCells count="2">
    <mergeCell ref="B4:C4"/>
    <mergeCell ref="B6:C6"/>
  </mergeCells>
  <pageMargins left="0.7" right="0.7" top="0.75" bottom="0.75" header="0.3" footer="0.3"/>
  <pageSetup scale="8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6" tint="0.39997558519241921"/>
    <pageSetUpPr fitToPage="1"/>
  </sheetPr>
  <dimension ref="A1:G27"/>
  <sheetViews>
    <sheetView showGridLines="0" zoomScaleNormal="100" workbookViewId="0">
      <selection activeCell="B1" sqref="B1"/>
    </sheetView>
  </sheetViews>
  <sheetFormatPr defaultRowHeight="12"/>
  <cols>
    <col min="1" max="1" width="3" style="471" customWidth="1"/>
    <col min="2" max="2" width="35.42578125" style="471" customWidth="1"/>
    <col min="3" max="3" width="19.42578125" style="471" bestFit="1" customWidth="1"/>
    <col min="4" max="4" width="23.140625" style="471" customWidth="1"/>
    <col min="5" max="5" width="29.85546875" style="471" customWidth="1"/>
    <col min="6" max="7" width="9.140625" style="471"/>
    <col min="8" max="9" width="9.140625" style="471" customWidth="1"/>
    <col min="10" max="16384" width="9.140625" style="471"/>
  </cols>
  <sheetData>
    <row r="1" spans="2:6" ht="18.75">
      <c r="B1" s="477" t="s">
        <v>888</v>
      </c>
    </row>
    <row r="2" spans="2:6">
      <c r="B2" s="471" t="s">
        <v>3361</v>
      </c>
    </row>
    <row r="3" spans="2:6">
      <c r="B3" s="478"/>
      <c r="C3" s="625" t="s">
        <v>3015</v>
      </c>
    </row>
    <row r="4" spans="2:6">
      <c r="B4" s="473" t="s">
        <v>1256</v>
      </c>
      <c r="C4" s="568">
        <f>'Basic Info'!C4</f>
        <v>0</v>
      </c>
    </row>
    <row r="5" spans="2:6">
      <c r="B5" s="473" t="s">
        <v>1257</v>
      </c>
      <c r="C5" s="568">
        <f>'Basic Info'!C5</f>
        <v>0</v>
      </c>
    </row>
    <row r="6" spans="2:6">
      <c r="B6" s="473" t="s">
        <v>1258</v>
      </c>
      <c r="C6" s="568">
        <f>'Basic Info'!C6</f>
        <v>0</v>
      </c>
    </row>
    <row r="7" spans="2:6">
      <c r="B7" s="473" t="s">
        <v>19</v>
      </c>
      <c r="C7" s="568">
        <f>'Basic Info'!C7</f>
        <v>0</v>
      </c>
    </row>
    <row r="8" spans="2:6">
      <c r="B8" s="473" t="s">
        <v>20</v>
      </c>
      <c r="C8" s="568">
        <f>'Basic Info'!C8</f>
        <v>0</v>
      </c>
    </row>
    <row r="9" spans="2:6">
      <c r="C9" s="471" t="s">
        <v>701</v>
      </c>
    </row>
    <row r="10" spans="2:6">
      <c r="B10" s="625" t="s">
        <v>1259</v>
      </c>
      <c r="C10" s="625" t="s">
        <v>21</v>
      </c>
      <c r="D10" s="625" t="s">
        <v>22</v>
      </c>
      <c r="E10" s="525"/>
      <c r="F10" s="417"/>
    </row>
    <row r="11" spans="2:6">
      <c r="B11" s="474" t="s">
        <v>17</v>
      </c>
      <c r="C11" s="568">
        <f>'Basic Info'!C11</f>
        <v>0</v>
      </c>
      <c r="D11" s="568" t="str">
        <f>'Basic Info'!D11</f>
        <v>N/A</v>
      </c>
      <c r="E11" s="526"/>
      <c r="F11" s="527"/>
    </row>
    <row r="12" spans="2:6">
      <c r="B12" s="474" t="s">
        <v>971</v>
      </c>
      <c r="C12" s="568">
        <f>'Basic Info'!C12</f>
        <v>0</v>
      </c>
      <c r="D12" s="568" t="str">
        <f>'Basic Info'!D12</f>
        <v>N/A</v>
      </c>
      <c r="E12" s="526"/>
      <c r="F12" s="527"/>
    </row>
    <row r="13" spans="2:6">
      <c r="B13" s="474" t="s">
        <v>972</v>
      </c>
      <c r="C13" s="568">
        <f>'Basic Info'!C13</f>
        <v>0</v>
      </c>
      <c r="D13" s="568" t="str">
        <f>'Basic Info'!D13</f>
        <v>N/A</v>
      </c>
      <c r="E13" s="798"/>
      <c r="F13" s="527"/>
    </row>
    <row r="14" spans="2:6">
      <c r="B14" s="474" t="s">
        <v>973</v>
      </c>
      <c r="C14" s="568">
        <f>'Basic Info'!C14</f>
        <v>0</v>
      </c>
      <c r="D14" s="568" t="str">
        <f>'Basic Info'!D14</f>
        <v>N/A</v>
      </c>
      <c r="E14" s="798"/>
      <c r="F14" s="527"/>
    </row>
    <row r="15" spans="2:6">
      <c r="B15" s="474" t="s">
        <v>974</v>
      </c>
      <c r="C15" s="568">
        <f>'Basic Info'!C15</f>
        <v>0</v>
      </c>
      <c r="D15" s="568" t="str">
        <f>'Basic Info'!D15</f>
        <v>N/A</v>
      </c>
      <c r="E15" s="798"/>
      <c r="F15" s="527"/>
    </row>
    <row r="16" spans="2:6">
      <c r="B16" s="474" t="s">
        <v>975</v>
      </c>
      <c r="C16" s="568">
        <f>'Basic Info'!C16</f>
        <v>0</v>
      </c>
      <c r="D16" s="568" t="str">
        <f>'Basic Info'!D16</f>
        <v>N/A</v>
      </c>
      <c r="E16" s="798"/>
      <c r="F16" s="527"/>
    </row>
    <row r="17" spans="1:7">
      <c r="B17" s="474" t="s">
        <v>976</v>
      </c>
      <c r="C17" s="568">
        <f>'Basic Info'!C17</f>
        <v>0</v>
      </c>
      <c r="D17" s="568" t="str">
        <f>'Basic Info'!D17</f>
        <v>N/A</v>
      </c>
      <c r="E17" s="798"/>
      <c r="F17" s="527"/>
    </row>
    <row r="18" spans="1:7">
      <c r="B18" s="474" t="s">
        <v>1196</v>
      </c>
      <c r="C18" s="568">
        <f>'Basic Info'!C18</f>
        <v>0</v>
      </c>
      <c r="D18" s="568" t="str">
        <f>'Basic Info'!D18</f>
        <v>N/A</v>
      </c>
      <c r="E18" s="798"/>
      <c r="F18" s="527"/>
    </row>
    <row r="19" spans="1:7">
      <c r="B19" s="474" t="s">
        <v>1260</v>
      </c>
      <c r="C19" s="568">
        <f>'Basic Info'!C19</f>
        <v>0</v>
      </c>
      <c r="D19" s="568" t="str">
        <f>'Basic Info'!D19</f>
        <v>N/A</v>
      </c>
      <c r="E19" s="798"/>
      <c r="F19" s="527"/>
    </row>
    <row r="20" spans="1:7">
      <c r="B20" s="474" t="s">
        <v>977</v>
      </c>
      <c r="C20" s="568">
        <f>'Basic Info'!C20</f>
        <v>0</v>
      </c>
      <c r="D20" s="568" t="str">
        <f>'Basic Info'!D20</f>
        <v>N/A</v>
      </c>
      <c r="E20" s="798"/>
      <c r="F20" s="527"/>
      <c r="G20" s="528"/>
    </row>
    <row r="21" spans="1:7">
      <c r="B21" s="474" t="s">
        <v>978</v>
      </c>
      <c r="C21" s="568">
        <f>'Basic Info'!C21</f>
        <v>0</v>
      </c>
      <c r="D21" s="568" t="str">
        <f>'Basic Info'!D21</f>
        <v>N/A</v>
      </c>
      <c r="E21" s="798"/>
      <c r="F21" s="527"/>
    </row>
    <row r="22" spans="1:7">
      <c r="B22" s="474" t="s">
        <v>979</v>
      </c>
      <c r="C22" s="568">
        <f>'Basic Info'!C24</f>
        <v>0</v>
      </c>
      <c r="D22" s="568" t="str">
        <f>'Basic Info'!D24</f>
        <v>N/A</v>
      </c>
      <c r="E22" s="798"/>
      <c r="F22" s="527"/>
    </row>
    <row r="23" spans="1:7">
      <c r="A23" s="417"/>
      <c r="B23" s="474" t="s">
        <v>2572</v>
      </c>
      <c r="C23" s="568">
        <f>'Basic Info'!C25</f>
        <v>0</v>
      </c>
      <c r="D23" s="568" t="str">
        <f>'Basic Info'!D25</f>
        <v>N/A</v>
      </c>
      <c r="E23" s="798"/>
      <c r="F23" s="527"/>
    </row>
    <row r="24" spans="1:7">
      <c r="B24" s="474" t="s">
        <v>2662</v>
      </c>
      <c r="C24" s="568">
        <f>'Basic Info'!C26</f>
        <v>0</v>
      </c>
      <c r="D24" s="861"/>
      <c r="E24" s="417"/>
      <c r="F24" s="417"/>
    </row>
    <row r="25" spans="1:7">
      <c r="B25" s="474" t="s">
        <v>2663</v>
      </c>
      <c r="C25" s="568">
        <f>'Basic Info'!C27</f>
        <v>0</v>
      </c>
      <c r="D25" s="838"/>
    </row>
    <row r="26" spans="1:7">
      <c r="C26" s="838"/>
      <c r="D26" s="838"/>
    </row>
    <row r="27" spans="1:7">
      <c r="B27" s="473" t="s">
        <v>2256</v>
      </c>
      <c r="C27" s="795" t="str">
        <f>'Basic Info'!C29</f>
        <v>N/A</v>
      </c>
      <c r="D27" s="838"/>
    </row>
  </sheetData>
  <dataValidations count="1">
    <dataValidation type="list" allowBlank="1" showInputMessage="1" showErrorMessage="1" sqref="C27">
      <formula1>Garage</formula1>
    </dataValidation>
  </dataValidations>
  <printOptions gridLines="1"/>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E18"/>
  <sheetViews>
    <sheetView showGridLines="0" workbookViewId="0">
      <selection activeCell="E18" sqref="E18"/>
    </sheetView>
  </sheetViews>
  <sheetFormatPr defaultRowHeight="12"/>
  <cols>
    <col min="1" max="1" width="9.140625" style="471"/>
    <col min="2" max="2" width="32.7109375" style="471" bestFit="1" customWidth="1"/>
    <col min="3" max="3" width="11.7109375" style="471" customWidth="1"/>
    <col min="4" max="4" width="16.7109375" style="471" bestFit="1" customWidth="1"/>
    <col min="5" max="16384" width="9.140625" style="471"/>
  </cols>
  <sheetData>
    <row r="2" spans="2:5">
      <c r="B2" s="524" t="s">
        <v>1259</v>
      </c>
      <c r="C2" s="524" t="s">
        <v>21</v>
      </c>
      <c r="D2" s="524" t="s">
        <v>22</v>
      </c>
      <c r="E2" s="524" t="s">
        <v>2661</v>
      </c>
    </row>
    <row r="3" spans="2:5">
      <c r="B3" s="474" t="s">
        <v>17</v>
      </c>
      <c r="C3" s="568">
        <f>'Basic Info'!C11</f>
        <v>0</v>
      </c>
      <c r="D3" s="568" t="str">
        <f>'Basic Info'!D11</f>
        <v>N/A</v>
      </c>
      <c r="E3" s="473">
        <f>IF(OR(D3="Heated &amp; Cooled",D3="Heated-Only")=TRUE,C3,0)</f>
        <v>0</v>
      </c>
    </row>
    <row r="4" spans="2:5">
      <c r="B4" s="474" t="s">
        <v>971</v>
      </c>
      <c r="C4" s="568">
        <f>'Basic Info'!C12</f>
        <v>0</v>
      </c>
      <c r="D4" s="568" t="str">
        <f>'Basic Info'!D12</f>
        <v>N/A</v>
      </c>
      <c r="E4" s="473">
        <f>IF(OR(D4="Heated &amp; Cooled",D4="Heated-Only")=TRUE,C4,0)</f>
        <v>0</v>
      </c>
    </row>
    <row r="5" spans="2:5">
      <c r="B5" s="474" t="s">
        <v>972</v>
      </c>
      <c r="C5" s="568">
        <f>'Basic Info'!C13</f>
        <v>0</v>
      </c>
      <c r="D5" s="568" t="str">
        <f>'Basic Info'!D13</f>
        <v>N/A</v>
      </c>
      <c r="E5" s="473">
        <f t="shared" ref="E5:E13" si="0">IF(OR(D5="Heated &amp; Cooled",D5="Heated-Only")=TRUE,C5,0)</f>
        <v>0</v>
      </c>
    </row>
    <row r="6" spans="2:5">
      <c r="B6" s="474" t="s">
        <v>973</v>
      </c>
      <c r="C6" s="568">
        <f>'Basic Info'!C14</f>
        <v>0</v>
      </c>
      <c r="D6" s="568" t="str">
        <f>'Basic Info'!D14</f>
        <v>N/A</v>
      </c>
      <c r="E6" s="473">
        <f t="shared" si="0"/>
        <v>0</v>
      </c>
    </row>
    <row r="7" spans="2:5">
      <c r="B7" s="474" t="s">
        <v>974</v>
      </c>
      <c r="C7" s="568">
        <f>'Basic Info'!C15</f>
        <v>0</v>
      </c>
      <c r="D7" s="568" t="str">
        <f>'Basic Info'!D15</f>
        <v>N/A</v>
      </c>
      <c r="E7" s="473">
        <f t="shared" si="0"/>
        <v>0</v>
      </c>
    </row>
    <row r="8" spans="2:5">
      <c r="B8" s="474" t="s">
        <v>975</v>
      </c>
      <c r="C8" s="568">
        <f>'Basic Info'!C16</f>
        <v>0</v>
      </c>
      <c r="D8" s="568" t="str">
        <f>'Basic Info'!D16</f>
        <v>N/A</v>
      </c>
      <c r="E8" s="473">
        <f t="shared" si="0"/>
        <v>0</v>
      </c>
    </row>
    <row r="9" spans="2:5">
      <c r="B9" s="474" t="s">
        <v>976</v>
      </c>
      <c r="C9" s="568">
        <f>'Basic Info'!C17</f>
        <v>0</v>
      </c>
      <c r="D9" s="568" t="str">
        <f>'Basic Info'!D17</f>
        <v>N/A</v>
      </c>
      <c r="E9" s="473">
        <f t="shared" si="0"/>
        <v>0</v>
      </c>
    </row>
    <row r="10" spans="2:5">
      <c r="B10" s="474" t="s">
        <v>1196</v>
      </c>
      <c r="C10" s="568">
        <f>'Basic Info'!C18</f>
        <v>0</v>
      </c>
      <c r="D10" s="568" t="str">
        <f>'Basic Info'!D18</f>
        <v>N/A</v>
      </c>
      <c r="E10" s="473">
        <f t="shared" si="0"/>
        <v>0</v>
      </c>
    </row>
    <row r="11" spans="2:5">
      <c r="B11" s="474" t="s">
        <v>1260</v>
      </c>
      <c r="C11" s="568">
        <f>'Basic Info'!C19</f>
        <v>0</v>
      </c>
      <c r="D11" s="568" t="str">
        <f>'Basic Info'!D19</f>
        <v>N/A</v>
      </c>
      <c r="E11" s="473">
        <f t="shared" si="0"/>
        <v>0</v>
      </c>
    </row>
    <row r="12" spans="2:5">
      <c r="B12" s="474" t="s">
        <v>977</v>
      </c>
      <c r="C12" s="568">
        <f>'Basic Info'!C20</f>
        <v>0</v>
      </c>
      <c r="D12" s="568" t="str">
        <f>'Basic Info'!D20</f>
        <v>N/A</v>
      </c>
      <c r="E12" s="473">
        <f t="shared" si="0"/>
        <v>0</v>
      </c>
    </row>
    <row r="13" spans="2:5">
      <c r="B13" s="474" t="s">
        <v>978</v>
      </c>
      <c r="C13" s="568">
        <f>'Basic Info'!C21</f>
        <v>0</v>
      </c>
      <c r="D13" s="568" t="str">
        <f>'Basic Info'!D21</f>
        <v>N/A</v>
      </c>
      <c r="E13" s="473">
        <f t="shared" si="0"/>
        <v>0</v>
      </c>
    </row>
    <row r="14" spans="2:5">
      <c r="B14" s="474" t="s">
        <v>3703</v>
      </c>
      <c r="C14" s="568">
        <f>'Basic Info'!C22</f>
        <v>0</v>
      </c>
      <c r="D14" s="568" t="str">
        <f>'Basic Info'!D22</f>
        <v>N/A</v>
      </c>
      <c r="E14" s="473">
        <f t="shared" ref="E14:E15" si="1">IF(OR(D14="Heated &amp; Cooled",D14="Heated-Only")=TRUE,C14,0)</f>
        <v>0</v>
      </c>
    </row>
    <row r="15" spans="2:5">
      <c r="B15" s="474" t="s">
        <v>3704</v>
      </c>
      <c r="C15" s="568">
        <f>'Basic Info'!C23</f>
        <v>0</v>
      </c>
      <c r="D15" s="568" t="str">
        <f>'Basic Info'!D23</f>
        <v>N/A</v>
      </c>
      <c r="E15" s="473">
        <f t="shared" si="1"/>
        <v>0</v>
      </c>
    </row>
    <row r="16" spans="2:5">
      <c r="B16" s="569" t="s">
        <v>979</v>
      </c>
      <c r="C16" s="570">
        <f>'Basic Info'!C24</f>
        <v>0</v>
      </c>
      <c r="D16" s="570" t="str">
        <f>'Basic Info'!D24</f>
        <v>N/A</v>
      </c>
      <c r="E16" s="864">
        <v>0</v>
      </c>
    </row>
    <row r="17" spans="2:5" ht="12.75" thickBot="1">
      <c r="B17" s="569" t="s">
        <v>2572</v>
      </c>
      <c r="C17" s="570">
        <f>'Basic Info'!C25</f>
        <v>0</v>
      </c>
      <c r="D17" s="570" t="str">
        <f>'Basic Info'!D25</f>
        <v>N/A</v>
      </c>
      <c r="E17" s="571">
        <v>0</v>
      </c>
    </row>
    <row r="18" spans="2:5" ht="12.75" thickBot="1">
      <c r="D18" s="471" t="s">
        <v>2999</v>
      </c>
      <c r="E18" s="476">
        <f>SUM(E3:E15)</f>
        <v>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6" tint="0.39997558519241921"/>
  </sheetPr>
  <dimension ref="A1:M38"/>
  <sheetViews>
    <sheetView showGridLines="0" workbookViewId="0"/>
  </sheetViews>
  <sheetFormatPr defaultRowHeight="12.75"/>
  <cols>
    <col min="1" max="1" width="2" style="1512" bestFit="1" customWidth="1"/>
    <col min="2" max="2" width="31.5703125" style="1512" customWidth="1"/>
    <col min="3" max="16384" width="9.140625" style="1512"/>
  </cols>
  <sheetData>
    <row r="1" spans="1:13" ht="18.75">
      <c r="B1" s="1489" t="s">
        <v>3362</v>
      </c>
    </row>
    <row r="2" spans="1:13" ht="16.5" customHeight="1">
      <c r="B2" s="1433"/>
    </row>
    <row r="3" spans="1:13">
      <c r="A3" s="1432"/>
      <c r="B3" s="1391" t="s">
        <v>3363</v>
      </c>
    </row>
    <row r="4" spans="1:13">
      <c r="A4" s="812">
        <v>1</v>
      </c>
      <c r="B4" s="1521" t="s">
        <v>3364</v>
      </c>
      <c r="C4" s="1513"/>
      <c r="D4" s="1513"/>
      <c r="E4" s="1513"/>
      <c r="F4" s="1513"/>
      <c r="G4" s="1513"/>
      <c r="H4" s="1513"/>
      <c r="I4" s="1513"/>
      <c r="J4" s="1513"/>
      <c r="K4" s="1513"/>
      <c r="L4" s="1513"/>
      <c r="M4" s="1514"/>
    </row>
    <row r="5" spans="1:13">
      <c r="A5" s="812">
        <v>2</v>
      </c>
      <c r="B5" s="1521" t="s">
        <v>3365</v>
      </c>
      <c r="C5" s="1513"/>
      <c r="D5" s="1513"/>
      <c r="E5" s="1513"/>
      <c r="F5" s="1513"/>
      <c r="G5" s="1513"/>
      <c r="H5" s="1513"/>
      <c r="I5" s="1513"/>
      <c r="J5" s="1513"/>
      <c r="K5" s="1513"/>
      <c r="L5" s="1513"/>
      <c r="M5" s="1514"/>
    </row>
    <row r="6" spans="1:13">
      <c r="A6" s="812">
        <v>3</v>
      </c>
      <c r="B6" s="1521" t="s">
        <v>3366</v>
      </c>
      <c r="C6" s="1513"/>
      <c r="D6" s="1513"/>
      <c r="E6" s="1513"/>
      <c r="F6" s="1513"/>
      <c r="G6" s="1513"/>
      <c r="H6" s="1513"/>
      <c r="I6" s="1513"/>
      <c r="J6" s="1513"/>
      <c r="K6" s="1513"/>
      <c r="L6" s="1513"/>
    </row>
    <row r="7" spans="1:13" s="1514" customFormat="1"/>
    <row r="8" spans="1:13">
      <c r="B8" s="1522"/>
      <c r="C8" s="2244" t="s">
        <v>889</v>
      </c>
      <c r="D8" s="2244"/>
      <c r="E8" s="2244" t="s">
        <v>3367</v>
      </c>
      <c r="F8" s="2244"/>
      <c r="G8" s="1432"/>
      <c r="H8" s="1432"/>
    </row>
    <row r="9" spans="1:13">
      <c r="B9" s="1522"/>
      <c r="C9" s="1522" t="s">
        <v>980</v>
      </c>
      <c r="D9" s="1522" t="s">
        <v>981</v>
      </c>
      <c r="E9" s="1522" t="s">
        <v>980</v>
      </c>
      <c r="F9" s="1522" t="s">
        <v>981</v>
      </c>
      <c r="G9" s="1432" t="s">
        <v>701</v>
      </c>
      <c r="H9" s="1432"/>
    </row>
    <row r="10" spans="1:13">
      <c r="B10" s="1523" t="s">
        <v>3368</v>
      </c>
      <c r="C10" s="1515">
        <v>0.4</v>
      </c>
      <c r="D10" s="1515"/>
      <c r="E10" s="1515">
        <v>0.4</v>
      </c>
      <c r="F10" s="1515"/>
      <c r="G10" s="1432"/>
      <c r="H10" s="1432"/>
    </row>
    <row r="11" spans="1:13">
      <c r="B11" s="1523" t="s">
        <v>3369</v>
      </c>
      <c r="C11" s="1515"/>
      <c r="D11" s="1515"/>
      <c r="E11" s="1515"/>
      <c r="F11" s="1515"/>
      <c r="G11" s="1432"/>
      <c r="H11" s="1432"/>
    </row>
    <row r="12" spans="1:13">
      <c r="B12" s="1524"/>
      <c r="C12" s="1516"/>
      <c r="D12" s="1516"/>
      <c r="E12" s="1516"/>
      <c r="F12" s="1516"/>
      <c r="G12" s="1432"/>
      <c r="H12" s="1432"/>
    </row>
    <row r="13" spans="1:13">
      <c r="B13" s="1524" t="s">
        <v>3370</v>
      </c>
      <c r="C13" s="1525">
        <f>C10/0.87</f>
        <v>0.45977011494252878</v>
      </c>
      <c r="D13" s="1525" t="str">
        <f>IF(D10="","",D10/0.88)</f>
        <v/>
      </c>
      <c r="E13" s="1525">
        <f>E10/0.87</f>
        <v>0.45977011494252878</v>
      </c>
      <c r="F13" s="1525" t="str">
        <f>IF(F10="","",F10/0.87)</f>
        <v/>
      </c>
      <c r="G13" s="1432"/>
      <c r="H13" s="1432"/>
    </row>
    <row r="14" spans="1:13">
      <c r="B14" s="1524" t="s">
        <v>3371</v>
      </c>
      <c r="C14" s="1525" t="str">
        <f>IF(C11="","",1/(1/C11-0.17))</f>
        <v/>
      </c>
      <c r="D14" s="1525" t="str">
        <f>IF(D11="","",1/(1/D11-0.17))</f>
        <v/>
      </c>
      <c r="E14" s="1525" t="str">
        <f>IF(E11="","",1/(1/E11-0.17))</f>
        <v/>
      </c>
      <c r="F14" s="1525" t="str">
        <f>IF(F11="","",1/(1/F11-0.17))</f>
        <v/>
      </c>
      <c r="G14" s="1432"/>
      <c r="H14" s="1432"/>
    </row>
    <row r="15" spans="1:13">
      <c r="B15" s="1432"/>
      <c r="C15" s="1432"/>
      <c r="D15" s="1432"/>
      <c r="E15" s="1432"/>
      <c r="F15" s="1432"/>
      <c r="G15" s="1432"/>
      <c r="H15" s="1432"/>
    </row>
    <row r="16" spans="1:13">
      <c r="B16" s="1526" t="s">
        <v>3372</v>
      </c>
      <c r="C16" s="812"/>
      <c r="D16" s="812"/>
      <c r="E16" s="812"/>
      <c r="F16" s="812"/>
      <c r="G16" s="812"/>
      <c r="H16" s="812"/>
    </row>
    <row r="17" spans="2:9">
      <c r="B17" s="799" t="s">
        <v>3373</v>
      </c>
      <c r="C17" s="2241" t="s">
        <v>3374</v>
      </c>
      <c r="D17" s="2242"/>
      <c r="E17" s="2241" t="s">
        <v>3375</v>
      </c>
      <c r="F17" s="2242"/>
      <c r="G17" s="2243" t="s">
        <v>3376</v>
      </c>
      <c r="H17" s="2242"/>
    </row>
    <row r="18" spans="2:9">
      <c r="B18" s="800"/>
      <c r="C18" s="801" t="s">
        <v>3377</v>
      </c>
      <c r="D18" s="801" t="s">
        <v>2552</v>
      </c>
      <c r="E18" s="801" t="s">
        <v>3377</v>
      </c>
      <c r="F18" s="801" t="s">
        <v>2552</v>
      </c>
      <c r="G18" s="801" t="s">
        <v>3377</v>
      </c>
      <c r="H18" s="801" t="s">
        <v>2552</v>
      </c>
    </row>
    <row r="19" spans="2:9">
      <c r="B19" s="802" t="s">
        <v>3378</v>
      </c>
      <c r="C19" s="803">
        <v>0.4</v>
      </c>
      <c r="D19" s="804">
        <v>0.4</v>
      </c>
      <c r="E19" s="805">
        <v>0.35</v>
      </c>
      <c r="F19" s="804">
        <v>0.4</v>
      </c>
      <c r="G19" s="806">
        <v>0.35</v>
      </c>
      <c r="H19" s="804">
        <v>0.4</v>
      </c>
    </row>
    <row r="20" spans="2:9">
      <c r="B20" s="802" t="s">
        <v>3379</v>
      </c>
      <c r="C20" s="803">
        <v>0.5</v>
      </c>
      <c r="D20" s="804">
        <v>0.4</v>
      </c>
      <c r="E20" s="805">
        <v>0.45</v>
      </c>
      <c r="F20" s="804">
        <v>0.4</v>
      </c>
      <c r="G20" s="806">
        <v>0.45</v>
      </c>
      <c r="H20" s="804">
        <v>0.4</v>
      </c>
    </row>
    <row r="21" spans="2:9">
      <c r="B21" s="802" t="s">
        <v>3380</v>
      </c>
      <c r="C21" s="805">
        <v>0.85</v>
      </c>
      <c r="D21" s="804">
        <v>0.4</v>
      </c>
      <c r="E21" s="803">
        <v>0.8</v>
      </c>
      <c r="F21" s="804">
        <v>0.4</v>
      </c>
      <c r="G21" s="807">
        <v>0.8</v>
      </c>
      <c r="H21" s="804">
        <v>0.4</v>
      </c>
    </row>
    <row r="22" spans="2:9">
      <c r="B22" s="808" t="s">
        <v>3381</v>
      </c>
      <c r="C22" s="809">
        <v>0.55000000000000004</v>
      </c>
      <c r="D22" s="810">
        <v>0.4</v>
      </c>
      <c r="E22" s="809">
        <v>0.55000000000000004</v>
      </c>
      <c r="F22" s="810">
        <v>0.4</v>
      </c>
      <c r="G22" s="811">
        <v>0.55000000000000004</v>
      </c>
      <c r="H22" s="810">
        <v>0.4</v>
      </c>
    </row>
    <row r="23" spans="2:9">
      <c r="B23" s="1517"/>
      <c r="C23" s="1518"/>
      <c r="D23" s="1518"/>
      <c r="E23" s="1518"/>
      <c r="F23" s="1518"/>
      <c r="G23" s="1518"/>
      <c r="H23" s="1518"/>
      <c r="I23" s="1519"/>
    </row>
    <row r="24" spans="2:9">
      <c r="B24" s="1432"/>
      <c r="C24" s="1518"/>
      <c r="D24" s="1518"/>
      <c r="E24" s="1518"/>
      <c r="F24" s="1518"/>
      <c r="G24" s="1518"/>
      <c r="H24" s="1518"/>
      <c r="I24" s="1519"/>
    </row>
    <row r="25" spans="2:9">
      <c r="B25" s="799" t="s">
        <v>3382</v>
      </c>
      <c r="C25" s="2241" t="s">
        <v>3374</v>
      </c>
      <c r="D25" s="2242"/>
      <c r="E25" s="2241" t="s">
        <v>3375</v>
      </c>
      <c r="F25" s="2242"/>
      <c r="G25" s="2243" t="s">
        <v>3376</v>
      </c>
      <c r="H25" s="2242"/>
    </row>
    <row r="26" spans="2:9">
      <c r="B26" s="800"/>
      <c r="C26" s="801" t="s">
        <v>3377</v>
      </c>
      <c r="D26" s="801" t="s">
        <v>2552</v>
      </c>
      <c r="E26" s="801" t="s">
        <v>3377</v>
      </c>
      <c r="F26" s="801" t="s">
        <v>2552</v>
      </c>
      <c r="G26" s="801" t="s">
        <v>3377</v>
      </c>
      <c r="H26" s="801" t="s">
        <v>2552</v>
      </c>
    </row>
    <row r="27" spans="2:9">
      <c r="B27" s="802" t="s">
        <v>3378</v>
      </c>
      <c r="C27" s="803">
        <v>0.4</v>
      </c>
      <c r="D27" s="804">
        <v>0.4</v>
      </c>
      <c r="E27" s="806">
        <v>0.35</v>
      </c>
      <c r="F27" s="804">
        <v>0.4</v>
      </c>
      <c r="G27" s="806">
        <v>0.35</v>
      </c>
      <c r="H27" s="804">
        <v>0.4</v>
      </c>
    </row>
    <row r="28" spans="2:9">
      <c r="B28" s="802" t="s">
        <v>3379</v>
      </c>
      <c r="C28" s="803">
        <v>0.5</v>
      </c>
      <c r="D28" s="804">
        <v>0.4</v>
      </c>
      <c r="E28" s="806">
        <v>0.45</v>
      </c>
      <c r="F28" s="804">
        <v>0.4</v>
      </c>
      <c r="G28" s="806">
        <v>0.45</v>
      </c>
      <c r="H28" s="804">
        <v>0.4</v>
      </c>
    </row>
    <row r="29" spans="2:9">
      <c r="B29" s="802" t="s">
        <v>3380</v>
      </c>
      <c r="C29" s="805">
        <v>0.85</v>
      </c>
      <c r="D29" s="804">
        <v>0.4</v>
      </c>
      <c r="E29" s="807">
        <v>0.8</v>
      </c>
      <c r="F29" s="804">
        <v>0.4</v>
      </c>
      <c r="G29" s="807">
        <v>0.8</v>
      </c>
      <c r="H29" s="804">
        <v>0.4</v>
      </c>
    </row>
    <row r="30" spans="2:9">
      <c r="B30" s="808" t="s">
        <v>3381</v>
      </c>
      <c r="C30" s="809">
        <v>0.55000000000000004</v>
      </c>
      <c r="D30" s="810">
        <v>0.4</v>
      </c>
      <c r="E30" s="811">
        <v>0.55000000000000004</v>
      </c>
      <c r="F30" s="810">
        <v>0.4</v>
      </c>
      <c r="G30" s="811">
        <v>0.55000000000000004</v>
      </c>
      <c r="H30" s="810">
        <v>0.4</v>
      </c>
    </row>
    <row r="31" spans="2:9">
      <c r="B31" s="1520"/>
    </row>
    <row r="32" spans="2:9">
      <c r="B32" s="1520"/>
      <c r="C32" s="1520"/>
      <c r="D32" s="1520"/>
      <c r="E32" s="1520"/>
      <c r="F32" s="1520"/>
      <c r="G32" s="1520"/>
    </row>
    <row r="33" spans="2:7">
      <c r="B33" s="1821" t="s">
        <v>3845</v>
      </c>
      <c r="C33" s="1822"/>
      <c r="D33" s="1822"/>
      <c r="E33" s="1822"/>
      <c r="F33" s="1822"/>
      <c r="G33" s="1823"/>
    </row>
    <row r="34" spans="2:7">
      <c r="B34" s="1040"/>
      <c r="C34" s="1041"/>
      <c r="D34" s="1041"/>
      <c r="E34" s="1041"/>
      <c r="F34" s="1041"/>
      <c r="G34" s="1042"/>
    </row>
    <row r="35" spans="2:7">
      <c r="B35" s="1043"/>
      <c r="C35" s="1044"/>
      <c r="D35" s="1044"/>
      <c r="E35" s="1044"/>
      <c r="F35" s="1044"/>
      <c r="G35" s="1045"/>
    </row>
    <row r="36" spans="2:7">
      <c r="B36" s="1046"/>
      <c r="C36" s="1044"/>
      <c r="D36" s="1044"/>
      <c r="E36" s="1044"/>
      <c r="F36" s="1044"/>
      <c r="G36" s="1045"/>
    </row>
    <row r="37" spans="2:7">
      <c r="B37" s="1046"/>
      <c r="C37" s="1044"/>
      <c r="D37" s="1044"/>
      <c r="E37" s="1044"/>
      <c r="F37" s="1044"/>
      <c r="G37" s="1045"/>
    </row>
    <row r="38" spans="2:7">
      <c r="B38" s="1047"/>
      <c r="C38" s="1048"/>
      <c r="D38" s="1048"/>
      <c r="E38" s="1048"/>
      <c r="F38" s="1048"/>
      <c r="G38" s="1049"/>
    </row>
  </sheetData>
  <sheetProtection sheet="1" objects="1" scenarios="1" formatCells="0" insertColumns="0" insertRows="0" deleteColumns="0" deleteRows="0"/>
  <mergeCells count="9">
    <mergeCell ref="B33:G33"/>
    <mergeCell ref="C25:D25"/>
    <mergeCell ref="E25:F25"/>
    <mergeCell ref="G25:H25"/>
    <mergeCell ref="C8:D8"/>
    <mergeCell ref="E8:F8"/>
    <mergeCell ref="C17:D17"/>
    <mergeCell ref="E17:F17"/>
    <mergeCell ref="G17:H17"/>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tint="0.39997558519241921"/>
  </sheetPr>
  <dimension ref="A1:J46"/>
  <sheetViews>
    <sheetView showGridLines="0" workbookViewId="0"/>
  </sheetViews>
  <sheetFormatPr defaultRowHeight="15"/>
  <cols>
    <col min="1" max="1" width="6.140625" style="1527" customWidth="1"/>
    <col min="2" max="2" width="31.5703125" style="1527" bestFit="1" customWidth="1"/>
    <col min="3" max="3" width="44.5703125" style="1527" customWidth="1"/>
    <col min="4" max="4" width="38.140625" style="1527" customWidth="1"/>
    <col min="5" max="5" width="34.85546875" style="1527" customWidth="1"/>
    <col min="6" max="6" width="33" style="1527" bestFit="1" customWidth="1"/>
    <col min="7" max="16384" width="9.140625" style="1527"/>
  </cols>
  <sheetData>
    <row r="1" spans="1:10" ht="18.75">
      <c r="B1" s="1489" t="s">
        <v>3663</v>
      </c>
    </row>
    <row r="2" spans="1:10" ht="18.75">
      <c r="B2" s="1433"/>
    </row>
    <row r="3" spans="1:10">
      <c r="A3" s="1528"/>
      <c r="B3" s="1547" t="s">
        <v>1023</v>
      </c>
      <c r="C3" s="1548"/>
      <c r="D3" s="1548"/>
      <c r="E3" s="1548"/>
    </row>
    <row r="4" spans="1:10" s="1529" customFormat="1" ht="12" customHeight="1">
      <c r="A4" s="1550">
        <v>1</v>
      </c>
      <c r="B4" s="1549" t="s">
        <v>3664</v>
      </c>
      <c r="C4" s="1548"/>
      <c r="D4" s="1548"/>
      <c r="E4" s="1548"/>
    </row>
    <row r="5" spans="1:10" s="1529" customFormat="1" ht="12" customHeight="1">
      <c r="A5" s="1550">
        <v>2</v>
      </c>
      <c r="B5" s="2245" t="s">
        <v>3665</v>
      </c>
      <c r="C5" s="2245"/>
      <c r="D5" s="2245"/>
      <c r="E5" s="2245"/>
    </row>
    <row r="6" spans="1:10" s="1531" customFormat="1" ht="12" customHeight="1">
      <c r="A6" s="1550">
        <v>3</v>
      </c>
      <c r="B6" s="2246" t="s">
        <v>3666</v>
      </c>
      <c r="C6" s="2246"/>
      <c r="D6" s="2246"/>
      <c r="E6" s="2246"/>
      <c r="F6" s="1530"/>
      <c r="G6" s="1530"/>
      <c r="H6" s="1530"/>
      <c r="I6" s="1530"/>
      <c r="J6" s="1530"/>
    </row>
    <row r="7" spans="1:10" s="1531" customFormat="1" ht="12" customHeight="1">
      <c r="A7" s="1551">
        <v>4</v>
      </c>
      <c r="B7" s="2246" t="s">
        <v>3898</v>
      </c>
      <c r="C7" s="2246"/>
      <c r="D7" s="2246"/>
      <c r="E7" s="2246"/>
      <c r="F7" s="1530"/>
      <c r="G7" s="1530"/>
      <c r="H7" s="1530"/>
      <c r="I7" s="1530"/>
      <c r="J7" s="1530"/>
    </row>
    <row r="8" spans="1:10" s="1531" customFormat="1" ht="37.5" customHeight="1">
      <c r="A8" s="1551">
        <v>5</v>
      </c>
      <c r="B8" s="2246" t="s">
        <v>3667</v>
      </c>
      <c r="C8" s="2246"/>
      <c r="D8" s="2246"/>
      <c r="E8" s="2246"/>
      <c r="F8" s="1530"/>
      <c r="G8" s="1530"/>
      <c r="H8" s="1530"/>
      <c r="I8" s="1530"/>
      <c r="J8" s="1530"/>
    </row>
    <row r="9" spans="1:10" s="1531" customFormat="1" ht="12" customHeight="1">
      <c r="A9" s="1551">
        <v>6</v>
      </c>
      <c r="B9" s="2246" t="s">
        <v>3668</v>
      </c>
      <c r="C9" s="2246"/>
      <c r="D9" s="2246"/>
      <c r="E9" s="2246"/>
      <c r="F9" s="1530"/>
      <c r="G9" s="1530"/>
      <c r="H9" s="1530"/>
      <c r="I9" s="1530"/>
      <c r="J9" s="1530"/>
    </row>
    <row r="10" spans="1:10" s="1531" customFormat="1" ht="11.25" customHeight="1">
      <c r="A10" s="1532"/>
      <c r="B10" s="1533"/>
      <c r="C10" s="1533"/>
      <c r="D10" s="1533"/>
      <c r="E10" s="1533"/>
      <c r="F10" s="1530"/>
      <c r="G10" s="1530"/>
      <c r="H10" s="1530"/>
      <c r="I10" s="1530"/>
      <c r="J10" s="1530"/>
    </row>
    <row r="11" spans="1:10" ht="17.25" customHeight="1">
      <c r="B11" s="1552" t="s">
        <v>3669</v>
      </c>
      <c r="C11" s="1553">
        <v>3.0899999999999999E-3</v>
      </c>
      <c r="D11" s="1534"/>
      <c r="E11" s="1534"/>
      <c r="F11" s="1535"/>
      <c r="G11" s="1535"/>
      <c r="H11" s="1535"/>
      <c r="I11" s="1535"/>
      <c r="J11" s="1535"/>
    </row>
    <row r="12" spans="1:10">
      <c r="B12" s="1552" t="s">
        <v>3670</v>
      </c>
      <c r="C12" s="1554">
        <f>2*'Project Size'!C4+2*'Project Size'!C5+3*'Project Size'!C6+4*'Project Size'!C7+5*'Project Size'!C8</f>
        <v>0</v>
      </c>
      <c r="D12" s="1536"/>
      <c r="E12" s="1537"/>
      <c r="F12" s="1538"/>
    </row>
    <row r="13" spans="1:10">
      <c r="B13" s="1552" t="s">
        <v>3671</v>
      </c>
      <c r="C13" s="1554">
        <f>IF('DHW Demand'!H20="Y", 430*'DHW Demand'!H22, 0)</f>
        <v>0</v>
      </c>
      <c r="D13" s="1536"/>
      <c r="E13" s="1539"/>
      <c r="F13" s="1540"/>
    </row>
    <row r="14" spans="1:10">
      <c r="B14" s="1552" t="s">
        <v>3672</v>
      </c>
      <c r="C14" s="1554">
        <f>('DHW Demand'!H15-'DHW Demand'!H16)*'DHW Demand'!H31</f>
        <v>0</v>
      </c>
      <c r="D14" s="1536"/>
      <c r="E14" s="1539"/>
      <c r="F14" s="1540"/>
    </row>
    <row r="15" spans="1:10">
      <c r="B15" s="1536"/>
      <c r="C15" s="1536"/>
      <c r="D15" s="1536"/>
      <c r="E15" s="1541"/>
      <c r="F15" s="1540"/>
    </row>
    <row r="16" spans="1:10">
      <c r="B16" s="1555" t="s">
        <v>3673</v>
      </c>
      <c r="C16" s="1536"/>
      <c r="D16" s="1559" t="s">
        <v>3674</v>
      </c>
      <c r="E16" s="1560" t="s">
        <v>3675</v>
      </c>
      <c r="F16" s="1538"/>
    </row>
    <row r="17" spans="1:6">
      <c r="B17" s="1556" t="s">
        <v>1197</v>
      </c>
      <c r="C17" s="1542"/>
      <c r="D17" s="1561">
        <v>1.6</v>
      </c>
      <c r="E17" s="1562">
        <f>IF(C18="&lt;Enter '0' if no urinals&gt;",'Tables of Values'!B3*($C$12*'Tables of Values'!E13)*365,'Tables of Values'!B3*($C$12*'Tables of Values'!E13-C18)*365)</f>
        <v>0</v>
      </c>
      <c r="F17" s="1538"/>
    </row>
    <row r="18" spans="1:6">
      <c r="B18" s="1557" t="s">
        <v>1198</v>
      </c>
      <c r="C18" s="1543"/>
      <c r="D18" s="1563">
        <v>1</v>
      </c>
      <c r="E18" s="1562">
        <f>IF(C18="&lt;Enter '0' if no urinals&gt;",0,C18*'Tables of Values'!B4*365)</f>
        <v>0</v>
      </c>
    </row>
    <row r="19" spans="1:6">
      <c r="B19" s="1556" t="s">
        <v>870</v>
      </c>
      <c r="C19" s="1536"/>
      <c r="D19" s="1561">
        <f>IF(A27=80,2.5,2.2)</f>
        <v>2.2000000000000002</v>
      </c>
      <c r="E19" s="1562">
        <f>$C$12*D19*'Tables of Values'!E16*(IF('DHW Demand'!H8="Low",'Tables of Values'!B16,IF('DHW Demand'!H8="Medium",'Tables of Values'!C16,IF('DHW Demand'!H8="High",'Tables of Values'!D16))))*365/60</f>
        <v>0</v>
      </c>
    </row>
    <row r="20" spans="1:6">
      <c r="B20" s="1556" t="s">
        <v>871</v>
      </c>
      <c r="C20" s="1536"/>
      <c r="D20" s="1561">
        <f>IF(A28=80,2.5,2.2)</f>
        <v>2.2000000000000002</v>
      </c>
      <c r="E20" s="1562">
        <f>$C$12*D20*'Tables of Values'!E17*(IF('DHW Demand'!H9="Low",'Tables of Values'!B17,IF('DHW Demand'!H9="Medium",'Tables of Values'!C17,IF('DHW Demand'!H9="High",'Tables of Values'!D17))))*365/60</f>
        <v>0</v>
      </c>
    </row>
    <row r="21" spans="1:6">
      <c r="B21" s="1556" t="s">
        <v>872</v>
      </c>
      <c r="C21" s="1536"/>
      <c r="D21" s="1561">
        <f>IF(A29=80,2.5,2.2)</f>
        <v>2.2000000000000002</v>
      </c>
      <c r="E21" s="1562">
        <f>$C$12*D21*'Tables of Values'!E18*(IF('DHW Demand'!H10="Low",'Tables of Values'!B18,IF('DHW Demand'!H10="Medium",'Tables of Values'!C18,IF('DHW Demand'!H10="High",'Tables of Values'!D18))))*365/60</f>
        <v>0</v>
      </c>
    </row>
    <row r="22" spans="1:6">
      <c r="B22" s="1558" t="s">
        <v>1255</v>
      </c>
      <c r="C22" s="1536"/>
      <c r="D22" s="1536"/>
      <c r="E22" s="1564">
        <f>SUM(E17:E21)</f>
        <v>0</v>
      </c>
    </row>
    <row r="23" spans="1:6">
      <c r="B23" s="1544"/>
      <c r="C23" s="1536"/>
      <c r="D23" s="1536"/>
      <c r="E23" s="1536"/>
    </row>
    <row r="24" spans="1:6">
      <c r="A24" s="1555" t="s">
        <v>3897</v>
      </c>
      <c r="B24" s="1555" t="s">
        <v>3676</v>
      </c>
      <c r="C24" s="1567" t="s">
        <v>3677</v>
      </c>
      <c r="D24" s="1567" t="s">
        <v>3678</v>
      </c>
      <c r="E24" s="1565" t="s">
        <v>3679</v>
      </c>
    </row>
    <row r="25" spans="1:6">
      <c r="A25" s="1570"/>
      <c r="B25" s="1557" t="s">
        <v>1197</v>
      </c>
      <c r="C25" s="1543"/>
      <c r="D25" s="1543"/>
      <c r="E25" s="1562">
        <f>IF(C18="&lt;Enter '0' if no urinals&gt;",(C25*($C$12*'Tables of Values'!E13)*365)-D25,(C25*($C$12*'Tables of Values'!E13-C18)*365)-D25)</f>
        <v>0</v>
      </c>
    </row>
    <row r="26" spans="1:6">
      <c r="A26" s="1570"/>
      <c r="B26" s="1557" t="s">
        <v>1198</v>
      </c>
      <c r="C26" s="1543"/>
      <c r="D26" s="1543"/>
      <c r="E26" s="1562">
        <f>IF(C18="&lt;Enter '0' if no urinals&gt;",0,(C26*C18*365)-D26)</f>
        <v>0</v>
      </c>
    </row>
    <row r="27" spans="1:6">
      <c r="A27" s="1545"/>
      <c r="B27" s="1568" t="s">
        <v>870</v>
      </c>
      <c r="C27" s="1566">
        <f>'DHW Demand'!H10</f>
        <v>0</v>
      </c>
      <c r="D27" s="1543"/>
      <c r="E27" s="1562">
        <f>$C$12*C27*'Tables of Values'!E16*(IF('DHW Demand'!H8="Low",'Tables of Values'!B16,IF('DHW Demand'!H8="Medium",'Tables of Values'!C16,IF('DHW Demand'!H8="High",'Tables of Values'!D16))))*365/60-D27</f>
        <v>0</v>
      </c>
    </row>
    <row r="28" spans="1:6">
      <c r="A28" s="1545"/>
      <c r="B28" s="1568" t="s">
        <v>871</v>
      </c>
      <c r="C28" s="1566">
        <f>'DHW Demand'!H12</f>
        <v>0</v>
      </c>
      <c r="D28" s="1543"/>
      <c r="E28" s="1562">
        <f>$C$12*C28*'Tables of Values'!E17*(IF('DHW Demand'!H9="Low",'Tables of Values'!B17,IF('DHW Demand'!H9="Medium",'Tables of Values'!C17,IF('DHW Demand'!H9="High",'Tables of Values'!D17))))*365/60-D28</f>
        <v>0</v>
      </c>
    </row>
    <row r="29" spans="1:6">
      <c r="A29" s="1545"/>
      <c r="B29" s="1568" t="s">
        <v>872</v>
      </c>
      <c r="C29" s="1566">
        <f>'DHW Demand'!H11</f>
        <v>0</v>
      </c>
      <c r="D29" s="1543"/>
      <c r="E29" s="1562">
        <f>$C$12*C29*'Tables of Values'!E18*(IF('DHW Demand'!H10="Low",'Tables of Values'!B18,IF('DHW Demand'!H10="Medium",'Tables of Values'!C18,IF('DHW Demand'!H10="High",'Tables of Values'!D18))))*365/60-D29</f>
        <v>0</v>
      </c>
    </row>
    <row r="30" spans="1:6">
      <c r="B30" s="1569" t="s">
        <v>1255</v>
      </c>
      <c r="C30" s="1536"/>
      <c r="D30" s="1536"/>
      <c r="E30" s="1564">
        <f>SUM(E25:E29)</f>
        <v>0</v>
      </c>
    </row>
    <row r="31" spans="1:6">
      <c r="B31" s="1536"/>
      <c r="C31" s="1536"/>
      <c r="D31" s="1536"/>
      <c r="E31" s="1536"/>
    </row>
    <row r="32" spans="1:6">
      <c r="B32" s="1555" t="s">
        <v>3680</v>
      </c>
      <c r="C32" s="1565" t="s">
        <v>3681</v>
      </c>
      <c r="D32" s="1565" t="s">
        <v>3682</v>
      </c>
      <c r="E32" s="1536"/>
    </row>
    <row r="33" spans="2:7">
      <c r="B33" s="1571" t="s">
        <v>1197</v>
      </c>
      <c r="C33" s="1572">
        <f>E17-E25</f>
        <v>0</v>
      </c>
      <c r="D33" s="1573">
        <f t="shared" ref="D33:D38" si="0">C33*$C$11</f>
        <v>0</v>
      </c>
      <c r="E33" s="1536"/>
    </row>
    <row r="34" spans="2:7">
      <c r="B34" s="1571" t="s">
        <v>1198</v>
      </c>
      <c r="C34" s="1572">
        <f>E18-E26</f>
        <v>0</v>
      </c>
      <c r="D34" s="1573">
        <f t="shared" si="0"/>
        <v>0</v>
      </c>
      <c r="E34" s="1536"/>
    </row>
    <row r="35" spans="2:7">
      <c r="B35" s="1571" t="s">
        <v>870</v>
      </c>
      <c r="C35" s="1572">
        <f>E19-E27</f>
        <v>0</v>
      </c>
      <c r="D35" s="1573">
        <f t="shared" si="0"/>
        <v>0</v>
      </c>
      <c r="E35" s="1536"/>
    </row>
    <row r="36" spans="2:7">
      <c r="B36" s="1571" t="s">
        <v>871</v>
      </c>
      <c r="C36" s="1572">
        <f>E20-E28</f>
        <v>0</v>
      </c>
      <c r="D36" s="1573">
        <f t="shared" si="0"/>
        <v>0</v>
      </c>
      <c r="E36" s="1536"/>
    </row>
    <row r="37" spans="2:7">
      <c r="B37" s="1571" t="s">
        <v>872</v>
      </c>
      <c r="C37" s="1572">
        <f>E21-E29</f>
        <v>0</v>
      </c>
      <c r="D37" s="1573">
        <f t="shared" si="0"/>
        <v>0</v>
      </c>
      <c r="E37" s="1536"/>
    </row>
    <row r="38" spans="2:7">
      <c r="B38" s="1569" t="s">
        <v>1255</v>
      </c>
      <c r="C38" s="1574">
        <f>SUM(C33:C37,C13:C14)</f>
        <v>0</v>
      </c>
      <c r="D38" s="1575">
        <f t="shared" si="0"/>
        <v>0</v>
      </c>
      <c r="E38" s="1536"/>
    </row>
    <row r="39" spans="2:7">
      <c r="B39" s="1546"/>
      <c r="C39" s="1536"/>
      <c r="D39" s="1536"/>
      <c r="E39" s="1536"/>
    </row>
    <row r="40" spans="2:7">
      <c r="B40" s="1536"/>
      <c r="C40" s="1536"/>
      <c r="D40" s="1536"/>
      <c r="E40" s="1536"/>
    </row>
    <row r="41" spans="2:7">
      <c r="B41" s="1821" t="s">
        <v>3845</v>
      </c>
      <c r="C41" s="1822"/>
      <c r="D41" s="1822"/>
      <c r="E41" s="1822"/>
      <c r="F41" s="1822"/>
      <c r="G41" s="1823"/>
    </row>
    <row r="42" spans="2:7">
      <c r="B42" s="1040"/>
      <c r="C42" s="1041"/>
      <c r="D42" s="1041"/>
      <c r="E42" s="1041"/>
      <c r="F42" s="1041"/>
      <c r="G42" s="1042"/>
    </row>
    <row r="43" spans="2:7">
      <c r="B43" s="1043"/>
      <c r="C43" s="1044"/>
      <c r="D43" s="1044"/>
      <c r="E43" s="1044"/>
      <c r="F43" s="1044"/>
      <c r="G43" s="1045"/>
    </row>
    <row r="44" spans="2:7">
      <c r="B44" s="1046"/>
      <c r="C44" s="1044"/>
      <c r="D44" s="1044"/>
      <c r="E44" s="1044"/>
      <c r="F44" s="1044"/>
      <c r="G44" s="1045"/>
    </row>
    <row r="45" spans="2:7">
      <c r="B45" s="1046"/>
      <c r="C45" s="1044"/>
      <c r="D45" s="1044"/>
      <c r="E45" s="1044"/>
      <c r="F45" s="1044"/>
      <c r="G45" s="1045"/>
    </row>
    <row r="46" spans="2:7">
      <c r="B46" s="1047"/>
      <c r="C46" s="1048"/>
      <c r="D46" s="1048"/>
      <c r="E46" s="1048"/>
      <c r="F46" s="1048"/>
      <c r="G46" s="1049"/>
    </row>
  </sheetData>
  <sheetProtection sheet="1" objects="1" scenarios="1" formatCells="0"/>
  <dataConsolidate/>
  <mergeCells count="6">
    <mergeCell ref="B41:G41"/>
    <mergeCell ref="B5:E5"/>
    <mergeCell ref="B6:E6"/>
    <mergeCell ref="B7:E7"/>
    <mergeCell ref="B8:E8"/>
    <mergeCell ref="B9:E9"/>
  </mergeCells>
  <dataValidations count="1">
    <dataValidation type="list" allowBlank="1" showInputMessage="1" showErrorMessage="1" sqref="A27:A29">
      <formula1>"80,60"</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6" tint="0.39997558519241921"/>
  </sheetPr>
  <dimension ref="A1:AA71"/>
  <sheetViews>
    <sheetView showGridLines="0" workbookViewId="0">
      <selection activeCell="L28" sqref="L28"/>
    </sheetView>
  </sheetViews>
  <sheetFormatPr defaultRowHeight="12.75"/>
  <cols>
    <col min="1" max="1" width="2" style="1028" bestFit="1" customWidth="1"/>
    <col min="2" max="2" width="62" style="1028" bestFit="1" customWidth="1"/>
    <col min="3" max="3" width="16.140625" style="1028" customWidth="1"/>
    <col min="4" max="4" width="10.85546875" style="1028" customWidth="1"/>
    <col min="5" max="5" width="11.85546875" style="1028" customWidth="1"/>
    <col min="6" max="6" width="11.85546875" style="1352" customWidth="1"/>
    <col min="7" max="7" width="20.28515625" style="1028" bestFit="1" customWidth="1"/>
    <col min="8" max="8" width="13.85546875" style="1028" customWidth="1"/>
    <col min="9" max="9" width="9.140625" style="1028"/>
    <col min="10" max="10" width="10.42578125" style="1028" customWidth="1"/>
    <col min="11" max="11" width="4.28515625" style="1028" customWidth="1"/>
    <col min="12" max="15" width="9.140625" style="1028"/>
    <col min="16" max="16" width="10.5703125" style="1028" customWidth="1"/>
    <col min="17" max="26" width="9.140625" style="1028"/>
    <col min="27" max="27" width="0" style="1028" hidden="1" customWidth="1"/>
    <col min="28" max="16384" width="9.140625" style="1028"/>
  </cols>
  <sheetData>
    <row r="1" spans="1:27" ht="18.75">
      <c r="B1" s="1053" t="s">
        <v>3539</v>
      </c>
    </row>
    <row r="3" spans="1:27">
      <c r="B3" s="813" t="s">
        <v>3363</v>
      </c>
    </row>
    <row r="4" spans="1:27">
      <c r="A4" s="813">
        <v>1</v>
      </c>
      <c r="B4" s="813" t="s">
        <v>3684</v>
      </c>
      <c r="AA4" s="1028" t="s">
        <v>3540</v>
      </c>
    </row>
    <row r="5" spans="1:27">
      <c r="A5" s="813">
        <v>2</v>
      </c>
      <c r="B5" s="817" t="s">
        <v>3541</v>
      </c>
      <c r="AA5" s="1028" t="s">
        <v>3542</v>
      </c>
    </row>
    <row r="6" spans="1:27">
      <c r="A6" s="813">
        <v>3</v>
      </c>
      <c r="B6" s="813" t="s">
        <v>3729</v>
      </c>
      <c r="C6" s="1577"/>
      <c r="D6" s="1577"/>
      <c r="J6" s="1578"/>
      <c r="K6" s="1578"/>
      <c r="L6" s="1578"/>
      <c r="M6" s="1578"/>
      <c r="N6" s="1578"/>
      <c r="AA6" s="1028" t="s">
        <v>3543</v>
      </c>
    </row>
    <row r="7" spans="1:27">
      <c r="A7" s="813">
        <v>4</v>
      </c>
      <c r="B7" s="1598" t="s">
        <v>3730</v>
      </c>
      <c r="C7" s="1580"/>
      <c r="D7" s="1580"/>
    </row>
    <row r="8" spans="1:27" ht="12" customHeight="1">
      <c r="B8" s="1577"/>
      <c r="C8" s="1577"/>
      <c r="D8" s="1577"/>
      <c r="G8" s="1014" t="s">
        <v>3544</v>
      </c>
      <c r="H8" s="529"/>
      <c r="I8" s="813" t="s">
        <v>3545</v>
      </c>
    </row>
    <row r="9" spans="1:27">
      <c r="B9" s="1014"/>
      <c r="C9" s="1600" t="s">
        <v>981</v>
      </c>
      <c r="D9" s="1600" t="s">
        <v>980</v>
      </c>
      <c r="G9" s="1014" t="s">
        <v>3546</v>
      </c>
      <c r="H9" s="1055">
        <f>IF(H8="Low",12,IF(H8="Medium",25,44))</f>
        <v>44</v>
      </c>
      <c r="I9" s="813" t="s">
        <v>3547</v>
      </c>
      <c r="L9" s="1581"/>
    </row>
    <row r="10" spans="1:27">
      <c r="B10" s="1055" t="s">
        <v>3900</v>
      </c>
      <c r="C10" s="1601" t="e">
        <f>($H$11*$H$27+$H$12*$H$28)/($H$27+$H$28)</f>
        <v>#DIV/0!</v>
      </c>
      <c r="D10" s="1055" t="e">
        <f>(H27*'Water Savings'!D21+'DHW Demand'!H28*'Water Savings'!D20)/('DHW Demand'!H27+'DHW Demand'!H28)</f>
        <v>#DIV/0!</v>
      </c>
      <c r="G10" s="1014" t="s">
        <v>3548</v>
      </c>
      <c r="H10" s="846"/>
      <c r="I10" s="813" t="s">
        <v>211</v>
      </c>
    </row>
    <row r="11" spans="1:27">
      <c r="B11" s="1599" t="s">
        <v>3899</v>
      </c>
      <c r="C11" s="1602">
        <f>'Water Savings'!C27</f>
        <v>0</v>
      </c>
      <c r="D11" s="1607">
        <f>'Water Savings'!D19</f>
        <v>2.2000000000000002</v>
      </c>
      <c r="G11" s="1014" t="s">
        <v>3549</v>
      </c>
      <c r="H11" s="846"/>
      <c r="I11" s="813" t="s">
        <v>211</v>
      </c>
    </row>
    <row r="12" spans="1:27">
      <c r="B12" s="1056" t="s">
        <v>3550</v>
      </c>
      <c r="C12" s="1603" t="e">
        <f>D12*(0.36+0.54*C11/2.5+0.1*C10/2.5)</f>
        <v>#DIV/0!</v>
      </c>
      <c r="D12" s="1608">
        <f>H9*H25</f>
        <v>0</v>
      </c>
      <c r="E12" s="1583"/>
      <c r="G12" s="1014" t="s">
        <v>3551</v>
      </c>
      <c r="H12" s="846"/>
      <c r="I12" s="813" t="s">
        <v>211</v>
      </c>
    </row>
    <row r="13" spans="1:27">
      <c r="B13" s="1056" t="s">
        <v>3552</v>
      </c>
      <c r="C13" s="1603" t="e">
        <f>$C$12+$K$16+K14*H22</f>
        <v>#DIV/0!</v>
      </c>
      <c r="D13" s="1608">
        <f>$D$12+$K$15+K13*H22</f>
        <v>0</v>
      </c>
      <c r="E13" s="1583"/>
      <c r="G13" s="1014" t="s">
        <v>3553</v>
      </c>
      <c r="H13" s="1055">
        <f>IF(H20="Y",1290,0)</f>
        <v>0</v>
      </c>
      <c r="I13" s="813" t="s">
        <v>3554</v>
      </c>
      <c r="K13" s="1612">
        <f>H13/365</f>
        <v>0</v>
      </c>
      <c r="L13" s="813" t="s">
        <v>3555</v>
      </c>
    </row>
    <row r="14" spans="1:27">
      <c r="B14" s="1056" t="s">
        <v>3556</v>
      </c>
      <c r="C14" s="1603" t="e">
        <f>C13/$B$63/60</f>
        <v>#DIV/0!</v>
      </c>
      <c r="D14" s="1609">
        <f>D13/$B$63/60</f>
        <v>0</v>
      </c>
      <c r="E14" s="1610" t="s">
        <v>3725</v>
      </c>
      <c r="G14" s="1014" t="s">
        <v>3557</v>
      </c>
      <c r="H14" s="1055">
        <f>IF(H20="N",0,IF(H21="Y",860,1290))</f>
        <v>1290</v>
      </c>
      <c r="I14" s="813" t="s">
        <v>3554</v>
      </c>
      <c r="K14" s="1612">
        <f>H14/365</f>
        <v>3.5342465753424657</v>
      </c>
      <c r="L14" s="813" t="s">
        <v>3555</v>
      </c>
      <c r="O14" s="1583"/>
    </row>
    <row r="15" spans="1:27">
      <c r="B15" s="1055" t="s">
        <v>3722</v>
      </c>
      <c r="C15" s="1604" t="e">
        <f>C12/B63/60</f>
        <v>#DIV/0!</v>
      </c>
      <c r="D15" s="1604">
        <f>D12/B63/60</f>
        <v>0</v>
      </c>
      <c r="E15" s="1604" t="e">
        <f>D15-C15</f>
        <v>#DIV/0!</v>
      </c>
      <c r="G15" s="1014" t="s">
        <v>3558</v>
      </c>
      <c r="H15" s="1611">
        <f>IF($H$31=0,0,IF($H$33="Common",0.2*30943,0.2*12768))</f>
        <v>0</v>
      </c>
      <c r="I15" s="813" t="s">
        <v>3559</v>
      </c>
      <c r="K15" s="1612">
        <f>H15*H31/365</f>
        <v>0</v>
      </c>
      <c r="L15" s="813" t="s">
        <v>3560</v>
      </c>
    </row>
    <row r="16" spans="1:27">
      <c r="B16" s="1055" t="s">
        <v>3723</v>
      </c>
      <c r="C16" s="1604">
        <f>K16/B63/60</f>
        <v>0</v>
      </c>
      <c r="D16" s="1604">
        <f>K15/B63/60</f>
        <v>0</v>
      </c>
      <c r="E16" s="1604">
        <f t="shared" ref="E16:E17" si="0">D16-C16</f>
        <v>0</v>
      </c>
      <c r="G16" s="1014" t="s">
        <v>3561</v>
      </c>
      <c r="H16" s="1611">
        <f>IF($H$31=0,0,IF($H$32="N", $H$15, IF($H$33="Common",0.2*14032,0.2*5790)))</f>
        <v>0</v>
      </c>
      <c r="I16" s="813" t="s">
        <v>3559</v>
      </c>
      <c r="K16" s="1612">
        <f>H16*H31/365</f>
        <v>0</v>
      </c>
      <c r="L16" s="813" t="s">
        <v>3560</v>
      </c>
    </row>
    <row r="17" spans="2:13">
      <c r="B17" s="1055" t="s">
        <v>3724</v>
      </c>
      <c r="C17" s="1604">
        <f>(K14*H22)/$B$63/60</f>
        <v>0</v>
      </c>
      <c r="D17" s="1299">
        <f>(K13*H22)/$B$63/60</f>
        <v>0</v>
      </c>
      <c r="E17" s="1604">
        <f t="shared" si="0"/>
        <v>0</v>
      </c>
    </row>
    <row r="18" spans="2:13">
      <c r="B18" s="1055"/>
      <c r="C18" s="1604"/>
      <c r="D18" s="1584"/>
      <c r="E18" s="1585"/>
    </row>
    <row r="19" spans="2:13">
      <c r="B19" s="1055" t="str">
        <f>IF(AND(H21="Y",H32="Y"),"Is the parametric run for clothes washers modeled before the dishwashers?","")</f>
        <v/>
      </c>
      <c r="C19" s="1605" t="s">
        <v>3565</v>
      </c>
      <c r="D19" s="1584"/>
      <c r="E19" s="1585"/>
      <c r="H19" s="816" t="s">
        <v>3564</v>
      </c>
    </row>
    <row r="20" spans="2:13">
      <c r="B20" s="1055" t="str">
        <f>IF(H32="Y","GPM for Clothes Washers parametric run","")</f>
        <v/>
      </c>
      <c r="C20" s="1606">
        <f>IF(AND(H21="Y",H32="Y"),IF(C19="Y",(D14-E16),(D14-E17-E16)),(D14-E16))</f>
        <v>0</v>
      </c>
      <c r="D20" s="1585"/>
      <c r="E20" s="1585"/>
      <c r="H20" s="529"/>
      <c r="I20" s="813" t="s">
        <v>3566</v>
      </c>
    </row>
    <row r="21" spans="2:13">
      <c r="B21" s="1055" t="str">
        <f>IF(H21="Y","GPM for Dishwashers parametric run","")</f>
        <v/>
      </c>
      <c r="C21" s="1606">
        <f>IF(AND(H21="Y",H32="Y"),IF(C19="Y",(D14-E16-E17),(D14-E17)),(D14-E17))</f>
        <v>0</v>
      </c>
      <c r="D21" s="1585"/>
      <c r="E21" s="1586"/>
      <c r="H21" s="529"/>
      <c r="I21" s="813" t="s">
        <v>3567</v>
      </c>
    </row>
    <row r="22" spans="2:13">
      <c r="B22" s="1055" t="s">
        <v>3733</v>
      </c>
      <c r="C22" s="1606" t="e">
        <f>MIN(C20:C21)-E15</f>
        <v>#DIV/0!</v>
      </c>
      <c r="D22" s="1585"/>
      <c r="E22" s="1586"/>
      <c r="H22" s="529"/>
      <c r="I22" s="813" t="s">
        <v>3403</v>
      </c>
    </row>
    <row r="23" spans="2:13" ht="13.5" thickBot="1">
      <c r="B23" s="1033"/>
      <c r="C23" s="1033"/>
      <c r="D23" s="1033"/>
      <c r="H23" s="1578"/>
      <c r="L23" s="1587"/>
    </row>
    <row r="24" spans="2:13">
      <c r="B24" s="1617" t="s">
        <v>3736</v>
      </c>
      <c r="C24" s="859"/>
      <c r="D24" s="859"/>
      <c r="E24" s="1618"/>
      <c r="H24" s="816" t="s">
        <v>3568</v>
      </c>
    </row>
    <row r="25" spans="2:13">
      <c r="B25" s="584" t="s">
        <v>3734</v>
      </c>
      <c r="C25" s="823"/>
      <c r="D25" s="823"/>
      <c r="E25" s="853"/>
      <c r="H25" s="1613">
        <f>'Basic Info'!C4+'Basic Info'!C5+2*'Basic Info'!C6+3*'Basic Info'!C7+4*'Basic Info'!C8</f>
        <v>0</v>
      </c>
      <c r="I25" s="813" t="s">
        <v>3569</v>
      </c>
    </row>
    <row r="26" spans="2:13">
      <c r="B26" s="2247" t="s">
        <v>3735</v>
      </c>
      <c r="C26" s="2248"/>
      <c r="D26" s="2248"/>
      <c r="E26" s="2249"/>
      <c r="H26" s="1614">
        <f>SUM('Basic Info'!C4:C8)</f>
        <v>0</v>
      </c>
      <c r="I26" s="813" t="s">
        <v>210</v>
      </c>
    </row>
    <row r="27" spans="2:13">
      <c r="B27" s="2247"/>
      <c r="C27" s="2248"/>
      <c r="D27" s="2248"/>
      <c r="E27" s="2249"/>
      <c r="F27" s="1592"/>
      <c r="G27" s="1033"/>
      <c r="H27" s="529"/>
      <c r="I27" s="813" t="s">
        <v>3570</v>
      </c>
      <c r="L27" s="529"/>
      <c r="M27" s="813" t="s">
        <v>3571</v>
      </c>
    </row>
    <row r="28" spans="2:13">
      <c r="B28" s="1619" t="s">
        <v>3727</v>
      </c>
      <c r="C28" s="823"/>
      <c r="D28" s="823"/>
      <c r="E28" s="853"/>
      <c r="F28" s="1592"/>
      <c r="G28" s="1033"/>
      <c r="H28" s="529"/>
      <c r="I28" s="813" t="s">
        <v>3572</v>
      </c>
      <c r="L28" s="529"/>
      <c r="M28" s="813" t="s">
        <v>3573</v>
      </c>
    </row>
    <row r="29" spans="2:13">
      <c r="B29" s="1590"/>
      <c r="C29" s="1033"/>
      <c r="D29" s="1033"/>
      <c r="E29" s="1591"/>
      <c r="H29" s="1578"/>
    </row>
    <row r="30" spans="2:13">
      <c r="B30" s="1296"/>
      <c r="C30" s="1600" t="s">
        <v>3726</v>
      </c>
      <c r="D30" s="1600" t="s">
        <v>211</v>
      </c>
      <c r="E30" s="1591"/>
      <c r="H30" s="816" t="s">
        <v>3574</v>
      </c>
    </row>
    <row r="31" spans="2:13">
      <c r="B31" s="1307" t="str">
        <f>IF(H32="Y","GPM for Clothes Washers parametric run","")</f>
        <v/>
      </c>
      <c r="C31" s="828" t="s">
        <v>3728</v>
      </c>
      <c r="D31" s="1606">
        <f>C20</f>
        <v>0</v>
      </c>
      <c r="E31" s="1591"/>
      <c r="H31" s="529"/>
      <c r="I31" s="813" t="s">
        <v>3575</v>
      </c>
    </row>
    <row r="32" spans="2:13">
      <c r="B32" s="1307" t="str">
        <f>IF(H21="Y","GPM for Dishwashers parametric run","")</f>
        <v/>
      </c>
      <c r="C32" s="828" t="s">
        <v>3728</v>
      </c>
      <c r="D32" s="1606">
        <f>C21</f>
        <v>0</v>
      </c>
      <c r="E32" s="1591"/>
      <c r="H32" s="529"/>
      <c r="I32" s="813" t="s">
        <v>3576</v>
      </c>
    </row>
    <row r="33" spans="2:9">
      <c r="B33" s="1307" t="s">
        <v>3732</v>
      </c>
      <c r="C33" s="1615">
        <f>D33*65*8.33*60*1*0.000001</f>
        <v>0</v>
      </c>
      <c r="D33" s="1624">
        <f>MIN(D31:D32)</f>
        <v>0</v>
      </c>
      <c r="E33" s="1591"/>
      <c r="H33" s="529"/>
      <c r="I33" s="841" t="s">
        <v>3577</v>
      </c>
    </row>
    <row r="34" spans="2:9">
      <c r="B34" s="1307" t="s">
        <v>3731</v>
      </c>
      <c r="C34" s="1615" t="e">
        <f>D34*65*8.33*60*1*0.000001</f>
        <v>#DIV/0!</v>
      </c>
      <c r="D34" s="1624" t="e">
        <f>D33-E15</f>
        <v>#DIV/0!</v>
      </c>
      <c r="E34" s="1591"/>
      <c r="H34" s="1578"/>
    </row>
    <row r="35" spans="2:9" ht="13.5" thickBot="1">
      <c r="B35" s="1594"/>
      <c r="C35" s="1595"/>
      <c r="D35" s="1595"/>
      <c r="E35" s="1596"/>
      <c r="H35" s="816" t="s">
        <v>3578</v>
      </c>
    </row>
    <row r="36" spans="2:9">
      <c r="B36" s="1033"/>
      <c r="C36" s="1033"/>
      <c r="D36" s="1033"/>
      <c r="H36" s="529"/>
      <c r="I36" s="813" t="s">
        <v>3579</v>
      </c>
    </row>
    <row r="37" spans="2:9">
      <c r="H37" s="529"/>
      <c r="I37" s="813" t="s">
        <v>3580</v>
      </c>
    </row>
    <row r="38" spans="2:9">
      <c r="B38" s="1014" t="s">
        <v>3562</v>
      </c>
      <c r="C38" s="1014" t="s">
        <v>3563</v>
      </c>
      <c r="D38" s="1620" t="s">
        <v>981</v>
      </c>
      <c r="E38" s="1621" t="s">
        <v>980</v>
      </c>
      <c r="H38" s="1613">
        <v>12.5</v>
      </c>
      <c r="I38" s="813" t="s">
        <v>3581</v>
      </c>
    </row>
    <row r="39" spans="2:9">
      <c r="B39" s="846">
        <v>0.05</v>
      </c>
      <c r="C39" s="1055">
        <v>0</v>
      </c>
      <c r="D39" s="1622" t="e">
        <f>B39*$C$14*60</f>
        <v>#DIV/0!</v>
      </c>
      <c r="E39" s="1622">
        <f>B39*$D$14*60</f>
        <v>0</v>
      </c>
      <c r="H39" s="1024" t="e">
        <f>2*(22/7)*H37^2+(22/7)*2*H37*H36*0.13368/((22/7)*H37^2)</f>
        <v>#DIV/0!</v>
      </c>
      <c r="I39" s="813" t="s">
        <v>3582</v>
      </c>
    </row>
    <row r="40" spans="2:9">
      <c r="B40" s="846">
        <v>0.05</v>
      </c>
      <c r="C40" s="1055">
        <f>C39+1</f>
        <v>1</v>
      </c>
      <c r="D40" s="1622" t="e">
        <f t="shared" ref="D40:D62" si="1">B40*$C$14*60</f>
        <v>#DIV/0!</v>
      </c>
      <c r="E40" s="1622">
        <f t="shared" ref="E40:E62" si="2">B40*$D$14*60</f>
        <v>0</v>
      </c>
      <c r="H40" s="1616" t="e">
        <f>H39/H38</f>
        <v>#DIV/0!</v>
      </c>
      <c r="I40" s="813" t="s">
        <v>3583</v>
      </c>
    </row>
    <row r="41" spans="2:9">
      <c r="B41" s="846">
        <v>0.05</v>
      </c>
      <c r="C41" s="1055">
        <f t="shared" ref="C41:C61" si="3">C40+1</f>
        <v>2</v>
      </c>
      <c r="D41" s="1622" t="e">
        <f t="shared" si="1"/>
        <v>#DIV/0!</v>
      </c>
      <c r="E41" s="1622">
        <f t="shared" si="2"/>
        <v>0</v>
      </c>
      <c r="H41" s="1597"/>
      <c r="I41" s="813" t="s">
        <v>2791</v>
      </c>
    </row>
    <row r="42" spans="2:9">
      <c r="B42" s="846">
        <v>0.05</v>
      </c>
      <c r="C42" s="1055">
        <f t="shared" si="3"/>
        <v>3</v>
      </c>
      <c r="D42" s="1622" t="e">
        <f t="shared" si="1"/>
        <v>#DIV/0!</v>
      </c>
      <c r="E42" s="1622">
        <f t="shared" si="2"/>
        <v>0</v>
      </c>
      <c r="H42" s="1597"/>
      <c r="I42" s="813" t="s">
        <v>3584</v>
      </c>
    </row>
    <row r="43" spans="2:9">
      <c r="B43" s="846">
        <v>0.05</v>
      </c>
      <c r="C43" s="1055">
        <f t="shared" si="3"/>
        <v>4</v>
      </c>
      <c r="D43" s="1622" t="e">
        <f t="shared" si="1"/>
        <v>#DIV/0!</v>
      </c>
      <c r="E43" s="1622">
        <f t="shared" si="2"/>
        <v>0</v>
      </c>
      <c r="H43" s="1615" t="e">
        <f>1/(H42)</f>
        <v>#DIV/0!</v>
      </c>
      <c r="I43" s="813" t="s">
        <v>3585</v>
      </c>
    </row>
    <row r="44" spans="2:9">
      <c r="B44" s="846">
        <v>0.05</v>
      </c>
      <c r="C44" s="1055">
        <f t="shared" si="3"/>
        <v>5</v>
      </c>
      <c r="D44" s="1622" t="e">
        <f t="shared" si="1"/>
        <v>#DIV/0!</v>
      </c>
      <c r="E44" s="1622">
        <f t="shared" si="2"/>
        <v>0</v>
      </c>
      <c r="H44" s="1615" t="e">
        <f>1/IF(H41="Electric", 0.93-0.00132*H36, IF(H41="Gas", 0.62-0.0019*H36,"" ))</f>
        <v>#VALUE!</v>
      </c>
      <c r="I44" s="813" t="s">
        <v>3586</v>
      </c>
    </row>
    <row r="45" spans="2:9">
      <c r="B45" s="846">
        <v>0.3</v>
      </c>
      <c r="C45" s="1055">
        <f t="shared" si="3"/>
        <v>6</v>
      </c>
      <c r="D45" s="1622" t="e">
        <f t="shared" si="1"/>
        <v>#DIV/0!</v>
      </c>
      <c r="E45" s="1622">
        <f t="shared" si="2"/>
        <v>0</v>
      </c>
    </row>
    <row r="46" spans="2:9">
      <c r="B46" s="846">
        <v>0.5</v>
      </c>
      <c r="C46" s="1055">
        <f t="shared" si="3"/>
        <v>7</v>
      </c>
      <c r="D46" s="1622" t="e">
        <f t="shared" si="1"/>
        <v>#DIV/0!</v>
      </c>
      <c r="E46" s="1622">
        <f t="shared" si="2"/>
        <v>0</v>
      </c>
    </row>
    <row r="47" spans="2:9">
      <c r="B47" s="846">
        <v>0.4</v>
      </c>
      <c r="C47" s="1055">
        <f t="shared" si="3"/>
        <v>8</v>
      </c>
      <c r="D47" s="1622" t="e">
        <f t="shared" si="1"/>
        <v>#DIV/0!</v>
      </c>
      <c r="E47" s="1622">
        <f t="shared" si="2"/>
        <v>0</v>
      </c>
    </row>
    <row r="48" spans="2:9">
      <c r="B48" s="846">
        <v>0.3</v>
      </c>
      <c r="C48" s="1055">
        <f t="shared" si="3"/>
        <v>9</v>
      </c>
      <c r="D48" s="1622" t="e">
        <f t="shared" si="1"/>
        <v>#DIV/0!</v>
      </c>
      <c r="E48" s="1622">
        <f t="shared" si="2"/>
        <v>0</v>
      </c>
    </row>
    <row r="49" spans="2:5">
      <c r="B49" s="846">
        <v>0.3</v>
      </c>
      <c r="C49" s="1055">
        <f t="shared" si="3"/>
        <v>10</v>
      </c>
      <c r="D49" s="1622" t="e">
        <f t="shared" si="1"/>
        <v>#DIV/0!</v>
      </c>
      <c r="E49" s="1622">
        <f t="shared" si="2"/>
        <v>0</v>
      </c>
    </row>
    <row r="50" spans="2:5">
      <c r="B50" s="846">
        <v>0.35</v>
      </c>
      <c r="C50" s="1055">
        <f t="shared" si="3"/>
        <v>11</v>
      </c>
      <c r="D50" s="1622" t="e">
        <f t="shared" si="1"/>
        <v>#DIV/0!</v>
      </c>
      <c r="E50" s="1622">
        <f t="shared" si="2"/>
        <v>0</v>
      </c>
    </row>
    <row r="51" spans="2:5">
      <c r="B51" s="846">
        <v>0.4</v>
      </c>
      <c r="C51" s="1055">
        <f t="shared" si="3"/>
        <v>12</v>
      </c>
      <c r="D51" s="1622" t="e">
        <f t="shared" si="1"/>
        <v>#DIV/0!</v>
      </c>
      <c r="E51" s="1622">
        <f t="shared" si="2"/>
        <v>0</v>
      </c>
    </row>
    <row r="52" spans="2:5">
      <c r="B52" s="846">
        <v>0.35</v>
      </c>
      <c r="C52" s="1055">
        <f t="shared" si="3"/>
        <v>13</v>
      </c>
      <c r="D52" s="1622" t="e">
        <f t="shared" si="1"/>
        <v>#DIV/0!</v>
      </c>
      <c r="E52" s="1622">
        <f t="shared" si="2"/>
        <v>0</v>
      </c>
    </row>
    <row r="53" spans="2:5">
      <c r="B53" s="846">
        <v>0.35</v>
      </c>
      <c r="C53" s="1055">
        <f t="shared" si="3"/>
        <v>14</v>
      </c>
      <c r="D53" s="1622" t="e">
        <f t="shared" si="1"/>
        <v>#DIV/0!</v>
      </c>
      <c r="E53" s="1622">
        <f t="shared" si="2"/>
        <v>0</v>
      </c>
    </row>
    <row r="54" spans="2:5">
      <c r="B54" s="846">
        <v>0.3</v>
      </c>
      <c r="C54" s="1055">
        <f t="shared" si="3"/>
        <v>15</v>
      </c>
      <c r="D54" s="1622" t="e">
        <f t="shared" si="1"/>
        <v>#DIV/0!</v>
      </c>
      <c r="E54" s="1622">
        <f t="shared" si="2"/>
        <v>0</v>
      </c>
    </row>
    <row r="55" spans="2:5">
      <c r="B55" s="846">
        <v>0.3</v>
      </c>
      <c r="C55" s="1055">
        <f t="shared" si="3"/>
        <v>16</v>
      </c>
      <c r="D55" s="1622" t="e">
        <f t="shared" si="1"/>
        <v>#DIV/0!</v>
      </c>
      <c r="E55" s="1622">
        <f t="shared" si="2"/>
        <v>0</v>
      </c>
    </row>
    <row r="56" spans="2:5">
      <c r="B56" s="846">
        <v>0.5</v>
      </c>
      <c r="C56" s="1055">
        <f t="shared" si="3"/>
        <v>17</v>
      </c>
      <c r="D56" s="1622" t="e">
        <f t="shared" si="1"/>
        <v>#DIV/0!</v>
      </c>
      <c r="E56" s="1622">
        <f t="shared" si="2"/>
        <v>0</v>
      </c>
    </row>
    <row r="57" spans="2:5">
      <c r="B57" s="846">
        <v>0.5</v>
      </c>
      <c r="C57" s="1055">
        <f t="shared" si="3"/>
        <v>18</v>
      </c>
      <c r="D57" s="1622" t="e">
        <f t="shared" si="1"/>
        <v>#DIV/0!</v>
      </c>
      <c r="E57" s="1622">
        <f t="shared" si="2"/>
        <v>0</v>
      </c>
    </row>
    <row r="58" spans="2:5">
      <c r="B58" s="846">
        <v>0.4</v>
      </c>
      <c r="C58" s="1055">
        <f t="shared" si="3"/>
        <v>19</v>
      </c>
      <c r="D58" s="1622" t="e">
        <f t="shared" si="1"/>
        <v>#DIV/0!</v>
      </c>
      <c r="E58" s="1622">
        <f t="shared" si="2"/>
        <v>0</v>
      </c>
    </row>
    <row r="59" spans="2:5">
      <c r="B59" s="846">
        <v>0.35</v>
      </c>
      <c r="C59" s="1055">
        <f t="shared" si="3"/>
        <v>20</v>
      </c>
      <c r="D59" s="1622" t="e">
        <f t="shared" si="1"/>
        <v>#DIV/0!</v>
      </c>
      <c r="E59" s="1622">
        <f t="shared" si="2"/>
        <v>0</v>
      </c>
    </row>
    <row r="60" spans="2:5">
      <c r="B60" s="846">
        <v>0.45</v>
      </c>
      <c r="C60" s="1055">
        <f t="shared" si="3"/>
        <v>21</v>
      </c>
      <c r="D60" s="1622" t="e">
        <f t="shared" si="1"/>
        <v>#DIV/0!</v>
      </c>
      <c r="E60" s="1622">
        <f t="shared" si="2"/>
        <v>0</v>
      </c>
    </row>
    <row r="61" spans="2:5">
      <c r="B61" s="846">
        <v>0.3</v>
      </c>
      <c r="C61" s="1055">
        <f t="shared" si="3"/>
        <v>22</v>
      </c>
      <c r="D61" s="1622" t="e">
        <f t="shared" si="1"/>
        <v>#DIV/0!</v>
      </c>
      <c r="E61" s="1622">
        <f t="shared" si="2"/>
        <v>0</v>
      </c>
    </row>
    <row r="62" spans="2:5">
      <c r="B62" s="846">
        <v>0.05</v>
      </c>
      <c r="C62" s="1055">
        <f>C61+1</f>
        <v>23</v>
      </c>
      <c r="D62" s="1622" t="e">
        <f t="shared" si="1"/>
        <v>#DIV/0!</v>
      </c>
      <c r="E62" s="1622">
        <f t="shared" si="2"/>
        <v>0</v>
      </c>
    </row>
    <row r="63" spans="2:5">
      <c r="B63" s="813">
        <f>SUM(B39:B62)</f>
        <v>6.7</v>
      </c>
      <c r="D63" s="1623" t="e">
        <f>SUM(D39:D62)</f>
        <v>#DIV/0!</v>
      </c>
      <c r="E63" s="1623">
        <f>SUM(E39:E62)</f>
        <v>0</v>
      </c>
    </row>
    <row r="64" spans="2:5">
      <c r="D64" s="1578"/>
    </row>
    <row r="66" spans="2:7" ht="12">
      <c r="B66" s="2250" t="s">
        <v>3845</v>
      </c>
      <c r="C66" s="2251"/>
      <c r="D66" s="2251"/>
      <c r="E66" s="2251"/>
      <c r="F66" s="2251"/>
      <c r="G66" s="2252"/>
    </row>
    <row r="67" spans="2:7" ht="12">
      <c r="B67" s="1040"/>
      <c r="C67" s="1041"/>
      <c r="D67" s="1041"/>
      <c r="E67" s="1041"/>
      <c r="F67" s="1041"/>
      <c r="G67" s="1042"/>
    </row>
    <row r="68" spans="2:7" ht="12">
      <c r="B68" s="1043"/>
      <c r="C68" s="1044"/>
      <c r="D68" s="1044"/>
      <c r="E68" s="1044"/>
      <c r="F68" s="1044"/>
      <c r="G68" s="1045"/>
    </row>
    <row r="69" spans="2:7" ht="12">
      <c r="B69" s="1046"/>
      <c r="C69" s="1044"/>
      <c r="D69" s="1044"/>
      <c r="E69" s="1044"/>
      <c r="F69" s="1044"/>
      <c r="G69" s="1045"/>
    </row>
    <row r="70" spans="2:7" ht="12">
      <c r="B70" s="1046"/>
      <c r="C70" s="1044"/>
      <c r="D70" s="1044"/>
      <c r="E70" s="1044"/>
      <c r="F70" s="1044"/>
      <c r="G70" s="1045"/>
    </row>
    <row r="71" spans="2:7" ht="12">
      <c r="B71" s="1047"/>
      <c r="C71" s="1048"/>
      <c r="D71" s="1048"/>
      <c r="E71" s="1048"/>
      <c r="F71" s="1048"/>
      <c r="G71" s="1049"/>
    </row>
  </sheetData>
  <sheetProtection sheet="1" objects="1" scenarios="1" formatCells="0"/>
  <mergeCells count="2">
    <mergeCell ref="B26:E27"/>
    <mergeCell ref="B66:G66"/>
  </mergeCells>
  <conditionalFormatting sqref="C31:D31">
    <cfRule type="expression" dxfId="18" priority="5">
      <formula>$B$31=""</formula>
    </cfRule>
  </conditionalFormatting>
  <conditionalFormatting sqref="C32:D32">
    <cfRule type="expression" dxfId="17" priority="4">
      <formula>$B$32=""</formula>
    </cfRule>
  </conditionalFormatting>
  <conditionalFormatting sqref="C19">
    <cfRule type="expression" dxfId="16" priority="3">
      <formula>$B$19=""</formula>
    </cfRule>
  </conditionalFormatting>
  <conditionalFormatting sqref="C20">
    <cfRule type="expression" dxfId="15" priority="2">
      <formula>$B$20=""</formula>
    </cfRule>
  </conditionalFormatting>
  <conditionalFormatting sqref="C21">
    <cfRule type="expression" dxfId="14" priority="1">
      <formula>$B$21=""</formula>
    </cfRule>
  </conditionalFormatting>
  <dataValidations count="6">
    <dataValidation type="list" allowBlank="1" showInputMessage="1" showErrorMessage="1" sqref="H41">
      <formula1>"Electric, Gas"</formula1>
    </dataValidation>
    <dataValidation type="list" allowBlank="1" showInputMessage="1" showErrorMessage="1" sqref="H20:H21">
      <formula1>"Y,N"</formula1>
    </dataValidation>
    <dataValidation type="list" allowBlank="1" showInputMessage="1" showErrorMessage="1" sqref="H32">
      <formula1>"Y,N, NA"</formula1>
    </dataValidation>
    <dataValidation type="list" allowBlank="1" showInputMessage="1" showErrorMessage="1" sqref="H33">
      <formula1>"Common,In-Unit"</formula1>
    </dataValidation>
    <dataValidation type="list" allowBlank="1" showInputMessage="1" showErrorMessage="1" sqref="H8">
      <formula1>$AA$4:$AA$6</formula1>
    </dataValidation>
    <dataValidation type="list" allowBlank="1" showInputMessage="1" showErrorMessage="1" sqref="C19">
      <formula1>"Y,N"</formula1>
    </dataValidation>
  </dataValidations>
  <pageMargins left="0.7" right="0.7" top="0.75" bottom="0.75" header="0.3" footer="0.3"/>
  <pageSetup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6" tint="0.39997558519241921"/>
  </sheetPr>
  <dimension ref="A1:W70"/>
  <sheetViews>
    <sheetView showGridLines="0" topLeftCell="D1" zoomScaleNormal="100" workbookViewId="0">
      <selection activeCell="J29" sqref="J29"/>
    </sheetView>
  </sheetViews>
  <sheetFormatPr defaultRowHeight="12"/>
  <cols>
    <col min="1" max="1" width="2" style="1028" bestFit="1" customWidth="1"/>
    <col min="2" max="2" width="41.5703125" style="1028" customWidth="1"/>
    <col min="3" max="3" width="28.5703125" style="1028" customWidth="1"/>
    <col min="4" max="4" width="28.42578125" style="1028" customWidth="1"/>
    <col min="5" max="5" width="25" style="1028" customWidth="1"/>
    <col min="6" max="6" width="11.28515625" style="1028" customWidth="1"/>
    <col min="7" max="7" width="11" style="1028" customWidth="1"/>
    <col min="8" max="8" width="19.7109375" style="1028" customWidth="1"/>
    <col min="9" max="9" width="4.28515625" style="834" customWidth="1"/>
    <col min="10" max="10" width="20.7109375" style="1028" bestFit="1" customWidth="1"/>
    <col min="11" max="11" width="13" style="1028" customWidth="1"/>
    <col min="12" max="12" width="20.85546875" style="1028" bestFit="1" customWidth="1"/>
    <col min="13" max="14" width="9.140625" style="1028" hidden="1" customWidth="1"/>
    <col min="15" max="21" width="9.140625" style="1028"/>
    <col min="22" max="23" width="0" style="1028" hidden="1" customWidth="1"/>
    <col min="24" max="16384" width="9.140625" style="1028"/>
  </cols>
  <sheetData>
    <row r="1" spans="1:23" ht="18.75">
      <c r="B1" s="1053" t="s">
        <v>3383</v>
      </c>
    </row>
    <row r="2" spans="1:23">
      <c r="B2" s="813"/>
    </row>
    <row r="3" spans="1:23">
      <c r="B3" s="813" t="s">
        <v>3363</v>
      </c>
    </row>
    <row r="4" spans="1:23">
      <c r="A4" s="813">
        <v>1</v>
      </c>
      <c r="B4" s="813" t="s">
        <v>3683</v>
      </c>
    </row>
    <row r="5" spans="1:23">
      <c r="A5" s="813">
        <v>2</v>
      </c>
      <c r="B5" s="817" t="s">
        <v>2252</v>
      </c>
      <c r="C5" s="1593"/>
      <c r="D5" s="1593"/>
    </row>
    <row r="6" spans="1:23">
      <c r="A6" s="813">
        <v>3</v>
      </c>
      <c r="B6" s="1598" t="s">
        <v>3384</v>
      </c>
      <c r="C6" s="1579"/>
      <c r="D6" s="1593"/>
    </row>
    <row r="8" spans="1:23">
      <c r="B8" s="1637"/>
      <c r="C8" s="1637" t="s">
        <v>981</v>
      </c>
      <c r="D8" s="1637" t="s">
        <v>980</v>
      </c>
      <c r="E8" s="1637" t="s">
        <v>3385</v>
      </c>
      <c r="F8" s="1637" t="s">
        <v>3386</v>
      </c>
      <c r="G8" s="1637" t="s">
        <v>3387</v>
      </c>
      <c r="H8" s="1637" t="s">
        <v>3388</v>
      </c>
    </row>
    <row r="9" spans="1:23">
      <c r="B9" s="1638" t="s">
        <v>3389</v>
      </c>
      <c r="C9" s="1639">
        <v>423</v>
      </c>
      <c r="D9" s="1640">
        <v>529</v>
      </c>
      <c r="E9" s="1582"/>
      <c r="F9" s="1652" t="s">
        <v>3390</v>
      </c>
      <c r="G9" s="1652" t="s">
        <v>3390</v>
      </c>
      <c r="H9" s="1029"/>
      <c r="K9" s="1593"/>
      <c r="V9" s="1028" t="s">
        <v>1892</v>
      </c>
      <c r="W9" s="1028" t="s">
        <v>3391</v>
      </c>
    </row>
    <row r="10" spans="1:23">
      <c r="B10" s="1641" t="s">
        <v>3392</v>
      </c>
      <c r="C10" s="1642">
        <f>C9*'DHW Demand'!$H$26</f>
        <v>0</v>
      </c>
      <c r="D10" s="1643">
        <f>D9*'DHW Demand'!$H$26</f>
        <v>0</v>
      </c>
      <c r="E10" s="1029"/>
      <c r="F10" s="1056"/>
      <c r="G10" s="1056"/>
      <c r="H10" s="1029"/>
      <c r="V10" s="1028" t="s">
        <v>2186</v>
      </c>
      <c r="W10" s="1028" t="s">
        <v>3393</v>
      </c>
    </row>
    <row r="11" spans="1:23" s="1593" customFormat="1">
      <c r="B11" s="1644" t="s">
        <v>3394</v>
      </c>
      <c r="C11" s="1645" t="e">
        <f>C10*1000/('Basic Info'!$C$11)/365/$D$62</f>
        <v>#DIV/0!</v>
      </c>
      <c r="D11" s="1645" t="e">
        <f>D10*1000/('Basic Info'!$C$11)/365/$D$62</f>
        <v>#DIV/0!</v>
      </c>
      <c r="E11" s="1625" t="s">
        <v>3395</v>
      </c>
      <c r="F11" s="1616">
        <v>1</v>
      </c>
      <c r="G11" s="1616">
        <v>0</v>
      </c>
      <c r="H11" s="1625" t="s">
        <v>3396</v>
      </c>
      <c r="I11" s="834"/>
      <c r="M11" s="1626" t="s">
        <v>3397</v>
      </c>
    </row>
    <row r="12" spans="1:23" ht="18.75" customHeight="1">
      <c r="B12" s="1641" t="s">
        <v>3398</v>
      </c>
      <c r="C12" s="1641">
        <f>IF(J12="Electric", 604, IF(J12="Gas", "Enter as Internal Energy Source", 0))</f>
        <v>604</v>
      </c>
      <c r="D12" s="1641">
        <f>IF(J12="Electric", 604, IF(J12="Gas", "Enter as Internal Energy Source", 0))</f>
        <v>604</v>
      </c>
      <c r="E12" s="1034"/>
      <c r="F12" s="1653"/>
      <c r="G12" s="1653"/>
      <c r="H12" s="1029"/>
      <c r="I12" s="1627"/>
      <c r="J12" s="846" t="s">
        <v>1892</v>
      </c>
      <c r="K12" s="1654" t="s">
        <v>3399</v>
      </c>
      <c r="M12" s="1629">
        <f>IF(J12="Gas", 45, 0)</f>
        <v>0</v>
      </c>
      <c r="N12" s="1028" t="s">
        <v>1881</v>
      </c>
    </row>
    <row r="13" spans="1:23">
      <c r="B13" s="1646" t="s">
        <v>3400</v>
      </c>
      <c r="C13" s="1055">
        <f>IF(J12="Electric",C12*'DHW Demand'!$H$26,IF(J12="Gas","2126 BTUH per Apt",0))</f>
        <v>0</v>
      </c>
      <c r="D13" s="1055">
        <f>IF(J12="Electric",D12*'DHW Demand'!$H$26,IF(J12="Gas","2126 BTUH per Apt",0))</f>
        <v>0</v>
      </c>
      <c r="E13" s="1034"/>
      <c r="F13" s="1653"/>
      <c r="G13" s="1653"/>
      <c r="H13" s="1029"/>
    </row>
    <row r="14" spans="1:23" s="1593" customFormat="1">
      <c r="B14" s="1644" t="s">
        <v>3401</v>
      </c>
      <c r="C14" s="1645" t="e">
        <f>IF(J12="Gas", 0, C13*1000/('Basic Info'!$C$11)/365/$D$62)</f>
        <v>#DIV/0!</v>
      </c>
      <c r="D14" s="1645" t="e">
        <f>IF(J12="Gas", 0, D13*1000/('Basic Info'!$C$11)/365/$D$62)</f>
        <v>#DIV/0!</v>
      </c>
      <c r="E14" s="1625" t="s">
        <v>3395</v>
      </c>
      <c r="F14" s="1616">
        <f>IF(J12="Electric",0.4,IF(J12="Gas",0.3,0))</f>
        <v>0.4</v>
      </c>
      <c r="G14" s="1616">
        <f>IF(J12="Electric",0.3,IF(J12="Gas",0.2,0))</f>
        <v>0.3</v>
      </c>
      <c r="H14" s="1625" t="s">
        <v>3396</v>
      </c>
      <c r="I14" s="834"/>
    </row>
    <row r="15" spans="1:23" s="1593" customFormat="1">
      <c r="B15" s="1641" t="s">
        <v>3402</v>
      </c>
      <c r="C15" s="1640">
        <f>IF(J15&gt;0, 164, 0)</f>
        <v>0</v>
      </c>
      <c r="D15" s="1640">
        <f>IF(J15&gt;0, 206, 0)</f>
        <v>0</v>
      </c>
      <c r="E15" s="1034"/>
      <c r="F15" s="1653"/>
      <c r="G15" s="1653"/>
      <c r="H15" s="1034"/>
      <c r="I15" s="1627"/>
      <c r="J15" s="1056">
        <f>'DHW Demand'!H22</f>
        <v>0</v>
      </c>
      <c r="K15" s="841" t="s">
        <v>3403</v>
      </c>
    </row>
    <row r="16" spans="1:23" s="1593" customFormat="1">
      <c r="B16" s="1641" t="s">
        <v>3404</v>
      </c>
      <c r="C16" s="1641">
        <f>C15*J15</f>
        <v>0</v>
      </c>
      <c r="D16" s="1647">
        <f>D15*J15</f>
        <v>0</v>
      </c>
      <c r="E16" s="1034"/>
      <c r="F16" s="1653"/>
      <c r="G16" s="1653"/>
      <c r="H16" s="1034"/>
      <c r="I16" s="834"/>
    </row>
    <row r="17" spans="2:15" s="1593" customFormat="1">
      <c r="B17" s="1644" t="s">
        <v>3405</v>
      </c>
      <c r="C17" s="1645" t="e">
        <f>C16*1000/('Basic Info'!$C$11)/365/$D$62</f>
        <v>#DIV/0!</v>
      </c>
      <c r="D17" s="1645" t="e">
        <f>D16*1000/('Basic Info'!$C$11)/365/$D$62</f>
        <v>#DIV/0!</v>
      </c>
      <c r="E17" s="1625" t="s">
        <v>3395</v>
      </c>
      <c r="F17" s="1606">
        <v>0.6</v>
      </c>
      <c r="G17" s="1606">
        <v>0.15</v>
      </c>
      <c r="H17" s="1625" t="s">
        <v>3396</v>
      </c>
      <c r="I17" s="834"/>
    </row>
    <row r="18" spans="2:15" s="1593" customFormat="1">
      <c r="B18" s="1641" t="s">
        <v>3406</v>
      </c>
      <c r="C18" s="1640">
        <f>IF('DHW Demand'!$H$33="In-Unit", 57, 0)</f>
        <v>0</v>
      </c>
      <c r="D18" s="1640">
        <f>IF('DHW Demand'!$H$33="In-Unit", 81, 0)</f>
        <v>0</v>
      </c>
      <c r="E18" s="1034"/>
      <c r="F18" s="1653"/>
      <c r="G18" s="1653"/>
      <c r="H18" s="1034"/>
      <c r="I18" s="834"/>
    </row>
    <row r="19" spans="2:15" s="1593" customFormat="1">
      <c r="B19" s="1641" t="s">
        <v>3407</v>
      </c>
      <c r="C19" s="1640">
        <f>C18*J20</f>
        <v>0</v>
      </c>
      <c r="D19" s="1640">
        <f>D18*J20</f>
        <v>0</v>
      </c>
      <c r="E19" s="1034"/>
      <c r="F19" s="1653"/>
      <c r="G19" s="1653"/>
      <c r="H19" s="1630"/>
      <c r="I19" s="1631"/>
      <c r="J19" s="1056">
        <f>IF('DHW Demand'!H33="Common", 2.423, 1)</f>
        <v>1</v>
      </c>
      <c r="K19" s="841" t="s">
        <v>3266</v>
      </c>
    </row>
    <row r="20" spans="2:15" s="1593" customFormat="1">
      <c r="B20" s="1644" t="s">
        <v>3408</v>
      </c>
      <c r="C20" s="1645" t="e">
        <f>(C19)*1000/J24/365/$D$62</f>
        <v>#DIV/0!</v>
      </c>
      <c r="D20" s="1645" t="e">
        <f>(D19)*1000/J24/365/$D$62</f>
        <v>#DIV/0!</v>
      </c>
      <c r="E20" s="1625" t="s">
        <v>3395</v>
      </c>
      <c r="F20" s="1616">
        <v>0.8</v>
      </c>
      <c r="G20" s="1616">
        <f>IF('DHW Demand'!$H$33="Common", "NA", 0)</f>
        <v>0</v>
      </c>
      <c r="H20" s="1632" t="s">
        <v>3396</v>
      </c>
      <c r="I20" s="1631"/>
      <c r="J20" s="1056">
        <f>'DHW Demand'!H31</f>
        <v>0</v>
      </c>
      <c r="K20" s="841" t="s">
        <v>3409</v>
      </c>
    </row>
    <row r="21" spans="2:15" s="1593" customFormat="1" ht="16.5" customHeight="1">
      <c r="B21" s="1641" t="s">
        <v>3410</v>
      </c>
      <c r="C21" s="1640" t="e">
        <f>IF('DHW Demand'!$H$33="Common",0,IF($J$23="Electric",$J$22*(418+139*$J$21)*$J$19,$J$22*(38+12.7*$J$21)*$J$19))</f>
        <v>#DIV/0!</v>
      </c>
      <c r="D21" s="1640" t="e">
        <f>IF('DHW Demand'!$H$33="Common",0,IF($J$23="Electric",$J$22*(418+139*$J$21)*$J$19,$J$22*(38+12.7*$J$21)*$J$19))</f>
        <v>#DIV/0!</v>
      </c>
      <c r="E21" s="1034"/>
      <c r="F21" s="1653"/>
      <c r="G21" s="1653"/>
      <c r="H21" s="1630"/>
      <c r="I21" s="1631"/>
      <c r="J21" s="1602" t="e">
        <f>('Basic Info'!C4*1+'Basic Info'!C5*1+'Basic Info'!C6*2+'Basic Info'!C7*3)/SUM('Basic Info'!C4:C7)</f>
        <v>#DIV/0!</v>
      </c>
      <c r="K21" s="841" t="s">
        <v>3411</v>
      </c>
      <c r="M21" s="1626" t="s">
        <v>3412</v>
      </c>
      <c r="O21" s="1088"/>
    </row>
    <row r="22" spans="2:15" s="1593" customFormat="1">
      <c r="B22" s="1644" t="s">
        <v>3413</v>
      </c>
      <c r="C22" s="1645" t="e">
        <f>(C21)*1000/(J24)/365/$D$62</f>
        <v>#DIV/0!</v>
      </c>
      <c r="D22" s="1645" t="e">
        <f>(D21)*1000/(J24)/365/$D$62</f>
        <v>#DIV/0!</v>
      </c>
      <c r="E22" s="1625" t="s">
        <v>3395</v>
      </c>
      <c r="F22" s="1606">
        <f>IF('DHW Demand'!$H$33="Common", "NA", IF($J$23="Gas", 1, 0.15))</f>
        <v>1</v>
      </c>
      <c r="G22" s="1606">
        <f>IF('DHW Demand'!$H$33="Common", "NA", IF($J$23="Gas", 0, 0.05))</f>
        <v>0</v>
      </c>
      <c r="H22" s="1632" t="s">
        <v>3396</v>
      </c>
      <c r="I22" s="1631"/>
      <c r="J22" s="846"/>
      <c r="K22" s="841" t="s">
        <v>3414</v>
      </c>
      <c r="M22" s="1629" t="e">
        <f>IF(J23="Gas", (26.5+8.8*J21)*J19, 0)</f>
        <v>#DIV/0!</v>
      </c>
      <c r="N22" s="481" t="s">
        <v>1881</v>
      </c>
      <c r="O22" s="1088"/>
    </row>
    <row r="23" spans="2:15" s="1593" customFormat="1">
      <c r="B23" s="1644" t="s">
        <v>3415</v>
      </c>
      <c r="C23" s="1648">
        <f>IF('DHW Demand'!$H$33="In-Unit",$M$22*100000/365/D62,0)</f>
        <v>0</v>
      </c>
      <c r="D23" s="1648">
        <f>IF('DHW Demand'!$H$33="In-Unit",$M$22*100000/365/D62,0)</f>
        <v>0</v>
      </c>
      <c r="E23" s="1625" t="str">
        <f>IF(J23="Gas","Internal Energy Source", "NA")</f>
        <v>Internal Energy Source</v>
      </c>
      <c r="F23" s="1606">
        <f>IF('DHW Demand'!$H$33="Common","NA",IF($J$23="Gas",0.1,"NA"))</f>
        <v>0.1</v>
      </c>
      <c r="G23" s="1606">
        <f>IF('DHW Demand'!$H$33="Common","NA",IF($J$23="Gas",0.05,"NA"))</f>
        <v>0.05</v>
      </c>
      <c r="H23" s="1632" t="s">
        <v>3396</v>
      </c>
      <c r="I23" s="1631"/>
      <c r="J23" s="846" t="s">
        <v>2186</v>
      </c>
      <c r="K23" s="1654" t="s">
        <v>3416</v>
      </c>
      <c r="M23" s="1629"/>
      <c r="N23" s="481"/>
      <c r="O23" s="1088"/>
    </row>
    <row r="24" spans="2:15" s="1593" customFormat="1">
      <c r="B24" s="1641" t="s">
        <v>3417</v>
      </c>
      <c r="C24" s="1640">
        <v>138</v>
      </c>
      <c r="D24" s="1640">
        <v>196</v>
      </c>
      <c r="E24" s="1034"/>
      <c r="F24" s="1653"/>
      <c r="G24" s="1653"/>
      <c r="H24" s="1630"/>
      <c r="I24" s="1631"/>
      <c r="J24" s="793">
        <f>'Basic Info'!C11</f>
        <v>0</v>
      </c>
      <c r="K24" s="1654" t="s">
        <v>3418</v>
      </c>
    </row>
    <row r="25" spans="2:15" s="1593" customFormat="1">
      <c r="B25" s="1641" t="s">
        <v>3419</v>
      </c>
      <c r="C25" s="1640">
        <f>C24*J20</f>
        <v>0</v>
      </c>
      <c r="D25" s="1640">
        <f>D24*J20</f>
        <v>0</v>
      </c>
      <c r="E25" s="1034"/>
      <c r="F25" s="1653"/>
      <c r="G25" s="1653"/>
      <c r="H25" s="1630"/>
      <c r="I25" s="1631"/>
      <c r="J25" s="846"/>
      <c r="K25" s="1654" t="s">
        <v>3420</v>
      </c>
    </row>
    <row r="26" spans="2:15" s="1593" customFormat="1">
      <c r="B26" s="1644" t="s">
        <v>3421</v>
      </c>
      <c r="C26" s="1649" t="e">
        <f>(C25)*1000/J25/365/$C$62</f>
        <v>#DIV/0!</v>
      </c>
      <c r="D26" s="1649" t="e">
        <f>(D25)*1000/J25/365/$C$62</f>
        <v>#DIV/0!</v>
      </c>
      <c r="E26" s="1625" t="str">
        <f>"Laundry Equipment 1"</f>
        <v>Laundry Equipment 1</v>
      </c>
      <c r="F26" s="1616" t="str">
        <f>IF('DHW Demand'!$H$33="Common", 0.8, "NA")</f>
        <v>NA</v>
      </c>
      <c r="G26" s="1616" t="str">
        <f>IF('DHW Demand'!$H$33="Common", 0, "NA")</f>
        <v>NA</v>
      </c>
      <c r="H26" s="1625" t="s">
        <v>3422</v>
      </c>
      <c r="I26" s="834"/>
      <c r="J26" s="1028"/>
      <c r="K26" s="1628"/>
    </row>
    <row r="27" spans="2:15" s="1593" customFormat="1">
      <c r="B27" s="1641" t="s">
        <v>3423</v>
      </c>
      <c r="C27" s="1640" t="e">
        <f>IF('DHW Demand'!$H$33="In-Unit",0,IF($J$23="Electric",$J$22*(418+139*$J$21)*J19,$J$22*(38+12.7*$J$21)*J19))</f>
        <v>#DIV/0!</v>
      </c>
      <c r="D27" s="1640" t="e">
        <f>IF('DHW Demand'!$H$33="In-Unit",0,IF($J$23="Electric",$J$22*(418+139*$J$21)*J19,$J$22*(38+12.7*$J$21)*J19))</f>
        <v>#DIV/0!</v>
      </c>
      <c r="E27" s="1034"/>
      <c r="F27" s="1653"/>
      <c r="G27" s="1653"/>
      <c r="H27" s="1034"/>
      <c r="I27" s="834"/>
    </row>
    <row r="28" spans="2:15" s="1593" customFormat="1">
      <c r="B28" s="1644" t="s">
        <v>3424</v>
      </c>
      <c r="C28" s="1649" t="e">
        <f>(C27)*1000/J25/365/$C$62</f>
        <v>#DIV/0!</v>
      </c>
      <c r="D28" s="1649" t="e">
        <f>(D27)*1000/J25/365/$C$62</f>
        <v>#DIV/0!</v>
      </c>
      <c r="E28" s="1625" t="str">
        <f>"Laundry Equipment 2"</f>
        <v>Laundry Equipment 2</v>
      </c>
      <c r="F28" s="1606">
        <f>IF('DHW Demand'!$H$33="In-Unit", "NA", IF($J$23="Gas", 1, 0.15))</f>
        <v>1</v>
      </c>
      <c r="G28" s="1606">
        <f>IF('DHW Demand'!$H$33="In-Unit", "NA", IF($J$23="Gas", 0, 0.05))</f>
        <v>0</v>
      </c>
      <c r="H28" s="1625" t="s">
        <v>3422</v>
      </c>
      <c r="I28" s="834"/>
      <c r="J28" s="1801">
        <f>SUM('Basic Info'!C4:C8)</f>
        <v>0</v>
      </c>
      <c r="K28" s="1593" t="s">
        <v>3015</v>
      </c>
    </row>
    <row r="29" spans="2:15">
      <c r="B29" s="1644" t="s">
        <v>3425</v>
      </c>
      <c r="C29" s="1648" t="e">
        <f>IF('DHW Demand'!$H$33="In-Unit",0, $M$22*100000/365/C62)</f>
        <v>#DIV/0!</v>
      </c>
      <c r="D29" s="1648" t="e">
        <f>IF('DHW Demand'!$H$33="In-Unit",0, $M$22*100000/365/C62)</f>
        <v>#DIV/0!</v>
      </c>
      <c r="E29" s="1625" t="str">
        <f>IF(J23="Gas","Internal Energy Source", "NA")</f>
        <v>Internal Energy Source</v>
      </c>
      <c r="F29" s="1606">
        <f>IF($J$23="Gas", 0.1, "NA")</f>
        <v>0.1</v>
      </c>
      <c r="G29" s="1606">
        <f>IF($J$23="Gas", 0.05, "NA")</f>
        <v>0.05</v>
      </c>
      <c r="H29" s="1625" t="str">
        <f>IF('DHW Demand'!H33="Common", "T24 EQP WD", "T24 DAY EQP WD")</f>
        <v>T24 DAY EQP WD</v>
      </c>
      <c r="J29" s="846"/>
      <c r="K29" s="1655" t="s">
        <v>3426</v>
      </c>
    </row>
    <row r="30" spans="2:15" s="1593" customFormat="1">
      <c r="B30" s="1055" t="s">
        <v>3427</v>
      </c>
      <c r="C30" s="1604">
        <v>1.05</v>
      </c>
      <c r="D30" s="1604">
        <v>1.05</v>
      </c>
      <c r="E30" s="1029"/>
      <c r="F30" s="1653"/>
      <c r="G30" s="1653"/>
      <c r="H30" s="1029"/>
      <c r="I30" s="1627"/>
      <c r="J30" s="846"/>
      <c r="K30" s="839" t="s">
        <v>3428</v>
      </c>
    </row>
    <row r="31" spans="2:15" s="1593" customFormat="1">
      <c r="B31" s="1644" t="s">
        <v>3429</v>
      </c>
      <c r="C31" s="1609">
        <f>C30*1000/365/$D$62</f>
        <v>0.49598488427019383</v>
      </c>
      <c r="D31" s="1609">
        <f>D30*1000/365/$D$62</f>
        <v>0.49598488427019383</v>
      </c>
      <c r="E31" s="1625" t="s">
        <v>3430</v>
      </c>
      <c r="F31" s="1616">
        <v>0.9</v>
      </c>
      <c r="G31" s="1616">
        <v>0.1</v>
      </c>
      <c r="H31" s="1625" t="s">
        <v>3396</v>
      </c>
      <c r="I31" s="1627"/>
      <c r="J31" s="1803" t="str">
        <f>IF(J29=0,"",IF(J29&lt;7,"Hydraulic",IF(AND(J29&gt;=7,J29&lt;=20,J28&gt;=21),"Geared Traction",IF(AND(J29&gt;=21,J28&gt;50),"Gearless Traction","ERROR"))))</f>
        <v/>
      </c>
      <c r="K31" s="839" t="s">
        <v>3431</v>
      </c>
    </row>
    <row r="32" spans="2:15">
      <c r="B32" s="1644" t="s">
        <v>3432</v>
      </c>
      <c r="C32" s="1650">
        <v>0.2</v>
      </c>
      <c r="D32" s="1650">
        <v>0.2</v>
      </c>
      <c r="E32" s="1625" t="s">
        <v>3433</v>
      </c>
      <c r="F32" s="1616">
        <v>1</v>
      </c>
      <c r="G32" s="1616">
        <v>0</v>
      </c>
      <c r="H32" s="1625" t="s">
        <v>3422</v>
      </c>
      <c r="I32" s="1627"/>
      <c r="J32" s="846"/>
      <c r="K32" s="839" t="s">
        <v>3434</v>
      </c>
    </row>
    <row r="33" spans="2:11">
      <c r="B33" s="1644" t="s">
        <v>3435</v>
      </c>
      <c r="C33" s="1649" t="e">
        <f>J34*1000/J30/365/$C$62</f>
        <v>#DIV/0!</v>
      </c>
      <c r="D33" s="1649" t="e">
        <f>J33*1000/J30/365/$C$62</f>
        <v>#VALUE!</v>
      </c>
      <c r="E33" s="1625" t="s">
        <v>3436</v>
      </c>
      <c r="F33" s="1616">
        <v>0.1</v>
      </c>
      <c r="G33" s="1616">
        <v>0</v>
      </c>
      <c r="H33" s="1625" t="s">
        <v>3422</v>
      </c>
      <c r="I33" s="1627"/>
      <c r="J33" s="1056" t="str">
        <f>IF(J29="","",IF(J31="Hydraulic",IF(J28&lt;7,1910,IF(J28&lt;21,2150,IF(J28&lt;51,2940,4120))),IF(J31="GEARED TRACTION",IF(J28&lt;51,3150,4550),IF(J31="GEARLESS TRACTION",7570,"ERROR"))))</f>
        <v/>
      </c>
      <c r="K33" s="839" t="s">
        <v>3437</v>
      </c>
    </row>
    <row r="34" spans="2:11">
      <c r="B34" s="1644" t="s">
        <v>3438</v>
      </c>
      <c r="C34" s="1651">
        <v>1.5</v>
      </c>
      <c r="D34" s="1651">
        <v>1.5</v>
      </c>
      <c r="E34" s="1625" t="s">
        <v>3439</v>
      </c>
      <c r="F34" s="1616">
        <v>1</v>
      </c>
      <c r="G34" s="1616">
        <v>0</v>
      </c>
      <c r="H34" s="1632" t="s">
        <v>3422</v>
      </c>
      <c r="I34" s="1631"/>
      <c r="J34" s="846"/>
      <c r="K34" s="839" t="s">
        <v>3440</v>
      </c>
    </row>
    <row r="35" spans="2:11">
      <c r="B35" s="1644" t="s">
        <v>3441</v>
      </c>
      <c r="C35" s="1651">
        <v>0.5</v>
      </c>
      <c r="D35" s="1651">
        <v>0.5</v>
      </c>
      <c r="E35" s="1625" t="s">
        <v>3442</v>
      </c>
      <c r="F35" s="1593"/>
      <c r="G35" s="1593"/>
    </row>
    <row r="36" spans="2:11" ht="19.5" customHeight="1">
      <c r="F36" s="1593"/>
      <c r="G36" s="1593"/>
      <c r="J36" s="1634"/>
      <c r="K36" s="1635"/>
    </row>
    <row r="37" spans="2:11" ht="24">
      <c r="B37" s="1656" t="s">
        <v>3443</v>
      </c>
      <c r="C37" s="1657" t="s">
        <v>3444</v>
      </c>
      <c r="D37" s="1657" t="s">
        <v>3445</v>
      </c>
      <c r="E37" s="1636"/>
    </row>
    <row r="38" spans="2:11">
      <c r="B38" s="1055">
        <v>1</v>
      </c>
      <c r="C38" s="846">
        <v>0.1</v>
      </c>
      <c r="D38" s="846">
        <v>0.05</v>
      </c>
    </row>
    <row r="39" spans="2:11">
      <c r="B39" s="1055">
        <v>2</v>
      </c>
      <c r="C39" s="846">
        <v>0.1</v>
      </c>
      <c r="D39" s="846">
        <v>0.05</v>
      </c>
    </row>
    <row r="40" spans="2:11">
      <c r="B40" s="1055">
        <v>3</v>
      </c>
      <c r="C40" s="846">
        <v>0.1</v>
      </c>
      <c r="D40" s="846">
        <v>0.05</v>
      </c>
    </row>
    <row r="41" spans="2:11">
      <c r="B41" s="1055">
        <v>4</v>
      </c>
      <c r="C41" s="846">
        <v>0.1</v>
      </c>
      <c r="D41" s="846">
        <v>0.05</v>
      </c>
    </row>
    <row r="42" spans="2:11">
      <c r="B42" s="1055">
        <v>5</v>
      </c>
      <c r="C42" s="846">
        <v>0.1</v>
      </c>
      <c r="D42" s="846">
        <v>0.05</v>
      </c>
    </row>
    <row r="43" spans="2:11">
      <c r="B43" s="1055">
        <v>6</v>
      </c>
      <c r="C43" s="846">
        <v>0.3</v>
      </c>
      <c r="D43" s="846">
        <v>0.05</v>
      </c>
    </row>
    <row r="44" spans="2:11">
      <c r="B44" s="1055">
        <v>7</v>
      </c>
      <c r="C44" s="846">
        <v>0.45</v>
      </c>
      <c r="D44" s="846">
        <v>0.05</v>
      </c>
    </row>
    <row r="45" spans="2:11">
      <c r="B45" s="1055">
        <v>8</v>
      </c>
      <c r="C45" s="846">
        <v>0.45</v>
      </c>
      <c r="D45" s="846">
        <v>0.05</v>
      </c>
    </row>
    <row r="46" spans="2:11">
      <c r="B46" s="1055">
        <v>9</v>
      </c>
      <c r="C46" s="846">
        <v>0.45</v>
      </c>
      <c r="D46" s="846">
        <v>0.5</v>
      </c>
    </row>
    <row r="47" spans="2:11">
      <c r="B47" s="1055">
        <v>10</v>
      </c>
      <c r="C47" s="846">
        <v>0.45</v>
      </c>
      <c r="D47" s="846">
        <v>0.5</v>
      </c>
    </row>
    <row r="48" spans="2:11">
      <c r="B48" s="1055">
        <v>11</v>
      </c>
      <c r="C48" s="846">
        <v>0.3</v>
      </c>
      <c r="D48" s="846">
        <v>0.5</v>
      </c>
    </row>
    <row r="49" spans="2:4">
      <c r="B49" s="1055">
        <v>12</v>
      </c>
      <c r="C49" s="846">
        <v>0.3</v>
      </c>
      <c r="D49" s="846">
        <v>0.5</v>
      </c>
    </row>
    <row r="50" spans="2:4">
      <c r="B50" s="1055">
        <v>13</v>
      </c>
      <c r="C50" s="846">
        <v>0.3</v>
      </c>
      <c r="D50" s="846">
        <v>0.3</v>
      </c>
    </row>
    <row r="51" spans="2:4">
      <c r="B51" s="1055">
        <v>14</v>
      </c>
      <c r="C51" s="846">
        <v>0.3</v>
      </c>
      <c r="D51" s="846">
        <v>0.5</v>
      </c>
    </row>
    <row r="52" spans="2:4">
      <c r="B52" s="1055">
        <v>15</v>
      </c>
      <c r="C52" s="846">
        <v>0.3</v>
      </c>
      <c r="D52" s="846">
        <v>0.5</v>
      </c>
    </row>
    <row r="53" spans="2:4">
      <c r="B53" s="1055">
        <v>16</v>
      </c>
      <c r="C53" s="846">
        <v>0.3</v>
      </c>
      <c r="D53" s="846">
        <v>0.5</v>
      </c>
    </row>
    <row r="54" spans="2:4">
      <c r="B54" s="1055">
        <v>17</v>
      </c>
      <c r="C54" s="846">
        <v>0.3</v>
      </c>
      <c r="D54" s="846">
        <v>0.5</v>
      </c>
    </row>
    <row r="55" spans="2:4">
      <c r="B55" s="1055">
        <v>18</v>
      </c>
      <c r="C55" s="846">
        <v>0.3</v>
      </c>
      <c r="D55" s="846">
        <v>0.5</v>
      </c>
    </row>
    <row r="56" spans="2:4">
      <c r="B56" s="1055">
        <v>19</v>
      </c>
      <c r="C56" s="846">
        <v>0.6</v>
      </c>
      <c r="D56" s="846">
        <v>0.35</v>
      </c>
    </row>
    <row r="57" spans="2:4">
      <c r="B57" s="1055">
        <v>20</v>
      </c>
      <c r="C57" s="846">
        <v>0.8</v>
      </c>
      <c r="D57" s="846">
        <v>0.05</v>
      </c>
    </row>
    <row r="58" spans="2:4">
      <c r="B58" s="1055">
        <v>21</v>
      </c>
      <c r="C58" s="846">
        <v>0.9</v>
      </c>
      <c r="D58" s="846">
        <v>0.05</v>
      </c>
    </row>
    <row r="59" spans="2:4">
      <c r="B59" s="1055">
        <v>22</v>
      </c>
      <c r="C59" s="846">
        <v>0.8</v>
      </c>
      <c r="D59" s="846">
        <v>0.05</v>
      </c>
    </row>
    <row r="60" spans="2:4">
      <c r="B60" s="1055">
        <v>23</v>
      </c>
      <c r="C60" s="846">
        <v>0.6</v>
      </c>
      <c r="D60" s="846">
        <v>0.05</v>
      </c>
    </row>
    <row r="61" spans="2:4">
      <c r="B61" s="1055">
        <v>24</v>
      </c>
      <c r="C61" s="846">
        <v>0.3</v>
      </c>
      <c r="D61" s="846">
        <v>0.05</v>
      </c>
    </row>
    <row r="62" spans="2:4">
      <c r="B62" s="1055" t="s">
        <v>1255</v>
      </c>
      <c r="C62" s="1055">
        <f>SUM(C38:C61)</f>
        <v>9</v>
      </c>
      <c r="D62" s="1055">
        <f>SUM(D38:D61)</f>
        <v>5.799999999999998</v>
      </c>
    </row>
    <row r="63" spans="2:4">
      <c r="B63" s="1636"/>
    </row>
    <row r="64" spans="2:4">
      <c r="B64" s="1636"/>
    </row>
    <row r="65" spans="2:7">
      <c r="B65" s="1821" t="s">
        <v>3845</v>
      </c>
      <c r="C65" s="1822"/>
      <c r="D65" s="1822"/>
      <c r="E65" s="1822"/>
      <c r="F65" s="1822"/>
      <c r="G65" s="1823"/>
    </row>
    <row r="66" spans="2:7">
      <c r="B66" s="1040"/>
      <c r="C66" s="1041"/>
      <c r="D66" s="1041"/>
      <c r="E66" s="1041"/>
      <c r="F66" s="1041"/>
      <c r="G66" s="1042"/>
    </row>
    <row r="67" spans="2:7">
      <c r="B67" s="1043"/>
      <c r="C67" s="1044"/>
      <c r="D67" s="1044"/>
      <c r="E67" s="1044"/>
      <c r="F67" s="1044"/>
      <c r="G67" s="1045"/>
    </row>
    <row r="68" spans="2:7">
      <c r="B68" s="1046"/>
      <c r="C68" s="1044"/>
      <c r="D68" s="1044"/>
      <c r="E68" s="1044"/>
      <c r="F68" s="1044"/>
      <c r="G68" s="1045"/>
    </row>
    <row r="69" spans="2:7">
      <c r="B69" s="1046"/>
      <c r="C69" s="1044"/>
      <c r="D69" s="1044"/>
      <c r="E69" s="1044"/>
      <c r="F69" s="1044"/>
      <c r="G69" s="1045"/>
    </row>
    <row r="70" spans="2:7">
      <c r="B70" s="1047"/>
      <c r="C70" s="1048"/>
      <c r="D70" s="1048"/>
      <c r="E70" s="1048"/>
      <c r="F70" s="1048"/>
      <c r="G70" s="1049"/>
    </row>
  </sheetData>
  <sheetProtection sheet="1" objects="1" scenarios="1" formatCells="0"/>
  <mergeCells count="1">
    <mergeCell ref="B65:G65"/>
  </mergeCells>
  <dataValidations disablePrompts="1" count="1">
    <dataValidation type="list" allowBlank="1" showInputMessage="1" showErrorMessage="1" sqref="J12 J23">
      <formula1>$V$9:$V$10</formula1>
    </dataValidation>
  </dataValidations>
  <pageMargins left="0.7" right="0.7" top="0.75" bottom="0.75" header="0.3" footer="0.3"/>
  <pageSetup orientation="portrait" horizontalDpi="4294967293"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6" tint="0.39997558519241921"/>
  </sheetPr>
  <dimension ref="A1:H49"/>
  <sheetViews>
    <sheetView showGridLines="0" zoomScaleNormal="100" workbookViewId="0"/>
  </sheetViews>
  <sheetFormatPr defaultRowHeight="12"/>
  <cols>
    <col min="1" max="1" width="2" style="1028" bestFit="1" customWidth="1"/>
    <col min="2" max="2" width="6.7109375" style="1028" customWidth="1"/>
    <col min="3" max="3" width="31" style="1028" customWidth="1"/>
    <col min="4" max="4" width="16" style="1028" customWidth="1"/>
    <col min="5" max="5" width="2.5703125" style="1028" customWidth="1"/>
    <col min="6" max="8" width="9.140625" style="1028"/>
    <col min="9" max="9" width="10.85546875" style="1028" customWidth="1"/>
    <col min="10" max="16384" width="9.140625" style="1028"/>
  </cols>
  <sheetData>
    <row r="1" spans="1:8" ht="18.75">
      <c r="B1" s="1053" t="s">
        <v>3446</v>
      </c>
    </row>
    <row r="3" spans="1:8">
      <c r="A3" s="813"/>
      <c r="B3" s="1661" t="s">
        <v>3363</v>
      </c>
    </row>
    <row r="4" spans="1:8">
      <c r="A4" s="813">
        <v>1</v>
      </c>
      <c r="B4" s="841" t="s">
        <v>3447</v>
      </c>
    </row>
    <row r="5" spans="1:8">
      <c r="A5" s="1662">
        <v>2</v>
      </c>
      <c r="B5" s="1598" t="s">
        <v>3448</v>
      </c>
      <c r="C5" s="1579"/>
      <c r="D5" s="1579"/>
      <c r="E5" s="1579"/>
      <c r="F5" s="1579"/>
      <c r="G5" s="1579"/>
      <c r="H5" s="1579"/>
    </row>
    <row r="6" spans="1:8">
      <c r="A6" s="1662">
        <v>3</v>
      </c>
      <c r="B6" s="813" t="s">
        <v>3449</v>
      </c>
    </row>
    <row r="7" spans="1:8">
      <c r="A7" s="1662">
        <v>4</v>
      </c>
      <c r="B7" s="813" t="s">
        <v>3450</v>
      </c>
    </row>
    <row r="8" spans="1:8">
      <c r="A8" s="1662">
        <v>5</v>
      </c>
      <c r="B8" s="1654" t="s">
        <v>3451</v>
      </c>
    </row>
    <row r="9" spans="1:8">
      <c r="C9" s="1659"/>
    </row>
    <row r="10" spans="1:8">
      <c r="C10" s="839" t="s">
        <v>3452</v>
      </c>
      <c r="D10" s="815" t="s">
        <v>3453</v>
      </c>
    </row>
    <row r="11" spans="1:8">
      <c r="C11" s="839" t="s">
        <v>3454</v>
      </c>
      <c r="D11" s="1663">
        <v>2.34</v>
      </c>
    </row>
    <row r="12" spans="1:8">
      <c r="C12" s="839" t="s">
        <v>3455</v>
      </c>
      <c r="D12" s="815">
        <v>24</v>
      </c>
    </row>
    <row r="13" spans="1:8">
      <c r="C13" s="839" t="s">
        <v>3456</v>
      </c>
      <c r="D13" s="815">
        <v>12</v>
      </c>
    </row>
    <row r="14" spans="1:8">
      <c r="D14" s="1660"/>
    </row>
    <row r="15" spans="1:8">
      <c r="B15" s="1014"/>
      <c r="C15" s="816" t="s">
        <v>3457</v>
      </c>
      <c r="D15" s="816" t="s">
        <v>3458</v>
      </c>
      <c r="E15" s="1578"/>
    </row>
    <row r="16" spans="1:8">
      <c r="B16" s="816" t="s">
        <v>3459</v>
      </c>
      <c r="C16" s="816" t="s">
        <v>3460</v>
      </c>
      <c r="D16" s="816" t="s">
        <v>3454</v>
      </c>
      <c r="E16" s="1578"/>
    </row>
    <row r="17" spans="2:4">
      <c r="B17" s="828">
        <v>1</v>
      </c>
      <c r="C17" s="828">
        <v>0.05</v>
      </c>
      <c r="D17" s="1615">
        <f t="shared" ref="D17:D40" si="0">C17*$D$42</f>
        <v>1.5496688741721854E-2</v>
      </c>
    </row>
    <row r="18" spans="2:4">
      <c r="B18" s="828">
        <v>2</v>
      </c>
      <c r="C18" s="828">
        <v>0.05</v>
      </c>
      <c r="D18" s="1615">
        <f t="shared" si="0"/>
        <v>1.5496688741721854E-2</v>
      </c>
    </row>
    <row r="19" spans="2:4">
      <c r="B19" s="828">
        <v>3</v>
      </c>
      <c r="C19" s="828">
        <v>0.05</v>
      </c>
      <c r="D19" s="1615">
        <f t="shared" si="0"/>
        <v>1.5496688741721854E-2</v>
      </c>
    </row>
    <row r="20" spans="2:4">
      <c r="B20" s="828">
        <v>4</v>
      </c>
      <c r="C20" s="828">
        <v>0.05</v>
      </c>
      <c r="D20" s="1615">
        <f t="shared" si="0"/>
        <v>1.5496688741721854E-2</v>
      </c>
    </row>
    <row r="21" spans="2:4">
      <c r="B21" s="828">
        <v>5</v>
      </c>
      <c r="C21" s="828">
        <v>0.05</v>
      </c>
      <c r="D21" s="1615">
        <f t="shared" si="0"/>
        <v>1.5496688741721854E-2</v>
      </c>
    </row>
    <row r="22" spans="2:4">
      <c r="B22" s="828">
        <v>6</v>
      </c>
      <c r="C22" s="828">
        <v>0.05</v>
      </c>
      <c r="D22" s="1615">
        <f t="shared" si="0"/>
        <v>1.5496688741721854E-2</v>
      </c>
    </row>
    <row r="23" spans="2:4">
      <c r="B23" s="828">
        <v>7</v>
      </c>
      <c r="C23" s="828">
        <v>0.25</v>
      </c>
      <c r="D23" s="1615">
        <f t="shared" si="0"/>
        <v>7.7483443708609268E-2</v>
      </c>
    </row>
    <row r="24" spans="2:4">
      <c r="B24" s="828">
        <v>8</v>
      </c>
      <c r="C24" s="828">
        <v>0.45</v>
      </c>
      <c r="D24" s="1615">
        <f t="shared" si="0"/>
        <v>0.13947019867549668</v>
      </c>
    </row>
    <row r="25" spans="2:4">
      <c r="B25" s="828">
        <v>9</v>
      </c>
      <c r="C25" s="828">
        <v>0.45</v>
      </c>
      <c r="D25" s="1615">
        <f t="shared" si="0"/>
        <v>0.13947019867549668</v>
      </c>
    </row>
    <row r="26" spans="2:4">
      <c r="B26" s="828">
        <v>10</v>
      </c>
      <c r="C26" s="828">
        <v>0.35</v>
      </c>
      <c r="D26" s="1615">
        <f t="shared" si="0"/>
        <v>0.10847682119205297</v>
      </c>
    </row>
    <row r="27" spans="2:4">
      <c r="B27" s="828">
        <v>11</v>
      </c>
      <c r="C27" s="828">
        <v>0.35</v>
      </c>
      <c r="D27" s="1615">
        <f t="shared" si="0"/>
        <v>0.10847682119205297</v>
      </c>
    </row>
    <row r="28" spans="2:4">
      <c r="B28" s="828">
        <v>12</v>
      </c>
      <c r="C28" s="828">
        <v>0.35</v>
      </c>
      <c r="D28" s="1615">
        <f t="shared" si="0"/>
        <v>0.10847682119205297</v>
      </c>
    </row>
    <row r="29" spans="2:4">
      <c r="B29" s="828">
        <v>13</v>
      </c>
      <c r="C29" s="828">
        <v>0.25</v>
      </c>
      <c r="D29" s="1615">
        <f t="shared" si="0"/>
        <v>7.7483443708609268E-2</v>
      </c>
    </row>
    <row r="30" spans="2:4">
      <c r="B30" s="828">
        <v>14</v>
      </c>
      <c r="C30" s="828">
        <v>0.25</v>
      </c>
      <c r="D30" s="1615">
        <f t="shared" si="0"/>
        <v>7.7483443708609268E-2</v>
      </c>
    </row>
    <row r="31" spans="2:4">
      <c r="B31" s="828">
        <v>15</v>
      </c>
      <c r="C31" s="828">
        <v>0.25</v>
      </c>
      <c r="D31" s="1615">
        <f t="shared" si="0"/>
        <v>7.7483443708609268E-2</v>
      </c>
    </row>
    <row r="32" spans="2:4">
      <c r="B32" s="828">
        <v>16</v>
      </c>
      <c r="C32" s="828">
        <v>0.25</v>
      </c>
      <c r="D32" s="1615">
        <f t="shared" si="0"/>
        <v>7.7483443708609268E-2</v>
      </c>
    </row>
    <row r="33" spans="2:7">
      <c r="B33" s="828">
        <v>17</v>
      </c>
      <c r="C33" s="828">
        <v>0.25</v>
      </c>
      <c r="D33" s="1615">
        <f t="shared" si="0"/>
        <v>7.7483443708609268E-2</v>
      </c>
    </row>
    <row r="34" spans="2:7">
      <c r="B34" s="828">
        <v>18</v>
      </c>
      <c r="C34" s="828">
        <v>0.35</v>
      </c>
      <c r="D34" s="1615">
        <f t="shared" si="0"/>
        <v>0.10847682119205297</v>
      </c>
    </row>
    <row r="35" spans="2:7">
      <c r="B35" s="828">
        <v>19</v>
      </c>
      <c r="C35" s="828">
        <v>0.7</v>
      </c>
      <c r="D35" s="1615">
        <f t="shared" si="0"/>
        <v>0.21695364238410594</v>
      </c>
    </row>
    <row r="36" spans="2:7">
      <c r="B36" s="828">
        <v>20</v>
      </c>
      <c r="C36" s="828">
        <v>0.7</v>
      </c>
      <c r="D36" s="1615">
        <f t="shared" si="0"/>
        <v>0.21695364238410594</v>
      </c>
    </row>
    <row r="37" spans="2:7">
      <c r="B37" s="828">
        <v>21</v>
      </c>
      <c r="C37" s="828">
        <v>0.7</v>
      </c>
      <c r="D37" s="1615">
        <f t="shared" si="0"/>
        <v>0.21695364238410594</v>
      </c>
    </row>
    <row r="38" spans="2:7">
      <c r="B38" s="828">
        <v>22</v>
      </c>
      <c r="C38" s="828">
        <v>0.7</v>
      </c>
      <c r="D38" s="1615">
        <f t="shared" si="0"/>
        <v>0.21695364238410594</v>
      </c>
    </row>
    <row r="39" spans="2:7">
      <c r="B39" s="828">
        <v>23</v>
      </c>
      <c r="C39" s="828">
        <v>0.6</v>
      </c>
      <c r="D39" s="1615">
        <f t="shared" si="0"/>
        <v>0.18596026490066223</v>
      </c>
    </row>
    <row r="40" spans="2:7">
      <c r="B40" s="828">
        <v>24</v>
      </c>
      <c r="C40" s="828">
        <v>0.05</v>
      </c>
      <c r="D40" s="1615">
        <f t="shared" si="0"/>
        <v>1.5496688741721854E-2</v>
      </c>
    </row>
    <row r="41" spans="2:7">
      <c r="B41" s="1055" t="s">
        <v>1255</v>
      </c>
      <c r="C41" s="828">
        <f>SUM(C17:C40)</f>
        <v>7.55</v>
      </c>
      <c r="D41" s="1664">
        <f>SUM(D17:D40)</f>
        <v>2.34</v>
      </c>
    </row>
    <row r="42" spans="2:7">
      <c r="B42" s="813" t="s">
        <v>3461</v>
      </c>
      <c r="C42" s="813"/>
      <c r="D42" s="1665">
        <f>D11/C41</f>
        <v>0.30993377483443707</v>
      </c>
    </row>
    <row r="44" spans="2:7">
      <c r="B44" s="1821" t="s">
        <v>3845</v>
      </c>
      <c r="C44" s="1822"/>
      <c r="D44" s="1822"/>
      <c r="E44" s="1822"/>
      <c r="F44" s="1822"/>
      <c r="G44" s="1823"/>
    </row>
    <row r="45" spans="2:7">
      <c r="B45" s="1040"/>
      <c r="C45" s="1041"/>
      <c r="D45" s="1041"/>
      <c r="E45" s="1041"/>
      <c r="F45" s="1041"/>
      <c r="G45" s="1042"/>
    </row>
    <row r="46" spans="2:7">
      <c r="B46" s="1043"/>
      <c r="C46" s="1044"/>
      <c r="D46" s="1044"/>
      <c r="E46" s="1044"/>
      <c r="F46" s="1044"/>
      <c r="G46" s="1045"/>
    </row>
    <row r="47" spans="2:7">
      <c r="B47" s="1046"/>
      <c r="C47" s="1044"/>
      <c r="D47" s="1044"/>
      <c r="E47" s="1044"/>
      <c r="F47" s="1044"/>
      <c r="G47" s="1045"/>
    </row>
    <row r="48" spans="2:7">
      <c r="B48" s="1046"/>
      <c r="C48" s="1044"/>
      <c r="D48" s="1044"/>
      <c r="E48" s="1044"/>
      <c r="F48" s="1044"/>
      <c r="G48" s="1045"/>
    </row>
    <row r="49" spans="2:7">
      <c r="B49" s="1047"/>
      <c r="C49" s="1048"/>
      <c r="D49" s="1048"/>
      <c r="E49" s="1048"/>
      <c r="F49" s="1048"/>
      <c r="G49" s="1049"/>
    </row>
  </sheetData>
  <sheetProtection sheet="1" objects="1" scenarios="1" formatCells="0"/>
  <mergeCells count="1">
    <mergeCell ref="B44:G44"/>
  </mergeCells>
  <pageMargins left="0.7" right="0.7" top="0.75" bottom="0.75" header="0.3" footer="0.3"/>
  <pageSetup orientation="portrait" horizontalDpi="300" verticalDpi="300"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theme="6" tint="0.39997558519241921"/>
  </sheetPr>
  <dimension ref="A1:U844"/>
  <sheetViews>
    <sheetView showGridLines="0" workbookViewId="0"/>
  </sheetViews>
  <sheetFormatPr defaultRowHeight="12"/>
  <cols>
    <col min="1" max="1" width="2.85546875" style="1028" customWidth="1"/>
    <col min="2" max="2" width="14.28515625" style="1028" customWidth="1"/>
    <col min="3" max="3" width="25.7109375" style="1666" bestFit="1" customWidth="1"/>
    <col min="4" max="4" width="29.140625" style="1583" customWidth="1"/>
    <col min="5" max="5" width="11.140625" style="1578" customWidth="1"/>
    <col min="6" max="7" width="13" style="1578" customWidth="1"/>
    <col min="8" max="8" width="11.28515625" style="1578" customWidth="1"/>
    <col min="9" max="9" width="12" style="1578" customWidth="1"/>
    <col min="10" max="10" width="11.42578125" style="1578" customWidth="1"/>
    <col min="11" max="11" width="22.5703125" style="1578" bestFit="1" customWidth="1"/>
    <col min="12" max="12" width="12.85546875" style="1028" customWidth="1"/>
    <col min="13" max="13" width="18.28515625" style="1028" customWidth="1"/>
    <col min="14" max="14" width="18.28515625" style="1028" bestFit="1" customWidth="1"/>
    <col min="15" max="15" width="29" style="1028" customWidth="1"/>
    <col min="16" max="16" width="16.28515625" style="1028" bestFit="1" customWidth="1"/>
    <col min="17" max="17" width="26.42578125" style="1028" customWidth="1"/>
    <col min="18" max="16384" width="9.140625" style="1028"/>
  </cols>
  <sheetData>
    <row r="1" spans="1:21" ht="18.75">
      <c r="A1" s="1027"/>
      <c r="B1" s="1053" t="s">
        <v>3462</v>
      </c>
    </row>
    <row r="2" spans="1:21" ht="12.75">
      <c r="N2" s="813" t="s">
        <v>4078</v>
      </c>
      <c r="Q2" s="1581"/>
      <c r="U2" s="819"/>
    </row>
    <row r="3" spans="1:21" ht="12.75">
      <c r="A3" s="1012" t="s">
        <v>3363</v>
      </c>
      <c r="B3" s="1011"/>
      <c r="J3" s="816" t="s">
        <v>3463</v>
      </c>
      <c r="K3" s="816" t="s">
        <v>3854</v>
      </c>
      <c r="L3" s="816" t="s">
        <v>3464</v>
      </c>
      <c r="M3" s="816" t="s">
        <v>4077</v>
      </c>
      <c r="N3" s="816" t="s">
        <v>3465</v>
      </c>
      <c r="O3" s="816" t="s">
        <v>3466</v>
      </c>
      <c r="P3" s="816" t="s">
        <v>3467</v>
      </c>
      <c r="Q3" s="816" t="s">
        <v>1205</v>
      </c>
      <c r="R3" s="816" t="s">
        <v>2717</v>
      </c>
      <c r="S3" s="816" t="s">
        <v>3882</v>
      </c>
      <c r="U3" s="819"/>
    </row>
    <row r="4" spans="1:21" ht="12.75">
      <c r="A4" s="817" t="s">
        <v>3885</v>
      </c>
      <c r="B4" s="817"/>
      <c r="C4" s="1576"/>
      <c r="D4" s="1576"/>
      <c r="E4" s="1576"/>
      <c r="H4" s="2253" t="s">
        <v>3468</v>
      </c>
      <c r="I4" s="2254"/>
      <c r="J4" s="529" t="s">
        <v>3469</v>
      </c>
      <c r="K4" s="529"/>
      <c r="L4" s="529"/>
      <c r="M4" s="1026" t="e">
        <f>VLOOKUP(K4,Lookup!$K$9:$Q$24,6)</f>
        <v>#N/A</v>
      </c>
      <c r="N4" s="529"/>
      <c r="O4" s="529"/>
      <c r="P4" s="529"/>
      <c r="Q4" s="529"/>
      <c r="R4" s="1282" t="e">
        <f>SUMIF($F$29:$F$360, J4, $J$29:$J$360)/L4</f>
        <v>#DIV/0!</v>
      </c>
      <c r="S4" s="1282" t="e">
        <f>SUMIF('In-Unit Lighting'!$E$13:$E$64, J4, 'In-Unit Lighting'!$J$13:$J$64)/L4</f>
        <v>#DIV/0!</v>
      </c>
      <c r="U4" s="819"/>
    </row>
    <row r="5" spans="1:21" ht="12.75">
      <c r="A5" s="813" t="s">
        <v>3886</v>
      </c>
      <c r="B5" s="813"/>
      <c r="J5" s="529" t="s">
        <v>3470</v>
      </c>
      <c r="K5" s="529"/>
      <c r="L5" s="529"/>
      <c r="M5" s="1026" t="e">
        <f>VLOOKUP(K5,Lookup!$K$9:$Q$24,6)</f>
        <v>#N/A</v>
      </c>
      <c r="N5" s="529"/>
      <c r="O5" s="529"/>
      <c r="P5" s="529"/>
      <c r="Q5" s="529"/>
      <c r="R5" s="1282" t="e">
        <f t="shared" ref="R5:R26" si="0">SUMIF($F$29:$F$360, J5, $J$29:$J$360)/L5</f>
        <v>#DIV/0!</v>
      </c>
      <c r="S5" s="1282" t="e">
        <f>SUMIF('In-Unit Lighting'!$E$13:$E$64, J5, 'In-Unit Lighting'!$J$13:$J$64)/L5</f>
        <v>#DIV/0!</v>
      </c>
      <c r="U5" s="819"/>
    </row>
    <row r="6" spans="1:21" ht="12.75">
      <c r="A6" s="813" t="s">
        <v>3887</v>
      </c>
      <c r="B6" s="813"/>
      <c r="J6" s="529" t="s">
        <v>3471</v>
      </c>
      <c r="K6" s="529"/>
      <c r="L6" s="529"/>
      <c r="M6" s="1026" t="e">
        <f>VLOOKUP(K6,Lookup!$K$9:$Q$24,6)</f>
        <v>#N/A</v>
      </c>
      <c r="N6" s="529"/>
      <c r="O6" s="529"/>
      <c r="P6" s="529"/>
      <c r="Q6" s="529"/>
      <c r="R6" s="1282" t="e">
        <f t="shared" si="0"/>
        <v>#DIV/0!</v>
      </c>
      <c r="S6" s="1282" t="e">
        <f>SUMIF('In-Unit Lighting'!$E$13:$E$64, J6, 'In-Unit Lighting'!$J$13:$J$64)/L6</f>
        <v>#DIV/0!</v>
      </c>
      <c r="U6" s="819"/>
    </row>
    <row r="7" spans="1:21" ht="12.75">
      <c r="A7" s="813" t="s">
        <v>3888</v>
      </c>
      <c r="B7" s="813"/>
      <c r="J7" s="529" t="s">
        <v>3472</v>
      </c>
      <c r="K7" s="529"/>
      <c r="L7" s="529"/>
      <c r="M7" s="1026" t="e">
        <f>VLOOKUP(K7,Lookup!$K$9:$Q$24,6)</f>
        <v>#N/A</v>
      </c>
      <c r="N7" s="529"/>
      <c r="O7" s="529"/>
      <c r="P7" s="529"/>
      <c r="Q7" s="529"/>
      <c r="R7" s="1282" t="e">
        <f t="shared" si="0"/>
        <v>#DIV/0!</v>
      </c>
      <c r="S7" s="1282" t="e">
        <f>SUMIF('In-Unit Lighting'!$E$13:$E$64, J7, 'In-Unit Lighting'!$J$13:$J$64)/L7</f>
        <v>#DIV/0!</v>
      </c>
      <c r="U7" s="819"/>
    </row>
    <row r="8" spans="1:21" ht="12.75">
      <c r="A8" s="813" t="s">
        <v>3889</v>
      </c>
      <c r="B8" s="813"/>
      <c r="J8" s="529" t="s">
        <v>3473</v>
      </c>
      <c r="K8" s="529"/>
      <c r="L8" s="529"/>
      <c r="M8" s="1026" t="e">
        <f>VLOOKUP(K8,Lookup!$K$9:$Q$24,6)</f>
        <v>#N/A</v>
      </c>
      <c r="N8" s="529"/>
      <c r="O8" s="529"/>
      <c r="P8" s="529"/>
      <c r="Q8" s="529"/>
      <c r="R8" s="1282" t="e">
        <f t="shared" si="0"/>
        <v>#DIV/0!</v>
      </c>
      <c r="S8" s="1282" t="e">
        <f>SUMIF('In-Unit Lighting'!$E$13:$E$64, J8, 'In-Unit Lighting'!$J$13:$J$64)/L8</f>
        <v>#DIV/0!</v>
      </c>
      <c r="U8" s="819"/>
    </row>
    <row r="9" spans="1:21">
      <c r="A9" s="813" t="s">
        <v>3890</v>
      </c>
      <c r="B9" s="813"/>
      <c r="J9" s="529" t="s">
        <v>3474</v>
      </c>
      <c r="K9" s="529"/>
      <c r="L9" s="529"/>
      <c r="M9" s="1026" t="e">
        <f>VLOOKUP(K9,Lookup!$K$9:$Q$24,6)</f>
        <v>#N/A</v>
      </c>
      <c r="N9" s="529"/>
      <c r="O9" s="529"/>
      <c r="P9" s="529"/>
      <c r="Q9" s="529"/>
      <c r="R9" s="1282" t="e">
        <f t="shared" si="0"/>
        <v>#DIV/0!</v>
      </c>
      <c r="S9" s="1282" t="e">
        <f>SUMIF('In-Unit Lighting'!$E$13:$E$64, J9, 'In-Unit Lighting'!$J$13:$J$64)/L9</f>
        <v>#DIV/0!</v>
      </c>
    </row>
    <row r="10" spans="1:21">
      <c r="A10" s="813" t="s">
        <v>3891</v>
      </c>
      <c r="B10" s="813"/>
      <c r="J10" s="529" t="s">
        <v>3475</v>
      </c>
      <c r="K10" s="529"/>
      <c r="L10" s="529"/>
      <c r="M10" s="1026" t="e">
        <f>VLOOKUP(K10,Lookup!$K$9:$Q$24,6)</f>
        <v>#N/A</v>
      </c>
      <c r="N10" s="529"/>
      <c r="O10" s="529"/>
      <c r="P10" s="529"/>
      <c r="Q10" s="529"/>
      <c r="R10" s="1282" t="e">
        <f t="shared" si="0"/>
        <v>#DIV/0!</v>
      </c>
      <c r="S10" s="1282" t="e">
        <f>SUMIF('In-Unit Lighting'!$E$13:$E$64, J10, 'In-Unit Lighting'!$J$13:$J$64)/L10</f>
        <v>#DIV/0!</v>
      </c>
    </row>
    <row r="11" spans="1:21">
      <c r="A11" s="813" t="s">
        <v>3476</v>
      </c>
      <c r="B11" s="813"/>
      <c r="J11" s="529" t="s">
        <v>3477</v>
      </c>
      <c r="K11" s="529"/>
      <c r="L11" s="529"/>
      <c r="M11" s="1026" t="e">
        <f>VLOOKUP(K11,Lookup!$K$9:$Q$24,6)</f>
        <v>#N/A</v>
      </c>
      <c r="N11" s="529"/>
      <c r="O11" s="529"/>
      <c r="P11" s="529"/>
      <c r="Q11" s="529"/>
      <c r="R11" s="1282" t="e">
        <f t="shared" si="0"/>
        <v>#DIV/0!</v>
      </c>
      <c r="S11" s="1282" t="e">
        <f>SUMIF('In-Unit Lighting'!$E$13:$E$64, J11, 'In-Unit Lighting'!$J$13:$J$64)/L11</f>
        <v>#DIV/0!</v>
      </c>
    </row>
    <row r="12" spans="1:21">
      <c r="A12" s="813" t="s">
        <v>3478</v>
      </c>
      <c r="B12" s="813"/>
      <c r="J12" s="529" t="s">
        <v>3479</v>
      </c>
      <c r="K12" s="529"/>
      <c r="L12" s="529"/>
      <c r="M12" s="1026" t="e">
        <f>VLOOKUP(K12,Lookup!$K$9:$Q$24,6)</f>
        <v>#N/A</v>
      </c>
      <c r="N12" s="529"/>
      <c r="O12" s="529"/>
      <c r="P12" s="529"/>
      <c r="Q12" s="529"/>
      <c r="R12" s="1282" t="e">
        <f t="shared" si="0"/>
        <v>#DIV/0!</v>
      </c>
      <c r="S12" s="1282" t="e">
        <f>SUMIF('In-Unit Lighting'!$E$13:$E$64, J12, 'In-Unit Lighting'!$J$13:$J$64)/L12</f>
        <v>#DIV/0!</v>
      </c>
    </row>
    <row r="13" spans="1:21" ht="12.75">
      <c r="A13" s="1010" t="s">
        <v>3892</v>
      </c>
      <c r="B13" s="1674"/>
      <c r="C13" s="1667"/>
      <c r="D13" s="1668"/>
      <c r="E13" s="1669"/>
      <c r="J13" s="529" t="s">
        <v>3480</v>
      </c>
      <c r="K13" s="529"/>
      <c r="L13" s="529"/>
      <c r="M13" s="1026" t="e">
        <f>VLOOKUP(K13,Lookup!$K$9:$Q$24,6)</f>
        <v>#N/A</v>
      </c>
      <c r="N13" s="529"/>
      <c r="O13" s="529"/>
      <c r="P13" s="529"/>
      <c r="Q13" s="529"/>
      <c r="R13" s="1282" t="e">
        <f t="shared" si="0"/>
        <v>#DIV/0!</v>
      </c>
      <c r="S13" s="1282" t="e">
        <f>SUMIF('In-Unit Lighting'!$E$13:$E$64, J13, 'In-Unit Lighting'!$J$13:$J$64)/L13</f>
        <v>#DIV/0!</v>
      </c>
    </row>
    <row r="14" spans="1:21" ht="12.75">
      <c r="A14" s="813" t="s">
        <v>3701</v>
      </c>
      <c r="B14" s="866"/>
      <c r="C14" s="820"/>
      <c r="D14" s="819"/>
      <c r="E14" s="821"/>
      <c r="H14" s="1670"/>
      <c r="J14" s="529" t="s">
        <v>3481</v>
      </c>
      <c r="K14" s="529"/>
      <c r="L14" s="529"/>
      <c r="M14" s="1026" t="e">
        <f>VLOOKUP(K14,Lookup!$K$9:$Q$24,6)</f>
        <v>#N/A</v>
      </c>
      <c r="N14" s="529"/>
      <c r="O14" s="529"/>
      <c r="P14" s="529"/>
      <c r="Q14" s="529"/>
      <c r="R14" s="1282" t="e">
        <f t="shared" si="0"/>
        <v>#DIV/0!</v>
      </c>
      <c r="S14" s="1282" t="e">
        <f>SUMIF('In-Unit Lighting'!$E$13:$E$64, J14, 'In-Unit Lighting'!$J$13:$J$64)/L14</f>
        <v>#DIV/0!</v>
      </c>
    </row>
    <row r="15" spans="1:21">
      <c r="A15" s="813" t="s">
        <v>3700</v>
      </c>
      <c r="B15" s="813"/>
      <c r="J15" s="529" t="s">
        <v>3482</v>
      </c>
      <c r="K15" s="529"/>
      <c r="L15" s="529"/>
      <c r="M15" s="1026" t="e">
        <f>VLOOKUP(K15,Lookup!$K$9:$Q$24,6)</f>
        <v>#N/A</v>
      </c>
      <c r="N15" s="529"/>
      <c r="O15" s="529"/>
      <c r="P15" s="529"/>
      <c r="Q15" s="529"/>
      <c r="R15" s="1282" t="e">
        <f t="shared" si="0"/>
        <v>#DIV/0!</v>
      </c>
      <c r="S15" s="1282" t="e">
        <f>SUMIF('In-Unit Lighting'!$E$13:$E$64, J15, 'In-Unit Lighting'!$J$13:$J$64)/L15</f>
        <v>#DIV/0!</v>
      </c>
    </row>
    <row r="16" spans="1:21" ht="12.75">
      <c r="A16" s="818" t="str">
        <f>IF(J27&gt;N27, "Warning: Installed lighting in combined non-apartment spaces exceeds ASHRAE allowances by more than "&amp; (J27-N27)/N27*100&amp;"%.", "")</f>
        <v/>
      </c>
      <c r="B16" s="813"/>
      <c r="J16" s="529" t="s">
        <v>3483</v>
      </c>
      <c r="K16" s="529"/>
      <c r="L16" s="529"/>
      <c r="M16" s="1026" t="e">
        <f>VLOOKUP(K16,Lookup!$K$9:$Q$24,6)</f>
        <v>#N/A</v>
      </c>
      <c r="N16" s="529"/>
      <c r="O16" s="529"/>
      <c r="P16" s="529"/>
      <c r="Q16" s="529"/>
      <c r="R16" s="1282" t="e">
        <f t="shared" si="0"/>
        <v>#DIV/0!</v>
      </c>
      <c r="S16" s="1282" t="e">
        <f>SUMIF('In-Unit Lighting'!$E$13:$E$64, J16, 'In-Unit Lighting'!$J$13:$J$64)/L16</f>
        <v>#DIV/0!</v>
      </c>
    </row>
    <row r="17" spans="1:20">
      <c r="C17" s="862" t="s">
        <v>3705</v>
      </c>
      <c r="D17" s="529" t="s">
        <v>3706</v>
      </c>
      <c r="J17" s="529" t="s">
        <v>3484</v>
      </c>
      <c r="K17" s="529"/>
      <c r="L17" s="529"/>
      <c r="M17" s="1026" t="e">
        <f>VLOOKUP(K17,Lookup!$K$9:$Q$24,6)</f>
        <v>#N/A</v>
      </c>
      <c r="N17" s="529"/>
      <c r="O17" s="529"/>
      <c r="P17" s="529"/>
      <c r="Q17" s="529"/>
      <c r="R17" s="1282" t="e">
        <f t="shared" si="0"/>
        <v>#DIV/0!</v>
      </c>
      <c r="S17" s="1282" t="e">
        <f>SUMIF('In-Unit Lighting'!$E$13:$E$64, J17, 'In-Unit Lighting'!$J$13:$J$64)/L17</f>
        <v>#DIV/0!</v>
      </c>
    </row>
    <row r="18" spans="1:20">
      <c r="J18" s="529" t="s">
        <v>3485</v>
      </c>
      <c r="K18" s="529"/>
      <c r="L18" s="529"/>
      <c r="M18" s="1026" t="e">
        <f>VLOOKUP(K18,Lookup!$K$9:$Q$24,6)</f>
        <v>#N/A</v>
      </c>
      <c r="N18" s="529"/>
      <c r="O18" s="529"/>
      <c r="P18" s="529"/>
      <c r="Q18" s="529"/>
      <c r="R18" s="1282" t="e">
        <f t="shared" si="0"/>
        <v>#DIV/0!</v>
      </c>
      <c r="S18" s="1282" t="e">
        <f>SUMIF('In-Unit Lighting'!$E$13:$E$64, J18, 'In-Unit Lighting'!$J$13:$J$64)/L18</f>
        <v>#DIV/0!</v>
      </c>
    </row>
    <row r="19" spans="1:20">
      <c r="J19" s="529" t="s">
        <v>3486</v>
      </c>
      <c r="K19" s="529"/>
      <c r="L19" s="529"/>
      <c r="M19" s="1026" t="e">
        <f>VLOOKUP(K19,Lookup!$K$9:$Q$24,6)</f>
        <v>#N/A</v>
      </c>
      <c r="N19" s="529"/>
      <c r="O19" s="529"/>
      <c r="P19" s="529"/>
      <c r="Q19" s="529"/>
      <c r="R19" s="1282" t="e">
        <f t="shared" si="0"/>
        <v>#DIV/0!</v>
      </c>
      <c r="S19" s="1282" t="e">
        <f>SUMIF('In-Unit Lighting'!$E$13:$E$64, J19, 'In-Unit Lighting'!$J$13:$J$64)/L19</f>
        <v>#DIV/0!</v>
      </c>
    </row>
    <row r="20" spans="1:20" ht="12.75" customHeight="1">
      <c r="J20" s="529" t="s">
        <v>3487</v>
      </c>
      <c r="K20" s="529"/>
      <c r="L20" s="529"/>
      <c r="M20" s="1026" t="e">
        <f>VLOOKUP(K20,Lookup!$K$9:$Q$24,6)</f>
        <v>#N/A</v>
      </c>
      <c r="N20" s="529"/>
      <c r="O20" s="529"/>
      <c r="P20" s="529"/>
      <c r="Q20" s="529"/>
      <c r="R20" s="1282" t="e">
        <f t="shared" si="0"/>
        <v>#DIV/0!</v>
      </c>
      <c r="S20" s="1282" t="e">
        <f>SUMIF('In-Unit Lighting'!$E$13:$E$64, J20, 'In-Unit Lighting'!$J$13:$J$64)/L20</f>
        <v>#DIV/0!</v>
      </c>
    </row>
    <row r="21" spans="1:20">
      <c r="J21" s="529" t="s">
        <v>3488</v>
      </c>
      <c r="K21" s="529"/>
      <c r="L21" s="529"/>
      <c r="M21" s="1026" t="e">
        <f>VLOOKUP(K21,Lookup!$K$9:$Q$24,6)</f>
        <v>#N/A</v>
      </c>
      <c r="N21" s="529"/>
      <c r="O21" s="529"/>
      <c r="P21" s="529"/>
      <c r="Q21" s="529"/>
      <c r="R21" s="1282" t="e">
        <f t="shared" si="0"/>
        <v>#DIV/0!</v>
      </c>
      <c r="S21" s="1282" t="e">
        <f>SUMIF('In-Unit Lighting'!$E$13:$E$64, J21, 'In-Unit Lighting'!$J$13:$J$64)/L21</f>
        <v>#DIV/0!</v>
      </c>
    </row>
    <row r="22" spans="1:20">
      <c r="J22" s="529" t="s">
        <v>3489</v>
      </c>
      <c r="K22" s="529"/>
      <c r="L22" s="529"/>
      <c r="M22" s="1026" t="e">
        <f>VLOOKUP(K22,Lookup!$K$9:$Q$24,6)</f>
        <v>#N/A</v>
      </c>
      <c r="N22" s="529"/>
      <c r="O22" s="529"/>
      <c r="P22" s="529"/>
      <c r="Q22" s="529"/>
      <c r="R22" s="1282" t="e">
        <f t="shared" si="0"/>
        <v>#DIV/0!</v>
      </c>
      <c r="S22" s="1282" t="e">
        <f>SUMIF('In-Unit Lighting'!$E$13:$E$64, J22, 'In-Unit Lighting'!$J$13:$J$64)/L22</f>
        <v>#DIV/0!</v>
      </c>
    </row>
    <row r="23" spans="1:20">
      <c r="J23" s="529" t="s">
        <v>3490</v>
      </c>
      <c r="K23" s="529"/>
      <c r="L23" s="529"/>
      <c r="M23" s="1026" t="e">
        <f>VLOOKUP(K23,Lookup!$K$9:$Q$24,6)</f>
        <v>#N/A</v>
      </c>
      <c r="N23" s="529"/>
      <c r="O23" s="529"/>
      <c r="P23" s="529"/>
      <c r="Q23" s="529"/>
      <c r="R23" s="1282" t="e">
        <f t="shared" si="0"/>
        <v>#DIV/0!</v>
      </c>
      <c r="S23" s="1282" t="e">
        <f>SUMIF('In-Unit Lighting'!$E$13:$E$64, J23, 'In-Unit Lighting'!$J$13:$J$64)/L23</f>
        <v>#DIV/0!</v>
      </c>
    </row>
    <row r="24" spans="1:20">
      <c r="J24" s="529" t="s">
        <v>3491</v>
      </c>
      <c r="K24" s="529"/>
      <c r="L24" s="529"/>
      <c r="M24" s="1026" t="e">
        <f>VLOOKUP(K24,Lookup!$K$9:$Q$24,6)</f>
        <v>#N/A</v>
      </c>
      <c r="N24" s="529"/>
      <c r="O24" s="529"/>
      <c r="P24" s="529"/>
      <c r="Q24" s="529"/>
      <c r="R24" s="1282" t="e">
        <f t="shared" si="0"/>
        <v>#DIV/0!</v>
      </c>
      <c r="S24" s="1282" t="e">
        <f>SUMIF('In-Unit Lighting'!$E$13:$E$64, J24, 'In-Unit Lighting'!$J$13:$J$64)/L24</f>
        <v>#DIV/0!</v>
      </c>
    </row>
    <row r="25" spans="1:20">
      <c r="I25" s="863" t="s">
        <v>3697</v>
      </c>
      <c r="J25" s="529" t="s">
        <v>3492</v>
      </c>
      <c r="K25" s="529"/>
      <c r="L25" s="529"/>
      <c r="M25" s="1026" t="e">
        <f>VLOOKUP(K25,Lookup!$K$9:$Q$24,6)</f>
        <v>#N/A</v>
      </c>
      <c r="N25" s="529"/>
      <c r="O25" s="529"/>
      <c r="P25" s="529"/>
      <c r="Q25" s="529"/>
      <c r="R25" s="1282" t="e">
        <f t="shared" si="0"/>
        <v>#DIV/0!</v>
      </c>
      <c r="S25" s="1282" t="e">
        <f>SUMIF('In-Unit Lighting'!$E$13:$E$64, J25, 'In-Unit Lighting'!$J$13:$J$64)/L25</f>
        <v>#DIV/0!</v>
      </c>
    </row>
    <row r="26" spans="1:20">
      <c r="C26" s="814" t="s">
        <v>4076</v>
      </c>
      <c r="J26" s="529" t="s">
        <v>887</v>
      </c>
      <c r="K26" s="529"/>
      <c r="L26" s="529"/>
      <c r="M26" s="1026" t="e">
        <f>VLOOKUP(K26,Lookup!$K$9:$Q$24,6)</f>
        <v>#N/A</v>
      </c>
      <c r="N26" s="529"/>
      <c r="O26" s="529"/>
      <c r="P26" s="529"/>
      <c r="Q26" s="529"/>
      <c r="R26" s="1282" t="e">
        <f t="shared" si="0"/>
        <v>#DIV/0!</v>
      </c>
      <c r="S26" s="1282" t="e">
        <f>SUMIF('In-Unit Lighting'!$E$13:$E$64, J26, 'In-Unit Lighting'!$J$13:$J$64)/L26</f>
        <v>#DIV/0!</v>
      </c>
    </row>
    <row r="27" spans="1:20">
      <c r="J27" s="822">
        <f>SUM(K29:K360)</f>
        <v>0</v>
      </c>
      <c r="K27" s="1672"/>
      <c r="L27" s="1671"/>
      <c r="M27" s="1673"/>
      <c r="N27" s="822">
        <f>SUM(O29:O360)</f>
        <v>0</v>
      </c>
      <c r="O27" s="1673"/>
      <c r="P27" s="1673"/>
      <c r="Q27" s="1673"/>
      <c r="R27" s="1673"/>
      <c r="S27" s="1016">
        <f>SUM(S29:S361)</f>
        <v>0</v>
      </c>
    </row>
    <row r="28" spans="1:20" ht="36">
      <c r="A28" s="836"/>
      <c r="B28" s="824" t="s">
        <v>3493</v>
      </c>
      <c r="C28" s="816" t="s">
        <v>3494</v>
      </c>
      <c r="D28" s="816" t="s">
        <v>3495</v>
      </c>
      <c r="E28" s="825" t="s">
        <v>3883</v>
      </c>
      <c r="F28" s="825" t="s">
        <v>3496</v>
      </c>
      <c r="G28" s="825" t="s">
        <v>3497</v>
      </c>
      <c r="H28" s="825" t="s">
        <v>3698</v>
      </c>
      <c r="I28" s="825" t="s">
        <v>3498</v>
      </c>
      <c r="J28" s="825" t="s">
        <v>3499</v>
      </c>
      <c r="K28" s="825" t="s">
        <v>3500</v>
      </c>
      <c r="L28" s="825" t="s">
        <v>3501</v>
      </c>
      <c r="M28" s="825" t="s">
        <v>3699</v>
      </c>
      <c r="N28" s="825" t="s">
        <v>3502</v>
      </c>
      <c r="O28" s="825" t="s">
        <v>3503</v>
      </c>
      <c r="P28" s="825" t="s">
        <v>3884</v>
      </c>
      <c r="Q28" s="825" t="s">
        <v>3504</v>
      </c>
      <c r="R28" s="825" t="s">
        <v>3505</v>
      </c>
      <c r="S28" s="825" t="s">
        <v>2865</v>
      </c>
    </row>
    <row r="29" spans="1:20">
      <c r="A29" s="826"/>
      <c r="B29" s="529"/>
      <c r="C29" s="827"/>
      <c r="D29" s="827"/>
      <c r="E29" s="828" t="e">
        <f>LOOKUP(D29,Lookup!$C$9:$C$24,Lookup!$I$9:$I$24)</f>
        <v>#N/A</v>
      </c>
      <c r="F29" s="643"/>
      <c r="G29" s="643"/>
      <c r="H29" s="643"/>
      <c r="I29" s="828" t="e">
        <f>LOOKUP(G29, $J$4:$J$26, $L$4:$L$26)</f>
        <v>#N/A</v>
      </c>
      <c r="J29" s="643"/>
      <c r="K29" s="829">
        <f>IF(F29&gt;0, F29*I29*J29, 0)</f>
        <v>0</v>
      </c>
      <c r="L29" s="830" t="e">
        <f>IF(D29="Exit Signs","convert to kW", K29/B29)</f>
        <v>#DIV/0!</v>
      </c>
      <c r="M29" s="830" t="str">
        <f>IF(H29="Yes",IF(D29="Stairs - Active",0.65*L29,IF(D29="Corridor/Transition",0.75*L29,IF(D29="Conference/meeting/multipurpose",1*L29,IF(D29="Community or Computer Room",1*L29,0.9*L29)))),"N/A")</f>
        <v>N/A</v>
      </c>
      <c r="N29" s="831" t="e">
        <f t="shared" ref="N29:N92" si="1">IF($D$17="Space-By-Space (90.1-2007)",LOOKUP(D29, LightingSpaceType, LPD2007SS),IF($D$17="Space-By-Space (90.1-2010)",LOOKUP(D29,LightingSpaceType, LPD2010SS), IF($D$17="Building Area (90.1-2007)",LOOKUP(D29,LightingSpaceType,LPD2007WB),IF($D$17="Building Area (90.1-2010)",LOOKUP(D29,LightingSpaceType,LPD2010WB),0))))</f>
        <v>#N/A</v>
      </c>
      <c r="O29" s="831">
        <f>IF(D29="Exit Signs", 5*F29, IF(B29&gt;0, N29*B29, 0))</f>
        <v>0</v>
      </c>
      <c r="P29" s="1024" t="e">
        <f>LOOKUP(G29,$J$4:$J$26,$M$4:$M$26)*LOOKUP(LOOKUP(G29,$J$4:$J$26,$K$4:$K$26),Lookup!$K$9:$K$24,Lookup!$O$9:$O$24)*IF(E29="A",LOOKUP(LOOKUP(G29,$J$4:$J$26,$K$4:$K$26),Lookup!$K$9:$K$24,Lookup!$L$9:$L$24),IF(E29="B",LOOKUP(LOOKUP(G29,$J$4:$J$26,$K$4:$K$26),Lookup!$K$9:$K$24,Lookup!$M$9:$M$24),IF(E29="C",LOOKUP(LOOKUP(G29,$J$4:$J$26,$K$4:$K$26),Lookup!$K$9:$K$24,Lookup!$N$9:$N$24))))</f>
        <v>#N/A</v>
      </c>
      <c r="Q29" s="1024" t="e">
        <f>IF(D29="Exit Signs","NA", K29*P29/B29)</f>
        <v>#N/A</v>
      </c>
      <c r="R29" s="1024" t="e">
        <f t="shared" ref="R29:R92" si="2">LOOKUP(D29, LightingSpaceType, Footcandles)</f>
        <v>#N/A</v>
      </c>
      <c r="S29" s="828">
        <f>J29*B29</f>
        <v>0</v>
      </c>
      <c r="T29" s="1675" t="str">
        <f t="shared" ref="T29:T92" si="3">IF(F29&gt;0, IF(Q29&lt;R29, "Insufficient lighting to meet IESNA footcandle recommendations.", ""), "")</f>
        <v/>
      </c>
    </row>
    <row r="30" spans="1:20">
      <c r="A30" s="833"/>
      <c r="B30" s="529"/>
      <c r="C30" s="827"/>
      <c r="D30" s="827"/>
      <c r="E30" s="828" t="e">
        <f>LOOKUP(D30,Lookup!$C$9:$C$24,Lookup!$I$9:$I$24)</f>
        <v>#N/A</v>
      </c>
      <c r="F30" s="643"/>
      <c r="G30" s="643"/>
      <c r="H30" s="643"/>
      <c r="I30" s="828" t="e">
        <f t="shared" ref="I30:I93" si="4">LOOKUP(G30, $J$4:$J$26, $L$4:$L$26)</f>
        <v>#N/A</v>
      </c>
      <c r="J30" s="643"/>
      <c r="K30" s="829">
        <f t="shared" ref="K30:K93" si="5">IF(F30&gt;0, F30*I30*J30, 0)</f>
        <v>0</v>
      </c>
      <c r="L30" s="830" t="e">
        <f t="shared" ref="L30:L93" si="6">IF(D30="Exit Signs","convert to kW", K30/B30)</f>
        <v>#DIV/0!</v>
      </c>
      <c r="M30" s="830" t="str">
        <f t="shared" ref="M30:M93" si="7">IF(H30="Yes",IF(D30="Stairs - Active",0.65*L30,IF(D30="Corridor/Transition",0.75*L30,IF(D30="Conference/meeting/multipurpose",1*L30,IF(D30="Community or Computer Room",1*L30,0.9*L30)))),"N/A")</f>
        <v>N/A</v>
      </c>
      <c r="N30" s="831" t="e">
        <f t="shared" si="1"/>
        <v>#N/A</v>
      </c>
      <c r="O30" s="831">
        <f t="shared" ref="O30:O93" si="8">IF(D30="Exit Signs", 5*F30, IF(B30&gt;0, N30*B30, 0))</f>
        <v>0</v>
      </c>
      <c r="P30" s="1024" t="e">
        <f>LOOKUP(G30,$J$4:$J$26,$M$4:$M$26)*LOOKUP(LOOKUP(G30,$J$4:$J$26,$K$4:$K$26),Lookup!$K$9:$K$24,Lookup!$O$9:$O$24)*IF(E30="A",LOOKUP(LOOKUP(G30,$J$4:$J$26,$K$4:$K$26),Lookup!$K$9:$K$24,Lookup!$L$9:$L$24),IF(E30="B",LOOKUP(LOOKUP(G30,$J$4:$J$26,$K$4:$K$26),Lookup!$K$9:$K$24,Lookup!$M$9:$M$24),IF(E30="C",LOOKUP(LOOKUP(G30,$J$4:$J$26,$K$4:$K$26),Lookup!$K$9:$K$24,Lookup!$N$9:$N$24))))</f>
        <v>#N/A</v>
      </c>
      <c r="Q30" s="1024" t="e">
        <f t="shared" ref="Q30:Q93" si="9">IF(D30="Exit Signs","NA", K30*P30/B30)</f>
        <v>#N/A</v>
      </c>
      <c r="R30" s="1024" t="e">
        <f t="shared" si="2"/>
        <v>#N/A</v>
      </c>
      <c r="S30" s="828">
        <f t="shared" ref="S30:S93" si="10">J30*B30</f>
        <v>0</v>
      </c>
      <c r="T30" s="1675" t="str">
        <f t="shared" si="3"/>
        <v/>
      </c>
    </row>
    <row r="31" spans="1:20">
      <c r="A31" s="833"/>
      <c r="B31" s="529"/>
      <c r="C31" s="827"/>
      <c r="D31" s="827"/>
      <c r="E31" s="828" t="e">
        <f>LOOKUP(D31,Lookup!$C$9:$C$24,Lookup!$I$9:$I$24)</f>
        <v>#N/A</v>
      </c>
      <c r="F31" s="529"/>
      <c r="G31" s="529"/>
      <c r="H31" s="529"/>
      <c r="I31" s="828" t="e">
        <f t="shared" si="4"/>
        <v>#N/A</v>
      </c>
      <c r="J31" s="643"/>
      <c r="K31" s="829">
        <f t="shared" si="5"/>
        <v>0</v>
      </c>
      <c r="L31" s="830" t="e">
        <f t="shared" si="6"/>
        <v>#DIV/0!</v>
      </c>
      <c r="M31" s="830" t="str">
        <f t="shared" si="7"/>
        <v>N/A</v>
      </c>
      <c r="N31" s="831" t="e">
        <f t="shared" si="1"/>
        <v>#N/A</v>
      </c>
      <c r="O31" s="831">
        <f t="shared" si="8"/>
        <v>0</v>
      </c>
      <c r="P31" s="1024" t="e">
        <f>LOOKUP(G31,$J$4:$J$26,$M$4:$M$26)*LOOKUP(LOOKUP(G31,$J$4:$J$26,$K$4:$K$26),Lookup!$K$9:$K$24,Lookup!$O$9:$O$24)*IF(E31="A",LOOKUP(LOOKUP(G31,$J$4:$J$26,$K$4:$K$26),Lookup!$K$9:$K$24,Lookup!$L$9:$L$24),IF(E31="B",LOOKUP(LOOKUP(G31,$J$4:$J$26,$K$4:$K$26),Lookup!$K$9:$K$24,Lookup!$M$9:$M$24),IF(E31="C",LOOKUP(LOOKUP(G31,$J$4:$J$26,$K$4:$K$26),Lookup!$K$9:$K$24,Lookup!$N$9:$N$24))))</f>
        <v>#N/A</v>
      </c>
      <c r="Q31" s="1024" t="e">
        <f t="shared" si="9"/>
        <v>#N/A</v>
      </c>
      <c r="R31" s="1024" t="e">
        <f t="shared" si="2"/>
        <v>#N/A</v>
      </c>
      <c r="S31" s="828">
        <f t="shared" si="10"/>
        <v>0</v>
      </c>
      <c r="T31" s="1675" t="str">
        <f t="shared" si="3"/>
        <v/>
      </c>
    </row>
    <row r="32" spans="1:20">
      <c r="A32" s="834"/>
      <c r="B32" s="529"/>
      <c r="C32" s="827"/>
      <c r="D32" s="827"/>
      <c r="E32" s="828" t="e">
        <f>LOOKUP(D32,Lookup!$C$9:$C$24,Lookup!$I$9:$I$24)</f>
        <v>#N/A</v>
      </c>
      <c r="F32" s="529"/>
      <c r="G32" s="529"/>
      <c r="H32" s="529"/>
      <c r="I32" s="828" t="e">
        <f t="shared" si="4"/>
        <v>#N/A</v>
      </c>
      <c r="J32" s="643"/>
      <c r="K32" s="829">
        <f t="shared" si="5"/>
        <v>0</v>
      </c>
      <c r="L32" s="830" t="e">
        <f t="shared" si="6"/>
        <v>#DIV/0!</v>
      </c>
      <c r="M32" s="830" t="str">
        <f t="shared" si="7"/>
        <v>N/A</v>
      </c>
      <c r="N32" s="831" t="e">
        <f t="shared" si="1"/>
        <v>#N/A</v>
      </c>
      <c r="O32" s="831">
        <f t="shared" si="8"/>
        <v>0</v>
      </c>
      <c r="P32" s="1024" t="e">
        <f>LOOKUP(G32,$J$4:$J$26,$M$4:$M$26)*LOOKUP(LOOKUP(G32,$J$4:$J$26,$K$4:$K$26),Lookup!$K$9:$K$24,Lookup!$O$9:$O$24)*IF(E32="A",LOOKUP(LOOKUP(G32,$J$4:$J$26,$K$4:$K$26),Lookup!$K$9:$K$24,Lookup!$L$9:$L$24),IF(E32="B",LOOKUP(LOOKUP(G32,$J$4:$J$26,$K$4:$K$26),Lookup!$K$9:$K$24,Lookup!$M$9:$M$24),IF(E32="C",LOOKUP(LOOKUP(G32,$J$4:$J$26,$K$4:$K$26),Lookup!$K$9:$K$24,Lookup!$N$9:$N$24))))</f>
        <v>#N/A</v>
      </c>
      <c r="Q32" s="1024" t="e">
        <f t="shared" si="9"/>
        <v>#N/A</v>
      </c>
      <c r="R32" s="1024" t="e">
        <f t="shared" si="2"/>
        <v>#N/A</v>
      </c>
      <c r="S32" s="828">
        <f t="shared" si="10"/>
        <v>0</v>
      </c>
      <c r="T32" s="1675" t="str">
        <f t="shared" si="3"/>
        <v/>
      </c>
    </row>
    <row r="33" spans="1:20">
      <c r="A33" s="834"/>
      <c r="B33" s="529"/>
      <c r="C33" s="827"/>
      <c r="D33" s="827"/>
      <c r="E33" s="828" t="e">
        <f>LOOKUP(D33,Lookup!$C$9:$C$24,Lookup!$I$9:$I$24)</f>
        <v>#N/A</v>
      </c>
      <c r="F33" s="529"/>
      <c r="G33" s="529"/>
      <c r="H33" s="529"/>
      <c r="I33" s="828" t="e">
        <f t="shared" si="4"/>
        <v>#N/A</v>
      </c>
      <c r="J33" s="643"/>
      <c r="K33" s="829">
        <f t="shared" si="5"/>
        <v>0</v>
      </c>
      <c r="L33" s="830" t="e">
        <f t="shared" si="6"/>
        <v>#DIV/0!</v>
      </c>
      <c r="M33" s="830" t="str">
        <f t="shared" si="7"/>
        <v>N/A</v>
      </c>
      <c r="N33" s="831" t="e">
        <f t="shared" si="1"/>
        <v>#N/A</v>
      </c>
      <c r="O33" s="831">
        <f t="shared" si="8"/>
        <v>0</v>
      </c>
      <c r="P33" s="1024" t="e">
        <f>LOOKUP(G33,$J$4:$J$26,$M$4:$M$26)*LOOKUP(LOOKUP(G33,$J$4:$J$26,$K$4:$K$26),Lookup!$K$9:$K$24,Lookup!$O$9:$O$24)*IF(E33="A",LOOKUP(LOOKUP(G33,$J$4:$J$26,$K$4:$K$26),Lookup!$K$9:$K$24,Lookup!$L$9:$L$24),IF(E33="B",LOOKUP(LOOKUP(G33,$J$4:$J$26,$K$4:$K$26),Lookup!$K$9:$K$24,Lookup!$M$9:$M$24),IF(E33="C",LOOKUP(LOOKUP(G33,$J$4:$J$26,$K$4:$K$26),Lookup!$K$9:$K$24,Lookup!$N$9:$N$24))))</f>
        <v>#N/A</v>
      </c>
      <c r="Q33" s="1024" t="e">
        <f t="shared" si="9"/>
        <v>#N/A</v>
      </c>
      <c r="R33" s="1024" t="e">
        <f t="shared" si="2"/>
        <v>#N/A</v>
      </c>
      <c r="S33" s="828">
        <f t="shared" si="10"/>
        <v>0</v>
      </c>
      <c r="T33" s="1675" t="str">
        <f t="shared" si="3"/>
        <v/>
      </c>
    </row>
    <row r="34" spans="1:20" ht="12.75" customHeight="1">
      <c r="A34" s="834"/>
      <c r="B34" s="529"/>
      <c r="C34" s="827"/>
      <c r="D34" s="827"/>
      <c r="E34" s="828" t="e">
        <f>LOOKUP(D34,Lookup!$C$9:$C$24,Lookup!$I$9:$I$24)</f>
        <v>#N/A</v>
      </c>
      <c r="F34" s="529"/>
      <c r="G34" s="529"/>
      <c r="H34" s="529"/>
      <c r="I34" s="828" t="e">
        <f t="shared" si="4"/>
        <v>#N/A</v>
      </c>
      <c r="J34" s="643"/>
      <c r="K34" s="829">
        <f t="shared" si="5"/>
        <v>0</v>
      </c>
      <c r="L34" s="830" t="e">
        <f t="shared" si="6"/>
        <v>#DIV/0!</v>
      </c>
      <c r="M34" s="830" t="str">
        <f t="shared" si="7"/>
        <v>N/A</v>
      </c>
      <c r="N34" s="831" t="e">
        <f t="shared" si="1"/>
        <v>#N/A</v>
      </c>
      <c r="O34" s="831">
        <f t="shared" si="8"/>
        <v>0</v>
      </c>
      <c r="P34" s="1024" t="e">
        <f>LOOKUP(G34,$J$4:$J$26,$M$4:$M$26)*LOOKUP(LOOKUP(G34,$J$4:$J$26,$K$4:$K$26),Lookup!$K$9:$K$24,Lookup!$O$9:$O$24)*IF(E34="A",LOOKUP(LOOKUP(G34,$J$4:$J$26,$K$4:$K$26),Lookup!$K$9:$K$24,Lookup!$L$9:$L$24),IF(E34="B",LOOKUP(LOOKUP(G34,$J$4:$J$26,$K$4:$K$26),Lookup!$K$9:$K$24,Lookup!$M$9:$M$24),IF(E34="C",LOOKUP(LOOKUP(G34,$J$4:$J$26,$K$4:$K$26),Lookup!$K$9:$K$24,Lookup!$N$9:$N$24))))</f>
        <v>#N/A</v>
      </c>
      <c r="Q34" s="1024" t="e">
        <f t="shared" si="9"/>
        <v>#N/A</v>
      </c>
      <c r="R34" s="1024" t="e">
        <f t="shared" si="2"/>
        <v>#N/A</v>
      </c>
      <c r="S34" s="828">
        <f t="shared" si="10"/>
        <v>0</v>
      </c>
      <c r="T34" s="1675" t="str">
        <f t="shared" si="3"/>
        <v/>
      </c>
    </row>
    <row r="35" spans="1:20">
      <c r="A35" s="834"/>
      <c r="B35" s="529"/>
      <c r="C35" s="827"/>
      <c r="D35" s="827"/>
      <c r="E35" s="828" t="e">
        <f>LOOKUP(D35,Lookup!$C$9:$C$24,Lookup!$I$9:$I$24)</f>
        <v>#N/A</v>
      </c>
      <c r="F35" s="529"/>
      <c r="G35" s="529"/>
      <c r="H35" s="529"/>
      <c r="I35" s="828" t="e">
        <f t="shared" si="4"/>
        <v>#N/A</v>
      </c>
      <c r="J35" s="643"/>
      <c r="K35" s="829">
        <f t="shared" si="5"/>
        <v>0</v>
      </c>
      <c r="L35" s="830" t="e">
        <f t="shared" si="6"/>
        <v>#DIV/0!</v>
      </c>
      <c r="M35" s="830" t="str">
        <f t="shared" si="7"/>
        <v>N/A</v>
      </c>
      <c r="N35" s="831" t="e">
        <f t="shared" si="1"/>
        <v>#N/A</v>
      </c>
      <c r="O35" s="831">
        <f t="shared" si="8"/>
        <v>0</v>
      </c>
      <c r="P35" s="1024" t="e">
        <f>LOOKUP(G35,$J$4:$J$26,$M$4:$M$26)*LOOKUP(LOOKUP(G35,$J$4:$J$26,$K$4:$K$26),Lookup!$K$9:$K$24,Lookup!$O$9:$O$24)*IF(E35="A",LOOKUP(LOOKUP(G35,$J$4:$J$26,$K$4:$K$26),Lookup!$K$9:$K$24,Lookup!$L$9:$L$24),IF(E35="B",LOOKUP(LOOKUP(G35,$J$4:$J$26,$K$4:$K$26),Lookup!$K$9:$K$24,Lookup!$M$9:$M$24),IF(E35="C",LOOKUP(LOOKUP(G35,$J$4:$J$26,$K$4:$K$26),Lookup!$K$9:$K$24,Lookup!$N$9:$N$24))))</f>
        <v>#N/A</v>
      </c>
      <c r="Q35" s="1024" t="e">
        <f t="shared" si="9"/>
        <v>#N/A</v>
      </c>
      <c r="R35" s="1024" t="e">
        <f t="shared" si="2"/>
        <v>#N/A</v>
      </c>
      <c r="S35" s="828">
        <f t="shared" si="10"/>
        <v>0</v>
      </c>
      <c r="T35" s="1675" t="str">
        <f t="shared" si="3"/>
        <v/>
      </c>
    </row>
    <row r="36" spans="1:20">
      <c r="A36" s="834"/>
      <c r="B36" s="529"/>
      <c r="C36" s="827"/>
      <c r="D36" s="827"/>
      <c r="E36" s="828" t="e">
        <f>LOOKUP(D36,Lookup!$C$9:$C$24,Lookup!$I$9:$I$24)</f>
        <v>#N/A</v>
      </c>
      <c r="F36" s="529"/>
      <c r="G36" s="529"/>
      <c r="H36" s="529"/>
      <c r="I36" s="828" t="e">
        <f t="shared" si="4"/>
        <v>#N/A</v>
      </c>
      <c r="J36" s="643"/>
      <c r="K36" s="829">
        <f t="shared" si="5"/>
        <v>0</v>
      </c>
      <c r="L36" s="830" t="e">
        <f t="shared" si="6"/>
        <v>#DIV/0!</v>
      </c>
      <c r="M36" s="830" t="str">
        <f t="shared" si="7"/>
        <v>N/A</v>
      </c>
      <c r="N36" s="831" t="e">
        <f t="shared" si="1"/>
        <v>#N/A</v>
      </c>
      <c r="O36" s="831">
        <f t="shared" si="8"/>
        <v>0</v>
      </c>
      <c r="P36" s="1024" t="e">
        <f>LOOKUP(G36,$J$4:$J$26,$M$4:$M$26)*LOOKUP(LOOKUP(G36,$J$4:$J$26,$K$4:$K$26),Lookup!$K$9:$K$24,Lookup!$O$9:$O$24)*IF(E36="A",LOOKUP(LOOKUP(G36,$J$4:$J$26,$K$4:$K$26),Lookup!$K$9:$K$24,Lookup!$L$9:$L$24),IF(E36="B",LOOKUP(LOOKUP(G36,$J$4:$J$26,$K$4:$K$26),Lookup!$K$9:$K$24,Lookup!$M$9:$M$24),IF(E36="C",LOOKUP(LOOKUP(G36,$J$4:$J$26,$K$4:$K$26),Lookup!$K$9:$K$24,Lookup!$N$9:$N$24))))</f>
        <v>#N/A</v>
      </c>
      <c r="Q36" s="1024" t="e">
        <f t="shared" si="9"/>
        <v>#N/A</v>
      </c>
      <c r="R36" s="1024" t="e">
        <f t="shared" si="2"/>
        <v>#N/A</v>
      </c>
      <c r="S36" s="828">
        <f t="shared" si="10"/>
        <v>0</v>
      </c>
      <c r="T36" s="1675" t="str">
        <f t="shared" si="3"/>
        <v/>
      </c>
    </row>
    <row r="37" spans="1:20">
      <c r="A37" s="834"/>
      <c r="B37" s="529"/>
      <c r="C37" s="827"/>
      <c r="D37" s="827"/>
      <c r="E37" s="828" t="e">
        <f>LOOKUP(D37,Lookup!$C$9:$C$24,Lookup!$I$9:$I$24)</f>
        <v>#N/A</v>
      </c>
      <c r="F37" s="529"/>
      <c r="G37" s="529"/>
      <c r="H37" s="529"/>
      <c r="I37" s="828" t="e">
        <f t="shared" si="4"/>
        <v>#N/A</v>
      </c>
      <c r="J37" s="643"/>
      <c r="K37" s="829">
        <f t="shared" si="5"/>
        <v>0</v>
      </c>
      <c r="L37" s="830" t="e">
        <f t="shared" si="6"/>
        <v>#DIV/0!</v>
      </c>
      <c r="M37" s="830" t="str">
        <f t="shared" si="7"/>
        <v>N/A</v>
      </c>
      <c r="N37" s="831" t="e">
        <f t="shared" si="1"/>
        <v>#N/A</v>
      </c>
      <c r="O37" s="831">
        <f t="shared" si="8"/>
        <v>0</v>
      </c>
      <c r="P37" s="1024" t="e">
        <f>LOOKUP(G37,$J$4:$J$26,$M$4:$M$26)*LOOKUP(LOOKUP(G37,$J$4:$J$26,$K$4:$K$26),Lookup!$K$9:$K$24,Lookup!$O$9:$O$24)*IF(E37="A",LOOKUP(LOOKUP(G37,$J$4:$J$26,$K$4:$K$26),Lookup!$K$9:$K$24,Lookup!$L$9:$L$24),IF(E37="B",LOOKUP(LOOKUP(G37,$J$4:$J$26,$K$4:$K$26),Lookup!$K$9:$K$24,Lookup!$M$9:$M$24),IF(E37="C",LOOKUP(LOOKUP(G37,$J$4:$J$26,$K$4:$K$26),Lookup!$K$9:$K$24,Lookup!$N$9:$N$24))))</f>
        <v>#N/A</v>
      </c>
      <c r="Q37" s="1024" t="e">
        <f t="shared" si="9"/>
        <v>#N/A</v>
      </c>
      <c r="R37" s="1024" t="e">
        <f t="shared" si="2"/>
        <v>#N/A</v>
      </c>
      <c r="S37" s="828">
        <f t="shared" si="10"/>
        <v>0</v>
      </c>
      <c r="T37" s="1675" t="str">
        <f t="shared" si="3"/>
        <v/>
      </c>
    </row>
    <row r="38" spans="1:20">
      <c r="A38" s="834"/>
      <c r="B38" s="529"/>
      <c r="C38" s="827"/>
      <c r="D38" s="827"/>
      <c r="E38" s="828" t="e">
        <f>LOOKUP(D38,Lookup!$C$9:$C$24,Lookup!$I$9:$I$24)</f>
        <v>#N/A</v>
      </c>
      <c r="F38" s="529"/>
      <c r="G38" s="529"/>
      <c r="H38" s="529"/>
      <c r="I38" s="828" t="e">
        <f t="shared" si="4"/>
        <v>#N/A</v>
      </c>
      <c r="J38" s="643"/>
      <c r="K38" s="829">
        <f t="shared" si="5"/>
        <v>0</v>
      </c>
      <c r="L38" s="830" t="e">
        <f t="shared" si="6"/>
        <v>#DIV/0!</v>
      </c>
      <c r="M38" s="830" t="str">
        <f t="shared" si="7"/>
        <v>N/A</v>
      </c>
      <c r="N38" s="831" t="e">
        <f t="shared" si="1"/>
        <v>#N/A</v>
      </c>
      <c r="O38" s="831">
        <f t="shared" si="8"/>
        <v>0</v>
      </c>
      <c r="P38" s="1024" t="e">
        <f>LOOKUP(G38,$J$4:$J$26,$M$4:$M$26)*LOOKUP(LOOKUP(G38,$J$4:$J$26,$K$4:$K$26),Lookup!$K$9:$K$24,Lookup!$O$9:$O$24)*IF(E38="A",LOOKUP(LOOKUP(G38,$J$4:$J$26,$K$4:$K$26),Lookup!$K$9:$K$24,Lookup!$L$9:$L$24),IF(E38="B",LOOKUP(LOOKUP(G38,$J$4:$J$26,$K$4:$K$26),Lookup!$K$9:$K$24,Lookup!$M$9:$M$24),IF(E38="C",LOOKUP(LOOKUP(G38,$J$4:$J$26,$K$4:$K$26),Lookup!$K$9:$K$24,Lookup!$N$9:$N$24))))</f>
        <v>#N/A</v>
      </c>
      <c r="Q38" s="1024" t="e">
        <f t="shared" si="9"/>
        <v>#N/A</v>
      </c>
      <c r="R38" s="1024" t="e">
        <f t="shared" si="2"/>
        <v>#N/A</v>
      </c>
      <c r="S38" s="828">
        <f t="shared" si="10"/>
        <v>0</v>
      </c>
      <c r="T38" s="1675" t="str">
        <f t="shared" si="3"/>
        <v/>
      </c>
    </row>
    <row r="39" spans="1:20">
      <c r="A39" s="834"/>
      <c r="B39" s="529"/>
      <c r="C39" s="827"/>
      <c r="D39" s="827"/>
      <c r="E39" s="828" t="e">
        <f>LOOKUP(D39,Lookup!$C$9:$C$24,Lookup!$I$9:$I$24)</f>
        <v>#N/A</v>
      </c>
      <c r="F39" s="529"/>
      <c r="G39" s="529"/>
      <c r="H39" s="529"/>
      <c r="I39" s="828" t="e">
        <f t="shared" si="4"/>
        <v>#N/A</v>
      </c>
      <c r="J39" s="643"/>
      <c r="K39" s="829">
        <f t="shared" si="5"/>
        <v>0</v>
      </c>
      <c r="L39" s="830" t="e">
        <f t="shared" si="6"/>
        <v>#DIV/0!</v>
      </c>
      <c r="M39" s="830" t="str">
        <f t="shared" si="7"/>
        <v>N/A</v>
      </c>
      <c r="N39" s="831" t="e">
        <f t="shared" si="1"/>
        <v>#N/A</v>
      </c>
      <c r="O39" s="831">
        <f t="shared" si="8"/>
        <v>0</v>
      </c>
      <c r="P39" s="1024" t="e">
        <f>LOOKUP(G39,$J$4:$J$26,$M$4:$M$26)*LOOKUP(LOOKUP(G39,$J$4:$J$26,$K$4:$K$26),Lookup!$K$9:$K$24,Lookup!$O$9:$O$24)*IF(E39="A",LOOKUP(LOOKUP(G39,$J$4:$J$26,$K$4:$K$26),Lookup!$K$9:$K$24,Lookup!$L$9:$L$24),IF(E39="B",LOOKUP(LOOKUP(G39,$J$4:$J$26,$K$4:$K$26),Lookup!$K$9:$K$24,Lookup!$M$9:$M$24),IF(E39="C",LOOKUP(LOOKUP(G39,$J$4:$J$26,$K$4:$K$26),Lookup!$K$9:$K$24,Lookup!$N$9:$N$24))))</f>
        <v>#N/A</v>
      </c>
      <c r="Q39" s="1024" t="e">
        <f t="shared" si="9"/>
        <v>#N/A</v>
      </c>
      <c r="R39" s="1024" t="e">
        <f t="shared" si="2"/>
        <v>#N/A</v>
      </c>
      <c r="S39" s="828">
        <f t="shared" si="10"/>
        <v>0</v>
      </c>
      <c r="T39" s="1675" t="str">
        <f t="shared" si="3"/>
        <v/>
      </c>
    </row>
    <row r="40" spans="1:20">
      <c r="A40" s="834"/>
      <c r="B40" s="529"/>
      <c r="C40" s="827"/>
      <c r="D40" s="827"/>
      <c r="E40" s="828" t="e">
        <f>LOOKUP(D40,Lookup!$C$9:$C$24,Lookup!$I$9:$I$24)</f>
        <v>#N/A</v>
      </c>
      <c r="F40" s="529"/>
      <c r="G40" s="529"/>
      <c r="H40" s="529"/>
      <c r="I40" s="828" t="e">
        <f t="shared" si="4"/>
        <v>#N/A</v>
      </c>
      <c r="J40" s="643"/>
      <c r="K40" s="829">
        <f t="shared" si="5"/>
        <v>0</v>
      </c>
      <c r="L40" s="830" t="e">
        <f t="shared" si="6"/>
        <v>#DIV/0!</v>
      </c>
      <c r="M40" s="830" t="str">
        <f t="shared" si="7"/>
        <v>N/A</v>
      </c>
      <c r="N40" s="831" t="e">
        <f t="shared" si="1"/>
        <v>#N/A</v>
      </c>
      <c r="O40" s="831">
        <f t="shared" si="8"/>
        <v>0</v>
      </c>
      <c r="P40" s="1024" t="e">
        <f>LOOKUP(G40,$J$4:$J$26,$M$4:$M$26)*LOOKUP(LOOKUP(G40,$J$4:$J$26,$K$4:$K$26),Lookup!$K$9:$K$24,Lookup!$O$9:$O$24)*IF(E40="A",LOOKUP(LOOKUP(G40,$J$4:$J$26,$K$4:$K$26),Lookup!$K$9:$K$24,Lookup!$L$9:$L$24),IF(E40="B",LOOKUP(LOOKUP(G40,$J$4:$J$26,$K$4:$K$26),Lookup!$K$9:$K$24,Lookup!$M$9:$M$24),IF(E40="C",LOOKUP(LOOKUP(G40,$J$4:$J$26,$K$4:$K$26),Lookup!$K$9:$K$24,Lookup!$N$9:$N$24))))</f>
        <v>#N/A</v>
      </c>
      <c r="Q40" s="1024" t="e">
        <f t="shared" si="9"/>
        <v>#N/A</v>
      </c>
      <c r="R40" s="1024" t="e">
        <f t="shared" si="2"/>
        <v>#N/A</v>
      </c>
      <c r="S40" s="828">
        <f t="shared" si="10"/>
        <v>0</v>
      </c>
      <c r="T40" s="1675" t="str">
        <f t="shared" si="3"/>
        <v/>
      </c>
    </row>
    <row r="41" spans="1:20">
      <c r="A41" s="834"/>
      <c r="B41" s="529"/>
      <c r="C41" s="827"/>
      <c r="D41" s="827"/>
      <c r="E41" s="828" t="e">
        <f>LOOKUP(D41,Lookup!$C$9:$C$24,Lookup!$I$9:$I$24)</f>
        <v>#N/A</v>
      </c>
      <c r="F41" s="529"/>
      <c r="G41" s="529"/>
      <c r="H41" s="529"/>
      <c r="I41" s="828" t="e">
        <f t="shared" si="4"/>
        <v>#N/A</v>
      </c>
      <c r="J41" s="643"/>
      <c r="K41" s="829">
        <f t="shared" si="5"/>
        <v>0</v>
      </c>
      <c r="L41" s="830" t="e">
        <f t="shared" si="6"/>
        <v>#DIV/0!</v>
      </c>
      <c r="M41" s="830" t="str">
        <f t="shared" si="7"/>
        <v>N/A</v>
      </c>
      <c r="N41" s="831" t="e">
        <f t="shared" si="1"/>
        <v>#N/A</v>
      </c>
      <c r="O41" s="831">
        <f t="shared" si="8"/>
        <v>0</v>
      </c>
      <c r="P41" s="1024" t="e">
        <f>LOOKUP(G41,$J$4:$J$26,$M$4:$M$26)*LOOKUP(LOOKUP(G41,$J$4:$J$26,$K$4:$K$26),Lookup!$K$9:$K$24,Lookup!$O$9:$O$24)*IF(E41="A",LOOKUP(LOOKUP(G41,$J$4:$J$26,$K$4:$K$26),Lookup!$K$9:$K$24,Lookup!$L$9:$L$24),IF(E41="B",LOOKUP(LOOKUP(G41,$J$4:$J$26,$K$4:$K$26),Lookup!$K$9:$K$24,Lookup!$M$9:$M$24),IF(E41="C",LOOKUP(LOOKUP(G41,$J$4:$J$26,$K$4:$K$26),Lookup!$K$9:$K$24,Lookup!$N$9:$N$24))))</f>
        <v>#N/A</v>
      </c>
      <c r="Q41" s="1024" t="e">
        <f t="shared" si="9"/>
        <v>#N/A</v>
      </c>
      <c r="R41" s="1024" t="e">
        <f t="shared" si="2"/>
        <v>#N/A</v>
      </c>
      <c r="S41" s="828">
        <f t="shared" si="10"/>
        <v>0</v>
      </c>
      <c r="T41" s="1675" t="str">
        <f t="shared" si="3"/>
        <v/>
      </c>
    </row>
    <row r="42" spans="1:20">
      <c r="A42" s="834"/>
      <c r="B42" s="529"/>
      <c r="C42" s="827"/>
      <c r="D42" s="827"/>
      <c r="E42" s="828" t="e">
        <f>LOOKUP(D42,Lookup!$C$9:$C$24,Lookup!$I$9:$I$24)</f>
        <v>#N/A</v>
      </c>
      <c r="F42" s="529"/>
      <c r="G42" s="529"/>
      <c r="H42" s="529"/>
      <c r="I42" s="828" t="e">
        <f t="shared" si="4"/>
        <v>#N/A</v>
      </c>
      <c r="J42" s="643"/>
      <c r="K42" s="829">
        <f t="shared" si="5"/>
        <v>0</v>
      </c>
      <c r="L42" s="830" t="e">
        <f t="shared" si="6"/>
        <v>#DIV/0!</v>
      </c>
      <c r="M42" s="830" t="str">
        <f t="shared" si="7"/>
        <v>N/A</v>
      </c>
      <c r="N42" s="831" t="e">
        <f t="shared" si="1"/>
        <v>#N/A</v>
      </c>
      <c r="O42" s="831">
        <f t="shared" si="8"/>
        <v>0</v>
      </c>
      <c r="P42" s="1024" t="e">
        <f>LOOKUP(G42,$J$4:$J$26,$M$4:$M$26)*LOOKUP(LOOKUP(G42,$J$4:$J$26,$K$4:$K$26),Lookup!$K$9:$K$24,Lookup!$O$9:$O$24)*IF(E42="A",LOOKUP(LOOKUP(G42,$J$4:$J$26,$K$4:$K$26),Lookup!$K$9:$K$24,Lookup!$L$9:$L$24),IF(E42="B",LOOKUP(LOOKUP(G42,$J$4:$J$26,$K$4:$K$26),Lookup!$K$9:$K$24,Lookup!$M$9:$M$24),IF(E42="C",LOOKUP(LOOKUP(G42,$J$4:$J$26,$K$4:$K$26),Lookup!$K$9:$K$24,Lookup!$N$9:$N$24))))</f>
        <v>#N/A</v>
      </c>
      <c r="Q42" s="1024" t="e">
        <f t="shared" si="9"/>
        <v>#N/A</v>
      </c>
      <c r="R42" s="1024" t="e">
        <f t="shared" si="2"/>
        <v>#N/A</v>
      </c>
      <c r="S42" s="828">
        <f t="shared" si="10"/>
        <v>0</v>
      </c>
      <c r="T42" s="1675" t="str">
        <f t="shared" si="3"/>
        <v/>
      </c>
    </row>
    <row r="43" spans="1:20">
      <c r="A43" s="834"/>
      <c r="B43" s="529"/>
      <c r="C43" s="827"/>
      <c r="D43" s="827"/>
      <c r="E43" s="828" t="e">
        <f>LOOKUP(D43,Lookup!$C$9:$C$24,Lookup!$I$9:$I$24)</f>
        <v>#N/A</v>
      </c>
      <c r="F43" s="529"/>
      <c r="G43" s="529"/>
      <c r="H43" s="529"/>
      <c r="I43" s="828" t="e">
        <f t="shared" si="4"/>
        <v>#N/A</v>
      </c>
      <c r="J43" s="643"/>
      <c r="K43" s="829">
        <f t="shared" si="5"/>
        <v>0</v>
      </c>
      <c r="L43" s="830" t="e">
        <f t="shared" si="6"/>
        <v>#DIV/0!</v>
      </c>
      <c r="M43" s="830" t="str">
        <f t="shared" si="7"/>
        <v>N/A</v>
      </c>
      <c r="N43" s="831" t="e">
        <f t="shared" si="1"/>
        <v>#N/A</v>
      </c>
      <c r="O43" s="831">
        <f t="shared" si="8"/>
        <v>0</v>
      </c>
      <c r="P43" s="1024" t="e">
        <f>LOOKUP(G43,$J$4:$J$26,$M$4:$M$26)*LOOKUP(LOOKUP(G43,$J$4:$J$26,$K$4:$K$26),Lookup!$K$9:$K$24,Lookup!$O$9:$O$24)*IF(E43="A",LOOKUP(LOOKUP(G43,$J$4:$J$26,$K$4:$K$26),Lookup!$K$9:$K$24,Lookup!$L$9:$L$24),IF(E43="B",LOOKUP(LOOKUP(G43,$J$4:$J$26,$K$4:$K$26),Lookup!$K$9:$K$24,Lookup!$M$9:$M$24),IF(E43="C",LOOKUP(LOOKUP(G43,$J$4:$J$26,$K$4:$K$26),Lookup!$K$9:$K$24,Lookup!$N$9:$N$24))))</f>
        <v>#N/A</v>
      </c>
      <c r="Q43" s="1024" t="e">
        <f t="shared" si="9"/>
        <v>#N/A</v>
      </c>
      <c r="R43" s="1024" t="e">
        <f t="shared" si="2"/>
        <v>#N/A</v>
      </c>
      <c r="S43" s="828">
        <f t="shared" si="10"/>
        <v>0</v>
      </c>
      <c r="T43" s="1675" t="str">
        <f t="shared" si="3"/>
        <v/>
      </c>
    </row>
    <row r="44" spans="1:20">
      <c r="A44" s="834"/>
      <c r="B44" s="529"/>
      <c r="C44" s="827"/>
      <c r="D44" s="827"/>
      <c r="E44" s="828" t="e">
        <f>LOOKUP(D44,Lookup!$C$9:$C$24,Lookup!$I$9:$I$24)</f>
        <v>#N/A</v>
      </c>
      <c r="F44" s="529"/>
      <c r="G44" s="529"/>
      <c r="H44" s="529"/>
      <c r="I44" s="828" t="e">
        <f t="shared" si="4"/>
        <v>#N/A</v>
      </c>
      <c r="J44" s="643"/>
      <c r="K44" s="829">
        <f t="shared" si="5"/>
        <v>0</v>
      </c>
      <c r="L44" s="830" t="e">
        <f t="shared" si="6"/>
        <v>#DIV/0!</v>
      </c>
      <c r="M44" s="830" t="str">
        <f t="shared" si="7"/>
        <v>N/A</v>
      </c>
      <c r="N44" s="831" t="e">
        <f t="shared" si="1"/>
        <v>#N/A</v>
      </c>
      <c r="O44" s="831">
        <f t="shared" si="8"/>
        <v>0</v>
      </c>
      <c r="P44" s="1024" t="e">
        <f>LOOKUP(G44,$J$4:$J$26,$M$4:$M$26)*LOOKUP(LOOKUP(G44,$J$4:$J$26,$K$4:$K$26),Lookup!$K$9:$K$24,Lookup!$O$9:$O$24)*IF(E44="A",LOOKUP(LOOKUP(G44,$J$4:$J$26,$K$4:$K$26),Lookup!$K$9:$K$24,Lookup!$L$9:$L$24),IF(E44="B",LOOKUP(LOOKUP(G44,$J$4:$J$26,$K$4:$K$26),Lookup!$K$9:$K$24,Lookup!$M$9:$M$24),IF(E44="C",LOOKUP(LOOKUP(G44,$J$4:$J$26,$K$4:$K$26),Lookup!$K$9:$K$24,Lookup!$N$9:$N$24))))</f>
        <v>#N/A</v>
      </c>
      <c r="Q44" s="1024" t="e">
        <f t="shared" si="9"/>
        <v>#N/A</v>
      </c>
      <c r="R44" s="1024" t="e">
        <f t="shared" si="2"/>
        <v>#N/A</v>
      </c>
      <c r="S44" s="828">
        <f t="shared" si="10"/>
        <v>0</v>
      </c>
      <c r="T44" s="1675" t="str">
        <f t="shared" si="3"/>
        <v/>
      </c>
    </row>
    <row r="45" spans="1:20">
      <c r="A45" s="834"/>
      <c r="B45" s="529"/>
      <c r="C45" s="827"/>
      <c r="D45" s="827"/>
      <c r="E45" s="828" t="e">
        <f>LOOKUP(D45,Lookup!$C$9:$C$24,Lookup!$I$9:$I$24)</f>
        <v>#N/A</v>
      </c>
      <c r="F45" s="529"/>
      <c r="G45" s="529"/>
      <c r="H45" s="529"/>
      <c r="I45" s="828" t="e">
        <f t="shared" si="4"/>
        <v>#N/A</v>
      </c>
      <c r="J45" s="643"/>
      <c r="K45" s="829">
        <f t="shared" si="5"/>
        <v>0</v>
      </c>
      <c r="L45" s="830" t="e">
        <f t="shared" si="6"/>
        <v>#DIV/0!</v>
      </c>
      <c r="M45" s="830" t="str">
        <f t="shared" si="7"/>
        <v>N/A</v>
      </c>
      <c r="N45" s="831" t="e">
        <f t="shared" si="1"/>
        <v>#N/A</v>
      </c>
      <c r="O45" s="831">
        <f t="shared" si="8"/>
        <v>0</v>
      </c>
      <c r="P45" s="1024" t="e">
        <f>LOOKUP(G45,$J$4:$J$26,$M$4:$M$26)*LOOKUP(LOOKUP(G45,$J$4:$J$26,$K$4:$K$26),Lookup!$K$9:$K$24,Lookup!$O$9:$O$24)*IF(E45="A",LOOKUP(LOOKUP(G45,$J$4:$J$26,$K$4:$K$26),Lookup!$K$9:$K$24,Lookup!$L$9:$L$24),IF(E45="B",LOOKUP(LOOKUP(G45,$J$4:$J$26,$K$4:$K$26),Lookup!$K$9:$K$24,Lookup!$M$9:$M$24),IF(E45="C",LOOKUP(LOOKUP(G45,$J$4:$J$26,$K$4:$K$26),Lookup!$K$9:$K$24,Lookup!$N$9:$N$24))))</f>
        <v>#N/A</v>
      </c>
      <c r="Q45" s="1024" t="e">
        <f t="shared" si="9"/>
        <v>#N/A</v>
      </c>
      <c r="R45" s="1024" t="e">
        <f t="shared" si="2"/>
        <v>#N/A</v>
      </c>
      <c r="S45" s="828">
        <f t="shared" si="10"/>
        <v>0</v>
      </c>
      <c r="T45" s="1675" t="str">
        <f t="shared" si="3"/>
        <v/>
      </c>
    </row>
    <row r="46" spans="1:20">
      <c r="A46" s="834"/>
      <c r="B46" s="529"/>
      <c r="C46" s="827"/>
      <c r="D46" s="827"/>
      <c r="E46" s="828" t="e">
        <f>LOOKUP(D46,Lookup!$C$9:$C$24,Lookup!$I$9:$I$24)</f>
        <v>#N/A</v>
      </c>
      <c r="F46" s="529"/>
      <c r="G46" s="529"/>
      <c r="H46" s="529"/>
      <c r="I46" s="828" t="e">
        <f t="shared" si="4"/>
        <v>#N/A</v>
      </c>
      <c r="J46" s="643"/>
      <c r="K46" s="829">
        <f t="shared" si="5"/>
        <v>0</v>
      </c>
      <c r="L46" s="830" t="e">
        <f t="shared" si="6"/>
        <v>#DIV/0!</v>
      </c>
      <c r="M46" s="830" t="str">
        <f t="shared" si="7"/>
        <v>N/A</v>
      </c>
      <c r="N46" s="831" t="e">
        <f t="shared" si="1"/>
        <v>#N/A</v>
      </c>
      <c r="O46" s="831">
        <f t="shared" si="8"/>
        <v>0</v>
      </c>
      <c r="P46" s="1024" t="e">
        <f>LOOKUP(G46,$J$4:$J$26,$M$4:$M$26)*LOOKUP(LOOKUP(G46,$J$4:$J$26,$K$4:$K$26),Lookup!$K$9:$K$24,Lookup!$O$9:$O$24)*IF(E46="A",LOOKUP(LOOKUP(G46,$J$4:$J$26,$K$4:$K$26),Lookup!$K$9:$K$24,Lookup!$L$9:$L$24),IF(E46="B",LOOKUP(LOOKUP(G46,$J$4:$J$26,$K$4:$K$26),Lookup!$K$9:$K$24,Lookup!$M$9:$M$24),IF(E46="C",LOOKUP(LOOKUP(G46,$J$4:$J$26,$K$4:$K$26),Lookup!$K$9:$K$24,Lookup!$N$9:$N$24))))</f>
        <v>#N/A</v>
      </c>
      <c r="Q46" s="1024" t="e">
        <f t="shared" si="9"/>
        <v>#N/A</v>
      </c>
      <c r="R46" s="1024" t="e">
        <f t="shared" si="2"/>
        <v>#N/A</v>
      </c>
      <c r="S46" s="828">
        <f t="shared" si="10"/>
        <v>0</v>
      </c>
      <c r="T46" s="1675" t="str">
        <f t="shared" si="3"/>
        <v/>
      </c>
    </row>
    <row r="47" spans="1:20">
      <c r="A47" s="834"/>
      <c r="B47" s="529"/>
      <c r="C47" s="827"/>
      <c r="D47" s="827"/>
      <c r="E47" s="828" t="e">
        <f>LOOKUP(D47,Lookup!$C$9:$C$24,Lookup!$I$9:$I$24)</f>
        <v>#N/A</v>
      </c>
      <c r="F47" s="529"/>
      <c r="G47" s="529"/>
      <c r="H47" s="529"/>
      <c r="I47" s="828" t="e">
        <f t="shared" si="4"/>
        <v>#N/A</v>
      </c>
      <c r="J47" s="643"/>
      <c r="K47" s="829">
        <f t="shared" si="5"/>
        <v>0</v>
      </c>
      <c r="L47" s="830" t="e">
        <f t="shared" si="6"/>
        <v>#DIV/0!</v>
      </c>
      <c r="M47" s="830" t="str">
        <f t="shared" si="7"/>
        <v>N/A</v>
      </c>
      <c r="N47" s="831" t="e">
        <f t="shared" si="1"/>
        <v>#N/A</v>
      </c>
      <c r="O47" s="831">
        <f t="shared" si="8"/>
        <v>0</v>
      </c>
      <c r="P47" s="1024" t="e">
        <f>LOOKUP(G47,$J$4:$J$26,$M$4:$M$26)*LOOKUP(LOOKUP(G47,$J$4:$J$26,$K$4:$K$26),Lookup!$K$9:$K$24,Lookup!$O$9:$O$24)*IF(E47="A",LOOKUP(LOOKUP(G47,$J$4:$J$26,$K$4:$K$26),Lookup!$K$9:$K$24,Lookup!$L$9:$L$24),IF(E47="B",LOOKUP(LOOKUP(G47,$J$4:$J$26,$K$4:$K$26),Lookup!$K$9:$K$24,Lookup!$M$9:$M$24),IF(E47="C",LOOKUP(LOOKUP(G47,$J$4:$J$26,$K$4:$K$26),Lookup!$K$9:$K$24,Lookup!$N$9:$N$24))))</f>
        <v>#N/A</v>
      </c>
      <c r="Q47" s="1024" t="e">
        <f t="shared" si="9"/>
        <v>#N/A</v>
      </c>
      <c r="R47" s="1024" t="e">
        <f t="shared" si="2"/>
        <v>#N/A</v>
      </c>
      <c r="S47" s="828">
        <f t="shared" si="10"/>
        <v>0</v>
      </c>
      <c r="T47" s="1675" t="str">
        <f t="shared" si="3"/>
        <v/>
      </c>
    </row>
    <row r="48" spans="1:20">
      <c r="A48" s="834"/>
      <c r="B48" s="529"/>
      <c r="C48" s="827"/>
      <c r="D48" s="827"/>
      <c r="E48" s="828" t="e">
        <f>LOOKUP(D48,Lookup!$C$9:$C$24,Lookup!$I$9:$I$24)</f>
        <v>#N/A</v>
      </c>
      <c r="F48" s="529"/>
      <c r="G48" s="529"/>
      <c r="H48" s="529"/>
      <c r="I48" s="828" t="e">
        <f t="shared" si="4"/>
        <v>#N/A</v>
      </c>
      <c r="J48" s="643"/>
      <c r="K48" s="829">
        <f t="shared" si="5"/>
        <v>0</v>
      </c>
      <c r="L48" s="830" t="e">
        <f t="shared" si="6"/>
        <v>#DIV/0!</v>
      </c>
      <c r="M48" s="830" t="str">
        <f t="shared" si="7"/>
        <v>N/A</v>
      </c>
      <c r="N48" s="831" t="e">
        <f t="shared" si="1"/>
        <v>#N/A</v>
      </c>
      <c r="O48" s="831">
        <f t="shared" si="8"/>
        <v>0</v>
      </c>
      <c r="P48" s="1024" t="e">
        <f>LOOKUP(G48,$J$4:$J$26,$M$4:$M$26)*LOOKUP(LOOKUP(G48,$J$4:$J$26,$K$4:$K$26),Lookup!$K$9:$K$24,Lookup!$O$9:$O$24)*IF(E48="A",LOOKUP(LOOKUP(G48,$J$4:$J$26,$K$4:$K$26),Lookup!$K$9:$K$24,Lookup!$L$9:$L$24),IF(E48="B",LOOKUP(LOOKUP(G48,$J$4:$J$26,$K$4:$K$26),Lookup!$K$9:$K$24,Lookup!$M$9:$M$24),IF(E48="C",LOOKUP(LOOKUP(G48,$J$4:$J$26,$K$4:$K$26),Lookup!$K$9:$K$24,Lookup!$N$9:$N$24))))</f>
        <v>#N/A</v>
      </c>
      <c r="Q48" s="1024" t="e">
        <f t="shared" si="9"/>
        <v>#N/A</v>
      </c>
      <c r="R48" s="1024" t="e">
        <f t="shared" si="2"/>
        <v>#N/A</v>
      </c>
      <c r="S48" s="828">
        <f t="shared" si="10"/>
        <v>0</v>
      </c>
      <c r="T48" s="1675" t="str">
        <f t="shared" si="3"/>
        <v/>
      </c>
    </row>
    <row r="49" spans="1:20">
      <c r="A49" s="833"/>
      <c r="B49" s="529"/>
      <c r="C49" s="827"/>
      <c r="D49" s="827"/>
      <c r="E49" s="828" t="e">
        <f>LOOKUP(D49,Lookup!$C$9:$C$24,Lookup!$I$9:$I$24)</f>
        <v>#N/A</v>
      </c>
      <c r="F49" s="529"/>
      <c r="G49" s="529"/>
      <c r="H49" s="529"/>
      <c r="I49" s="828" t="e">
        <f t="shared" si="4"/>
        <v>#N/A</v>
      </c>
      <c r="J49" s="643"/>
      <c r="K49" s="829">
        <f t="shared" si="5"/>
        <v>0</v>
      </c>
      <c r="L49" s="830" t="e">
        <f t="shared" si="6"/>
        <v>#DIV/0!</v>
      </c>
      <c r="M49" s="830" t="str">
        <f t="shared" si="7"/>
        <v>N/A</v>
      </c>
      <c r="N49" s="831" t="e">
        <f t="shared" si="1"/>
        <v>#N/A</v>
      </c>
      <c r="O49" s="831">
        <f t="shared" si="8"/>
        <v>0</v>
      </c>
      <c r="P49" s="1024" t="e">
        <f>LOOKUP(G49,$J$4:$J$26,$M$4:$M$26)*LOOKUP(LOOKUP(G49,$J$4:$J$26,$K$4:$K$26),Lookup!$K$9:$K$24,Lookup!$O$9:$O$24)*IF(E49="A",LOOKUP(LOOKUP(G49,$J$4:$J$26,$K$4:$K$26),Lookup!$K$9:$K$24,Lookup!$L$9:$L$24),IF(E49="B",LOOKUP(LOOKUP(G49,$J$4:$J$26,$K$4:$K$26),Lookup!$K$9:$K$24,Lookup!$M$9:$M$24),IF(E49="C",LOOKUP(LOOKUP(G49,$J$4:$J$26,$K$4:$K$26),Lookup!$K$9:$K$24,Lookup!$N$9:$N$24))))</f>
        <v>#N/A</v>
      </c>
      <c r="Q49" s="1024" t="e">
        <f t="shared" si="9"/>
        <v>#N/A</v>
      </c>
      <c r="R49" s="1024" t="e">
        <f t="shared" si="2"/>
        <v>#N/A</v>
      </c>
      <c r="S49" s="828">
        <f t="shared" si="10"/>
        <v>0</v>
      </c>
      <c r="T49" s="1675" t="str">
        <f t="shared" si="3"/>
        <v/>
      </c>
    </row>
    <row r="50" spans="1:20">
      <c r="A50" s="834"/>
      <c r="B50" s="529"/>
      <c r="C50" s="827"/>
      <c r="D50" s="827"/>
      <c r="E50" s="828" t="e">
        <f>LOOKUP(D50,Lookup!$C$9:$C$24,Lookup!$I$9:$I$24)</f>
        <v>#N/A</v>
      </c>
      <c r="F50" s="529"/>
      <c r="G50" s="529"/>
      <c r="H50" s="529"/>
      <c r="I50" s="828" t="e">
        <f t="shared" si="4"/>
        <v>#N/A</v>
      </c>
      <c r="J50" s="643"/>
      <c r="K50" s="829">
        <f t="shared" si="5"/>
        <v>0</v>
      </c>
      <c r="L50" s="830" t="e">
        <f t="shared" si="6"/>
        <v>#DIV/0!</v>
      </c>
      <c r="M50" s="830" t="str">
        <f t="shared" si="7"/>
        <v>N/A</v>
      </c>
      <c r="N50" s="831" t="e">
        <f t="shared" si="1"/>
        <v>#N/A</v>
      </c>
      <c r="O50" s="831">
        <f t="shared" si="8"/>
        <v>0</v>
      </c>
      <c r="P50" s="1024" t="e">
        <f>LOOKUP(G50,$J$4:$J$26,$M$4:$M$26)*LOOKUP(LOOKUP(G50,$J$4:$J$26,$K$4:$K$26),Lookup!$K$9:$K$24,Lookup!$O$9:$O$24)*IF(E50="A",LOOKUP(LOOKUP(G50,$J$4:$J$26,$K$4:$K$26),Lookup!$K$9:$K$24,Lookup!$L$9:$L$24),IF(E50="B",LOOKUP(LOOKUP(G50,$J$4:$J$26,$K$4:$K$26),Lookup!$K$9:$K$24,Lookup!$M$9:$M$24),IF(E50="C",LOOKUP(LOOKUP(G50,$J$4:$J$26,$K$4:$K$26),Lookup!$K$9:$K$24,Lookup!$N$9:$N$24))))</f>
        <v>#N/A</v>
      </c>
      <c r="Q50" s="1024" t="e">
        <f t="shared" si="9"/>
        <v>#N/A</v>
      </c>
      <c r="R50" s="1024" t="e">
        <f t="shared" si="2"/>
        <v>#N/A</v>
      </c>
      <c r="S50" s="828">
        <f t="shared" si="10"/>
        <v>0</v>
      </c>
      <c r="T50" s="1675" t="str">
        <f t="shared" si="3"/>
        <v/>
      </c>
    </row>
    <row r="51" spans="1:20">
      <c r="A51" s="834"/>
      <c r="B51" s="529"/>
      <c r="C51" s="827"/>
      <c r="D51" s="827"/>
      <c r="E51" s="828" t="e">
        <f>LOOKUP(D51,Lookup!$C$9:$C$24,Lookup!$I$9:$I$24)</f>
        <v>#N/A</v>
      </c>
      <c r="F51" s="529"/>
      <c r="G51" s="529"/>
      <c r="H51" s="529"/>
      <c r="I51" s="828" t="e">
        <f t="shared" si="4"/>
        <v>#N/A</v>
      </c>
      <c r="J51" s="643"/>
      <c r="K51" s="829">
        <f t="shared" si="5"/>
        <v>0</v>
      </c>
      <c r="L51" s="830" t="e">
        <f t="shared" si="6"/>
        <v>#DIV/0!</v>
      </c>
      <c r="M51" s="830" t="str">
        <f t="shared" si="7"/>
        <v>N/A</v>
      </c>
      <c r="N51" s="831" t="e">
        <f t="shared" si="1"/>
        <v>#N/A</v>
      </c>
      <c r="O51" s="831">
        <f t="shared" si="8"/>
        <v>0</v>
      </c>
      <c r="P51" s="1024" t="e">
        <f>LOOKUP(G51,$J$4:$J$26,$M$4:$M$26)*LOOKUP(LOOKUP(G51,$J$4:$J$26,$K$4:$K$26),Lookup!$K$9:$K$24,Lookup!$O$9:$O$24)*IF(E51="A",LOOKUP(LOOKUP(G51,$J$4:$J$26,$K$4:$K$26),Lookup!$K$9:$K$24,Lookup!$L$9:$L$24),IF(E51="B",LOOKUP(LOOKUP(G51,$J$4:$J$26,$K$4:$K$26),Lookup!$K$9:$K$24,Lookup!$M$9:$M$24),IF(E51="C",LOOKUP(LOOKUP(G51,$J$4:$J$26,$K$4:$K$26),Lookup!$K$9:$K$24,Lookup!$N$9:$N$24))))</f>
        <v>#N/A</v>
      </c>
      <c r="Q51" s="1024" t="e">
        <f t="shared" si="9"/>
        <v>#N/A</v>
      </c>
      <c r="R51" s="1024" t="e">
        <f t="shared" si="2"/>
        <v>#N/A</v>
      </c>
      <c r="S51" s="828">
        <f t="shared" si="10"/>
        <v>0</v>
      </c>
      <c r="T51" s="1675" t="str">
        <f t="shared" si="3"/>
        <v/>
      </c>
    </row>
    <row r="52" spans="1:20">
      <c r="A52" s="835"/>
      <c r="B52" s="529"/>
      <c r="C52" s="827"/>
      <c r="D52" s="827"/>
      <c r="E52" s="828" t="e">
        <f>LOOKUP(D52,Lookup!$C$9:$C$24,Lookup!$I$9:$I$24)</f>
        <v>#N/A</v>
      </c>
      <c r="F52" s="529"/>
      <c r="G52" s="529"/>
      <c r="H52" s="529"/>
      <c r="I52" s="828" t="e">
        <f t="shared" si="4"/>
        <v>#N/A</v>
      </c>
      <c r="J52" s="643"/>
      <c r="K52" s="829">
        <f t="shared" si="5"/>
        <v>0</v>
      </c>
      <c r="L52" s="830" t="e">
        <f t="shared" si="6"/>
        <v>#DIV/0!</v>
      </c>
      <c r="M52" s="830" t="str">
        <f t="shared" si="7"/>
        <v>N/A</v>
      </c>
      <c r="N52" s="831" t="e">
        <f t="shared" si="1"/>
        <v>#N/A</v>
      </c>
      <c r="O52" s="831">
        <f t="shared" si="8"/>
        <v>0</v>
      </c>
      <c r="P52" s="1024" t="e">
        <f>LOOKUP(G52,$J$4:$J$26,$M$4:$M$26)*LOOKUP(LOOKUP(G52,$J$4:$J$26,$K$4:$K$26),Lookup!$K$9:$K$24,Lookup!$O$9:$O$24)*IF(E52="A",LOOKUP(LOOKUP(G52,$J$4:$J$26,$K$4:$K$26),Lookup!$K$9:$K$24,Lookup!$L$9:$L$24),IF(E52="B",LOOKUP(LOOKUP(G52,$J$4:$J$26,$K$4:$K$26),Lookup!$K$9:$K$24,Lookup!$M$9:$M$24),IF(E52="C",LOOKUP(LOOKUP(G52,$J$4:$J$26,$K$4:$K$26),Lookup!$K$9:$K$24,Lookup!$N$9:$N$24))))</f>
        <v>#N/A</v>
      </c>
      <c r="Q52" s="1024" t="e">
        <f t="shared" si="9"/>
        <v>#N/A</v>
      </c>
      <c r="R52" s="1024" t="e">
        <f t="shared" si="2"/>
        <v>#N/A</v>
      </c>
      <c r="S52" s="828">
        <f t="shared" si="10"/>
        <v>0</v>
      </c>
      <c r="T52" s="1675" t="str">
        <f t="shared" si="3"/>
        <v/>
      </c>
    </row>
    <row r="53" spans="1:20">
      <c r="A53" s="835"/>
      <c r="B53" s="529"/>
      <c r="C53" s="827"/>
      <c r="D53" s="827"/>
      <c r="E53" s="828" t="e">
        <f>LOOKUP(D53,Lookup!$C$9:$C$24,Lookup!$I$9:$I$24)</f>
        <v>#N/A</v>
      </c>
      <c r="F53" s="529"/>
      <c r="G53" s="529"/>
      <c r="H53" s="529"/>
      <c r="I53" s="828" t="e">
        <f t="shared" si="4"/>
        <v>#N/A</v>
      </c>
      <c r="J53" s="643"/>
      <c r="K53" s="829">
        <f t="shared" si="5"/>
        <v>0</v>
      </c>
      <c r="L53" s="830" t="e">
        <f t="shared" si="6"/>
        <v>#DIV/0!</v>
      </c>
      <c r="M53" s="830" t="str">
        <f t="shared" si="7"/>
        <v>N/A</v>
      </c>
      <c r="N53" s="831" t="e">
        <f t="shared" si="1"/>
        <v>#N/A</v>
      </c>
      <c r="O53" s="831">
        <f t="shared" si="8"/>
        <v>0</v>
      </c>
      <c r="P53" s="1024" t="e">
        <f>LOOKUP(G53,$J$4:$J$26,$M$4:$M$26)*LOOKUP(LOOKUP(G53,$J$4:$J$26,$K$4:$K$26),Lookup!$K$9:$K$24,Lookup!$O$9:$O$24)*IF(E53="A",LOOKUP(LOOKUP(G53,$J$4:$J$26,$K$4:$K$26),Lookup!$K$9:$K$24,Lookup!$L$9:$L$24),IF(E53="B",LOOKUP(LOOKUP(G53,$J$4:$J$26,$K$4:$K$26),Lookup!$K$9:$K$24,Lookup!$M$9:$M$24),IF(E53="C",LOOKUP(LOOKUP(G53,$J$4:$J$26,$K$4:$K$26),Lookup!$K$9:$K$24,Lookup!$N$9:$N$24))))</f>
        <v>#N/A</v>
      </c>
      <c r="Q53" s="1024" t="e">
        <f t="shared" si="9"/>
        <v>#N/A</v>
      </c>
      <c r="R53" s="1024" t="e">
        <f t="shared" si="2"/>
        <v>#N/A</v>
      </c>
      <c r="S53" s="828">
        <f t="shared" si="10"/>
        <v>0</v>
      </c>
      <c r="T53" s="1675" t="str">
        <f t="shared" si="3"/>
        <v/>
      </c>
    </row>
    <row r="54" spans="1:20">
      <c r="A54" s="836"/>
      <c r="B54" s="529"/>
      <c r="C54" s="827"/>
      <c r="D54" s="827"/>
      <c r="E54" s="828" t="e">
        <f>LOOKUP(D54,Lookup!$C$9:$C$24,Lookup!$I$9:$I$24)</f>
        <v>#N/A</v>
      </c>
      <c r="F54" s="529"/>
      <c r="G54" s="529"/>
      <c r="H54" s="529"/>
      <c r="I54" s="828" t="e">
        <f t="shared" si="4"/>
        <v>#N/A</v>
      </c>
      <c r="J54" s="643"/>
      <c r="K54" s="829">
        <f t="shared" si="5"/>
        <v>0</v>
      </c>
      <c r="L54" s="830" t="e">
        <f t="shared" si="6"/>
        <v>#DIV/0!</v>
      </c>
      <c r="M54" s="830" t="str">
        <f t="shared" si="7"/>
        <v>N/A</v>
      </c>
      <c r="N54" s="831" t="e">
        <f t="shared" si="1"/>
        <v>#N/A</v>
      </c>
      <c r="O54" s="831">
        <f t="shared" si="8"/>
        <v>0</v>
      </c>
      <c r="P54" s="1024" t="e">
        <f>LOOKUP(G54,$J$4:$J$26,$M$4:$M$26)*LOOKUP(LOOKUP(G54,$J$4:$J$26,$K$4:$K$26),Lookup!$K$9:$K$24,Lookup!$O$9:$O$24)*IF(E54="A",LOOKUP(LOOKUP(G54,$J$4:$J$26,$K$4:$K$26),Lookup!$K$9:$K$24,Lookup!$L$9:$L$24),IF(E54="B",LOOKUP(LOOKUP(G54,$J$4:$J$26,$K$4:$K$26),Lookup!$K$9:$K$24,Lookup!$M$9:$M$24),IF(E54="C",LOOKUP(LOOKUP(G54,$J$4:$J$26,$K$4:$K$26),Lookup!$K$9:$K$24,Lookup!$N$9:$N$24))))</f>
        <v>#N/A</v>
      </c>
      <c r="Q54" s="1024" t="e">
        <f t="shared" si="9"/>
        <v>#N/A</v>
      </c>
      <c r="R54" s="1024" t="e">
        <f t="shared" si="2"/>
        <v>#N/A</v>
      </c>
      <c r="S54" s="828">
        <f t="shared" si="10"/>
        <v>0</v>
      </c>
      <c r="T54" s="1675" t="str">
        <f t="shared" si="3"/>
        <v/>
      </c>
    </row>
    <row r="55" spans="1:20">
      <c r="A55" s="836"/>
      <c r="B55" s="529"/>
      <c r="C55" s="837"/>
      <c r="D55" s="827"/>
      <c r="E55" s="828" t="e">
        <f>LOOKUP(D55,Lookup!$C$9:$C$24,Lookup!$I$9:$I$24)</f>
        <v>#N/A</v>
      </c>
      <c r="F55" s="529"/>
      <c r="G55" s="529"/>
      <c r="H55" s="529"/>
      <c r="I55" s="828" t="e">
        <f t="shared" si="4"/>
        <v>#N/A</v>
      </c>
      <c r="J55" s="643"/>
      <c r="K55" s="829">
        <f t="shared" si="5"/>
        <v>0</v>
      </c>
      <c r="L55" s="830" t="e">
        <f t="shared" si="6"/>
        <v>#DIV/0!</v>
      </c>
      <c r="M55" s="830" t="str">
        <f t="shared" si="7"/>
        <v>N/A</v>
      </c>
      <c r="N55" s="831" t="e">
        <f t="shared" si="1"/>
        <v>#N/A</v>
      </c>
      <c r="O55" s="831">
        <f t="shared" si="8"/>
        <v>0</v>
      </c>
      <c r="P55" s="1024" t="e">
        <f>LOOKUP(G55,$J$4:$J$26,$M$4:$M$26)*LOOKUP(LOOKUP(G55,$J$4:$J$26,$K$4:$K$26),Lookup!$K$9:$K$24,Lookup!$O$9:$O$24)*IF(E55="A",LOOKUP(LOOKUP(G55,$J$4:$J$26,$K$4:$K$26),Lookup!$K$9:$K$24,Lookup!$L$9:$L$24),IF(E55="B",LOOKUP(LOOKUP(G55,$J$4:$J$26,$K$4:$K$26),Lookup!$K$9:$K$24,Lookup!$M$9:$M$24),IF(E55="C",LOOKUP(LOOKUP(G55,$J$4:$J$26,$K$4:$K$26),Lookup!$K$9:$K$24,Lookup!$N$9:$N$24))))</f>
        <v>#N/A</v>
      </c>
      <c r="Q55" s="1024" t="e">
        <f t="shared" si="9"/>
        <v>#N/A</v>
      </c>
      <c r="R55" s="1024" t="e">
        <f t="shared" si="2"/>
        <v>#N/A</v>
      </c>
      <c r="S55" s="828">
        <f t="shared" si="10"/>
        <v>0</v>
      </c>
      <c r="T55" s="1675" t="str">
        <f t="shared" si="3"/>
        <v/>
      </c>
    </row>
    <row r="56" spans="1:20">
      <c r="A56" s="836"/>
      <c r="B56" s="529"/>
      <c r="C56" s="827"/>
      <c r="D56" s="827"/>
      <c r="E56" s="828" t="e">
        <f>LOOKUP(D56,Lookup!$C$9:$C$24,Lookup!$I$9:$I$24)</f>
        <v>#N/A</v>
      </c>
      <c r="F56" s="529"/>
      <c r="G56" s="529"/>
      <c r="H56" s="529"/>
      <c r="I56" s="828" t="e">
        <f t="shared" si="4"/>
        <v>#N/A</v>
      </c>
      <c r="J56" s="643"/>
      <c r="K56" s="829">
        <f t="shared" si="5"/>
        <v>0</v>
      </c>
      <c r="L56" s="830" t="e">
        <f t="shared" si="6"/>
        <v>#DIV/0!</v>
      </c>
      <c r="M56" s="830" t="str">
        <f t="shared" si="7"/>
        <v>N/A</v>
      </c>
      <c r="N56" s="831" t="e">
        <f t="shared" si="1"/>
        <v>#N/A</v>
      </c>
      <c r="O56" s="831">
        <f t="shared" si="8"/>
        <v>0</v>
      </c>
      <c r="P56" s="1024" t="e">
        <f>LOOKUP(G56,$J$4:$J$26,$M$4:$M$26)*LOOKUP(LOOKUP(G56,$J$4:$J$26,$K$4:$K$26),Lookup!$K$9:$K$24,Lookup!$O$9:$O$24)*IF(E56="A",LOOKUP(LOOKUP(G56,$J$4:$J$26,$K$4:$K$26),Lookup!$K$9:$K$24,Lookup!$L$9:$L$24),IF(E56="B",LOOKUP(LOOKUP(G56,$J$4:$J$26,$K$4:$K$26),Lookup!$K$9:$K$24,Lookup!$M$9:$M$24),IF(E56="C",LOOKUP(LOOKUP(G56,$J$4:$J$26,$K$4:$K$26),Lookup!$K$9:$K$24,Lookup!$N$9:$N$24))))</f>
        <v>#N/A</v>
      </c>
      <c r="Q56" s="1024" t="e">
        <f t="shared" si="9"/>
        <v>#N/A</v>
      </c>
      <c r="R56" s="1024" t="e">
        <f t="shared" si="2"/>
        <v>#N/A</v>
      </c>
      <c r="S56" s="828">
        <f t="shared" si="10"/>
        <v>0</v>
      </c>
      <c r="T56" s="1675" t="str">
        <f t="shared" si="3"/>
        <v/>
      </c>
    </row>
    <row r="57" spans="1:20">
      <c r="A57" s="836"/>
      <c r="B57" s="529"/>
      <c r="C57" s="827"/>
      <c r="D57" s="827"/>
      <c r="E57" s="828" t="e">
        <f>LOOKUP(D57,Lookup!$C$9:$C$24,Lookup!$I$9:$I$24)</f>
        <v>#N/A</v>
      </c>
      <c r="F57" s="529"/>
      <c r="G57" s="529"/>
      <c r="H57" s="529"/>
      <c r="I57" s="828" t="e">
        <f t="shared" si="4"/>
        <v>#N/A</v>
      </c>
      <c r="J57" s="643"/>
      <c r="K57" s="829">
        <f t="shared" si="5"/>
        <v>0</v>
      </c>
      <c r="L57" s="830" t="e">
        <f t="shared" si="6"/>
        <v>#DIV/0!</v>
      </c>
      <c r="M57" s="830" t="str">
        <f t="shared" si="7"/>
        <v>N/A</v>
      </c>
      <c r="N57" s="831" t="e">
        <f t="shared" si="1"/>
        <v>#N/A</v>
      </c>
      <c r="O57" s="831">
        <f t="shared" si="8"/>
        <v>0</v>
      </c>
      <c r="P57" s="1024" t="e">
        <f>LOOKUP(G57,$J$4:$J$26,$M$4:$M$26)*LOOKUP(LOOKUP(G57,$J$4:$J$26,$K$4:$K$26),Lookup!$K$9:$K$24,Lookup!$O$9:$O$24)*IF(E57="A",LOOKUP(LOOKUP(G57,$J$4:$J$26,$K$4:$K$26),Lookup!$K$9:$K$24,Lookup!$L$9:$L$24),IF(E57="B",LOOKUP(LOOKUP(G57,$J$4:$J$26,$K$4:$K$26),Lookup!$K$9:$K$24,Lookup!$M$9:$M$24),IF(E57="C",LOOKUP(LOOKUP(G57,$J$4:$J$26,$K$4:$K$26),Lookup!$K$9:$K$24,Lookup!$N$9:$N$24))))</f>
        <v>#N/A</v>
      </c>
      <c r="Q57" s="1024" t="e">
        <f t="shared" si="9"/>
        <v>#N/A</v>
      </c>
      <c r="R57" s="1024" t="e">
        <f t="shared" si="2"/>
        <v>#N/A</v>
      </c>
      <c r="S57" s="828">
        <f t="shared" si="10"/>
        <v>0</v>
      </c>
      <c r="T57" s="1675" t="str">
        <f t="shared" si="3"/>
        <v/>
      </c>
    </row>
    <row r="58" spans="1:20">
      <c r="A58" s="836"/>
      <c r="B58" s="529"/>
      <c r="C58" s="827"/>
      <c r="D58" s="827"/>
      <c r="E58" s="828" t="e">
        <f>LOOKUP(D58,Lookup!$C$9:$C$24,Lookup!$I$9:$I$24)</f>
        <v>#N/A</v>
      </c>
      <c r="F58" s="529"/>
      <c r="G58" s="529"/>
      <c r="H58" s="529"/>
      <c r="I58" s="828" t="e">
        <f t="shared" si="4"/>
        <v>#N/A</v>
      </c>
      <c r="J58" s="643"/>
      <c r="K58" s="829">
        <f t="shared" si="5"/>
        <v>0</v>
      </c>
      <c r="L58" s="830" t="e">
        <f t="shared" si="6"/>
        <v>#DIV/0!</v>
      </c>
      <c r="M58" s="830" t="str">
        <f t="shared" si="7"/>
        <v>N/A</v>
      </c>
      <c r="N58" s="831" t="e">
        <f t="shared" si="1"/>
        <v>#N/A</v>
      </c>
      <c r="O58" s="831">
        <f t="shared" si="8"/>
        <v>0</v>
      </c>
      <c r="P58" s="1024" t="e">
        <f>LOOKUP(G58,$J$4:$J$26,$M$4:$M$26)*LOOKUP(LOOKUP(G58,$J$4:$J$26,$K$4:$K$26),Lookup!$K$9:$K$24,Lookup!$O$9:$O$24)*IF(E58="A",LOOKUP(LOOKUP(G58,$J$4:$J$26,$K$4:$K$26),Lookup!$K$9:$K$24,Lookup!$L$9:$L$24),IF(E58="B",LOOKUP(LOOKUP(G58,$J$4:$J$26,$K$4:$K$26),Lookup!$K$9:$K$24,Lookup!$M$9:$M$24),IF(E58="C",LOOKUP(LOOKUP(G58,$J$4:$J$26,$K$4:$K$26),Lookup!$K$9:$K$24,Lookup!$N$9:$N$24))))</f>
        <v>#N/A</v>
      </c>
      <c r="Q58" s="1024" t="e">
        <f t="shared" si="9"/>
        <v>#N/A</v>
      </c>
      <c r="R58" s="1024" t="e">
        <f t="shared" si="2"/>
        <v>#N/A</v>
      </c>
      <c r="S58" s="828">
        <f t="shared" si="10"/>
        <v>0</v>
      </c>
      <c r="T58" s="1675" t="str">
        <f t="shared" si="3"/>
        <v/>
      </c>
    </row>
    <row r="59" spans="1:20">
      <c r="A59" s="836"/>
      <c r="B59" s="529"/>
      <c r="C59" s="827"/>
      <c r="D59" s="827"/>
      <c r="E59" s="828" t="e">
        <f>LOOKUP(D59,Lookup!$C$9:$C$24,Lookup!$I$9:$I$24)</f>
        <v>#N/A</v>
      </c>
      <c r="F59" s="529"/>
      <c r="G59" s="529"/>
      <c r="H59" s="529"/>
      <c r="I59" s="828" t="e">
        <f t="shared" si="4"/>
        <v>#N/A</v>
      </c>
      <c r="J59" s="643"/>
      <c r="K59" s="829">
        <f t="shared" si="5"/>
        <v>0</v>
      </c>
      <c r="L59" s="830" t="e">
        <f t="shared" si="6"/>
        <v>#DIV/0!</v>
      </c>
      <c r="M59" s="830" t="str">
        <f t="shared" si="7"/>
        <v>N/A</v>
      </c>
      <c r="N59" s="831" t="e">
        <f t="shared" si="1"/>
        <v>#N/A</v>
      </c>
      <c r="O59" s="831">
        <f t="shared" si="8"/>
        <v>0</v>
      </c>
      <c r="P59" s="1024" t="e">
        <f>LOOKUP(G59,$J$4:$J$26,$M$4:$M$26)*LOOKUP(LOOKUP(G59,$J$4:$J$26,$K$4:$K$26),Lookup!$K$9:$K$24,Lookup!$O$9:$O$24)*IF(E59="A",LOOKUP(LOOKUP(G59,$J$4:$J$26,$K$4:$K$26),Lookup!$K$9:$K$24,Lookup!$L$9:$L$24),IF(E59="B",LOOKUP(LOOKUP(G59,$J$4:$J$26,$K$4:$K$26),Lookup!$K$9:$K$24,Lookup!$M$9:$M$24),IF(E59="C",LOOKUP(LOOKUP(G59,$J$4:$J$26,$K$4:$K$26),Lookup!$K$9:$K$24,Lookup!$N$9:$N$24))))</f>
        <v>#N/A</v>
      </c>
      <c r="Q59" s="1024" t="e">
        <f t="shared" si="9"/>
        <v>#N/A</v>
      </c>
      <c r="R59" s="1024" t="e">
        <f t="shared" si="2"/>
        <v>#N/A</v>
      </c>
      <c r="S59" s="828">
        <f t="shared" si="10"/>
        <v>0</v>
      </c>
      <c r="T59" s="1675" t="str">
        <f t="shared" si="3"/>
        <v/>
      </c>
    </row>
    <row r="60" spans="1:20">
      <c r="A60" s="836"/>
      <c r="B60" s="529"/>
      <c r="C60" s="827"/>
      <c r="D60" s="827"/>
      <c r="E60" s="828" t="e">
        <f>LOOKUP(D60,Lookup!$C$9:$C$24,Lookup!$I$9:$I$24)</f>
        <v>#N/A</v>
      </c>
      <c r="F60" s="529"/>
      <c r="G60" s="529"/>
      <c r="H60" s="529"/>
      <c r="I60" s="828" t="e">
        <f t="shared" si="4"/>
        <v>#N/A</v>
      </c>
      <c r="J60" s="643"/>
      <c r="K60" s="829">
        <f t="shared" si="5"/>
        <v>0</v>
      </c>
      <c r="L60" s="830" t="e">
        <f t="shared" si="6"/>
        <v>#DIV/0!</v>
      </c>
      <c r="M60" s="830" t="str">
        <f t="shared" si="7"/>
        <v>N/A</v>
      </c>
      <c r="N60" s="831" t="e">
        <f t="shared" si="1"/>
        <v>#N/A</v>
      </c>
      <c r="O60" s="831">
        <f t="shared" si="8"/>
        <v>0</v>
      </c>
      <c r="P60" s="1024" t="e">
        <f>LOOKUP(G60,$J$4:$J$26,$M$4:$M$26)*LOOKUP(LOOKUP(G60,$J$4:$J$26,$K$4:$K$26),Lookup!$K$9:$K$24,Lookup!$O$9:$O$24)*IF(E60="A",LOOKUP(LOOKUP(G60,$J$4:$J$26,$K$4:$K$26),Lookup!$K$9:$K$24,Lookup!$L$9:$L$24),IF(E60="B",LOOKUP(LOOKUP(G60,$J$4:$J$26,$K$4:$K$26),Lookup!$K$9:$K$24,Lookup!$M$9:$M$24),IF(E60="C",LOOKUP(LOOKUP(G60,$J$4:$J$26,$K$4:$K$26),Lookup!$K$9:$K$24,Lookup!$N$9:$N$24))))</f>
        <v>#N/A</v>
      </c>
      <c r="Q60" s="1024" t="e">
        <f t="shared" si="9"/>
        <v>#N/A</v>
      </c>
      <c r="R60" s="1024" t="e">
        <f t="shared" si="2"/>
        <v>#N/A</v>
      </c>
      <c r="S60" s="828">
        <f t="shared" si="10"/>
        <v>0</v>
      </c>
      <c r="T60" s="1675" t="str">
        <f t="shared" si="3"/>
        <v/>
      </c>
    </row>
    <row r="61" spans="1:20">
      <c r="A61" s="836"/>
      <c r="B61" s="529"/>
      <c r="C61" s="837"/>
      <c r="D61" s="827"/>
      <c r="E61" s="828" t="e">
        <f>LOOKUP(D61,Lookup!$C$9:$C$24,Lookup!$I$9:$I$24)</f>
        <v>#N/A</v>
      </c>
      <c r="F61" s="529"/>
      <c r="G61" s="529"/>
      <c r="H61" s="529"/>
      <c r="I61" s="828" t="e">
        <f t="shared" si="4"/>
        <v>#N/A</v>
      </c>
      <c r="J61" s="643"/>
      <c r="K61" s="829">
        <f t="shared" si="5"/>
        <v>0</v>
      </c>
      <c r="L61" s="830" t="e">
        <f t="shared" si="6"/>
        <v>#DIV/0!</v>
      </c>
      <c r="M61" s="830" t="str">
        <f t="shared" si="7"/>
        <v>N/A</v>
      </c>
      <c r="N61" s="831" t="e">
        <f t="shared" si="1"/>
        <v>#N/A</v>
      </c>
      <c r="O61" s="831">
        <f t="shared" si="8"/>
        <v>0</v>
      </c>
      <c r="P61" s="1024" t="e">
        <f>LOOKUP(G61,$J$4:$J$26,$M$4:$M$26)*LOOKUP(LOOKUP(G61,$J$4:$J$26,$K$4:$K$26),Lookup!$K$9:$K$24,Lookup!$O$9:$O$24)*IF(E61="A",LOOKUP(LOOKUP(G61,$J$4:$J$26,$K$4:$K$26),Lookup!$K$9:$K$24,Lookup!$L$9:$L$24),IF(E61="B",LOOKUP(LOOKUP(G61,$J$4:$J$26,$K$4:$K$26),Lookup!$K$9:$K$24,Lookup!$M$9:$M$24),IF(E61="C",LOOKUP(LOOKUP(G61,$J$4:$J$26,$K$4:$K$26),Lookup!$K$9:$K$24,Lookup!$N$9:$N$24))))</f>
        <v>#N/A</v>
      </c>
      <c r="Q61" s="1024" t="e">
        <f t="shared" si="9"/>
        <v>#N/A</v>
      </c>
      <c r="R61" s="1024" t="e">
        <f t="shared" si="2"/>
        <v>#N/A</v>
      </c>
      <c r="S61" s="828">
        <f t="shared" si="10"/>
        <v>0</v>
      </c>
      <c r="T61" s="1675" t="str">
        <f t="shared" si="3"/>
        <v/>
      </c>
    </row>
    <row r="62" spans="1:20">
      <c r="A62" s="836"/>
      <c r="B62" s="529"/>
      <c r="C62" s="827"/>
      <c r="D62" s="827"/>
      <c r="E62" s="828" t="e">
        <f>LOOKUP(D62,Lookup!$C$9:$C$24,Lookup!$I$9:$I$24)</f>
        <v>#N/A</v>
      </c>
      <c r="F62" s="529"/>
      <c r="G62" s="529"/>
      <c r="H62" s="529"/>
      <c r="I62" s="828" t="e">
        <f t="shared" si="4"/>
        <v>#N/A</v>
      </c>
      <c r="J62" s="643"/>
      <c r="K62" s="829">
        <f t="shared" si="5"/>
        <v>0</v>
      </c>
      <c r="L62" s="830" t="e">
        <f t="shared" si="6"/>
        <v>#DIV/0!</v>
      </c>
      <c r="M62" s="830" t="str">
        <f t="shared" si="7"/>
        <v>N/A</v>
      </c>
      <c r="N62" s="831" t="e">
        <f t="shared" si="1"/>
        <v>#N/A</v>
      </c>
      <c r="O62" s="831">
        <f t="shared" si="8"/>
        <v>0</v>
      </c>
      <c r="P62" s="1024" t="e">
        <f>LOOKUP(G62,$J$4:$J$26,$M$4:$M$26)*LOOKUP(LOOKUP(G62,$J$4:$J$26,$K$4:$K$26),Lookup!$K$9:$K$24,Lookup!$O$9:$O$24)*IF(E62="A",LOOKUP(LOOKUP(G62,$J$4:$J$26,$K$4:$K$26),Lookup!$K$9:$K$24,Lookup!$L$9:$L$24),IF(E62="B",LOOKUP(LOOKUP(G62,$J$4:$J$26,$K$4:$K$26),Lookup!$K$9:$K$24,Lookup!$M$9:$M$24),IF(E62="C",LOOKUP(LOOKUP(G62,$J$4:$J$26,$K$4:$K$26),Lookup!$K$9:$K$24,Lookup!$N$9:$N$24))))</f>
        <v>#N/A</v>
      </c>
      <c r="Q62" s="1024" t="e">
        <f t="shared" si="9"/>
        <v>#N/A</v>
      </c>
      <c r="R62" s="1024" t="e">
        <f t="shared" si="2"/>
        <v>#N/A</v>
      </c>
      <c r="S62" s="828">
        <f t="shared" si="10"/>
        <v>0</v>
      </c>
      <c r="T62" s="1675" t="str">
        <f t="shared" si="3"/>
        <v/>
      </c>
    </row>
    <row r="63" spans="1:20">
      <c r="A63" s="836"/>
      <c r="B63" s="529"/>
      <c r="C63" s="827"/>
      <c r="D63" s="827"/>
      <c r="E63" s="828" t="e">
        <f>LOOKUP(D63,Lookup!$C$9:$C$24,Lookup!$I$9:$I$24)</f>
        <v>#N/A</v>
      </c>
      <c r="F63" s="529"/>
      <c r="G63" s="529"/>
      <c r="H63" s="529"/>
      <c r="I63" s="828" t="e">
        <f t="shared" si="4"/>
        <v>#N/A</v>
      </c>
      <c r="J63" s="643"/>
      <c r="K63" s="829">
        <f t="shared" si="5"/>
        <v>0</v>
      </c>
      <c r="L63" s="830" t="e">
        <f t="shared" si="6"/>
        <v>#DIV/0!</v>
      </c>
      <c r="M63" s="830" t="str">
        <f t="shared" si="7"/>
        <v>N/A</v>
      </c>
      <c r="N63" s="831" t="e">
        <f t="shared" si="1"/>
        <v>#N/A</v>
      </c>
      <c r="O63" s="831">
        <f t="shared" si="8"/>
        <v>0</v>
      </c>
      <c r="P63" s="1024" t="e">
        <f>LOOKUP(G63,$J$4:$J$26,$M$4:$M$26)*LOOKUP(LOOKUP(G63,$J$4:$J$26,$K$4:$K$26),Lookup!$K$9:$K$24,Lookup!$O$9:$O$24)*IF(E63="A",LOOKUP(LOOKUP(G63,$J$4:$J$26,$K$4:$K$26),Lookup!$K$9:$K$24,Lookup!$L$9:$L$24),IF(E63="B",LOOKUP(LOOKUP(G63,$J$4:$J$26,$K$4:$K$26),Lookup!$K$9:$K$24,Lookup!$M$9:$M$24),IF(E63="C",LOOKUP(LOOKUP(G63,$J$4:$J$26,$K$4:$K$26),Lookup!$K$9:$K$24,Lookup!$N$9:$N$24))))</f>
        <v>#N/A</v>
      </c>
      <c r="Q63" s="1024" t="e">
        <f t="shared" si="9"/>
        <v>#N/A</v>
      </c>
      <c r="R63" s="1024" t="e">
        <f t="shared" si="2"/>
        <v>#N/A</v>
      </c>
      <c r="S63" s="828">
        <f t="shared" si="10"/>
        <v>0</v>
      </c>
      <c r="T63" s="1675" t="str">
        <f t="shared" si="3"/>
        <v/>
      </c>
    </row>
    <row r="64" spans="1:20">
      <c r="A64" s="836"/>
      <c r="B64" s="529"/>
      <c r="C64" s="827"/>
      <c r="D64" s="827"/>
      <c r="E64" s="828" t="e">
        <f>LOOKUP(D64,Lookup!$C$9:$C$24,Lookup!$I$9:$I$24)</f>
        <v>#N/A</v>
      </c>
      <c r="F64" s="529"/>
      <c r="G64" s="529"/>
      <c r="H64" s="529"/>
      <c r="I64" s="828" t="e">
        <f t="shared" si="4"/>
        <v>#N/A</v>
      </c>
      <c r="J64" s="643"/>
      <c r="K64" s="829">
        <f t="shared" si="5"/>
        <v>0</v>
      </c>
      <c r="L64" s="830" t="e">
        <f t="shared" si="6"/>
        <v>#DIV/0!</v>
      </c>
      <c r="M64" s="830" t="str">
        <f t="shared" si="7"/>
        <v>N/A</v>
      </c>
      <c r="N64" s="831" t="e">
        <f t="shared" si="1"/>
        <v>#N/A</v>
      </c>
      <c r="O64" s="831">
        <f t="shared" si="8"/>
        <v>0</v>
      </c>
      <c r="P64" s="1024" t="e">
        <f>LOOKUP(G64,$J$4:$J$26,$M$4:$M$26)*LOOKUP(LOOKUP(G64,$J$4:$J$26,$K$4:$K$26),Lookup!$K$9:$K$24,Lookup!$O$9:$O$24)*IF(E64="A",LOOKUP(LOOKUP(G64,$J$4:$J$26,$K$4:$K$26),Lookup!$K$9:$K$24,Lookup!$L$9:$L$24),IF(E64="B",LOOKUP(LOOKUP(G64,$J$4:$J$26,$K$4:$K$26),Lookup!$K$9:$K$24,Lookup!$M$9:$M$24),IF(E64="C",LOOKUP(LOOKUP(G64,$J$4:$J$26,$K$4:$K$26),Lookup!$K$9:$K$24,Lookup!$N$9:$N$24))))</f>
        <v>#N/A</v>
      </c>
      <c r="Q64" s="1024" t="e">
        <f t="shared" si="9"/>
        <v>#N/A</v>
      </c>
      <c r="R64" s="1024" t="e">
        <f t="shared" si="2"/>
        <v>#N/A</v>
      </c>
      <c r="S64" s="828">
        <f t="shared" si="10"/>
        <v>0</v>
      </c>
      <c r="T64" s="1675" t="str">
        <f t="shared" si="3"/>
        <v/>
      </c>
    </row>
    <row r="65" spans="1:20">
      <c r="A65" s="836"/>
      <c r="B65" s="529"/>
      <c r="C65" s="827"/>
      <c r="D65" s="827"/>
      <c r="E65" s="828" t="e">
        <f>LOOKUP(D65,Lookup!$C$9:$C$24,Lookup!$I$9:$I$24)</f>
        <v>#N/A</v>
      </c>
      <c r="F65" s="529"/>
      <c r="G65" s="529"/>
      <c r="H65" s="529"/>
      <c r="I65" s="828" t="e">
        <f t="shared" si="4"/>
        <v>#N/A</v>
      </c>
      <c r="J65" s="643"/>
      <c r="K65" s="829">
        <f t="shared" si="5"/>
        <v>0</v>
      </c>
      <c r="L65" s="830" t="e">
        <f t="shared" si="6"/>
        <v>#DIV/0!</v>
      </c>
      <c r="M65" s="830" t="str">
        <f t="shared" si="7"/>
        <v>N/A</v>
      </c>
      <c r="N65" s="831" t="e">
        <f t="shared" si="1"/>
        <v>#N/A</v>
      </c>
      <c r="O65" s="831">
        <f t="shared" si="8"/>
        <v>0</v>
      </c>
      <c r="P65" s="1024" t="e">
        <f>LOOKUP(G65,$J$4:$J$26,$M$4:$M$26)*LOOKUP(LOOKUP(G65,$J$4:$J$26,$K$4:$K$26),Lookup!$K$9:$K$24,Lookup!$O$9:$O$24)*IF(E65="A",LOOKUP(LOOKUP(G65,$J$4:$J$26,$K$4:$K$26),Lookup!$K$9:$K$24,Lookup!$L$9:$L$24),IF(E65="B",LOOKUP(LOOKUP(G65,$J$4:$J$26,$K$4:$K$26),Lookup!$K$9:$K$24,Lookup!$M$9:$M$24),IF(E65="C",LOOKUP(LOOKUP(G65,$J$4:$J$26,$K$4:$K$26),Lookup!$K$9:$K$24,Lookup!$N$9:$N$24))))</f>
        <v>#N/A</v>
      </c>
      <c r="Q65" s="1024" t="e">
        <f t="shared" si="9"/>
        <v>#N/A</v>
      </c>
      <c r="R65" s="1024" t="e">
        <f t="shared" si="2"/>
        <v>#N/A</v>
      </c>
      <c r="S65" s="828">
        <f t="shared" si="10"/>
        <v>0</v>
      </c>
      <c r="T65" s="1675" t="str">
        <f t="shared" si="3"/>
        <v/>
      </c>
    </row>
    <row r="66" spans="1:20">
      <c r="A66" s="836"/>
      <c r="B66" s="529"/>
      <c r="C66" s="827"/>
      <c r="D66" s="827"/>
      <c r="E66" s="828" t="e">
        <f>LOOKUP(D66,Lookup!$C$9:$C$24,Lookup!$I$9:$I$24)</f>
        <v>#N/A</v>
      </c>
      <c r="F66" s="529"/>
      <c r="G66" s="529"/>
      <c r="H66" s="529"/>
      <c r="I66" s="828" t="e">
        <f t="shared" si="4"/>
        <v>#N/A</v>
      </c>
      <c r="J66" s="643"/>
      <c r="K66" s="829">
        <f t="shared" si="5"/>
        <v>0</v>
      </c>
      <c r="L66" s="830" t="e">
        <f t="shared" si="6"/>
        <v>#DIV/0!</v>
      </c>
      <c r="M66" s="830" t="str">
        <f t="shared" si="7"/>
        <v>N/A</v>
      </c>
      <c r="N66" s="831" t="e">
        <f t="shared" si="1"/>
        <v>#N/A</v>
      </c>
      <c r="O66" s="831">
        <f t="shared" si="8"/>
        <v>0</v>
      </c>
      <c r="P66" s="1024" t="e">
        <f>LOOKUP(G66,$J$4:$J$26,$M$4:$M$26)*LOOKUP(LOOKUP(G66,$J$4:$J$26,$K$4:$K$26),Lookup!$K$9:$K$24,Lookup!$O$9:$O$24)*IF(E66="A",LOOKUP(LOOKUP(G66,$J$4:$J$26,$K$4:$K$26),Lookup!$K$9:$K$24,Lookup!$L$9:$L$24),IF(E66="B",LOOKUP(LOOKUP(G66,$J$4:$J$26,$K$4:$K$26),Lookup!$K$9:$K$24,Lookup!$M$9:$M$24),IF(E66="C",LOOKUP(LOOKUP(G66,$J$4:$J$26,$K$4:$K$26),Lookup!$K$9:$K$24,Lookup!$N$9:$N$24))))</f>
        <v>#N/A</v>
      </c>
      <c r="Q66" s="1024" t="e">
        <f t="shared" si="9"/>
        <v>#N/A</v>
      </c>
      <c r="R66" s="1024" t="e">
        <f t="shared" si="2"/>
        <v>#N/A</v>
      </c>
      <c r="S66" s="828">
        <f t="shared" si="10"/>
        <v>0</v>
      </c>
      <c r="T66" s="1675" t="str">
        <f t="shared" si="3"/>
        <v/>
      </c>
    </row>
    <row r="67" spans="1:20">
      <c r="A67" s="836"/>
      <c r="B67" s="529"/>
      <c r="C67" s="837"/>
      <c r="D67" s="827"/>
      <c r="E67" s="828" t="e">
        <f>LOOKUP(D67,Lookup!$C$9:$C$24,Lookup!$I$9:$I$24)</f>
        <v>#N/A</v>
      </c>
      <c r="F67" s="529"/>
      <c r="G67" s="529"/>
      <c r="H67" s="529"/>
      <c r="I67" s="828" t="e">
        <f t="shared" si="4"/>
        <v>#N/A</v>
      </c>
      <c r="J67" s="643"/>
      <c r="K67" s="829">
        <f t="shared" si="5"/>
        <v>0</v>
      </c>
      <c r="L67" s="830" t="e">
        <f t="shared" si="6"/>
        <v>#DIV/0!</v>
      </c>
      <c r="M67" s="830" t="str">
        <f t="shared" si="7"/>
        <v>N/A</v>
      </c>
      <c r="N67" s="831" t="e">
        <f t="shared" si="1"/>
        <v>#N/A</v>
      </c>
      <c r="O67" s="831">
        <f t="shared" si="8"/>
        <v>0</v>
      </c>
      <c r="P67" s="1024" t="e">
        <f>LOOKUP(G67,$J$4:$J$26,$M$4:$M$26)*LOOKUP(LOOKUP(G67,$J$4:$J$26,$K$4:$K$26),Lookup!$K$9:$K$24,Lookup!$O$9:$O$24)*IF(E67="A",LOOKUP(LOOKUP(G67,$J$4:$J$26,$K$4:$K$26),Lookup!$K$9:$K$24,Lookup!$L$9:$L$24),IF(E67="B",LOOKUP(LOOKUP(G67,$J$4:$J$26,$K$4:$K$26),Lookup!$K$9:$K$24,Lookup!$M$9:$M$24),IF(E67="C",LOOKUP(LOOKUP(G67,$J$4:$J$26,$K$4:$K$26),Lookup!$K$9:$K$24,Lookup!$N$9:$N$24))))</f>
        <v>#N/A</v>
      </c>
      <c r="Q67" s="1024" t="e">
        <f t="shared" si="9"/>
        <v>#N/A</v>
      </c>
      <c r="R67" s="1024" t="e">
        <f t="shared" si="2"/>
        <v>#N/A</v>
      </c>
      <c r="S67" s="828">
        <f t="shared" si="10"/>
        <v>0</v>
      </c>
      <c r="T67" s="1675" t="str">
        <f t="shared" si="3"/>
        <v/>
      </c>
    </row>
    <row r="68" spans="1:20">
      <c r="A68" s="836"/>
      <c r="B68" s="529"/>
      <c r="C68" s="827"/>
      <c r="D68" s="827"/>
      <c r="E68" s="828" t="e">
        <f>LOOKUP(D68,Lookup!$C$9:$C$24,Lookup!$I$9:$I$24)</f>
        <v>#N/A</v>
      </c>
      <c r="F68" s="529"/>
      <c r="G68" s="529"/>
      <c r="H68" s="529"/>
      <c r="I68" s="828" t="e">
        <f t="shared" si="4"/>
        <v>#N/A</v>
      </c>
      <c r="J68" s="643"/>
      <c r="K68" s="829">
        <f t="shared" si="5"/>
        <v>0</v>
      </c>
      <c r="L68" s="830" t="e">
        <f t="shared" si="6"/>
        <v>#DIV/0!</v>
      </c>
      <c r="M68" s="830" t="str">
        <f t="shared" si="7"/>
        <v>N/A</v>
      </c>
      <c r="N68" s="831" t="e">
        <f t="shared" si="1"/>
        <v>#N/A</v>
      </c>
      <c r="O68" s="831">
        <f t="shared" si="8"/>
        <v>0</v>
      </c>
      <c r="P68" s="1024" t="e">
        <f>LOOKUP(G68,$J$4:$J$26,$M$4:$M$26)*LOOKUP(LOOKUP(G68,$J$4:$J$26,$K$4:$K$26),Lookup!$K$9:$K$24,Lookup!$O$9:$O$24)*IF(E68="A",LOOKUP(LOOKUP(G68,$J$4:$J$26,$K$4:$K$26),Lookup!$K$9:$K$24,Lookup!$L$9:$L$24),IF(E68="B",LOOKUP(LOOKUP(G68,$J$4:$J$26,$K$4:$K$26),Lookup!$K$9:$K$24,Lookup!$M$9:$M$24),IF(E68="C",LOOKUP(LOOKUP(G68,$J$4:$J$26,$K$4:$K$26),Lookup!$K$9:$K$24,Lookup!$N$9:$N$24))))</f>
        <v>#N/A</v>
      </c>
      <c r="Q68" s="1024" t="e">
        <f t="shared" si="9"/>
        <v>#N/A</v>
      </c>
      <c r="R68" s="1024" t="e">
        <f t="shared" si="2"/>
        <v>#N/A</v>
      </c>
      <c r="S68" s="828">
        <f t="shared" si="10"/>
        <v>0</v>
      </c>
      <c r="T68" s="1675" t="str">
        <f t="shared" si="3"/>
        <v/>
      </c>
    </row>
    <row r="69" spans="1:20">
      <c r="A69" s="836"/>
      <c r="B69" s="529"/>
      <c r="C69" s="827"/>
      <c r="D69" s="827"/>
      <c r="E69" s="828" t="e">
        <f>LOOKUP(D69,Lookup!$C$9:$C$24,Lookup!$I$9:$I$24)</f>
        <v>#N/A</v>
      </c>
      <c r="F69" s="529"/>
      <c r="G69" s="529"/>
      <c r="H69" s="529"/>
      <c r="I69" s="828" t="e">
        <f t="shared" si="4"/>
        <v>#N/A</v>
      </c>
      <c r="J69" s="643"/>
      <c r="K69" s="829">
        <f t="shared" si="5"/>
        <v>0</v>
      </c>
      <c r="L69" s="830" t="e">
        <f t="shared" si="6"/>
        <v>#DIV/0!</v>
      </c>
      <c r="M69" s="830" t="str">
        <f t="shared" si="7"/>
        <v>N/A</v>
      </c>
      <c r="N69" s="831" t="e">
        <f t="shared" si="1"/>
        <v>#N/A</v>
      </c>
      <c r="O69" s="831">
        <f t="shared" si="8"/>
        <v>0</v>
      </c>
      <c r="P69" s="1024" t="e">
        <f>LOOKUP(G69,$J$4:$J$26,$M$4:$M$26)*LOOKUP(LOOKUP(G69,$J$4:$J$26,$K$4:$K$26),Lookup!$K$9:$K$24,Lookup!$O$9:$O$24)*IF(E69="A",LOOKUP(LOOKUP(G69,$J$4:$J$26,$K$4:$K$26),Lookup!$K$9:$K$24,Lookup!$L$9:$L$24),IF(E69="B",LOOKUP(LOOKUP(G69,$J$4:$J$26,$K$4:$K$26),Lookup!$K$9:$K$24,Lookup!$M$9:$M$24),IF(E69="C",LOOKUP(LOOKUP(G69,$J$4:$J$26,$K$4:$K$26),Lookup!$K$9:$K$24,Lookup!$N$9:$N$24))))</f>
        <v>#N/A</v>
      </c>
      <c r="Q69" s="1024" t="e">
        <f t="shared" si="9"/>
        <v>#N/A</v>
      </c>
      <c r="R69" s="1024" t="e">
        <f t="shared" si="2"/>
        <v>#N/A</v>
      </c>
      <c r="S69" s="828">
        <f t="shared" si="10"/>
        <v>0</v>
      </c>
      <c r="T69" s="1675" t="str">
        <f t="shared" si="3"/>
        <v/>
      </c>
    </row>
    <row r="70" spans="1:20">
      <c r="A70" s="836"/>
      <c r="B70" s="529"/>
      <c r="C70" s="827"/>
      <c r="D70" s="827"/>
      <c r="E70" s="828" t="e">
        <f>LOOKUP(D70,Lookup!$C$9:$C$24,Lookup!$I$9:$I$24)</f>
        <v>#N/A</v>
      </c>
      <c r="F70" s="529"/>
      <c r="G70" s="529"/>
      <c r="H70" s="529"/>
      <c r="I70" s="828" t="e">
        <f t="shared" si="4"/>
        <v>#N/A</v>
      </c>
      <c r="J70" s="643"/>
      <c r="K70" s="829">
        <f t="shared" si="5"/>
        <v>0</v>
      </c>
      <c r="L70" s="830" t="e">
        <f t="shared" si="6"/>
        <v>#DIV/0!</v>
      </c>
      <c r="M70" s="830" t="str">
        <f t="shared" si="7"/>
        <v>N/A</v>
      </c>
      <c r="N70" s="831" t="e">
        <f t="shared" si="1"/>
        <v>#N/A</v>
      </c>
      <c r="O70" s="831">
        <f t="shared" si="8"/>
        <v>0</v>
      </c>
      <c r="P70" s="1024" t="e">
        <f>LOOKUP(G70,$J$4:$J$26,$M$4:$M$26)*LOOKUP(LOOKUP(G70,$J$4:$J$26,$K$4:$K$26),Lookup!$K$9:$K$24,Lookup!$O$9:$O$24)*IF(E70="A",LOOKUP(LOOKUP(G70,$J$4:$J$26,$K$4:$K$26),Lookup!$K$9:$K$24,Lookup!$L$9:$L$24),IF(E70="B",LOOKUP(LOOKUP(G70,$J$4:$J$26,$K$4:$K$26),Lookup!$K$9:$K$24,Lookup!$M$9:$M$24),IF(E70="C",LOOKUP(LOOKUP(G70,$J$4:$J$26,$K$4:$K$26),Lookup!$K$9:$K$24,Lookup!$N$9:$N$24))))</f>
        <v>#N/A</v>
      </c>
      <c r="Q70" s="1024" t="e">
        <f t="shared" si="9"/>
        <v>#N/A</v>
      </c>
      <c r="R70" s="1024" t="e">
        <f t="shared" si="2"/>
        <v>#N/A</v>
      </c>
      <c r="S70" s="828">
        <f t="shared" si="10"/>
        <v>0</v>
      </c>
      <c r="T70" s="1675" t="str">
        <f t="shared" si="3"/>
        <v/>
      </c>
    </row>
    <row r="71" spans="1:20">
      <c r="A71" s="836"/>
      <c r="B71" s="529"/>
      <c r="C71" s="827"/>
      <c r="D71" s="827"/>
      <c r="E71" s="828" t="e">
        <f>LOOKUP(D71,Lookup!$C$9:$C$24,Lookup!$I$9:$I$24)</f>
        <v>#N/A</v>
      </c>
      <c r="F71" s="529"/>
      <c r="G71" s="529"/>
      <c r="H71" s="529"/>
      <c r="I71" s="828" t="e">
        <f t="shared" si="4"/>
        <v>#N/A</v>
      </c>
      <c r="J71" s="643"/>
      <c r="K71" s="829">
        <f t="shared" si="5"/>
        <v>0</v>
      </c>
      <c r="L71" s="830" t="e">
        <f t="shared" si="6"/>
        <v>#DIV/0!</v>
      </c>
      <c r="M71" s="830" t="str">
        <f t="shared" si="7"/>
        <v>N/A</v>
      </c>
      <c r="N71" s="831" t="e">
        <f t="shared" si="1"/>
        <v>#N/A</v>
      </c>
      <c r="O71" s="831">
        <f t="shared" si="8"/>
        <v>0</v>
      </c>
      <c r="P71" s="1024" t="e">
        <f>LOOKUP(G71,$J$4:$J$26,$M$4:$M$26)*LOOKUP(LOOKUP(G71,$J$4:$J$26,$K$4:$K$26),Lookup!$K$9:$K$24,Lookup!$O$9:$O$24)*IF(E71="A",LOOKUP(LOOKUP(G71,$J$4:$J$26,$K$4:$K$26),Lookup!$K$9:$K$24,Lookup!$L$9:$L$24),IF(E71="B",LOOKUP(LOOKUP(G71,$J$4:$J$26,$K$4:$K$26),Lookup!$K$9:$K$24,Lookup!$M$9:$M$24),IF(E71="C",LOOKUP(LOOKUP(G71,$J$4:$J$26,$K$4:$K$26),Lookup!$K$9:$K$24,Lookup!$N$9:$N$24))))</f>
        <v>#N/A</v>
      </c>
      <c r="Q71" s="1024" t="e">
        <f t="shared" si="9"/>
        <v>#N/A</v>
      </c>
      <c r="R71" s="1024" t="e">
        <f t="shared" si="2"/>
        <v>#N/A</v>
      </c>
      <c r="S71" s="828">
        <f t="shared" si="10"/>
        <v>0</v>
      </c>
      <c r="T71" s="1675" t="str">
        <f t="shared" si="3"/>
        <v/>
      </c>
    </row>
    <row r="72" spans="1:20">
      <c r="A72" s="836"/>
      <c r="B72" s="529"/>
      <c r="C72" s="827"/>
      <c r="D72" s="827"/>
      <c r="E72" s="828" t="e">
        <f>LOOKUP(D72,Lookup!$C$9:$C$24,Lookup!$I$9:$I$24)</f>
        <v>#N/A</v>
      </c>
      <c r="F72" s="529"/>
      <c r="G72" s="529"/>
      <c r="H72" s="529"/>
      <c r="I72" s="828" t="e">
        <f t="shared" si="4"/>
        <v>#N/A</v>
      </c>
      <c r="J72" s="643"/>
      <c r="K72" s="829">
        <f t="shared" si="5"/>
        <v>0</v>
      </c>
      <c r="L72" s="830" t="e">
        <f t="shared" si="6"/>
        <v>#DIV/0!</v>
      </c>
      <c r="M72" s="830" t="str">
        <f t="shared" si="7"/>
        <v>N/A</v>
      </c>
      <c r="N72" s="831" t="e">
        <f t="shared" si="1"/>
        <v>#N/A</v>
      </c>
      <c r="O72" s="831">
        <f t="shared" si="8"/>
        <v>0</v>
      </c>
      <c r="P72" s="1024" t="e">
        <f>LOOKUP(G72,$J$4:$J$26,$M$4:$M$26)*LOOKUP(LOOKUP(G72,$J$4:$J$26,$K$4:$K$26),Lookup!$K$9:$K$24,Lookup!$O$9:$O$24)*IF(E72="A",LOOKUP(LOOKUP(G72,$J$4:$J$26,$K$4:$K$26),Lookup!$K$9:$K$24,Lookup!$L$9:$L$24),IF(E72="B",LOOKUP(LOOKUP(G72,$J$4:$J$26,$K$4:$K$26),Lookup!$K$9:$K$24,Lookup!$M$9:$M$24),IF(E72="C",LOOKUP(LOOKUP(G72,$J$4:$J$26,$K$4:$K$26),Lookup!$K$9:$K$24,Lookup!$N$9:$N$24))))</f>
        <v>#N/A</v>
      </c>
      <c r="Q72" s="1024" t="e">
        <f t="shared" si="9"/>
        <v>#N/A</v>
      </c>
      <c r="R72" s="1024" t="e">
        <f t="shared" si="2"/>
        <v>#N/A</v>
      </c>
      <c r="S72" s="828">
        <f t="shared" si="10"/>
        <v>0</v>
      </c>
      <c r="T72" s="1675" t="str">
        <f t="shared" si="3"/>
        <v/>
      </c>
    </row>
    <row r="73" spans="1:20">
      <c r="A73" s="836"/>
      <c r="B73" s="529"/>
      <c r="C73" s="837"/>
      <c r="D73" s="827"/>
      <c r="E73" s="828" t="e">
        <f>LOOKUP(D73,Lookup!$C$9:$C$24,Lookup!$I$9:$I$24)</f>
        <v>#N/A</v>
      </c>
      <c r="F73" s="529"/>
      <c r="G73" s="529"/>
      <c r="H73" s="529"/>
      <c r="I73" s="828" t="e">
        <f t="shared" si="4"/>
        <v>#N/A</v>
      </c>
      <c r="J73" s="643"/>
      <c r="K73" s="829">
        <f t="shared" si="5"/>
        <v>0</v>
      </c>
      <c r="L73" s="830" t="e">
        <f t="shared" si="6"/>
        <v>#DIV/0!</v>
      </c>
      <c r="M73" s="830" t="str">
        <f t="shared" si="7"/>
        <v>N/A</v>
      </c>
      <c r="N73" s="831" t="e">
        <f t="shared" si="1"/>
        <v>#N/A</v>
      </c>
      <c r="O73" s="831">
        <f t="shared" si="8"/>
        <v>0</v>
      </c>
      <c r="P73" s="1024" t="e">
        <f>LOOKUP(G73,$J$4:$J$26,$M$4:$M$26)*LOOKUP(LOOKUP(G73,$J$4:$J$26,$K$4:$K$26),Lookup!$K$9:$K$24,Lookup!$O$9:$O$24)*IF(E73="A",LOOKUP(LOOKUP(G73,$J$4:$J$26,$K$4:$K$26),Lookup!$K$9:$K$24,Lookup!$L$9:$L$24),IF(E73="B",LOOKUP(LOOKUP(G73,$J$4:$J$26,$K$4:$K$26),Lookup!$K$9:$K$24,Lookup!$M$9:$M$24),IF(E73="C",LOOKUP(LOOKUP(G73,$J$4:$J$26,$K$4:$K$26),Lookup!$K$9:$K$24,Lookup!$N$9:$N$24))))</f>
        <v>#N/A</v>
      </c>
      <c r="Q73" s="1024" t="e">
        <f t="shared" si="9"/>
        <v>#N/A</v>
      </c>
      <c r="R73" s="1024" t="e">
        <f t="shared" si="2"/>
        <v>#N/A</v>
      </c>
      <c r="S73" s="828">
        <f t="shared" si="10"/>
        <v>0</v>
      </c>
      <c r="T73" s="1675" t="str">
        <f t="shared" si="3"/>
        <v/>
      </c>
    </row>
    <row r="74" spans="1:20" ht="12" customHeight="1">
      <c r="A74" s="836"/>
      <c r="B74" s="529"/>
      <c r="C74" s="827"/>
      <c r="D74" s="827"/>
      <c r="E74" s="828" t="e">
        <f>LOOKUP(D74,Lookup!$C$9:$C$24,Lookup!$I$9:$I$24)</f>
        <v>#N/A</v>
      </c>
      <c r="F74" s="529"/>
      <c r="G74" s="529"/>
      <c r="H74" s="529"/>
      <c r="I74" s="828" t="e">
        <f t="shared" si="4"/>
        <v>#N/A</v>
      </c>
      <c r="J74" s="643"/>
      <c r="K74" s="829">
        <f t="shared" si="5"/>
        <v>0</v>
      </c>
      <c r="L74" s="830" t="e">
        <f t="shared" si="6"/>
        <v>#DIV/0!</v>
      </c>
      <c r="M74" s="830" t="str">
        <f t="shared" si="7"/>
        <v>N/A</v>
      </c>
      <c r="N74" s="831" t="e">
        <f t="shared" si="1"/>
        <v>#N/A</v>
      </c>
      <c r="O74" s="831">
        <f t="shared" si="8"/>
        <v>0</v>
      </c>
      <c r="P74" s="1024" t="e">
        <f>LOOKUP(G74,$J$4:$J$26,$M$4:$M$26)*LOOKUP(LOOKUP(G74,$J$4:$J$26,$K$4:$K$26),Lookup!$K$9:$K$24,Lookup!$O$9:$O$24)*IF(E74="A",LOOKUP(LOOKUP(G74,$J$4:$J$26,$K$4:$K$26),Lookup!$K$9:$K$24,Lookup!$L$9:$L$24),IF(E74="B",LOOKUP(LOOKUP(G74,$J$4:$J$26,$K$4:$K$26),Lookup!$K$9:$K$24,Lookup!$M$9:$M$24),IF(E74="C",LOOKUP(LOOKUP(G74,$J$4:$J$26,$K$4:$K$26),Lookup!$K$9:$K$24,Lookup!$N$9:$N$24))))</f>
        <v>#N/A</v>
      </c>
      <c r="Q74" s="1024" t="e">
        <f t="shared" si="9"/>
        <v>#N/A</v>
      </c>
      <c r="R74" s="1024" t="e">
        <f t="shared" si="2"/>
        <v>#N/A</v>
      </c>
      <c r="S74" s="828">
        <f t="shared" si="10"/>
        <v>0</v>
      </c>
      <c r="T74" s="1675" t="str">
        <f t="shared" si="3"/>
        <v/>
      </c>
    </row>
    <row r="75" spans="1:20">
      <c r="A75" s="836"/>
      <c r="B75" s="529"/>
      <c r="C75" s="827"/>
      <c r="D75" s="827"/>
      <c r="E75" s="828" t="e">
        <f>LOOKUP(D75,Lookup!$C$9:$C$24,Lookup!$I$9:$I$24)</f>
        <v>#N/A</v>
      </c>
      <c r="F75" s="529"/>
      <c r="G75" s="529"/>
      <c r="H75" s="529"/>
      <c r="I75" s="828" t="e">
        <f t="shared" si="4"/>
        <v>#N/A</v>
      </c>
      <c r="J75" s="643"/>
      <c r="K75" s="829">
        <f t="shared" si="5"/>
        <v>0</v>
      </c>
      <c r="L75" s="830" t="e">
        <f t="shared" si="6"/>
        <v>#DIV/0!</v>
      </c>
      <c r="M75" s="830" t="str">
        <f t="shared" si="7"/>
        <v>N/A</v>
      </c>
      <c r="N75" s="831" t="e">
        <f t="shared" si="1"/>
        <v>#N/A</v>
      </c>
      <c r="O75" s="831">
        <f t="shared" si="8"/>
        <v>0</v>
      </c>
      <c r="P75" s="1024" t="e">
        <f>LOOKUP(G75,$J$4:$J$26,$M$4:$M$26)*LOOKUP(LOOKUP(G75,$J$4:$J$26,$K$4:$K$26),Lookup!$K$9:$K$24,Lookup!$O$9:$O$24)*IF(E75="A",LOOKUP(LOOKUP(G75,$J$4:$J$26,$K$4:$K$26),Lookup!$K$9:$K$24,Lookup!$L$9:$L$24),IF(E75="B",LOOKUP(LOOKUP(G75,$J$4:$J$26,$K$4:$K$26),Lookup!$K$9:$K$24,Lookup!$M$9:$M$24),IF(E75="C",LOOKUP(LOOKUP(G75,$J$4:$J$26,$K$4:$K$26),Lookup!$K$9:$K$24,Lookup!$N$9:$N$24))))</f>
        <v>#N/A</v>
      </c>
      <c r="Q75" s="1024" t="e">
        <f t="shared" si="9"/>
        <v>#N/A</v>
      </c>
      <c r="R75" s="1024" t="e">
        <f t="shared" si="2"/>
        <v>#N/A</v>
      </c>
      <c r="S75" s="828">
        <f t="shared" si="10"/>
        <v>0</v>
      </c>
      <c r="T75" s="1675" t="str">
        <f t="shared" si="3"/>
        <v/>
      </c>
    </row>
    <row r="76" spans="1:20">
      <c r="A76" s="836"/>
      <c r="B76" s="529"/>
      <c r="C76" s="827"/>
      <c r="D76" s="827"/>
      <c r="E76" s="828" t="e">
        <f>LOOKUP(D76,Lookup!$C$9:$C$24,Lookup!$I$9:$I$24)</f>
        <v>#N/A</v>
      </c>
      <c r="F76" s="529"/>
      <c r="G76" s="529"/>
      <c r="H76" s="529"/>
      <c r="I76" s="828" t="e">
        <f t="shared" si="4"/>
        <v>#N/A</v>
      </c>
      <c r="J76" s="643"/>
      <c r="K76" s="829">
        <f t="shared" si="5"/>
        <v>0</v>
      </c>
      <c r="L76" s="830" t="e">
        <f t="shared" si="6"/>
        <v>#DIV/0!</v>
      </c>
      <c r="M76" s="830" t="str">
        <f t="shared" si="7"/>
        <v>N/A</v>
      </c>
      <c r="N76" s="831" t="e">
        <f t="shared" si="1"/>
        <v>#N/A</v>
      </c>
      <c r="O76" s="831">
        <f t="shared" si="8"/>
        <v>0</v>
      </c>
      <c r="P76" s="1024" t="e">
        <f>LOOKUP(G76,$J$4:$J$26,$M$4:$M$26)*LOOKUP(LOOKUP(G76,$J$4:$J$26,$K$4:$K$26),Lookup!$K$9:$K$24,Lookup!$O$9:$O$24)*IF(E76="A",LOOKUP(LOOKUP(G76,$J$4:$J$26,$K$4:$K$26),Lookup!$K$9:$K$24,Lookup!$L$9:$L$24),IF(E76="B",LOOKUP(LOOKUP(G76,$J$4:$J$26,$K$4:$K$26),Lookup!$K$9:$K$24,Lookup!$M$9:$M$24),IF(E76="C",LOOKUP(LOOKUP(G76,$J$4:$J$26,$K$4:$K$26),Lookup!$K$9:$K$24,Lookup!$N$9:$N$24))))</f>
        <v>#N/A</v>
      </c>
      <c r="Q76" s="1024" t="e">
        <f t="shared" si="9"/>
        <v>#N/A</v>
      </c>
      <c r="R76" s="1024" t="e">
        <f t="shared" si="2"/>
        <v>#N/A</v>
      </c>
      <c r="S76" s="828">
        <f t="shared" si="10"/>
        <v>0</v>
      </c>
      <c r="T76" s="1675" t="str">
        <f t="shared" si="3"/>
        <v/>
      </c>
    </row>
    <row r="77" spans="1:20">
      <c r="A77" s="836"/>
      <c r="B77" s="529"/>
      <c r="C77" s="827"/>
      <c r="D77" s="827"/>
      <c r="E77" s="828" t="e">
        <f>LOOKUP(D77,Lookup!$C$9:$C$24,Lookup!$I$9:$I$24)</f>
        <v>#N/A</v>
      </c>
      <c r="F77" s="529"/>
      <c r="G77" s="529"/>
      <c r="H77" s="529"/>
      <c r="I77" s="828" t="e">
        <f t="shared" si="4"/>
        <v>#N/A</v>
      </c>
      <c r="J77" s="643"/>
      <c r="K77" s="829">
        <f t="shared" si="5"/>
        <v>0</v>
      </c>
      <c r="L77" s="830" t="e">
        <f t="shared" si="6"/>
        <v>#DIV/0!</v>
      </c>
      <c r="M77" s="830" t="str">
        <f t="shared" si="7"/>
        <v>N/A</v>
      </c>
      <c r="N77" s="831" t="e">
        <f t="shared" si="1"/>
        <v>#N/A</v>
      </c>
      <c r="O77" s="831">
        <f t="shared" si="8"/>
        <v>0</v>
      </c>
      <c r="P77" s="1024" t="e">
        <f>LOOKUP(G77,$J$4:$J$26,$M$4:$M$26)*LOOKUP(LOOKUP(G77,$J$4:$J$26,$K$4:$K$26),Lookup!$K$9:$K$24,Lookup!$O$9:$O$24)*IF(E77="A",LOOKUP(LOOKUP(G77,$J$4:$J$26,$K$4:$K$26),Lookup!$K$9:$K$24,Lookup!$L$9:$L$24),IF(E77="B",LOOKUP(LOOKUP(G77,$J$4:$J$26,$K$4:$K$26),Lookup!$K$9:$K$24,Lookup!$M$9:$M$24),IF(E77="C",LOOKUP(LOOKUP(G77,$J$4:$J$26,$K$4:$K$26),Lookup!$K$9:$K$24,Lookup!$N$9:$N$24))))</f>
        <v>#N/A</v>
      </c>
      <c r="Q77" s="1024" t="e">
        <f t="shared" si="9"/>
        <v>#N/A</v>
      </c>
      <c r="R77" s="1024" t="e">
        <f t="shared" si="2"/>
        <v>#N/A</v>
      </c>
      <c r="S77" s="828">
        <f t="shared" si="10"/>
        <v>0</v>
      </c>
      <c r="T77" s="1675" t="str">
        <f t="shared" si="3"/>
        <v/>
      </c>
    </row>
    <row r="78" spans="1:20">
      <c r="A78" s="835"/>
      <c r="B78" s="529"/>
      <c r="C78" s="827"/>
      <c r="D78" s="827"/>
      <c r="E78" s="828" t="e">
        <f>LOOKUP(D78,Lookup!$C$9:$C$24,Lookup!$I$9:$I$24)</f>
        <v>#N/A</v>
      </c>
      <c r="F78" s="529"/>
      <c r="G78" s="529"/>
      <c r="H78" s="529"/>
      <c r="I78" s="828" t="e">
        <f t="shared" si="4"/>
        <v>#N/A</v>
      </c>
      <c r="J78" s="643"/>
      <c r="K78" s="829">
        <f t="shared" si="5"/>
        <v>0</v>
      </c>
      <c r="L78" s="830" t="e">
        <f t="shared" si="6"/>
        <v>#DIV/0!</v>
      </c>
      <c r="M78" s="830" t="str">
        <f t="shared" si="7"/>
        <v>N/A</v>
      </c>
      <c r="N78" s="831" t="e">
        <f t="shared" si="1"/>
        <v>#N/A</v>
      </c>
      <c r="O78" s="831">
        <f t="shared" si="8"/>
        <v>0</v>
      </c>
      <c r="P78" s="1024" t="e">
        <f>LOOKUP(G78,$J$4:$J$26,$M$4:$M$26)*LOOKUP(LOOKUP(G78,$J$4:$J$26,$K$4:$K$26),Lookup!$K$9:$K$24,Lookup!$O$9:$O$24)*IF(E78="A",LOOKUP(LOOKUP(G78,$J$4:$J$26,$K$4:$K$26),Lookup!$K$9:$K$24,Lookup!$L$9:$L$24),IF(E78="B",LOOKUP(LOOKUP(G78,$J$4:$J$26,$K$4:$K$26),Lookup!$K$9:$K$24,Lookup!$M$9:$M$24),IF(E78="C",LOOKUP(LOOKUP(G78,$J$4:$J$26,$K$4:$K$26),Lookup!$K$9:$K$24,Lookup!$N$9:$N$24))))</f>
        <v>#N/A</v>
      </c>
      <c r="Q78" s="1024" t="e">
        <f t="shared" si="9"/>
        <v>#N/A</v>
      </c>
      <c r="R78" s="1024" t="e">
        <f t="shared" si="2"/>
        <v>#N/A</v>
      </c>
      <c r="S78" s="828">
        <f t="shared" si="10"/>
        <v>0</v>
      </c>
      <c r="T78" s="1675" t="str">
        <f t="shared" si="3"/>
        <v/>
      </c>
    </row>
    <row r="79" spans="1:20">
      <c r="A79" s="835"/>
      <c r="B79" s="529"/>
      <c r="C79" s="827"/>
      <c r="D79" s="827"/>
      <c r="E79" s="828" t="e">
        <f>LOOKUP(D79,Lookup!$C$9:$C$24,Lookup!$I$9:$I$24)</f>
        <v>#N/A</v>
      </c>
      <c r="F79" s="529"/>
      <c r="G79" s="529"/>
      <c r="H79" s="529"/>
      <c r="I79" s="828" t="e">
        <f t="shared" si="4"/>
        <v>#N/A</v>
      </c>
      <c r="J79" s="643"/>
      <c r="K79" s="829">
        <f t="shared" si="5"/>
        <v>0</v>
      </c>
      <c r="L79" s="830" t="e">
        <f t="shared" si="6"/>
        <v>#DIV/0!</v>
      </c>
      <c r="M79" s="830" t="str">
        <f t="shared" si="7"/>
        <v>N/A</v>
      </c>
      <c r="N79" s="831" t="e">
        <f t="shared" si="1"/>
        <v>#N/A</v>
      </c>
      <c r="O79" s="831">
        <f t="shared" si="8"/>
        <v>0</v>
      </c>
      <c r="P79" s="1024" t="e">
        <f>LOOKUP(G79,$J$4:$J$26,$M$4:$M$26)*LOOKUP(LOOKUP(G79,$J$4:$J$26,$K$4:$K$26),Lookup!$K$9:$K$24,Lookup!$O$9:$O$24)*IF(E79="A",LOOKUP(LOOKUP(G79,$J$4:$J$26,$K$4:$K$26),Lookup!$K$9:$K$24,Lookup!$L$9:$L$24),IF(E79="B",LOOKUP(LOOKUP(G79,$J$4:$J$26,$K$4:$K$26),Lookup!$K$9:$K$24,Lookup!$M$9:$M$24),IF(E79="C",LOOKUP(LOOKUP(G79,$J$4:$J$26,$K$4:$K$26),Lookup!$K$9:$K$24,Lookup!$N$9:$N$24))))</f>
        <v>#N/A</v>
      </c>
      <c r="Q79" s="1024" t="e">
        <f t="shared" si="9"/>
        <v>#N/A</v>
      </c>
      <c r="R79" s="1024" t="e">
        <f t="shared" si="2"/>
        <v>#N/A</v>
      </c>
      <c r="S79" s="828">
        <f t="shared" si="10"/>
        <v>0</v>
      </c>
      <c r="T79" s="1675" t="str">
        <f t="shared" si="3"/>
        <v/>
      </c>
    </row>
    <row r="80" spans="1:20">
      <c r="A80" s="826"/>
      <c r="B80" s="529"/>
      <c r="C80" s="827"/>
      <c r="D80" s="827"/>
      <c r="E80" s="828" t="e">
        <f>LOOKUP(D80,Lookup!$C$9:$C$24,Lookup!$I$9:$I$24)</f>
        <v>#N/A</v>
      </c>
      <c r="F80" s="529"/>
      <c r="G80" s="529"/>
      <c r="H80" s="529"/>
      <c r="I80" s="828" t="e">
        <f t="shared" si="4"/>
        <v>#N/A</v>
      </c>
      <c r="J80" s="643"/>
      <c r="K80" s="829">
        <f t="shared" si="5"/>
        <v>0</v>
      </c>
      <c r="L80" s="830" t="e">
        <f t="shared" si="6"/>
        <v>#DIV/0!</v>
      </c>
      <c r="M80" s="830" t="str">
        <f t="shared" si="7"/>
        <v>N/A</v>
      </c>
      <c r="N80" s="831" t="e">
        <f t="shared" si="1"/>
        <v>#N/A</v>
      </c>
      <c r="O80" s="831">
        <f t="shared" si="8"/>
        <v>0</v>
      </c>
      <c r="P80" s="1024" t="e">
        <f>LOOKUP(G80,$J$4:$J$26,$M$4:$M$26)*LOOKUP(LOOKUP(G80,$J$4:$J$26,$K$4:$K$26),Lookup!$K$9:$K$24,Lookup!$O$9:$O$24)*IF(E80="A",LOOKUP(LOOKUP(G80,$J$4:$J$26,$K$4:$K$26),Lookup!$K$9:$K$24,Lookup!$L$9:$L$24),IF(E80="B",LOOKUP(LOOKUP(G80,$J$4:$J$26,$K$4:$K$26),Lookup!$K$9:$K$24,Lookup!$M$9:$M$24),IF(E80="C",LOOKUP(LOOKUP(G80,$J$4:$J$26,$K$4:$K$26),Lookup!$K$9:$K$24,Lookup!$N$9:$N$24))))</f>
        <v>#N/A</v>
      </c>
      <c r="Q80" s="1024" t="e">
        <f t="shared" si="9"/>
        <v>#N/A</v>
      </c>
      <c r="R80" s="1024" t="e">
        <f t="shared" si="2"/>
        <v>#N/A</v>
      </c>
      <c r="S80" s="828">
        <f t="shared" si="10"/>
        <v>0</v>
      </c>
      <c r="T80" s="1675" t="str">
        <f t="shared" si="3"/>
        <v/>
      </c>
    </row>
    <row r="81" spans="1:20">
      <c r="A81" s="835"/>
      <c r="B81" s="529"/>
      <c r="C81" s="827"/>
      <c r="D81" s="827"/>
      <c r="E81" s="828" t="e">
        <f>LOOKUP(D81,Lookup!$C$9:$C$24,Lookup!$I$9:$I$24)</f>
        <v>#N/A</v>
      </c>
      <c r="F81" s="529"/>
      <c r="G81" s="529"/>
      <c r="H81" s="529"/>
      <c r="I81" s="828" t="e">
        <f t="shared" si="4"/>
        <v>#N/A</v>
      </c>
      <c r="J81" s="643"/>
      <c r="K81" s="829">
        <f t="shared" si="5"/>
        <v>0</v>
      </c>
      <c r="L81" s="830" t="e">
        <f t="shared" si="6"/>
        <v>#DIV/0!</v>
      </c>
      <c r="M81" s="830" t="str">
        <f t="shared" si="7"/>
        <v>N/A</v>
      </c>
      <c r="N81" s="831" t="e">
        <f t="shared" si="1"/>
        <v>#N/A</v>
      </c>
      <c r="O81" s="831">
        <f t="shared" si="8"/>
        <v>0</v>
      </c>
      <c r="P81" s="1024" t="e">
        <f>LOOKUP(G81,$J$4:$J$26,$M$4:$M$26)*LOOKUP(LOOKUP(G81,$J$4:$J$26,$K$4:$K$26),Lookup!$K$9:$K$24,Lookup!$O$9:$O$24)*IF(E81="A",LOOKUP(LOOKUP(G81,$J$4:$J$26,$K$4:$K$26),Lookup!$K$9:$K$24,Lookup!$L$9:$L$24),IF(E81="B",LOOKUP(LOOKUP(G81,$J$4:$J$26,$K$4:$K$26),Lookup!$K$9:$K$24,Lookup!$M$9:$M$24),IF(E81="C",LOOKUP(LOOKUP(G81,$J$4:$J$26,$K$4:$K$26),Lookup!$K$9:$K$24,Lookup!$N$9:$N$24))))</f>
        <v>#N/A</v>
      </c>
      <c r="Q81" s="1024" t="e">
        <f t="shared" si="9"/>
        <v>#N/A</v>
      </c>
      <c r="R81" s="1024" t="e">
        <f t="shared" si="2"/>
        <v>#N/A</v>
      </c>
      <c r="S81" s="828">
        <f t="shared" si="10"/>
        <v>0</v>
      </c>
      <c r="T81" s="1675" t="str">
        <f t="shared" si="3"/>
        <v/>
      </c>
    </row>
    <row r="82" spans="1:20">
      <c r="A82" s="835"/>
      <c r="B82" s="529"/>
      <c r="C82" s="827"/>
      <c r="D82" s="827"/>
      <c r="E82" s="828" t="e">
        <f>LOOKUP(D82,Lookup!$C$9:$C$24,Lookup!$I$9:$I$24)</f>
        <v>#N/A</v>
      </c>
      <c r="F82" s="529"/>
      <c r="G82" s="529"/>
      <c r="H82" s="529"/>
      <c r="I82" s="828" t="e">
        <f t="shared" si="4"/>
        <v>#N/A</v>
      </c>
      <c r="J82" s="643"/>
      <c r="K82" s="829">
        <f t="shared" si="5"/>
        <v>0</v>
      </c>
      <c r="L82" s="830" t="e">
        <f t="shared" si="6"/>
        <v>#DIV/0!</v>
      </c>
      <c r="M82" s="830" t="str">
        <f t="shared" si="7"/>
        <v>N/A</v>
      </c>
      <c r="N82" s="831" t="e">
        <f t="shared" si="1"/>
        <v>#N/A</v>
      </c>
      <c r="O82" s="831">
        <f t="shared" si="8"/>
        <v>0</v>
      </c>
      <c r="P82" s="1024" t="e">
        <f>LOOKUP(G82,$J$4:$J$26,$M$4:$M$26)*LOOKUP(LOOKUP(G82,$J$4:$J$26,$K$4:$K$26),Lookup!$K$9:$K$24,Lookup!$O$9:$O$24)*IF(E82="A",LOOKUP(LOOKUP(G82,$J$4:$J$26,$K$4:$K$26),Lookup!$K$9:$K$24,Lookup!$L$9:$L$24),IF(E82="B",LOOKUP(LOOKUP(G82,$J$4:$J$26,$K$4:$K$26),Lookup!$K$9:$K$24,Lookup!$M$9:$M$24),IF(E82="C",LOOKUP(LOOKUP(G82,$J$4:$J$26,$K$4:$K$26),Lookup!$K$9:$K$24,Lookup!$N$9:$N$24))))</f>
        <v>#N/A</v>
      </c>
      <c r="Q82" s="1024" t="e">
        <f t="shared" si="9"/>
        <v>#N/A</v>
      </c>
      <c r="R82" s="1024" t="e">
        <f t="shared" si="2"/>
        <v>#N/A</v>
      </c>
      <c r="S82" s="828">
        <f t="shared" si="10"/>
        <v>0</v>
      </c>
      <c r="T82" s="1675" t="str">
        <f t="shared" si="3"/>
        <v/>
      </c>
    </row>
    <row r="83" spans="1:20">
      <c r="A83" s="835"/>
      <c r="B83" s="529"/>
      <c r="C83" s="837"/>
      <c r="D83" s="827"/>
      <c r="E83" s="828" t="e">
        <f>LOOKUP(D83,Lookup!$C$9:$C$24,Lookup!$I$9:$I$24)</f>
        <v>#N/A</v>
      </c>
      <c r="F83" s="529"/>
      <c r="G83" s="529"/>
      <c r="H83" s="529"/>
      <c r="I83" s="828" t="e">
        <f t="shared" si="4"/>
        <v>#N/A</v>
      </c>
      <c r="J83" s="643"/>
      <c r="K83" s="829">
        <f t="shared" si="5"/>
        <v>0</v>
      </c>
      <c r="L83" s="830" t="e">
        <f t="shared" si="6"/>
        <v>#DIV/0!</v>
      </c>
      <c r="M83" s="830" t="str">
        <f t="shared" si="7"/>
        <v>N/A</v>
      </c>
      <c r="N83" s="831" t="e">
        <f t="shared" si="1"/>
        <v>#N/A</v>
      </c>
      <c r="O83" s="831">
        <f t="shared" si="8"/>
        <v>0</v>
      </c>
      <c r="P83" s="1024" t="e">
        <f>LOOKUP(G83,$J$4:$J$26,$M$4:$M$26)*LOOKUP(LOOKUP(G83,$J$4:$J$26,$K$4:$K$26),Lookup!$K$9:$K$24,Lookup!$O$9:$O$24)*IF(E83="A",LOOKUP(LOOKUP(G83,$J$4:$J$26,$K$4:$K$26),Lookup!$K$9:$K$24,Lookup!$L$9:$L$24),IF(E83="B",LOOKUP(LOOKUP(G83,$J$4:$J$26,$K$4:$K$26),Lookup!$K$9:$K$24,Lookup!$M$9:$M$24),IF(E83="C",LOOKUP(LOOKUP(G83,$J$4:$J$26,$K$4:$K$26),Lookup!$K$9:$K$24,Lookup!$N$9:$N$24))))</f>
        <v>#N/A</v>
      </c>
      <c r="Q83" s="1024" t="e">
        <f t="shared" si="9"/>
        <v>#N/A</v>
      </c>
      <c r="R83" s="1024" t="e">
        <f t="shared" si="2"/>
        <v>#N/A</v>
      </c>
      <c r="S83" s="828">
        <f t="shared" si="10"/>
        <v>0</v>
      </c>
      <c r="T83" s="1675" t="str">
        <f t="shared" si="3"/>
        <v/>
      </c>
    </row>
    <row r="84" spans="1:20">
      <c r="A84" s="835"/>
      <c r="B84" s="529"/>
      <c r="C84" s="827"/>
      <c r="D84" s="827"/>
      <c r="E84" s="828" t="e">
        <f>LOOKUP(D84,Lookup!$C$9:$C$24,Lookup!$I$9:$I$24)</f>
        <v>#N/A</v>
      </c>
      <c r="F84" s="529"/>
      <c r="G84" s="529"/>
      <c r="H84" s="529"/>
      <c r="I84" s="828" t="e">
        <f t="shared" si="4"/>
        <v>#N/A</v>
      </c>
      <c r="J84" s="643"/>
      <c r="K84" s="829">
        <f t="shared" si="5"/>
        <v>0</v>
      </c>
      <c r="L84" s="830" t="e">
        <f t="shared" si="6"/>
        <v>#DIV/0!</v>
      </c>
      <c r="M84" s="830" t="str">
        <f t="shared" si="7"/>
        <v>N/A</v>
      </c>
      <c r="N84" s="831" t="e">
        <f t="shared" si="1"/>
        <v>#N/A</v>
      </c>
      <c r="O84" s="831">
        <f t="shared" si="8"/>
        <v>0</v>
      </c>
      <c r="P84" s="1024" t="e">
        <f>LOOKUP(G84,$J$4:$J$26,$M$4:$M$26)*LOOKUP(LOOKUP(G84,$J$4:$J$26,$K$4:$K$26),Lookup!$K$9:$K$24,Lookup!$O$9:$O$24)*IF(E84="A",LOOKUP(LOOKUP(G84,$J$4:$J$26,$K$4:$K$26),Lookup!$K$9:$K$24,Lookup!$L$9:$L$24),IF(E84="B",LOOKUP(LOOKUP(G84,$J$4:$J$26,$K$4:$K$26),Lookup!$K$9:$K$24,Lookup!$M$9:$M$24),IF(E84="C",LOOKUP(LOOKUP(G84,$J$4:$J$26,$K$4:$K$26),Lookup!$K$9:$K$24,Lookup!$N$9:$N$24))))</f>
        <v>#N/A</v>
      </c>
      <c r="Q84" s="1024" t="e">
        <f t="shared" si="9"/>
        <v>#N/A</v>
      </c>
      <c r="R84" s="1024" t="e">
        <f t="shared" si="2"/>
        <v>#N/A</v>
      </c>
      <c r="S84" s="828">
        <f t="shared" si="10"/>
        <v>0</v>
      </c>
      <c r="T84" s="1675" t="str">
        <f t="shared" si="3"/>
        <v/>
      </c>
    </row>
    <row r="85" spans="1:20">
      <c r="A85" s="835"/>
      <c r="B85" s="529"/>
      <c r="C85" s="827"/>
      <c r="D85" s="827"/>
      <c r="E85" s="828" t="e">
        <f>LOOKUP(D85,Lookup!$C$9:$C$24,Lookup!$I$9:$I$24)</f>
        <v>#N/A</v>
      </c>
      <c r="F85" s="529"/>
      <c r="G85" s="529"/>
      <c r="H85" s="529"/>
      <c r="I85" s="828" t="e">
        <f t="shared" si="4"/>
        <v>#N/A</v>
      </c>
      <c r="J85" s="643"/>
      <c r="K85" s="829">
        <f t="shared" si="5"/>
        <v>0</v>
      </c>
      <c r="L85" s="830" t="e">
        <f t="shared" si="6"/>
        <v>#DIV/0!</v>
      </c>
      <c r="M85" s="830" t="str">
        <f t="shared" si="7"/>
        <v>N/A</v>
      </c>
      <c r="N85" s="831" t="e">
        <f t="shared" si="1"/>
        <v>#N/A</v>
      </c>
      <c r="O85" s="831">
        <f t="shared" si="8"/>
        <v>0</v>
      </c>
      <c r="P85" s="1024" t="e">
        <f>LOOKUP(G85,$J$4:$J$26,$M$4:$M$26)*LOOKUP(LOOKUP(G85,$J$4:$J$26,$K$4:$K$26),Lookup!$K$9:$K$24,Lookup!$O$9:$O$24)*IF(E85="A",LOOKUP(LOOKUP(G85,$J$4:$J$26,$K$4:$K$26),Lookup!$K$9:$K$24,Lookup!$L$9:$L$24),IF(E85="B",LOOKUP(LOOKUP(G85,$J$4:$J$26,$K$4:$K$26),Lookup!$K$9:$K$24,Lookup!$M$9:$M$24),IF(E85="C",LOOKUP(LOOKUP(G85,$J$4:$J$26,$K$4:$K$26),Lookup!$K$9:$K$24,Lookup!$N$9:$N$24))))</f>
        <v>#N/A</v>
      </c>
      <c r="Q85" s="1024" t="e">
        <f t="shared" si="9"/>
        <v>#N/A</v>
      </c>
      <c r="R85" s="1024" t="e">
        <f t="shared" si="2"/>
        <v>#N/A</v>
      </c>
      <c r="S85" s="828">
        <f t="shared" si="10"/>
        <v>0</v>
      </c>
      <c r="T85" s="1675" t="str">
        <f t="shared" si="3"/>
        <v/>
      </c>
    </row>
    <row r="86" spans="1:20">
      <c r="A86" s="835"/>
      <c r="B86" s="529"/>
      <c r="C86" s="837"/>
      <c r="D86" s="827"/>
      <c r="E86" s="828" t="e">
        <f>LOOKUP(D86,Lookup!$C$9:$C$24,Lookup!$I$9:$I$24)</f>
        <v>#N/A</v>
      </c>
      <c r="F86" s="529"/>
      <c r="G86" s="529"/>
      <c r="H86" s="529"/>
      <c r="I86" s="828" t="e">
        <f t="shared" si="4"/>
        <v>#N/A</v>
      </c>
      <c r="J86" s="643"/>
      <c r="K86" s="829">
        <f t="shared" si="5"/>
        <v>0</v>
      </c>
      <c r="L86" s="830" t="e">
        <f t="shared" si="6"/>
        <v>#DIV/0!</v>
      </c>
      <c r="M86" s="830" t="str">
        <f t="shared" si="7"/>
        <v>N/A</v>
      </c>
      <c r="N86" s="831" t="e">
        <f t="shared" si="1"/>
        <v>#N/A</v>
      </c>
      <c r="O86" s="831">
        <f t="shared" si="8"/>
        <v>0</v>
      </c>
      <c r="P86" s="1024" t="e">
        <f>LOOKUP(G86,$J$4:$J$26,$M$4:$M$26)*LOOKUP(LOOKUP(G86,$J$4:$J$26,$K$4:$K$26),Lookup!$K$9:$K$24,Lookup!$O$9:$O$24)*IF(E86="A",LOOKUP(LOOKUP(G86,$J$4:$J$26,$K$4:$K$26),Lookup!$K$9:$K$24,Lookup!$L$9:$L$24),IF(E86="B",LOOKUP(LOOKUP(G86,$J$4:$J$26,$K$4:$K$26),Lookup!$K$9:$K$24,Lookup!$M$9:$M$24),IF(E86="C",LOOKUP(LOOKUP(G86,$J$4:$J$26,$K$4:$K$26),Lookup!$K$9:$K$24,Lookup!$N$9:$N$24))))</f>
        <v>#N/A</v>
      </c>
      <c r="Q86" s="1024" t="e">
        <f t="shared" si="9"/>
        <v>#N/A</v>
      </c>
      <c r="R86" s="1024" t="e">
        <f t="shared" si="2"/>
        <v>#N/A</v>
      </c>
      <c r="S86" s="828">
        <f t="shared" si="10"/>
        <v>0</v>
      </c>
      <c r="T86" s="1675" t="str">
        <f t="shared" si="3"/>
        <v/>
      </c>
    </row>
    <row r="87" spans="1:20">
      <c r="A87" s="835"/>
      <c r="B87" s="529"/>
      <c r="C87" s="827"/>
      <c r="D87" s="827"/>
      <c r="E87" s="828" t="e">
        <f>LOOKUP(D87,Lookup!$C$9:$C$24,Lookup!$I$9:$I$24)</f>
        <v>#N/A</v>
      </c>
      <c r="F87" s="529"/>
      <c r="G87" s="529"/>
      <c r="H87" s="529"/>
      <c r="I87" s="828" t="e">
        <f t="shared" si="4"/>
        <v>#N/A</v>
      </c>
      <c r="J87" s="643"/>
      <c r="K87" s="829">
        <f t="shared" si="5"/>
        <v>0</v>
      </c>
      <c r="L87" s="830" t="e">
        <f t="shared" si="6"/>
        <v>#DIV/0!</v>
      </c>
      <c r="M87" s="830" t="str">
        <f t="shared" si="7"/>
        <v>N/A</v>
      </c>
      <c r="N87" s="831" t="e">
        <f t="shared" si="1"/>
        <v>#N/A</v>
      </c>
      <c r="O87" s="831">
        <f t="shared" si="8"/>
        <v>0</v>
      </c>
      <c r="P87" s="1024" t="e">
        <f>LOOKUP(G87,$J$4:$J$26,$M$4:$M$26)*LOOKUP(LOOKUP(G87,$J$4:$J$26,$K$4:$K$26),Lookup!$K$9:$K$24,Lookup!$O$9:$O$24)*IF(E87="A",LOOKUP(LOOKUP(G87,$J$4:$J$26,$K$4:$K$26),Lookup!$K$9:$K$24,Lookup!$L$9:$L$24),IF(E87="B",LOOKUP(LOOKUP(G87,$J$4:$J$26,$K$4:$K$26),Lookup!$K$9:$K$24,Lookup!$M$9:$M$24),IF(E87="C",LOOKUP(LOOKUP(G87,$J$4:$J$26,$K$4:$K$26),Lookup!$K$9:$K$24,Lookup!$N$9:$N$24))))</f>
        <v>#N/A</v>
      </c>
      <c r="Q87" s="1024" t="e">
        <f t="shared" si="9"/>
        <v>#N/A</v>
      </c>
      <c r="R87" s="1024" t="e">
        <f t="shared" si="2"/>
        <v>#N/A</v>
      </c>
      <c r="S87" s="828">
        <f t="shared" si="10"/>
        <v>0</v>
      </c>
      <c r="T87" s="1675" t="str">
        <f t="shared" si="3"/>
        <v/>
      </c>
    </row>
    <row r="88" spans="1:20">
      <c r="A88" s="835"/>
      <c r="B88" s="529"/>
      <c r="C88" s="837"/>
      <c r="D88" s="827"/>
      <c r="E88" s="828" t="e">
        <f>LOOKUP(D88,Lookup!$C$9:$C$24,Lookup!$I$9:$I$24)</f>
        <v>#N/A</v>
      </c>
      <c r="F88" s="529"/>
      <c r="G88" s="529"/>
      <c r="H88" s="529"/>
      <c r="I88" s="828" t="e">
        <f t="shared" si="4"/>
        <v>#N/A</v>
      </c>
      <c r="J88" s="643"/>
      <c r="K88" s="829">
        <f t="shared" si="5"/>
        <v>0</v>
      </c>
      <c r="L88" s="830" t="e">
        <f t="shared" si="6"/>
        <v>#DIV/0!</v>
      </c>
      <c r="M88" s="830" t="str">
        <f t="shared" si="7"/>
        <v>N/A</v>
      </c>
      <c r="N88" s="831" t="e">
        <f t="shared" si="1"/>
        <v>#N/A</v>
      </c>
      <c r="O88" s="831">
        <f t="shared" si="8"/>
        <v>0</v>
      </c>
      <c r="P88" s="1024" t="e">
        <f>LOOKUP(G88,$J$4:$J$26,$M$4:$M$26)*LOOKUP(LOOKUP(G88,$J$4:$J$26,$K$4:$K$26),Lookup!$K$9:$K$24,Lookup!$O$9:$O$24)*IF(E88="A",LOOKUP(LOOKUP(G88,$J$4:$J$26,$K$4:$K$26),Lookup!$K$9:$K$24,Lookup!$L$9:$L$24),IF(E88="B",LOOKUP(LOOKUP(G88,$J$4:$J$26,$K$4:$K$26),Lookup!$K$9:$K$24,Lookup!$M$9:$M$24),IF(E88="C",LOOKUP(LOOKUP(G88,$J$4:$J$26,$K$4:$K$26),Lookup!$K$9:$K$24,Lookup!$N$9:$N$24))))</f>
        <v>#N/A</v>
      </c>
      <c r="Q88" s="1024" t="e">
        <f t="shared" si="9"/>
        <v>#N/A</v>
      </c>
      <c r="R88" s="1024" t="e">
        <f t="shared" si="2"/>
        <v>#N/A</v>
      </c>
      <c r="S88" s="828">
        <f t="shared" si="10"/>
        <v>0</v>
      </c>
      <c r="T88" s="1675" t="str">
        <f t="shared" si="3"/>
        <v/>
      </c>
    </row>
    <row r="89" spans="1:20">
      <c r="A89" s="835"/>
      <c r="B89" s="529"/>
      <c r="C89" s="827"/>
      <c r="D89" s="827"/>
      <c r="E89" s="828" t="e">
        <f>LOOKUP(D89,Lookup!$C$9:$C$24,Lookup!$I$9:$I$24)</f>
        <v>#N/A</v>
      </c>
      <c r="F89" s="529"/>
      <c r="G89" s="529"/>
      <c r="H89" s="529"/>
      <c r="I89" s="828" t="e">
        <f t="shared" si="4"/>
        <v>#N/A</v>
      </c>
      <c r="J89" s="643"/>
      <c r="K89" s="829">
        <f t="shared" si="5"/>
        <v>0</v>
      </c>
      <c r="L89" s="830" t="e">
        <f t="shared" si="6"/>
        <v>#DIV/0!</v>
      </c>
      <c r="M89" s="830" t="str">
        <f t="shared" si="7"/>
        <v>N/A</v>
      </c>
      <c r="N89" s="831" t="e">
        <f t="shared" si="1"/>
        <v>#N/A</v>
      </c>
      <c r="O89" s="831">
        <f t="shared" si="8"/>
        <v>0</v>
      </c>
      <c r="P89" s="1024" t="e">
        <f>LOOKUP(G89,$J$4:$J$26,$M$4:$M$26)*LOOKUP(LOOKUP(G89,$J$4:$J$26,$K$4:$K$26),Lookup!$K$9:$K$24,Lookup!$O$9:$O$24)*IF(E89="A",LOOKUP(LOOKUP(G89,$J$4:$J$26,$K$4:$K$26),Lookup!$K$9:$K$24,Lookup!$L$9:$L$24),IF(E89="B",LOOKUP(LOOKUP(G89,$J$4:$J$26,$K$4:$K$26),Lookup!$K$9:$K$24,Lookup!$M$9:$M$24),IF(E89="C",LOOKUP(LOOKUP(G89,$J$4:$J$26,$K$4:$K$26),Lookup!$K$9:$K$24,Lookup!$N$9:$N$24))))</f>
        <v>#N/A</v>
      </c>
      <c r="Q89" s="1024" t="e">
        <f t="shared" si="9"/>
        <v>#N/A</v>
      </c>
      <c r="R89" s="1024" t="e">
        <f t="shared" si="2"/>
        <v>#N/A</v>
      </c>
      <c r="S89" s="828">
        <f t="shared" si="10"/>
        <v>0</v>
      </c>
      <c r="T89" s="1675" t="str">
        <f t="shared" si="3"/>
        <v/>
      </c>
    </row>
    <row r="90" spans="1:20">
      <c r="A90" s="826"/>
      <c r="B90" s="529"/>
      <c r="C90" s="827"/>
      <c r="D90" s="827"/>
      <c r="E90" s="828" t="e">
        <f>LOOKUP(D90,Lookup!$C$9:$C$24,Lookup!$I$9:$I$24)</f>
        <v>#N/A</v>
      </c>
      <c r="F90" s="529"/>
      <c r="G90" s="529"/>
      <c r="H90" s="529"/>
      <c r="I90" s="828" t="e">
        <f t="shared" si="4"/>
        <v>#N/A</v>
      </c>
      <c r="J90" s="643"/>
      <c r="K90" s="829">
        <f t="shared" si="5"/>
        <v>0</v>
      </c>
      <c r="L90" s="830" t="e">
        <f t="shared" si="6"/>
        <v>#DIV/0!</v>
      </c>
      <c r="M90" s="830" t="str">
        <f t="shared" si="7"/>
        <v>N/A</v>
      </c>
      <c r="N90" s="831" t="e">
        <f t="shared" si="1"/>
        <v>#N/A</v>
      </c>
      <c r="O90" s="831">
        <f t="shared" si="8"/>
        <v>0</v>
      </c>
      <c r="P90" s="1024" t="e">
        <f>LOOKUP(G90,$J$4:$J$26,$M$4:$M$26)*LOOKUP(LOOKUP(G90,$J$4:$J$26,$K$4:$K$26),Lookup!$K$9:$K$24,Lookup!$O$9:$O$24)*IF(E90="A",LOOKUP(LOOKUP(G90,$J$4:$J$26,$K$4:$K$26),Lookup!$K$9:$K$24,Lookup!$L$9:$L$24),IF(E90="B",LOOKUP(LOOKUP(G90,$J$4:$J$26,$K$4:$K$26),Lookup!$K$9:$K$24,Lookup!$M$9:$M$24),IF(E90="C",LOOKUP(LOOKUP(G90,$J$4:$J$26,$K$4:$K$26),Lookup!$K$9:$K$24,Lookup!$N$9:$N$24))))</f>
        <v>#N/A</v>
      </c>
      <c r="Q90" s="1024" t="e">
        <f t="shared" si="9"/>
        <v>#N/A</v>
      </c>
      <c r="R90" s="1024" t="e">
        <f t="shared" si="2"/>
        <v>#N/A</v>
      </c>
      <c r="S90" s="828">
        <f t="shared" si="10"/>
        <v>0</v>
      </c>
      <c r="T90" s="1675" t="str">
        <f t="shared" si="3"/>
        <v/>
      </c>
    </row>
    <row r="91" spans="1:20">
      <c r="A91" s="835"/>
      <c r="B91" s="529"/>
      <c r="C91" s="827"/>
      <c r="D91" s="827"/>
      <c r="E91" s="828" t="e">
        <f>LOOKUP(D91,Lookup!$C$9:$C$24,Lookup!$I$9:$I$24)</f>
        <v>#N/A</v>
      </c>
      <c r="F91" s="529"/>
      <c r="G91" s="529"/>
      <c r="H91" s="529"/>
      <c r="I91" s="828" t="e">
        <f t="shared" si="4"/>
        <v>#N/A</v>
      </c>
      <c r="J91" s="643"/>
      <c r="K91" s="829">
        <f t="shared" si="5"/>
        <v>0</v>
      </c>
      <c r="L91" s="830" t="e">
        <f t="shared" si="6"/>
        <v>#DIV/0!</v>
      </c>
      <c r="M91" s="830" t="str">
        <f t="shared" si="7"/>
        <v>N/A</v>
      </c>
      <c r="N91" s="831" t="e">
        <f t="shared" si="1"/>
        <v>#N/A</v>
      </c>
      <c r="O91" s="831">
        <f t="shared" si="8"/>
        <v>0</v>
      </c>
      <c r="P91" s="1024" t="e">
        <f>LOOKUP(G91,$J$4:$J$26,$M$4:$M$26)*LOOKUP(LOOKUP(G91,$J$4:$J$26,$K$4:$K$26),Lookup!$K$9:$K$24,Lookup!$O$9:$O$24)*IF(E91="A",LOOKUP(LOOKUP(G91,$J$4:$J$26,$K$4:$K$26),Lookup!$K$9:$K$24,Lookup!$L$9:$L$24),IF(E91="B",LOOKUP(LOOKUP(G91,$J$4:$J$26,$K$4:$K$26),Lookup!$K$9:$K$24,Lookup!$M$9:$M$24),IF(E91="C",LOOKUP(LOOKUP(G91,$J$4:$J$26,$K$4:$K$26),Lookup!$K$9:$K$24,Lookup!$N$9:$N$24))))</f>
        <v>#N/A</v>
      </c>
      <c r="Q91" s="1024" t="e">
        <f t="shared" si="9"/>
        <v>#N/A</v>
      </c>
      <c r="R91" s="1024" t="e">
        <f t="shared" si="2"/>
        <v>#N/A</v>
      </c>
      <c r="S91" s="828">
        <f t="shared" si="10"/>
        <v>0</v>
      </c>
      <c r="T91" s="1675" t="str">
        <f t="shared" si="3"/>
        <v/>
      </c>
    </row>
    <row r="92" spans="1:20">
      <c r="A92" s="835"/>
      <c r="B92" s="529"/>
      <c r="C92" s="827"/>
      <c r="D92" s="827"/>
      <c r="E92" s="828" t="e">
        <f>LOOKUP(D92,Lookup!$C$9:$C$24,Lookup!$I$9:$I$24)</f>
        <v>#N/A</v>
      </c>
      <c r="F92" s="529"/>
      <c r="G92" s="529"/>
      <c r="H92" s="529"/>
      <c r="I92" s="828" t="e">
        <f t="shared" si="4"/>
        <v>#N/A</v>
      </c>
      <c r="J92" s="643"/>
      <c r="K92" s="829">
        <f t="shared" si="5"/>
        <v>0</v>
      </c>
      <c r="L92" s="830" t="e">
        <f t="shared" si="6"/>
        <v>#DIV/0!</v>
      </c>
      <c r="M92" s="830" t="str">
        <f t="shared" si="7"/>
        <v>N/A</v>
      </c>
      <c r="N92" s="831" t="e">
        <f t="shared" si="1"/>
        <v>#N/A</v>
      </c>
      <c r="O92" s="831">
        <f t="shared" si="8"/>
        <v>0</v>
      </c>
      <c r="P92" s="1024" t="e">
        <f>LOOKUP(G92,$J$4:$J$26,$M$4:$M$26)*LOOKUP(LOOKUP(G92,$J$4:$J$26,$K$4:$K$26),Lookup!$K$9:$K$24,Lookup!$O$9:$O$24)*IF(E92="A",LOOKUP(LOOKUP(G92,$J$4:$J$26,$K$4:$K$26),Lookup!$K$9:$K$24,Lookup!$L$9:$L$24),IF(E92="B",LOOKUP(LOOKUP(G92,$J$4:$J$26,$K$4:$K$26),Lookup!$K$9:$K$24,Lookup!$M$9:$M$24),IF(E92="C",LOOKUP(LOOKUP(G92,$J$4:$J$26,$K$4:$K$26),Lookup!$K$9:$K$24,Lookup!$N$9:$N$24))))</f>
        <v>#N/A</v>
      </c>
      <c r="Q92" s="1024" t="e">
        <f t="shared" si="9"/>
        <v>#N/A</v>
      </c>
      <c r="R92" s="1024" t="e">
        <f t="shared" si="2"/>
        <v>#N/A</v>
      </c>
      <c r="S92" s="828">
        <f t="shared" si="10"/>
        <v>0</v>
      </c>
      <c r="T92" s="1675" t="str">
        <f t="shared" si="3"/>
        <v/>
      </c>
    </row>
    <row r="93" spans="1:20">
      <c r="A93" s="836"/>
      <c r="B93" s="529"/>
      <c r="C93" s="827"/>
      <c r="D93" s="827"/>
      <c r="E93" s="828" t="e">
        <f>LOOKUP(D93,Lookup!$C$9:$C$24,Lookup!$I$9:$I$24)</f>
        <v>#N/A</v>
      </c>
      <c r="F93" s="529"/>
      <c r="G93" s="529"/>
      <c r="H93" s="529"/>
      <c r="I93" s="828" t="e">
        <f t="shared" si="4"/>
        <v>#N/A</v>
      </c>
      <c r="J93" s="643"/>
      <c r="K93" s="829">
        <f t="shared" si="5"/>
        <v>0</v>
      </c>
      <c r="L93" s="830" t="e">
        <f t="shared" si="6"/>
        <v>#DIV/0!</v>
      </c>
      <c r="M93" s="830" t="str">
        <f t="shared" si="7"/>
        <v>N/A</v>
      </c>
      <c r="N93" s="831" t="e">
        <f t="shared" ref="N93:N156" si="11">IF($D$17="Space-By-Space (90.1-2007)",LOOKUP(D93, LightingSpaceType, LPD2007SS),IF($D$17="Space-By-Space (90.1-2010)",LOOKUP(D93,LightingSpaceType, LPD2010SS), IF($D$17="Building Area (90.1-2007)",LOOKUP(D93,LightingSpaceType,LPD2007WB),IF($D$17="Building Area (90.1-2010)",LOOKUP(D93,LightingSpaceType,LPD2010WB),0))))</f>
        <v>#N/A</v>
      </c>
      <c r="O93" s="831">
        <f t="shared" si="8"/>
        <v>0</v>
      </c>
      <c r="P93" s="1024" t="e">
        <f>LOOKUP(G93,$J$4:$J$26,$M$4:$M$26)*LOOKUP(LOOKUP(G93,$J$4:$J$26,$K$4:$K$26),Lookup!$K$9:$K$24,Lookup!$O$9:$O$24)*IF(E93="A",LOOKUP(LOOKUP(G93,$J$4:$J$26,$K$4:$K$26),Lookup!$K$9:$K$24,Lookup!$L$9:$L$24),IF(E93="B",LOOKUP(LOOKUP(G93,$J$4:$J$26,$K$4:$K$26),Lookup!$K$9:$K$24,Lookup!$M$9:$M$24),IF(E93="C",LOOKUP(LOOKUP(G93,$J$4:$J$26,$K$4:$K$26),Lookup!$K$9:$K$24,Lookup!$N$9:$N$24))))</f>
        <v>#N/A</v>
      </c>
      <c r="Q93" s="1024" t="e">
        <f t="shared" si="9"/>
        <v>#N/A</v>
      </c>
      <c r="R93" s="1024" t="e">
        <f t="shared" ref="R93:R156" si="12">LOOKUP(D93, LightingSpaceType, Footcandles)</f>
        <v>#N/A</v>
      </c>
      <c r="S93" s="828">
        <f t="shared" si="10"/>
        <v>0</v>
      </c>
      <c r="T93" s="1675" t="str">
        <f t="shared" ref="T93:T156" si="13">IF(F93&gt;0, IF(Q93&lt;R93, "Insufficient lighting to meet IESNA footcandle recommendations.", ""), "")</f>
        <v/>
      </c>
    </row>
    <row r="94" spans="1:20">
      <c r="A94" s="836"/>
      <c r="B94" s="529"/>
      <c r="C94" s="837"/>
      <c r="D94" s="827"/>
      <c r="E94" s="828" t="e">
        <f>LOOKUP(D94,Lookup!$C$9:$C$24,Lookup!$I$9:$I$24)</f>
        <v>#N/A</v>
      </c>
      <c r="F94" s="529"/>
      <c r="G94" s="529"/>
      <c r="H94" s="529"/>
      <c r="I94" s="828" t="e">
        <f t="shared" ref="I94:I157" si="14">LOOKUP(G94, $J$4:$J$26, $L$4:$L$26)</f>
        <v>#N/A</v>
      </c>
      <c r="J94" s="643"/>
      <c r="K94" s="829">
        <f t="shared" ref="K94:K157" si="15">IF(F94&gt;0, F94*I94*J94, 0)</f>
        <v>0</v>
      </c>
      <c r="L94" s="830" t="e">
        <f t="shared" ref="L94:L157" si="16">IF(D94="Exit Signs","convert to kW", K94/B94)</f>
        <v>#DIV/0!</v>
      </c>
      <c r="M94" s="830" t="str">
        <f t="shared" ref="M94:M157" si="17">IF(H94="Yes",IF(D94="Stairs - Active",0.65*L94,IF(D94="Corridor/Transition",0.75*L94,IF(D94="Conference/meeting/multipurpose",1*L94,IF(D94="Community or Computer Room",1*L94,0.9*L94)))),"N/A")</f>
        <v>N/A</v>
      </c>
      <c r="N94" s="831" t="e">
        <f t="shared" si="11"/>
        <v>#N/A</v>
      </c>
      <c r="O94" s="831">
        <f t="shared" ref="O94:O157" si="18">IF(D94="Exit Signs", 5*F94, IF(B94&gt;0, N94*B94, 0))</f>
        <v>0</v>
      </c>
      <c r="P94" s="1024" t="e">
        <f>LOOKUP(G94,$J$4:$J$26,$M$4:$M$26)*LOOKUP(LOOKUP(G94,$J$4:$J$26,$K$4:$K$26),Lookup!$K$9:$K$24,Lookup!$O$9:$O$24)*IF(E94="A",LOOKUP(LOOKUP(G94,$J$4:$J$26,$K$4:$K$26),Lookup!$K$9:$K$24,Lookup!$L$9:$L$24),IF(E94="B",LOOKUP(LOOKUP(G94,$J$4:$J$26,$K$4:$K$26),Lookup!$K$9:$K$24,Lookup!$M$9:$M$24),IF(E94="C",LOOKUP(LOOKUP(G94,$J$4:$J$26,$K$4:$K$26),Lookup!$K$9:$K$24,Lookup!$N$9:$N$24))))</f>
        <v>#N/A</v>
      </c>
      <c r="Q94" s="1024" t="e">
        <f t="shared" ref="Q94:Q157" si="19">IF(D94="Exit Signs","NA", K94*P94/B94)</f>
        <v>#N/A</v>
      </c>
      <c r="R94" s="1024" t="e">
        <f t="shared" si="12"/>
        <v>#N/A</v>
      </c>
      <c r="S94" s="828">
        <f t="shared" ref="S94:S157" si="20">J94*B94</f>
        <v>0</v>
      </c>
      <c r="T94" s="1675" t="str">
        <f t="shared" si="13"/>
        <v/>
      </c>
    </row>
    <row r="95" spans="1:20">
      <c r="A95" s="836"/>
      <c r="B95" s="529"/>
      <c r="C95" s="827"/>
      <c r="D95" s="827"/>
      <c r="E95" s="828" t="e">
        <f>LOOKUP(D95,Lookup!$C$9:$C$24,Lookup!$I$9:$I$24)</f>
        <v>#N/A</v>
      </c>
      <c r="F95" s="529"/>
      <c r="G95" s="529"/>
      <c r="H95" s="529"/>
      <c r="I95" s="828" t="e">
        <f t="shared" si="14"/>
        <v>#N/A</v>
      </c>
      <c r="J95" s="643"/>
      <c r="K95" s="829">
        <f t="shared" si="15"/>
        <v>0</v>
      </c>
      <c r="L95" s="830" t="e">
        <f t="shared" si="16"/>
        <v>#DIV/0!</v>
      </c>
      <c r="M95" s="830" t="str">
        <f t="shared" si="17"/>
        <v>N/A</v>
      </c>
      <c r="N95" s="831" t="e">
        <f t="shared" si="11"/>
        <v>#N/A</v>
      </c>
      <c r="O95" s="831">
        <f t="shared" si="18"/>
        <v>0</v>
      </c>
      <c r="P95" s="1024" t="e">
        <f>LOOKUP(G95,$J$4:$J$26,$M$4:$M$26)*LOOKUP(LOOKUP(G95,$J$4:$J$26,$K$4:$K$26),Lookup!$K$9:$K$24,Lookup!$O$9:$O$24)*IF(E95="A",LOOKUP(LOOKUP(G95,$J$4:$J$26,$K$4:$K$26),Lookup!$K$9:$K$24,Lookup!$L$9:$L$24),IF(E95="B",LOOKUP(LOOKUP(G95,$J$4:$J$26,$K$4:$K$26),Lookup!$K$9:$K$24,Lookup!$M$9:$M$24),IF(E95="C",LOOKUP(LOOKUP(G95,$J$4:$J$26,$K$4:$K$26),Lookup!$K$9:$K$24,Lookup!$N$9:$N$24))))</f>
        <v>#N/A</v>
      </c>
      <c r="Q95" s="1024" t="e">
        <f t="shared" si="19"/>
        <v>#N/A</v>
      </c>
      <c r="R95" s="1024" t="e">
        <f t="shared" si="12"/>
        <v>#N/A</v>
      </c>
      <c r="S95" s="828">
        <f t="shared" si="20"/>
        <v>0</v>
      </c>
      <c r="T95" s="1675" t="str">
        <f t="shared" si="13"/>
        <v/>
      </c>
    </row>
    <row r="96" spans="1:20">
      <c r="A96" s="836"/>
      <c r="B96" s="529"/>
      <c r="C96" s="827"/>
      <c r="D96" s="827"/>
      <c r="E96" s="828" t="e">
        <f>LOOKUP(D96,Lookup!$C$9:$C$24,Lookup!$I$9:$I$24)</f>
        <v>#N/A</v>
      </c>
      <c r="F96" s="529"/>
      <c r="G96" s="529"/>
      <c r="H96" s="529"/>
      <c r="I96" s="828" t="e">
        <f t="shared" si="14"/>
        <v>#N/A</v>
      </c>
      <c r="J96" s="643"/>
      <c r="K96" s="829">
        <f t="shared" si="15"/>
        <v>0</v>
      </c>
      <c r="L96" s="830" t="e">
        <f t="shared" si="16"/>
        <v>#DIV/0!</v>
      </c>
      <c r="M96" s="830" t="str">
        <f t="shared" si="17"/>
        <v>N/A</v>
      </c>
      <c r="N96" s="831" t="e">
        <f t="shared" si="11"/>
        <v>#N/A</v>
      </c>
      <c r="O96" s="831">
        <f t="shared" si="18"/>
        <v>0</v>
      </c>
      <c r="P96" s="1024" t="e">
        <f>LOOKUP(G96,$J$4:$J$26,$M$4:$M$26)*LOOKUP(LOOKUP(G96,$J$4:$J$26,$K$4:$K$26),Lookup!$K$9:$K$24,Lookup!$O$9:$O$24)*IF(E96="A",LOOKUP(LOOKUP(G96,$J$4:$J$26,$K$4:$K$26),Lookup!$K$9:$K$24,Lookup!$L$9:$L$24),IF(E96="B",LOOKUP(LOOKUP(G96,$J$4:$J$26,$K$4:$K$26),Lookup!$K$9:$K$24,Lookup!$M$9:$M$24),IF(E96="C",LOOKUP(LOOKUP(G96,$J$4:$J$26,$K$4:$K$26),Lookup!$K$9:$K$24,Lookup!$N$9:$N$24))))</f>
        <v>#N/A</v>
      </c>
      <c r="Q96" s="1024" t="e">
        <f t="shared" si="19"/>
        <v>#N/A</v>
      </c>
      <c r="R96" s="1024" t="e">
        <f t="shared" si="12"/>
        <v>#N/A</v>
      </c>
      <c r="S96" s="828">
        <f t="shared" si="20"/>
        <v>0</v>
      </c>
      <c r="T96" s="1675" t="str">
        <f t="shared" si="13"/>
        <v/>
      </c>
    </row>
    <row r="97" spans="1:20">
      <c r="A97" s="836"/>
      <c r="B97" s="529"/>
      <c r="C97" s="827"/>
      <c r="D97" s="827"/>
      <c r="E97" s="828" t="e">
        <f>LOOKUP(D97,Lookup!$C$9:$C$24,Lookup!$I$9:$I$24)</f>
        <v>#N/A</v>
      </c>
      <c r="F97" s="529"/>
      <c r="G97" s="529"/>
      <c r="H97" s="529"/>
      <c r="I97" s="828" t="e">
        <f t="shared" si="14"/>
        <v>#N/A</v>
      </c>
      <c r="J97" s="643"/>
      <c r="K97" s="829">
        <f t="shared" si="15"/>
        <v>0</v>
      </c>
      <c r="L97" s="830" t="e">
        <f t="shared" si="16"/>
        <v>#DIV/0!</v>
      </c>
      <c r="M97" s="830" t="str">
        <f t="shared" si="17"/>
        <v>N/A</v>
      </c>
      <c r="N97" s="831" t="e">
        <f t="shared" si="11"/>
        <v>#N/A</v>
      </c>
      <c r="O97" s="831">
        <f t="shared" si="18"/>
        <v>0</v>
      </c>
      <c r="P97" s="1024" t="e">
        <f>LOOKUP(G97,$J$4:$J$26,$M$4:$M$26)*LOOKUP(LOOKUP(G97,$J$4:$J$26,$K$4:$K$26),Lookup!$K$9:$K$24,Lookup!$O$9:$O$24)*IF(E97="A",LOOKUP(LOOKUP(G97,$J$4:$J$26,$K$4:$K$26),Lookup!$K$9:$K$24,Lookup!$L$9:$L$24),IF(E97="B",LOOKUP(LOOKUP(G97,$J$4:$J$26,$K$4:$K$26),Lookup!$K$9:$K$24,Lookup!$M$9:$M$24),IF(E97="C",LOOKUP(LOOKUP(G97,$J$4:$J$26,$K$4:$K$26),Lookup!$K$9:$K$24,Lookup!$N$9:$N$24))))</f>
        <v>#N/A</v>
      </c>
      <c r="Q97" s="1024" t="e">
        <f t="shared" si="19"/>
        <v>#N/A</v>
      </c>
      <c r="R97" s="1024" t="e">
        <f t="shared" si="12"/>
        <v>#N/A</v>
      </c>
      <c r="S97" s="828">
        <f t="shared" si="20"/>
        <v>0</v>
      </c>
      <c r="T97" s="1675" t="str">
        <f t="shared" si="13"/>
        <v/>
      </c>
    </row>
    <row r="98" spans="1:20">
      <c r="A98" s="836"/>
      <c r="B98" s="529"/>
      <c r="C98" s="827"/>
      <c r="D98" s="827"/>
      <c r="E98" s="828" t="e">
        <f>LOOKUP(D98,Lookup!$C$9:$C$24,Lookup!$I$9:$I$24)</f>
        <v>#N/A</v>
      </c>
      <c r="F98" s="529"/>
      <c r="G98" s="529"/>
      <c r="H98" s="529"/>
      <c r="I98" s="828" t="e">
        <f t="shared" si="14"/>
        <v>#N/A</v>
      </c>
      <c r="J98" s="643"/>
      <c r="K98" s="829">
        <f t="shared" si="15"/>
        <v>0</v>
      </c>
      <c r="L98" s="830" t="e">
        <f t="shared" si="16"/>
        <v>#DIV/0!</v>
      </c>
      <c r="M98" s="830" t="str">
        <f t="shared" si="17"/>
        <v>N/A</v>
      </c>
      <c r="N98" s="831" t="e">
        <f t="shared" si="11"/>
        <v>#N/A</v>
      </c>
      <c r="O98" s="831">
        <f t="shared" si="18"/>
        <v>0</v>
      </c>
      <c r="P98" s="1024" t="e">
        <f>LOOKUP(G98,$J$4:$J$26,$M$4:$M$26)*LOOKUP(LOOKUP(G98,$J$4:$J$26,$K$4:$K$26),Lookup!$K$9:$K$24,Lookup!$O$9:$O$24)*IF(E98="A",LOOKUP(LOOKUP(G98,$J$4:$J$26,$K$4:$K$26),Lookup!$K$9:$K$24,Lookup!$L$9:$L$24),IF(E98="B",LOOKUP(LOOKUP(G98,$J$4:$J$26,$K$4:$K$26),Lookup!$K$9:$K$24,Lookup!$M$9:$M$24),IF(E98="C",LOOKUP(LOOKUP(G98,$J$4:$J$26,$K$4:$K$26),Lookup!$K$9:$K$24,Lookup!$N$9:$N$24))))</f>
        <v>#N/A</v>
      </c>
      <c r="Q98" s="1024" t="e">
        <f t="shared" si="19"/>
        <v>#N/A</v>
      </c>
      <c r="R98" s="1024" t="e">
        <f t="shared" si="12"/>
        <v>#N/A</v>
      </c>
      <c r="S98" s="828">
        <f t="shared" si="20"/>
        <v>0</v>
      </c>
      <c r="T98" s="1675" t="str">
        <f t="shared" si="13"/>
        <v/>
      </c>
    </row>
    <row r="99" spans="1:20">
      <c r="A99" s="836"/>
      <c r="B99" s="529"/>
      <c r="C99" s="827"/>
      <c r="D99" s="827"/>
      <c r="E99" s="828" t="e">
        <f>LOOKUP(D99,Lookup!$C$9:$C$24,Lookup!$I$9:$I$24)</f>
        <v>#N/A</v>
      </c>
      <c r="F99" s="529"/>
      <c r="G99" s="529"/>
      <c r="H99" s="529"/>
      <c r="I99" s="828" t="e">
        <f t="shared" si="14"/>
        <v>#N/A</v>
      </c>
      <c r="J99" s="643"/>
      <c r="K99" s="829">
        <f t="shared" si="15"/>
        <v>0</v>
      </c>
      <c r="L99" s="830" t="e">
        <f t="shared" si="16"/>
        <v>#DIV/0!</v>
      </c>
      <c r="M99" s="830" t="str">
        <f t="shared" si="17"/>
        <v>N/A</v>
      </c>
      <c r="N99" s="831" t="e">
        <f t="shared" si="11"/>
        <v>#N/A</v>
      </c>
      <c r="O99" s="831">
        <f t="shared" si="18"/>
        <v>0</v>
      </c>
      <c r="P99" s="1024" t="e">
        <f>LOOKUP(G99,$J$4:$J$26,$M$4:$M$26)*LOOKUP(LOOKUP(G99,$J$4:$J$26,$K$4:$K$26),Lookup!$K$9:$K$24,Lookup!$O$9:$O$24)*IF(E99="A",LOOKUP(LOOKUP(G99,$J$4:$J$26,$K$4:$K$26),Lookup!$K$9:$K$24,Lookup!$L$9:$L$24),IF(E99="B",LOOKUP(LOOKUP(G99,$J$4:$J$26,$K$4:$K$26),Lookup!$K$9:$K$24,Lookup!$M$9:$M$24),IF(E99="C",LOOKUP(LOOKUP(G99,$J$4:$J$26,$K$4:$K$26),Lookup!$K$9:$K$24,Lookup!$N$9:$N$24))))</f>
        <v>#N/A</v>
      </c>
      <c r="Q99" s="1024" t="e">
        <f t="shared" si="19"/>
        <v>#N/A</v>
      </c>
      <c r="R99" s="1024" t="e">
        <f t="shared" si="12"/>
        <v>#N/A</v>
      </c>
      <c r="S99" s="828">
        <f t="shared" si="20"/>
        <v>0</v>
      </c>
      <c r="T99" s="1675" t="str">
        <f t="shared" si="13"/>
        <v/>
      </c>
    </row>
    <row r="100" spans="1:20">
      <c r="A100" s="836"/>
      <c r="B100" s="529"/>
      <c r="C100" s="837"/>
      <c r="D100" s="827"/>
      <c r="E100" s="828" t="e">
        <f>LOOKUP(D100,Lookup!$C$9:$C$24,Lookup!$I$9:$I$24)</f>
        <v>#N/A</v>
      </c>
      <c r="F100" s="529"/>
      <c r="G100" s="529"/>
      <c r="H100" s="529"/>
      <c r="I100" s="828" t="e">
        <f t="shared" si="14"/>
        <v>#N/A</v>
      </c>
      <c r="J100" s="643"/>
      <c r="K100" s="829">
        <f t="shared" si="15"/>
        <v>0</v>
      </c>
      <c r="L100" s="830" t="e">
        <f t="shared" si="16"/>
        <v>#DIV/0!</v>
      </c>
      <c r="M100" s="830" t="str">
        <f t="shared" si="17"/>
        <v>N/A</v>
      </c>
      <c r="N100" s="831" t="e">
        <f t="shared" si="11"/>
        <v>#N/A</v>
      </c>
      <c r="O100" s="831">
        <f t="shared" si="18"/>
        <v>0</v>
      </c>
      <c r="P100" s="1024" t="e">
        <f>LOOKUP(G100,$J$4:$J$26,$M$4:$M$26)*LOOKUP(LOOKUP(G100,$J$4:$J$26,$K$4:$K$26),Lookup!$K$9:$K$24,Lookup!$O$9:$O$24)*IF(E100="A",LOOKUP(LOOKUP(G100,$J$4:$J$26,$K$4:$K$26),Lookup!$K$9:$K$24,Lookup!$L$9:$L$24),IF(E100="B",LOOKUP(LOOKUP(G100,$J$4:$J$26,$K$4:$K$26),Lookup!$K$9:$K$24,Lookup!$M$9:$M$24),IF(E100="C",LOOKUP(LOOKUP(G100,$J$4:$J$26,$K$4:$K$26),Lookup!$K$9:$K$24,Lookup!$N$9:$N$24))))</f>
        <v>#N/A</v>
      </c>
      <c r="Q100" s="1024" t="e">
        <f t="shared" si="19"/>
        <v>#N/A</v>
      </c>
      <c r="R100" s="1024" t="e">
        <f t="shared" si="12"/>
        <v>#N/A</v>
      </c>
      <c r="S100" s="828">
        <f t="shared" si="20"/>
        <v>0</v>
      </c>
      <c r="T100" s="1675" t="str">
        <f t="shared" si="13"/>
        <v/>
      </c>
    </row>
    <row r="101" spans="1:20">
      <c r="A101" s="836"/>
      <c r="B101" s="529"/>
      <c r="C101" s="827"/>
      <c r="D101" s="827"/>
      <c r="E101" s="828" t="e">
        <f>LOOKUP(D101,Lookup!$C$9:$C$24,Lookup!$I$9:$I$24)</f>
        <v>#N/A</v>
      </c>
      <c r="F101" s="529"/>
      <c r="G101" s="529"/>
      <c r="H101" s="529"/>
      <c r="I101" s="828" t="e">
        <f t="shared" si="14"/>
        <v>#N/A</v>
      </c>
      <c r="J101" s="643"/>
      <c r="K101" s="829">
        <f t="shared" si="15"/>
        <v>0</v>
      </c>
      <c r="L101" s="830" t="e">
        <f t="shared" si="16"/>
        <v>#DIV/0!</v>
      </c>
      <c r="M101" s="830" t="str">
        <f t="shared" si="17"/>
        <v>N/A</v>
      </c>
      <c r="N101" s="831" t="e">
        <f t="shared" si="11"/>
        <v>#N/A</v>
      </c>
      <c r="O101" s="831">
        <f t="shared" si="18"/>
        <v>0</v>
      </c>
      <c r="P101" s="1024" t="e">
        <f>LOOKUP(G101,$J$4:$J$26,$M$4:$M$26)*LOOKUP(LOOKUP(G101,$J$4:$J$26,$K$4:$K$26),Lookup!$K$9:$K$24,Lookup!$O$9:$O$24)*IF(E101="A",LOOKUP(LOOKUP(G101,$J$4:$J$26,$K$4:$K$26),Lookup!$K$9:$K$24,Lookup!$L$9:$L$24),IF(E101="B",LOOKUP(LOOKUP(G101,$J$4:$J$26,$K$4:$K$26),Lookup!$K$9:$K$24,Lookup!$M$9:$M$24),IF(E101="C",LOOKUP(LOOKUP(G101,$J$4:$J$26,$K$4:$K$26),Lookup!$K$9:$K$24,Lookup!$N$9:$N$24))))</f>
        <v>#N/A</v>
      </c>
      <c r="Q101" s="1024" t="e">
        <f t="shared" si="19"/>
        <v>#N/A</v>
      </c>
      <c r="R101" s="1024" t="e">
        <f t="shared" si="12"/>
        <v>#N/A</v>
      </c>
      <c r="S101" s="828">
        <f t="shared" si="20"/>
        <v>0</v>
      </c>
      <c r="T101" s="1675" t="str">
        <f t="shared" si="13"/>
        <v/>
      </c>
    </row>
    <row r="102" spans="1:20">
      <c r="A102" s="836"/>
      <c r="B102" s="529"/>
      <c r="C102" s="827"/>
      <c r="D102" s="827"/>
      <c r="E102" s="828" t="e">
        <f>LOOKUP(D102,Lookup!$C$9:$C$24,Lookup!$I$9:$I$24)</f>
        <v>#N/A</v>
      </c>
      <c r="F102" s="529"/>
      <c r="G102" s="529"/>
      <c r="H102" s="529"/>
      <c r="I102" s="828" t="e">
        <f t="shared" si="14"/>
        <v>#N/A</v>
      </c>
      <c r="J102" s="643"/>
      <c r="K102" s="829">
        <f t="shared" si="15"/>
        <v>0</v>
      </c>
      <c r="L102" s="830" t="e">
        <f t="shared" si="16"/>
        <v>#DIV/0!</v>
      </c>
      <c r="M102" s="830" t="str">
        <f t="shared" si="17"/>
        <v>N/A</v>
      </c>
      <c r="N102" s="831" t="e">
        <f t="shared" si="11"/>
        <v>#N/A</v>
      </c>
      <c r="O102" s="831">
        <f t="shared" si="18"/>
        <v>0</v>
      </c>
      <c r="P102" s="1024" t="e">
        <f>LOOKUP(G102,$J$4:$J$26,$M$4:$M$26)*LOOKUP(LOOKUP(G102,$J$4:$J$26,$K$4:$K$26),Lookup!$K$9:$K$24,Lookup!$O$9:$O$24)*IF(E102="A",LOOKUP(LOOKUP(G102,$J$4:$J$26,$K$4:$K$26),Lookup!$K$9:$K$24,Lookup!$L$9:$L$24),IF(E102="B",LOOKUP(LOOKUP(G102,$J$4:$J$26,$K$4:$K$26),Lookup!$K$9:$K$24,Lookup!$M$9:$M$24),IF(E102="C",LOOKUP(LOOKUP(G102,$J$4:$J$26,$K$4:$K$26),Lookup!$K$9:$K$24,Lookup!$N$9:$N$24))))</f>
        <v>#N/A</v>
      </c>
      <c r="Q102" s="1024" t="e">
        <f t="shared" si="19"/>
        <v>#N/A</v>
      </c>
      <c r="R102" s="1024" t="e">
        <f t="shared" si="12"/>
        <v>#N/A</v>
      </c>
      <c r="S102" s="828">
        <f t="shared" si="20"/>
        <v>0</v>
      </c>
      <c r="T102" s="1675" t="str">
        <f t="shared" si="13"/>
        <v/>
      </c>
    </row>
    <row r="103" spans="1:20">
      <c r="A103" s="836"/>
      <c r="B103" s="529"/>
      <c r="C103" s="827"/>
      <c r="D103" s="827"/>
      <c r="E103" s="828" t="e">
        <f>LOOKUP(D103,Lookup!$C$9:$C$24,Lookup!$I$9:$I$24)</f>
        <v>#N/A</v>
      </c>
      <c r="F103" s="529"/>
      <c r="G103" s="529"/>
      <c r="H103" s="529"/>
      <c r="I103" s="828" t="e">
        <f t="shared" si="14"/>
        <v>#N/A</v>
      </c>
      <c r="J103" s="643"/>
      <c r="K103" s="829">
        <f t="shared" si="15"/>
        <v>0</v>
      </c>
      <c r="L103" s="830" t="e">
        <f t="shared" si="16"/>
        <v>#DIV/0!</v>
      </c>
      <c r="M103" s="830" t="str">
        <f t="shared" si="17"/>
        <v>N/A</v>
      </c>
      <c r="N103" s="831" t="e">
        <f t="shared" si="11"/>
        <v>#N/A</v>
      </c>
      <c r="O103" s="831">
        <f t="shared" si="18"/>
        <v>0</v>
      </c>
      <c r="P103" s="1024" t="e">
        <f>LOOKUP(G103,$J$4:$J$26,$M$4:$M$26)*LOOKUP(LOOKUP(G103,$J$4:$J$26,$K$4:$K$26),Lookup!$K$9:$K$24,Lookup!$O$9:$O$24)*IF(E103="A",LOOKUP(LOOKUP(G103,$J$4:$J$26,$K$4:$K$26),Lookup!$K$9:$K$24,Lookup!$L$9:$L$24),IF(E103="B",LOOKUP(LOOKUP(G103,$J$4:$J$26,$K$4:$K$26),Lookup!$K$9:$K$24,Lookup!$M$9:$M$24),IF(E103="C",LOOKUP(LOOKUP(G103,$J$4:$J$26,$K$4:$K$26),Lookup!$K$9:$K$24,Lookup!$N$9:$N$24))))</f>
        <v>#N/A</v>
      </c>
      <c r="Q103" s="1024" t="e">
        <f t="shared" si="19"/>
        <v>#N/A</v>
      </c>
      <c r="R103" s="1024" t="e">
        <f t="shared" si="12"/>
        <v>#N/A</v>
      </c>
      <c r="S103" s="828">
        <f t="shared" si="20"/>
        <v>0</v>
      </c>
      <c r="T103" s="1675" t="str">
        <f t="shared" si="13"/>
        <v/>
      </c>
    </row>
    <row r="104" spans="1:20">
      <c r="A104" s="836"/>
      <c r="B104" s="529"/>
      <c r="C104" s="827"/>
      <c r="D104" s="827"/>
      <c r="E104" s="828" t="e">
        <f>LOOKUP(D104,Lookup!$C$9:$C$24,Lookup!$I$9:$I$24)</f>
        <v>#N/A</v>
      </c>
      <c r="F104" s="529"/>
      <c r="G104" s="529"/>
      <c r="H104" s="529"/>
      <c r="I104" s="828" t="e">
        <f t="shared" si="14"/>
        <v>#N/A</v>
      </c>
      <c r="J104" s="643"/>
      <c r="K104" s="829">
        <f t="shared" si="15"/>
        <v>0</v>
      </c>
      <c r="L104" s="830" t="e">
        <f t="shared" si="16"/>
        <v>#DIV/0!</v>
      </c>
      <c r="M104" s="830" t="str">
        <f t="shared" si="17"/>
        <v>N/A</v>
      </c>
      <c r="N104" s="831" t="e">
        <f t="shared" si="11"/>
        <v>#N/A</v>
      </c>
      <c r="O104" s="831">
        <f t="shared" si="18"/>
        <v>0</v>
      </c>
      <c r="P104" s="1024" t="e">
        <f>LOOKUP(G104,$J$4:$J$26,$M$4:$M$26)*LOOKUP(LOOKUP(G104,$J$4:$J$26,$K$4:$K$26),Lookup!$K$9:$K$24,Lookup!$O$9:$O$24)*IF(E104="A",LOOKUP(LOOKUP(G104,$J$4:$J$26,$K$4:$K$26),Lookup!$K$9:$K$24,Lookup!$L$9:$L$24),IF(E104="B",LOOKUP(LOOKUP(G104,$J$4:$J$26,$K$4:$K$26),Lookup!$K$9:$K$24,Lookup!$M$9:$M$24),IF(E104="C",LOOKUP(LOOKUP(G104,$J$4:$J$26,$K$4:$K$26),Lookup!$K$9:$K$24,Lookup!$N$9:$N$24))))</f>
        <v>#N/A</v>
      </c>
      <c r="Q104" s="1024" t="e">
        <f t="shared" si="19"/>
        <v>#N/A</v>
      </c>
      <c r="R104" s="1024" t="e">
        <f t="shared" si="12"/>
        <v>#N/A</v>
      </c>
      <c r="S104" s="828">
        <f t="shared" si="20"/>
        <v>0</v>
      </c>
      <c r="T104" s="1675" t="str">
        <f t="shared" si="13"/>
        <v/>
      </c>
    </row>
    <row r="105" spans="1:20">
      <c r="A105" s="836"/>
      <c r="B105" s="529"/>
      <c r="C105" s="827"/>
      <c r="D105" s="827"/>
      <c r="E105" s="828" t="e">
        <f>LOOKUP(D105,Lookup!$C$9:$C$24,Lookup!$I$9:$I$24)</f>
        <v>#N/A</v>
      </c>
      <c r="F105" s="529"/>
      <c r="G105" s="529"/>
      <c r="H105" s="529"/>
      <c r="I105" s="828" t="e">
        <f t="shared" si="14"/>
        <v>#N/A</v>
      </c>
      <c r="J105" s="643"/>
      <c r="K105" s="829">
        <f t="shared" si="15"/>
        <v>0</v>
      </c>
      <c r="L105" s="830" t="e">
        <f t="shared" si="16"/>
        <v>#DIV/0!</v>
      </c>
      <c r="M105" s="830" t="str">
        <f t="shared" si="17"/>
        <v>N/A</v>
      </c>
      <c r="N105" s="831" t="e">
        <f t="shared" si="11"/>
        <v>#N/A</v>
      </c>
      <c r="O105" s="831">
        <f t="shared" si="18"/>
        <v>0</v>
      </c>
      <c r="P105" s="1024" t="e">
        <f>LOOKUP(G105,$J$4:$J$26,$M$4:$M$26)*LOOKUP(LOOKUP(G105,$J$4:$J$26,$K$4:$K$26),Lookup!$K$9:$K$24,Lookup!$O$9:$O$24)*IF(E105="A",LOOKUP(LOOKUP(G105,$J$4:$J$26,$K$4:$K$26),Lookup!$K$9:$K$24,Lookup!$L$9:$L$24),IF(E105="B",LOOKUP(LOOKUP(G105,$J$4:$J$26,$K$4:$K$26),Lookup!$K$9:$K$24,Lookup!$M$9:$M$24),IF(E105="C",LOOKUP(LOOKUP(G105,$J$4:$J$26,$K$4:$K$26),Lookup!$K$9:$K$24,Lookup!$N$9:$N$24))))</f>
        <v>#N/A</v>
      </c>
      <c r="Q105" s="1024" t="e">
        <f t="shared" si="19"/>
        <v>#N/A</v>
      </c>
      <c r="R105" s="1024" t="e">
        <f t="shared" si="12"/>
        <v>#N/A</v>
      </c>
      <c r="S105" s="828">
        <f t="shared" si="20"/>
        <v>0</v>
      </c>
      <c r="T105" s="1675" t="str">
        <f t="shared" si="13"/>
        <v/>
      </c>
    </row>
    <row r="106" spans="1:20">
      <c r="A106" s="836"/>
      <c r="B106" s="529"/>
      <c r="C106" s="837"/>
      <c r="D106" s="827"/>
      <c r="E106" s="828" t="e">
        <f>LOOKUP(D106,Lookup!$C$9:$C$24,Lookup!$I$9:$I$24)</f>
        <v>#N/A</v>
      </c>
      <c r="F106" s="529"/>
      <c r="G106" s="529"/>
      <c r="H106" s="529"/>
      <c r="I106" s="828" t="e">
        <f t="shared" si="14"/>
        <v>#N/A</v>
      </c>
      <c r="J106" s="643"/>
      <c r="K106" s="829">
        <f t="shared" si="15"/>
        <v>0</v>
      </c>
      <c r="L106" s="830" t="e">
        <f t="shared" si="16"/>
        <v>#DIV/0!</v>
      </c>
      <c r="M106" s="830" t="str">
        <f t="shared" si="17"/>
        <v>N/A</v>
      </c>
      <c r="N106" s="831" t="e">
        <f t="shared" si="11"/>
        <v>#N/A</v>
      </c>
      <c r="O106" s="831">
        <f t="shared" si="18"/>
        <v>0</v>
      </c>
      <c r="P106" s="1024" t="e">
        <f>LOOKUP(G106,$J$4:$J$26,$M$4:$M$26)*LOOKUP(LOOKUP(G106,$J$4:$J$26,$K$4:$K$26),Lookup!$K$9:$K$24,Lookup!$O$9:$O$24)*IF(E106="A",LOOKUP(LOOKUP(G106,$J$4:$J$26,$K$4:$K$26),Lookup!$K$9:$K$24,Lookup!$L$9:$L$24),IF(E106="B",LOOKUP(LOOKUP(G106,$J$4:$J$26,$K$4:$K$26),Lookup!$K$9:$K$24,Lookup!$M$9:$M$24),IF(E106="C",LOOKUP(LOOKUP(G106,$J$4:$J$26,$K$4:$K$26),Lookup!$K$9:$K$24,Lookup!$N$9:$N$24))))</f>
        <v>#N/A</v>
      </c>
      <c r="Q106" s="1024" t="e">
        <f t="shared" si="19"/>
        <v>#N/A</v>
      </c>
      <c r="R106" s="1024" t="e">
        <f t="shared" si="12"/>
        <v>#N/A</v>
      </c>
      <c r="S106" s="828">
        <f t="shared" si="20"/>
        <v>0</v>
      </c>
      <c r="T106" s="1675" t="str">
        <f t="shared" si="13"/>
        <v/>
      </c>
    </row>
    <row r="107" spans="1:20">
      <c r="A107" s="836"/>
      <c r="B107" s="529"/>
      <c r="C107" s="827"/>
      <c r="D107" s="827"/>
      <c r="E107" s="828" t="e">
        <f>LOOKUP(D107,Lookup!$C$9:$C$24,Lookup!$I$9:$I$24)</f>
        <v>#N/A</v>
      </c>
      <c r="F107" s="529"/>
      <c r="G107" s="529"/>
      <c r="H107" s="529"/>
      <c r="I107" s="828" t="e">
        <f t="shared" si="14"/>
        <v>#N/A</v>
      </c>
      <c r="J107" s="643"/>
      <c r="K107" s="829">
        <f t="shared" si="15"/>
        <v>0</v>
      </c>
      <c r="L107" s="830" t="e">
        <f t="shared" si="16"/>
        <v>#DIV/0!</v>
      </c>
      <c r="M107" s="830" t="str">
        <f t="shared" si="17"/>
        <v>N/A</v>
      </c>
      <c r="N107" s="831" t="e">
        <f t="shared" si="11"/>
        <v>#N/A</v>
      </c>
      <c r="O107" s="831">
        <f t="shared" si="18"/>
        <v>0</v>
      </c>
      <c r="P107" s="1024" t="e">
        <f>LOOKUP(G107,$J$4:$J$26,$M$4:$M$26)*LOOKUP(LOOKUP(G107,$J$4:$J$26,$K$4:$K$26),Lookup!$K$9:$K$24,Lookup!$O$9:$O$24)*IF(E107="A",LOOKUP(LOOKUP(G107,$J$4:$J$26,$K$4:$K$26),Lookup!$K$9:$K$24,Lookup!$L$9:$L$24),IF(E107="B",LOOKUP(LOOKUP(G107,$J$4:$J$26,$K$4:$K$26),Lookup!$K$9:$K$24,Lookup!$M$9:$M$24),IF(E107="C",LOOKUP(LOOKUP(G107,$J$4:$J$26,$K$4:$K$26),Lookup!$K$9:$K$24,Lookup!$N$9:$N$24))))</f>
        <v>#N/A</v>
      </c>
      <c r="Q107" s="1024" t="e">
        <f t="shared" si="19"/>
        <v>#N/A</v>
      </c>
      <c r="R107" s="1024" t="e">
        <f t="shared" si="12"/>
        <v>#N/A</v>
      </c>
      <c r="S107" s="828">
        <f t="shared" si="20"/>
        <v>0</v>
      </c>
      <c r="T107" s="1675" t="str">
        <f t="shared" si="13"/>
        <v/>
      </c>
    </row>
    <row r="108" spans="1:20">
      <c r="A108" s="836"/>
      <c r="B108" s="529"/>
      <c r="C108" s="827"/>
      <c r="D108" s="827"/>
      <c r="E108" s="828" t="e">
        <f>LOOKUP(D108,Lookup!$C$9:$C$24,Lookup!$I$9:$I$24)</f>
        <v>#N/A</v>
      </c>
      <c r="F108" s="529"/>
      <c r="G108" s="529"/>
      <c r="H108" s="529"/>
      <c r="I108" s="828" t="e">
        <f t="shared" si="14"/>
        <v>#N/A</v>
      </c>
      <c r="J108" s="643"/>
      <c r="K108" s="829">
        <f t="shared" si="15"/>
        <v>0</v>
      </c>
      <c r="L108" s="830" t="e">
        <f t="shared" si="16"/>
        <v>#DIV/0!</v>
      </c>
      <c r="M108" s="830" t="str">
        <f t="shared" si="17"/>
        <v>N/A</v>
      </c>
      <c r="N108" s="831" t="e">
        <f t="shared" si="11"/>
        <v>#N/A</v>
      </c>
      <c r="O108" s="831">
        <f t="shared" si="18"/>
        <v>0</v>
      </c>
      <c r="P108" s="1024" t="e">
        <f>LOOKUP(G108,$J$4:$J$26,$M$4:$M$26)*LOOKUP(LOOKUP(G108,$J$4:$J$26,$K$4:$K$26),Lookup!$K$9:$K$24,Lookup!$O$9:$O$24)*IF(E108="A",LOOKUP(LOOKUP(G108,$J$4:$J$26,$K$4:$K$26),Lookup!$K$9:$K$24,Lookup!$L$9:$L$24),IF(E108="B",LOOKUP(LOOKUP(G108,$J$4:$J$26,$K$4:$K$26),Lookup!$K$9:$K$24,Lookup!$M$9:$M$24),IF(E108="C",LOOKUP(LOOKUP(G108,$J$4:$J$26,$K$4:$K$26),Lookup!$K$9:$K$24,Lookup!$N$9:$N$24))))</f>
        <v>#N/A</v>
      </c>
      <c r="Q108" s="1024" t="e">
        <f t="shared" si="19"/>
        <v>#N/A</v>
      </c>
      <c r="R108" s="1024" t="e">
        <f t="shared" si="12"/>
        <v>#N/A</v>
      </c>
      <c r="S108" s="828">
        <f t="shared" si="20"/>
        <v>0</v>
      </c>
      <c r="T108" s="1675" t="str">
        <f t="shared" si="13"/>
        <v/>
      </c>
    </row>
    <row r="109" spans="1:20">
      <c r="A109" s="836"/>
      <c r="B109" s="529"/>
      <c r="C109" s="827"/>
      <c r="D109" s="827"/>
      <c r="E109" s="828" t="e">
        <f>LOOKUP(D109,Lookup!$C$9:$C$24,Lookup!$I$9:$I$24)</f>
        <v>#N/A</v>
      </c>
      <c r="F109" s="529"/>
      <c r="G109" s="529"/>
      <c r="H109" s="529"/>
      <c r="I109" s="828" t="e">
        <f t="shared" si="14"/>
        <v>#N/A</v>
      </c>
      <c r="J109" s="643"/>
      <c r="K109" s="829">
        <f t="shared" si="15"/>
        <v>0</v>
      </c>
      <c r="L109" s="830" t="e">
        <f t="shared" si="16"/>
        <v>#DIV/0!</v>
      </c>
      <c r="M109" s="830" t="str">
        <f t="shared" si="17"/>
        <v>N/A</v>
      </c>
      <c r="N109" s="831" t="e">
        <f t="shared" si="11"/>
        <v>#N/A</v>
      </c>
      <c r="O109" s="831">
        <f t="shared" si="18"/>
        <v>0</v>
      </c>
      <c r="P109" s="1024" t="e">
        <f>LOOKUP(G109,$J$4:$J$26,$M$4:$M$26)*LOOKUP(LOOKUP(G109,$J$4:$J$26,$K$4:$K$26),Lookup!$K$9:$K$24,Lookup!$O$9:$O$24)*IF(E109="A",LOOKUP(LOOKUP(G109,$J$4:$J$26,$K$4:$K$26),Lookup!$K$9:$K$24,Lookup!$L$9:$L$24),IF(E109="B",LOOKUP(LOOKUP(G109,$J$4:$J$26,$K$4:$K$26),Lookup!$K$9:$K$24,Lookup!$M$9:$M$24),IF(E109="C",LOOKUP(LOOKUP(G109,$J$4:$J$26,$K$4:$K$26),Lookup!$K$9:$K$24,Lookup!$N$9:$N$24))))</f>
        <v>#N/A</v>
      </c>
      <c r="Q109" s="1024" t="e">
        <f t="shared" si="19"/>
        <v>#N/A</v>
      </c>
      <c r="R109" s="1024" t="e">
        <f t="shared" si="12"/>
        <v>#N/A</v>
      </c>
      <c r="S109" s="828">
        <f t="shared" si="20"/>
        <v>0</v>
      </c>
      <c r="T109" s="1675" t="str">
        <f t="shared" si="13"/>
        <v/>
      </c>
    </row>
    <row r="110" spans="1:20">
      <c r="A110" s="836"/>
      <c r="B110" s="529"/>
      <c r="C110" s="827"/>
      <c r="D110" s="827"/>
      <c r="E110" s="828" t="e">
        <f>LOOKUP(D110,Lookup!$C$9:$C$24,Lookup!$I$9:$I$24)</f>
        <v>#N/A</v>
      </c>
      <c r="F110" s="529"/>
      <c r="G110" s="529"/>
      <c r="H110" s="529"/>
      <c r="I110" s="828" t="e">
        <f t="shared" si="14"/>
        <v>#N/A</v>
      </c>
      <c r="J110" s="643"/>
      <c r="K110" s="829">
        <f t="shared" si="15"/>
        <v>0</v>
      </c>
      <c r="L110" s="830" t="e">
        <f t="shared" si="16"/>
        <v>#DIV/0!</v>
      </c>
      <c r="M110" s="830" t="str">
        <f t="shared" si="17"/>
        <v>N/A</v>
      </c>
      <c r="N110" s="831" t="e">
        <f t="shared" si="11"/>
        <v>#N/A</v>
      </c>
      <c r="O110" s="831">
        <f t="shared" si="18"/>
        <v>0</v>
      </c>
      <c r="P110" s="1024" t="e">
        <f>LOOKUP(G110,$J$4:$J$26,$M$4:$M$26)*LOOKUP(LOOKUP(G110,$J$4:$J$26,$K$4:$K$26),Lookup!$K$9:$K$24,Lookup!$O$9:$O$24)*IF(E110="A",LOOKUP(LOOKUP(G110,$J$4:$J$26,$K$4:$K$26),Lookup!$K$9:$K$24,Lookup!$L$9:$L$24),IF(E110="B",LOOKUP(LOOKUP(G110,$J$4:$J$26,$K$4:$K$26),Lookup!$K$9:$K$24,Lookup!$M$9:$M$24),IF(E110="C",LOOKUP(LOOKUP(G110,$J$4:$J$26,$K$4:$K$26),Lookup!$K$9:$K$24,Lookup!$N$9:$N$24))))</f>
        <v>#N/A</v>
      </c>
      <c r="Q110" s="1024" t="e">
        <f t="shared" si="19"/>
        <v>#N/A</v>
      </c>
      <c r="R110" s="1024" t="e">
        <f t="shared" si="12"/>
        <v>#N/A</v>
      </c>
      <c r="S110" s="828">
        <f t="shared" si="20"/>
        <v>0</v>
      </c>
      <c r="T110" s="1675" t="str">
        <f t="shared" si="13"/>
        <v/>
      </c>
    </row>
    <row r="111" spans="1:20">
      <c r="A111" s="836"/>
      <c r="B111" s="529"/>
      <c r="C111" s="827"/>
      <c r="D111" s="827"/>
      <c r="E111" s="828" t="e">
        <f>LOOKUP(D111,Lookup!$C$9:$C$24,Lookup!$I$9:$I$24)</f>
        <v>#N/A</v>
      </c>
      <c r="F111" s="529"/>
      <c r="G111" s="529"/>
      <c r="H111" s="529"/>
      <c r="I111" s="828" t="e">
        <f t="shared" si="14"/>
        <v>#N/A</v>
      </c>
      <c r="J111" s="643"/>
      <c r="K111" s="829">
        <f t="shared" si="15"/>
        <v>0</v>
      </c>
      <c r="L111" s="830" t="e">
        <f t="shared" si="16"/>
        <v>#DIV/0!</v>
      </c>
      <c r="M111" s="830" t="str">
        <f t="shared" si="17"/>
        <v>N/A</v>
      </c>
      <c r="N111" s="831" t="e">
        <f t="shared" si="11"/>
        <v>#N/A</v>
      </c>
      <c r="O111" s="831">
        <f t="shared" si="18"/>
        <v>0</v>
      </c>
      <c r="P111" s="1024" t="e">
        <f>LOOKUP(G111,$J$4:$J$26,$M$4:$M$26)*LOOKUP(LOOKUP(G111,$J$4:$J$26,$K$4:$K$26),Lookup!$K$9:$K$24,Lookup!$O$9:$O$24)*IF(E111="A",LOOKUP(LOOKUP(G111,$J$4:$J$26,$K$4:$K$26),Lookup!$K$9:$K$24,Lookup!$L$9:$L$24),IF(E111="B",LOOKUP(LOOKUP(G111,$J$4:$J$26,$K$4:$K$26),Lookup!$K$9:$K$24,Lookup!$M$9:$M$24),IF(E111="C",LOOKUP(LOOKUP(G111,$J$4:$J$26,$K$4:$K$26),Lookup!$K$9:$K$24,Lookup!$N$9:$N$24))))</f>
        <v>#N/A</v>
      </c>
      <c r="Q111" s="1024" t="e">
        <f t="shared" si="19"/>
        <v>#N/A</v>
      </c>
      <c r="R111" s="1024" t="e">
        <f t="shared" si="12"/>
        <v>#N/A</v>
      </c>
      <c r="S111" s="828">
        <f t="shared" si="20"/>
        <v>0</v>
      </c>
      <c r="T111" s="1675" t="str">
        <f t="shared" si="13"/>
        <v/>
      </c>
    </row>
    <row r="112" spans="1:20">
      <c r="A112" s="836"/>
      <c r="B112" s="529"/>
      <c r="C112" s="837"/>
      <c r="D112" s="827"/>
      <c r="E112" s="828" t="e">
        <f>LOOKUP(D112,Lookup!$C$9:$C$24,Lookup!$I$9:$I$24)</f>
        <v>#N/A</v>
      </c>
      <c r="F112" s="529"/>
      <c r="G112" s="529"/>
      <c r="H112" s="529"/>
      <c r="I112" s="828" t="e">
        <f t="shared" si="14"/>
        <v>#N/A</v>
      </c>
      <c r="J112" s="643"/>
      <c r="K112" s="829">
        <f t="shared" si="15"/>
        <v>0</v>
      </c>
      <c r="L112" s="830" t="e">
        <f t="shared" si="16"/>
        <v>#DIV/0!</v>
      </c>
      <c r="M112" s="830" t="str">
        <f t="shared" si="17"/>
        <v>N/A</v>
      </c>
      <c r="N112" s="831" t="e">
        <f t="shared" si="11"/>
        <v>#N/A</v>
      </c>
      <c r="O112" s="831">
        <f t="shared" si="18"/>
        <v>0</v>
      </c>
      <c r="P112" s="1024" t="e">
        <f>LOOKUP(G112,$J$4:$J$26,$M$4:$M$26)*LOOKUP(LOOKUP(G112,$J$4:$J$26,$K$4:$K$26),Lookup!$K$9:$K$24,Lookup!$O$9:$O$24)*IF(E112="A",LOOKUP(LOOKUP(G112,$J$4:$J$26,$K$4:$K$26),Lookup!$K$9:$K$24,Lookup!$L$9:$L$24),IF(E112="B",LOOKUP(LOOKUP(G112,$J$4:$J$26,$K$4:$K$26),Lookup!$K$9:$K$24,Lookup!$M$9:$M$24),IF(E112="C",LOOKUP(LOOKUP(G112,$J$4:$J$26,$K$4:$K$26),Lookup!$K$9:$K$24,Lookup!$N$9:$N$24))))</f>
        <v>#N/A</v>
      </c>
      <c r="Q112" s="1024" t="e">
        <f t="shared" si="19"/>
        <v>#N/A</v>
      </c>
      <c r="R112" s="1024" t="e">
        <f t="shared" si="12"/>
        <v>#N/A</v>
      </c>
      <c r="S112" s="828">
        <f t="shared" si="20"/>
        <v>0</v>
      </c>
      <c r="T112" s="1675" t="str">
        <f t="shared" si="13"/>
        <v/>
      </c>
    </row>
    <row r="113" spans="1:20">
      <c r="A113" s="836"/>
      <c r="B113" s="529"/>
      <c r="C113" s="827"/>
      <c r="D113" s="827"/>
      <c r="E113" s="828" t="e">
        <f>LOOKUP(D113,Lookup!$C$9:$C$24,Lookup!$I$9:$I$24)</f>
        <v>#N/A</v>
      </c>
      <c r="F113" s="529"/>
      <c r="G113" s="529"/>
      <c r="H113" s="529"/>
      <c r="I113" s="828" t="e">
        <f t="shared" si="14"/>
        <v>#N/A</v>
      </c>
      <c r="J113" s="643"/>
      <c r="K113" s="829">
        <f t="shared" si="15"/>
        <v>0</v>
      </c>
      <c r="L113" s="830" t="e">
        <f t="shared" si="16"/>
        <v>#DIV/0!</v>
      </c>
      <c r="M113" s="830" t="str">
        <f t="shared" si="17"/>
        <v>N/A</v>
      </c>
      <c r="N113" s="831" t="e">
        <f t="shared" si="11"/>
        <v>#N/A</v>
      </c>
      <c r="O113" s="831">
        <f t="shared" si="18"/>
        <v>0</v>
      </c>
      <c r="P113" s="1024" t="e">
        <f>LOOKUP(G113,$J$4:$J$26,$M$4:$M$26)*LOOKUP(LOOKUP(G113,$J$4:$J$26,$K$4:$K$26),Lookup!$K$9:$K$24,Lookup!$O$9:$O$24)*IF(E113="A",LOOKUP(LOOKUP(G113,$J$4:$J$26,$K$4:$K$26),Lookup!$K$9:$K$24,Lookup!$L$9:$L$24),IF(E113="B",LOOKUP(LOOKUP(G113,$J$4:$J$26,$K$4:$K$26),Lookup!$K$9:$K$24,Lookup!$M$9:$M$24),IF(E113="C",LOOKUP(LOOKUP(G113,$J$4:$J$26,$K$4:$K$26),Lookup!$K$9:$K$24,Lookup!$N$9:$N$24))))</f>
        <v>#N/A</v>
      </c>
      <c r="Q113" s="1024" t="e">
        <f t="shared" si="19"/>
        <v>#N/A</v>
      </c>
      <c r="R113" s="1024" t="e">
        <f t="shared" si="12"/>
        <v>#N/A</v>
      </c>
      <c r="S113" s="828">
        <f t="shared" si="20"/>
        <v>0</v>
      </c>
      <c r="T113" s="1675" t="str">
        <f t="shared" si="13"/>
        <v/>
      </c>
    </row>
    <row r="114" spans="1:20">
      <c r="A114" s="836"/>
      <c r="B114" s="529"/>
      <c r="C114" s="827"/>
      <c r="D114" s="827"/>
      <c r="E114" s="828" t="e">
        <f>LOOKUP(D114,Lookup!$C$9:$C$24,Lookup!$I$9:$I$24)</f>
        <v>#N/A</v>
      </c>
      <c r="F114" s="529"/>
      <c r="G114" s="529"/>
      <c r="H114" s="529"/>
      <c r="I114" s="828" t="e">
        <f t="shared" si="14"/>
        <v>#N/A</v>
      </c>
      <c r="J114" s="643"/>
      <c r="K114" s="829">
        <f t="shared" si="15"/>
        <v>0</v>
      </c>
      <c r="L114" s="830" t="e">
        <f t="shared" si="16"/>
        <v>#DIV/0!</v>
      </c>
      <c r="M114" s="830" t="str">
        <f t="shared" si="17"/>
        <v>N/A</v>
      </c>
      <c r="N114" s="831" t="e">
        <f t="shared" si="11"/>
        <v>#N/A</v>
      </c>
      <c r="O114" s="831">
        <f t="shared" si="18"/>
        <v>0</v>
      </c>
      <c r="P114" s="1024" t="e">
        <f>LOOKUP(G114,$J$4:$J$26,$M$4:$M$26)*LOOKUP(LOOKUP(G114,$J$4:$J$26,$K$4:$K$26),Lookup!$K$9:$K$24,Lookup!$O$9:$O$24)*IF(E114="A",LOOKUP(LOOKUP(G114,$J$4:$J$26,$K$4:$K$26),Lookup!$K$9:$K$24,Lookup!$L$9:$L$24),IF(E114="B",LOOKUP(LOOKUP(G114,$J$4:$J$26,$K$4:$K$26),Lookup!$K$9:$K$24,Lookup!$M$9:$M$24),IF(E114="C",LOOKUP(LOOKUP(G114,$J$4:$J$26,$K$4:$K$26),Lookup!$K$9:$K$24,Lookup!$N$9:$N$24))))</f>
        <v>#N/A</v>
      </c>
      <c r="Q114" s="1024" t="e">
        <f t="shared" si="19"/>
        <v>#N/A</v>
      </c>
      <c r="R114" s="1024" t="e">
        <f t="shared" si="12"/>
        <v>#N/A</v>
      </c>
      <c r="S114" s="828">
        <f t="shared" si="20"/>
        <v>0</v>
      </c>
      <c r="T114" s="1675" t="str">
        <f t="shared" si="13"/>
        <v/>
      </c>
    </row>
    <row r="115" spans="1:20">
      <c r="A115" s="836"/>
      <c r="B115" s="529"/>
      <c r="C115" s="827"/>
      <c r="D115" s="827"/>
      <c r="E115" s="828" t="e">
        <f>LOOKUP(D115,Lookup!$C$9:$C$24,Lookup!$I$9:$I$24)</f>
        <v>#N/A</v>
      </c>
      <c r="F115" s="529"/>
      <c r="G115" s="529"/>
      <c r="H115" s="529"/>
      <c r="I115" s="828" t="e">
        <f t="shared" si="14"/>
        <v>#N/A</v>
      </c>
      <c r="J115" s="643"/>
      <c r="K115" s="829">
        <f t="shared" si="15"/>
        <v>0</v>
      </c>
      <c r="L115" s="830" t="e">
        <f t="shared" si="16"/>
        <v>#DIV/0!</v>
      </c>
      <c r="M115" s="830" t="str">
        <f t="shared" si="17"/>
        <v>N/A</v>
      </c>
      <c r="N115" s="831" t="e">
        <f t="shared" si="11"/>
        <v>#N/A</v>
      </c>
      <c r="O115" s="831">
        <f t="shared" si="18"/>
        <v>0</v>
      </c>
      <c r="P115" s="1024" t="e">
        <f>LOOKUP(G115,$J$4:$J$26,$M$4:$M$26)*LOOKUP(LOOKUP(G115,$J$4:$J$26,$K$4:$K$26),Lookup!$K$9:$K$24,Lookup!$O$9:$O$24)*IF(E115="A",LOOKUP(LOOKUP(G115,$J$4:$J$26,$K$4:$K$26),Lookup!$K$9:$K$24,Lookup!$L$9:$L$24),IF(E115="B",LOOKUP(LOOKUP(G115,$J$4:$J$26,$K$4:$K$26),Lookup!$K$9:$K$24,Lookup!$M$9:$M$24),IF(E115="C",LOOKUP(LOOKUP(G115,$J$4:$J$26,$K$4:$K$26),Lookup!$K$9:$K$24,Lookup!$N$9:$N$24))))</f>
        <v>#N/A</v>
      </c>
      <c r="Q115" s="1024" t="e">
        <f t="shared" si="19"/>
        <v>#N/A</v>
      </c>
      <c r="R115" s="1024" t="e">
        <f t="shared" si="12"/>
        <v>#N/A</v>
      </c>
      <c r="S115" s="828">
        <f t="shared" si="20"/>
        <v>0</v>
      </c>
      <c r="T115" s="1675" t="str">
        <f t="shared" si="13"/>
        <v/>
      </c>
    </row>
    <row r="116" spans="1:20">
      <c r="A116" s="836"/>
      <c r="B116" s="529"/>
      <c r="C116" s="827"/>
      <c r="D116" s="827"/>
      <c r="E116" s="828" t="e">
        <f>LOOKUP(D116,Lookup!$C$9:$C$24,Lookup!$I$9:$I$24)</f>
        <v>#N/A</v>
      </c>
      <c r="F116" s="529"/>
      <c r="G116" s="529"/>
      <c r="H116" s="529"/>
      <c r="I116" s="828" t="e">
        <f t="shared" si="14"/>
        <v>#N/A</v>
      </c>
      <c r="J116" s="643"/>
      <c r="K116" s="829">
        <f t="shared" si="15"/>
        <v>0</v>
      </c>
      <c r="L116" s="830" t="e">
        <f t="shared" si="16"/>
        <v>#DIV/0!</v>
      </c>
      <c r="M116" s="830" t="str">
        <f t="shared" si="17"/>
        <v>N/A</v>
      </c>
      <c r="N116" s="831" t="e">
        <f t="shared" si="11"/>
        <v>#N/A</v>
      </c>
      <c r="O116" s="831">
        <f t="shared" si="18"/>
        <v>0</v>
      </c>
      <c r="P116" s="1024" t="e">
        <f>LOOKUP(G116,$J$4:$J$26,$M$4:$M$26)*LOOKUP(LOOKUP(G116,$J$4:$J$26,$K$4:$K$26),Lookup!$K$9:$K$24,Lookup!$O$9:$O$24)*IF(E116="A",LOOKUP(LOOKUP(G116,$J$4:$J$26,$K$4:$K$26),Lookup!$K$9:$K$24,Lookup!$L$9:$L$24),IF(E116="B",LOOKUP(LOOKUP(G116,$J$4:$J$26,$K$4:$K$26),Lookup!$K$9:$K$24,Lookup!$M$9:$M$24),IF(E116="C",LOOKUP(LOOKUP(G116,$J$4:$J$26,$K$4:$K$26),Lookup!$K$9:$K$24,Lookup!$N$9:$N$24))))</f>
        <v>#N/A</v>
      </c>
      <c r="Q116" s="1024" t="e">
        <f t="shared" si="19"/>
        <v>#N/A</v>
      </c>
      <c r="R116" s="1024" t="e">
        <f t="shared" si="12"/>
        <v>#N/A</v>
      </c>
      <c r="S116" s="828">
        <f t="shared" si="20"/>
        <v>0</v>
      </c>
      <c r="T116" s="1675" t="str">
        <f t="shared" si="13"/>
        <v/>
      </c>
    </row>
    <row r="117" spans="1:20">
      <c r="A117" s="836"/>
      <c r="B117" s="529"/>
      <c r="C117" s="827"/>
      <c r="D117" s="827"/>
      <c r="E117" s="828" t="e">
        <f>LOOKUP(D117,Lookup!$C$9:$C$24,Lookup!$I$9:$I$24)</f>
        <v>#N/A</v>
      </c>
      <c r="F117" s="529"/>
      <c r="G117" s="529"/>
      <c r="H117" s="529"/>
      <c r="I117" s="828" t="e">
        <f t="shared" si="14"/>
        <v>#N/A</v>
      </c>
      <c r="J117" s="643"/>
      <c r="K117" s="829">
        <f t="shared" si="15"/>
        <v>0</v>
      </c>
      <c r="L117" s="830" t="e">
        <f t="shared" si="16"/>
        <v>#DIV/0!</v>
      </c>
      <c r="M117" s="830" t="str">
        <f t="shared" si="17"/>
        <v>N/A</v>
      </c>
      <c r="N117" s="831" t="e">
        <f t="shared" si="11"/>
        <v>#N/A</v>
      </c>
      <c r="O117" s="831">
        <f t="shared" si="18"/>
        <v>0</v>
      </c>
      <c r="P117" s="1024" t="e">
        <f>LOOKUP(G117,$J$4:$J$26,$M$4:$M$26)*LOOKUP(LOOKUP(G117,$J$4:$J$26,$K$4:$K$26),Lookup!$K$9:$K$24,Lookup!$O$9:$O$24)*IF(E117="A",LOOKUP(LOOKUP(G117,$J$4:$J$26,$K$4:$K$26),Lookup!$K$9:$K$24,Lookup!$L$9:$L$24),IF(E117="B",LOOKUP(LOOKUP(G117,$J$4:$J$26,$K$4:$K$26),Lookup!$K$9:$K$24,Lookup!$M$9:$M$24),IF(E117="C",LOOKUP(LOOKUP(G117,$J$4:$J$26,$K$4:$K$26),Lookup!$K$9:$K$24,Lookup!$N$9:$N$24))))</f>
        <v>#N/A</v>
      </c>
      <c r="Q117" s="1024" t="e">
        <f t="shared" si="19"/>
        <v>#N/A</v>
      </c>
      <c r="R117" s="1024" t="e">
        <f t="shared" si="12"/>
        <v>#N/A</v>
      </c>
      <c r="S117" s="828">
        <f t="shared" si="20"/>
        <v>0</v>
      </c>
      <c r="T117" s="1675" t="str">
        <f t="shared" si="13"/>
        <v/>
      </c>
    </row>
    <row r="118" spans="1:20">
      <c r="A118" s="836"/>
      <c r="B118" s="529"/>
      <c r="C118" s="837"/>
      <c r="D118" s="827"/>
      <c r="E118" s="828" t="e">
        <f>LOOKUP(D118,Lookup!$C$9:$C$24,Lookup!$I$9:$I$24)</f>
        <v>#N/A</v>
      </c>
      <c r="F118" s="529"/>
      <c r="G118" s="529"/>
      <c r="H118" s="529"/>
      <c r="I118" s="828" t="e">
        <f t="shared" si="14"/>
        <v>#N/A</v>
      </c>
      <c r="J118" s="643"/>
      <c r="K118" s="829">
        <f t="shared" si="15"/>
        <v>0</v>
      </c>
      <c r="L118" s="830" t="e">
        <f t="shared" si="16"/>
        <v>#DIV/0!</v>
      </c>
      <c r="M118" s="830" t="str">
        <f t="shared" si="17"/>
        <v>N/A</v>
      </c>
      <c r="N118" s="831" t="e">
        <f t="shared" si="11"/>
        <v>#N/A</v>
      </c>
      <c r="O118" s="831">
        <f t="shared" si="18"/>
        <v>0</v>
      </c>
      <c r="P118" s="1024" t="e">
        <f>LOOKUP(G118,$J$4:$J$26,$M$4:$M$26)*LOOKUP(LOOKUP(G118,$J$4:$J$26,$K$4:$K$26),Lookup!$K$9:$K$24,Lookup!$O$9:$O$24)*IF(E118="A",LOOKUP(LOOKUP(G118,$J$4:$J$26,$K$4:$K$26),Lookup!$K$9:$K$24,Lookup!$L$9:$L$24),IF(E118="B",LOOKUP(LOOKUP(G118,$J$4:$J$26,$K$4:$K$26),Lookup!$K$9:$K$24,Lookup!$M$9:$M$24),IF(E118="C",LOOKUP(LOOKUP(G118,$J$4:$J$26,$K$4:$K$26),Lookup!$K$9:$K$24,Lookup!$N$9:$N$24))))</f>
        <v>#N/A</v>
      </c>
      <c r="Q118" s="1024" t="e">
        <f t="shared" si="19"/>
        <v>#N/A</v>
      </c>
      <c r="R118" s="1024" t="e">
        <f t="shared" si="12"/>
        <v>#N/A</v>
      </c>
      <c r="S118" s="828">
        <f t="shared" si="20"/>
        <v>0</v>
      </c>
      <c r="T118" s="1675" t="str">
        <f t="shared" si="13"/>
        <v/>
      </c>
    </row>
    <row r="119" spans="1:20">
      <c r="A119" s="836"/>
      <c r="B119" s="529"/>
      <c r="C119" s="827"/>
      <c r="D119" s="827"/>
      <c r="E119" s="828" t="e">
        <f>LOOKUP(D119,Lookup!$C$9:$C$24,Lookup!$I$9:$I$24)</f>
        <v>#N/A</v>
      </c>
      <c r="F119" s="529"/>
      <c r="G119" s="529"/>
      <c r="H119" s="529"/>
      <c r="I119" s="828" t="e">
        <f t="shared" si="14"/>
        <v>#N/A</v>
      </c>
      <c r="J119" s="643"/>
      <c r="K119" s="829">
        <f t="shared" si="15"/>
        <v>0</v>
      </c>
      <c r="L119" s="830" t="e">
        <f t="shared" si="16"/>
        <v>#DIV/0!</v>
      </c>
      <c r="M119" s="830" t="str">
        <f t="shared" si="17"/>
        <v>N/A</v>
      </c>
      <c r="N119" s="831" t="e">
        <f t="shared" si="11"/>
        <v>#N/A</v>
      </c>
      <c r="O119" s="831">
        <f t="shared" si="18"/>
        <v>0</v>
      </c>
      <c r="P119" s="1024" t="e">
        <f>LOOKUP(G119,$J$4:$J$26,$M$4:$M$26)*LOOKUP(LOOKUP(G119,$J$4:$J$26,$K$4:$K$26),Lookup!$K$9:$K$24,Lookup!$O$9:$O$24)*IF(E119="A",LOOKUP(LOOKUP(G119,$J$4:$J$26,$K$4:$K$26),Lookup!$K$9:$K$24,Lookup!$L$9:$L$24),IF(E119="B",LOOKUP(LOOKUP(G119,$J$4:$J$26,$K$4:$K$26),Lookup!$K$9:$K$24,Lookup!$M$9:$M$24),IF(E119="C",LOOKUP(LOOKUP(G119,$J$4:$J$26,$K$4:$K$26),Lookup!$K$9:$K$24,Lookup!$N$9:$N$24))))</f>
        <v>#N/A</v>
      </c>
      <c r="Q119" s="1024" t="e">
        <f t="shared" si="19"/>
        <v>#N/A</v>
      </c>
      <c r="R119" s="1024" t="e">
        <f t="shared" si="12"/>
        <v>#N/A</v>
      </c>
      <c r="S119" s="828">
        <f t="shared" si="20"/>
        <v>0</v>
      </c>
      <c r="T119" s="1675" t="str">
        <f t="shared" si="13"/>
        <v/>
      </c>
    </row>
    <row r="120" spans="1:20">
      <c r="A120" s="836"/>
      <c r="B120" s="529"/>
      <c r="C120" s="827"/>
      <c r="D120" s="827"/>
      <c r="E120" s="828" t="e">
        <f>LOOKUP(D120,Lookup!$C$9:$C$24,Lookup!$I$9:$I$24)</f>
        <v>#N/A</v>
      </c>
      <c r="F120" s="529"/>
      <c r="G120" s="529"/>
      <c r="H120" s="529"/>
      <c r="I120" s="828" t="e">
        <f t="shared" si="14"/>
        <v>#N/A</v>
      </c>
      <c r="J120" s="643"/>
      <c r="K120" s="829">
        <f t="shared" si="15"/>
        <v>0</v>
      </c>
      <c r="L120" s="830" t="e">
        <f t="shared" si="16"/>
        <v>#DIV/0!</v>
      </c>
      <c r="M120" s="830" t="str">
        <f t="shared" si="17"/>
        <v>N/A</v>
      </c>
      <c r="N120" s="831" t="e">
        <f t="shared" si="11"/>
        <v>#N/A</v>
      </c>
      <c r="O120" s="831">
        <f t="shared" si="18"/>
        <v>0</v>
      </c>
      <c r="P120" s="1024" t="e">
        <f>LOOKUP(G120,$J$4:$J$26,$M$4:$M$26)*LOOKUP(LOOKUP(G120,$J$4:$J$26,$K$4:$K$26),Lookup!$K$9:$K$24,Lookup!$O$9:$O$24)*IF(E120="A",LOOKUP(LOOKUP(G120,$J$4:$J$26,$K$4:$K$26),Lookup!$K$9:$K$24,Lookup!$L$9:$L$24),IF(E120="B",LOOKUP(LOOKUP(G120,$J$4:$J$26,$K$4:$K$26),Lookup!$K$9:$K$24,Lookup!$M$9:$M$24),IF(E120="C",LOOKUP(LOOKUP(G120,$J$4:$J$26,$K$4:$K$26),Lookup!$K$9:$K$24,Lookup!$N$9:$N$24))))</f>
        <v>#N/A</v>
      </c>
      <c r="Q120" s="1024" t="e">
        <f t="shared" si="19"/>
        <v>#N/A</v>
      </c>
      <c r="R120" s="1024" t="e">
        <f t="shared" si="12"/>
        <v>#N/A</v>
      </c>
      <c r="S120" s="828">
        <f t="shared" si="20"/>
        <v>0</v>
      </c>
      <c r="T120" s="1675" t="str">
        <f t="shared" si="13"/>
        <v/>
      </c>
    </row>
    <row r="121" spans="1:20">
      <c r="A121" s="836"/>
      <c r="B121" s="529"/>
      <c r="C121" s="827"/>
      <c r="D121" s="827"/>
      <c r="E121" s="828" t="e">
        <f>LOOKUP(D121,Lookup!$C$9:$C$24,Lookup!$I$9:$I$24)</f>
        <v>#N/A</v>
      </c>
      <c r="F121" s="529"/>
      <c r="G121" s="529"/>
      <c r="H121" s="529"/>
      <c r="I121" s="828" t="e">
        <f t="shared" si="14"/>
        <v>#N/A</v>
      </c>
      <c r="J121" s="643"/>
      <c r="K121" s="829">
        <f t="shared" si="15"/>
        <v>0</v>
      </c>
      <c r="L121" s="830" t="e">
        <f t="shared" si="16"/>
        <v>#DIV/0!</v>
      </c>
      <c r="M121" s="830" t="str">
        <f t="shared" si="17"/>
        <v>N/A</v>
      </c>
      <c r="N121" s="831" t="e">
        <f t="shared" si="11"/>
        <v>#N/A</v>
      </c>
      <c r="O121" s="831">
        <f t="shared" si="18"/>
        <v>0</v>
      </c>
      <c r="P121" s="1024" t="e">
        <f>LOOKUP(G121,$J$4:$J$26,$M$4:$M$26)*LOOKUP(LOOKUP(G121,$J$4:$J$26,$K$4:$K$26),Lookup!$K$9:$K$24,Lookup!$O$9:$O$24)*IF(E121="A",LOOKUP(LOOKUP(G121,$J$4:$J$26,$K$4:$K$26),Lookup!$K$9:$K$24,Lookup!$L$9:$L$24),IF(E121="B",LOOKUP(LOOKUP(G121,$J$4:$J$26,$K$4:$K$26),Lookup!$K$9:$K$24,Lookup!$M$9:$M$24),IF(E121="C",LOOKUP(LOOKUP(G121,$J$4:$J$26,$K$4:$K$26),Lookup!$K$9:$K$24,Lookup!$N$9:$N$24))))</f>
        <v>#N/A</v>
      </c>
      <c r="Q121" s="1024" t="e">
        <f t="shared" si="19"/>
        <v>#N/A</v>
      </c>
      <c r="R121" s="1024" t="e">
        <f t="shared" si="12"/>
        <v>#N/A</v>
      </c>
      <c r="S121" s="828">
        <f t="shared" si="20"/>
        <v>0</v>
      </c>
      <c r="T121" s="1675" t="str">
        <f t="shared" si="13"/>
        <v/>
      </c>
    </row>
    <row r="122" spans="1:20">
      <c r="A122" s="836"/>
      <c r="B122" s="529"/>
      <c r="C122" s="827"/>
      <c r="D122" s="827"/>
      <c r="E122" s="828" t="e">
        <f>LOOKUP(D122,Lookup!$C$9:$C$24,Lookup!$I$9:$I$24)</f>
        <v>#N/A</v>
      </c>
      <c r="F122" s="529"/>
      <c r="G122" s="529"/>
      <c r="H122" s="529"/>
      <c r="I122" s="828" t="e">
        <f t="shared" si="14"/>
        <v>#N/A</v>
      </c>
      <c r="J122" s="643"/>
      <c r="K122" s="829">
        <f t="shared" si="15"/>
        <v>0</v>
      </c>
      <c r="L122" s="830" t="e">
        <f t="shared" si="16"/>
        <v>#DIV/0!</v>
      </c>
      <c r="M122" s="830" t="str">
        <f t="shared" si="17"/>
        <v>N/A</v>
      </c>
      <c r="N122" s="831" t="e">
        <f t="shared" si="11"/>
        <v>#N/A</v>
      </c>
      <c r="O122" s="831">
        <f t="shared" si="18"/>
        <v>0</v>
      </c>
      <c r="P122" s="1024" t="e">
        <f>LOOKUP(G122,$J$4:$J$26,$M$4:$M$26)*LOOKUP(LOOKUP(G122,$J$4:$J$26,$K$4:$K$26),Lookup!$K$9:$K$24,Lookup!$O$9:$O$24)*IF(E122="A",LOOKUP(LOOKUP(G122,$J$4:$J$26,$K$4:$K$26),Lookup!$K$9:$K$24,Lookup!$L$9:$L$24),IF(E122="B",LOOKUP(LOOKUP(G122,$J$4:$J$26,$K$4:$K$26),Lookup!$K$9:$K$24,Lookup!$M$9:$M$24),IF(E122="C",LOOKUP(LOOKUP(G122,$J$4:$J$26,$K$4:$K$26),Lookup!$K$9:$K$24,Lookup!$N$9:$N$24))))</f>
        <v>#N/A</v>
      </c>
      <c r="Q122" s="1024" t="e">
        <f t="shared" si="19"/>
        <v>#N/A</v>
      </c>
      <c r="R122" s="1024" t="e">
        <f t="shared" si="12"/>
        <v>#N/A</v>
      </c>
      <c r="S122" s="828">
        <f t="shared" si="20"/>
        <v>0</v>
      </c>
      <c r="T122" s="1675" t="str">
        <f t="shared" si="13"/>
        <v/>
      </c>
    </row>
    <row r="123" spans="1:20">
      <c r="A123" s="836"/>
      <c r="B123" s="529"/>
      <c r="C123" s="827"/>
      <c r="D123" s="827"/>
      <c r="E123" s="828" t="e">
        <f>LOOKUP(D123,Lookup!$C$9:$C$24,Lookup!$I$9:$I$24)</f>
        <v>#N/A</v>
      </c>
      <c r="F123" s="529"/>
      <c r="G123" s="529"/>
      <c r="H123" s="529"/>
      <c r="I123" s="828" t="e">
        <f t="shared" si="14"/>
        <v>#N/A</v>
      </c>
      <c r="J123" s="643"/>
      <c r="K123" s="829">
        <f t="shared" si="15"/>
        <v>0</v>
      </c>
      <c r="L123" s="830" t="e">
        <f t="shared" si="16"/>
        <v>#DIV/0!</v>
      </c>
      <c r="M123" s="830" t="str">
        <f t="shared" si="17"/>
        <v>N/A</v>
      </c>
      <c r="N123" s="831" t="e">
        <f t="shared" si="11"/>
        <v>#N/A</v>
      </c>
      <c r="O123" s="831">
        <f t="shared" si="18"/>
        <v>0</v>
      </c>
      <c r="P123" s="1024" t="e">
        <f>LOOKUP(G123,$J$4:$J$26,$M$4:$M$26)*LOOKUP(LOOKUP(G123,$J$4:$J$26,$K$4:$K$26),Lookup!$K$9:$K$24,Lookup!$O$9:$O$24)*IF(E123="A",LOOKUP(LOOKUP(G123,$J$4:$J$26,$K$4:$K$26),Lookup!$K$9:$K$24,Lookup!$L$9:$L$24),IF(E123="B",LOOKUP(LOOKUP(G123,$J$4:$J$26,$K$4:$K$26),Lookup!$K$9:$K$24,Lookup!$M$9:$M$24),IF(E123="C",LOOKUP(LOOKUP(G123,$J$4:$J$26,$K$4:$K$26),Lookup!$K$9:$K$24,Lookup!$N$9:$N$24))))</f>
        <v>#N/A</v>
      </c>
      <c r="Q123" s="1024" t="e">
        <f t="shared" si="19"/>
        <v>#N/A</v>
      </c>
      <c r="R123" s="1024" t="e">
        <f t="shared" si="12"/>
        <v>#N/A</v>
      </c>
      <c r="S123" s="828">
        <f t="shared" si="20"/>
        <v>0</v>
      </c>
      <c r="T123" s="1675" t="str">
        <f t="shared" si="13"/>
        <v/>
      </c>
    </row>
    <row r="124" spans="1:20">
      <c r="A124" s="836"/>
      <c r="B124" s="529"/>
      <c r="C124" s="837"/>
      <c r="D124" s="827"/>
      <c r="E124" s="828" t="e">
        <f>LOOKUP(D124,Lookup!$C$9:$C$24,Lookup!$I$9:$I$24)</f>
        <v>#N/A</v>
      </c>
      <c r="F124" s="529"/>
      <c r="G124" s="529"/>
      <c r="H124" s="529"/>
      <c r="I124" s="828" t="e">
        <f t="shared" si="14"/>
        <v>#N/A</v>
      </c>
      <c r="J124" s="643"/>
      <c r="K124" s="829">
        <f t="shared" si="15"/>
        <v>0</v>
      </c>
      <c r="L124" s="830" t="e">
        <f t="shared" si="16"/>
        <v>#DIV/0!</v>
      </c>
      <c r="M124" s="830" t="str">
        <f t="shared" si="17"/>
        <v>N/A</v>
      </c>
      <c r="N124" s="831" t="e">
        <f t="shared" si="11"/>
        <v>#N/A</v>
      </c>
      <c r="O124" s="831">
        <f t="shared" si="18"/>
        <v>0</v>
      </c>
      <c r="P124" s="1024" t="e">
        <f>LOOKUP(G124,$J$4:$J$26,$M$4:$M$26)*LOOKUP(LOOKUP(G124,$J$4:$J$26,$K$4:$K$26),Lookup!$K$9:$K$24,Lookup!$O$9:$O$24)*IF(E124="A",LOOKUP(LOOKUP(G124,$J$4:$J$26,$K$4:$K$26),Lookup!$K$9:$K$24,Lookup!$L$9:$L$24),IF(E124="B",LOOKUP(LOOKUP(G124,$J$4:$J$26,$K$4:$K$26),Lookup!$K$9:$K$24,Lookup!$M$9:$M$24),IF(E124="C",LOOKUP(LOOKUP(G124,$J$4:$J$26,$K$4:$K$26),Lookup!$K$9:$K$24,Lookup!$N$9:$N$24))))</f>
        <v>#N/A</v>
      </c>
      <c r="Q124" s="1024" t="e">
        <f t="shared" si="19"/>
        <v>#N/A</v>
      </c>
      <c r="R124" s="1024" t="e">
        <f t="shared" si="12"/>
        <v>#N/A</v>
      </c>
      <c r="S124" s="828">
        <f t="shared" si="20"/>
        <v>0</v>
      </c>
      <c r="T124" s="1675" t="str">
        <f t="shared" si="13"/>
        <v/>
      </c>
    </row>
    <row r="125" spans="1:20">
      <c r="A125" s="836"/>
      <c r="B125" s="529"/>
      <c r="C125" s="827"/>
      <c r="D125" s="827"/>
      <c r="E125" s="828" t="e">
        <f>LOOKUP(D125,Lookup!$C$9:$C$24,Lookup!$I$9:$I$24)</f>
        <v>#N/A</v>
      </c>
      <c r="F125" s="529"/>
      <c r="G125" s="529"/>
      <c r="H125" s="529"/>
      <c r="I125" s="828" t="e">
        <f t="shared" si="14"/>
        <v>#N/A</v>
      </c>
      <c r="J125" s="643"/>
      <c r="K125" s="829">
        <f t="shared" si="15"/>
        <v>0</v>
      </c>
      <c r="L125" s="830" t="e">
        <f t="shared" si="16"/>
        <v>#DIV/0!</v>
      </c>
      <c r="M125" s="830" t="str">
        <f t="shared" si="17"/>
        <v>N/A</v>
      </c>
      <c r="N125" s="831" t="e">
        <f t="shared" si="11"/>
        <v>#N/A</v>
      </c>
      <c r="O125" s="831">
        <f t="shared" si="18"/>
        <v>0</v>
      </c>
      <c r="P125" s="1024" t="e">
        <f>LOOKUP(G125,$J$4:$J$26,$M$4:$M$26)*LOOKUP(LOOKUP(G125,$J$4:$J$26,$K$4:$K$26),Lookup!$K$9:$K$24,Lookup!$O$9:$O$24)*IF(E125="A",LOOKUP(LOOKUP(G125,$J$4:$J$26,$K$4:$K$26),Lookup!$K$9:$K$24,Lookup!$L$9:$L$24),IF(E125="B",LOOKUP(LOOKUP(G125,$J$4:$J$26,$K$4:$K$26),Lookup!$K$9:$K$24,Lookup!$M$9:$M$24),IF(E125="C",LOOKUP(LOOKUP(G125,$J$4:$J$26,$K$4:$K$26),Lookup!$K$9:$K$24,Lookup!$N$9:$N$24))))</f>
        <v>#N/A</v>
      </c>
      <c r="Q125" s="1024" t="e">
        <f t="shared" si="19"/>
        <v>#N/A</v>
      </c>
      <c r="R125" s="1024" t="e">
        <f t="shared" si="12"/>
        <v>#N/A</v>
      </c>
      <c r="S125" s="828">
        <f t="shared" si="20"/>
        <v>0</v>
      </c>
      <c r="T125" s="1675" t="str">
        <f t="shared" si="13"/>
        <v/>
      </c>
    </row>
    <row r="126" spans="1:20">
      <c r="A126" s="836"/>
      <c r="B126" s="529"/>
      <c r="C126" s="827"/>
      <c r="D126" s="827"/>
      <c r="E126" s="828" t="e">
        <f>LOOKUP(D126,Lookup!$C$9:$C$24,Lookup!$I$9:$I$24)</f>
        <v>#N/A</v>
      </c>
      <c r="F126" s="529"/>
      <c r="G126" s="529"/>
      <c r="H126" s="529"/>
      <c r="I126" s="828" t="e">
        <f t="shared" si="14"/>
        <v>#N/A</v>
      </c>
      <c r="J126" s="643"/>
      <c r="K126" s="829">
        <f t="shared" si="15"/>
        <v>0</v>
      </c>
      <c r="L126" s="830" t="e">
        <f t="shared" si="16"/>
        <v>#DIV/0!</v>
      </c>
      <c r="M126" s="830" t="str">
        <f t="shared" si="17"/>
        <v>N/A</v>
      </c>
      <c r="N126" s="831" t="e">
        <f t="shared" si="11"/>
        <v>#N/A</v>
      </c>
      <c r="O126" s="831">
        <f t="shared" si="18"/>
        <v>0</v>
      </c>
      <c r="P126" s="1024" t="e">
        <f>LOOKUP(G126,$J$4:$J$26,$M$4:$M$26)*LOOKUP(LOOKUP(G126,$J$4:$J$26,$K$4:$K$26),Lookup!$K$9:$K$24,Lookup!$O$9:$O$24)*IF(E126="A",LOOKUP(LOOKUP(G126,$J$4:$J$26,$K$4:$K$26),Lookup!$K$9:$K$24,Lookup!$L$9:$L$24),IF(E126="B",LOOKUP(LOOKUP(G126,$J$4:$J$26,$K$4:$K$26),Lookup!$K$9:$K$24,Lookup!$M$9:$M$24),IF(E126="C",LOOKUP(LOOKUP(G126,$J$4:$J$26,$K$4:$K$26),Lookup!$K$9:$K$24,Lookup!$N$9:$N$24))))</f>
        <v>#N/A</v>
      </c>
      <c r="Q126" s="1024" t="e">
        <f t="shared" si="19"/>
        <v>#N/A</v>
      </c>
      <c r="R126" s="1024" t="e">
        <f t="shared" si="12"/>
        <v>#N/A</v>
      </c>
      <c r="S126" s="828">
        <f t="shared" si="20"/>
        <v>0</v>
      </c>
      <c r="T126" s="1675" t="str">
        <f t="shared" si="13"/>
        <v/>
      </c>
    </row>
    <row r="127" spans="1:20">
      <c r="A127" s="836"/>
      <c r="B127" s="529"/>
      <c r="C127" s="827"/>
      <c r="D127" s="827"/>
      <c r="E127" s="828" t="e">
        <f>LOOKUP(D127,Lookup!$C$9:$C$24,Lookup!$I$9:$I$24)</f>
        <v>#N/A</v>
      </c>
      <c r="F127" s="529"/>
      <c r="G127" s="529"/>
      <c r="H127" s="529"/>
      <c r="I127" s="828" t="e">
        <f t="shared" si="14"/>
        <v>#N/A</v>
      </c>
      <c r="J127" s="643"/>
      <c r="K127" s="829">
        <f t="shared" si="15"/>
        <v>0</v>
      </c>
      <c r="L127" s="830" t="e">
        <f t="shared" si="16"/>
        <v>#DIV/0!</v>
      </c>
      <c r="M127" s="830" t="str">
        <f t="shared" si="17"/>
        <v>N/A</v>
      </c>
      <c r="N127" s="831" t="e">
        <f t="shared" si="11"/>
        <v>#N/A</v>
      </c>
      <c r="O127" s="831">
        <f t="shared" si="18"/>
        <v>0</v>
      </c>
      <c r="P127" s="1024" t="e">
        <f>LOOKUP(G127,$J$4:$J$26,$M$4:$M$26)*LOOKUP(LOOKUP(G127,$J$4:$J$26,$K$4:$K$26),Lookup!$K$9:$K$24,Lookup!$O$9:$O$24)*IF(E127="A",LOOKUP(LOOKUP(G127,$J$4:$J$26,$K$4:$K$26),Lookup!$K$9:$K$24,Lookup!$L$9:$L$24),IF(E127="B",LOOKUP(LOOKUP(G127,$J$4:$J$26,$K$4:$K$26),Lookup!$K$9:$K$24,Lookup!$M$9:$M$24),IF(E127="C",LOOKUP(LOOKUP(G127,$J$4:$J$26,$K$4:$K$26),Lookup!$K$9:$K$24,Lookup!$N$9:$N$24))))</f>
        <v>#N/A</v>
      </c>
      <c r="Q127" s="1024" t="e">
        <f t="shared" si="19"/>
        <v>#N/A</v>
      </c>
      <c r="R127" s="1024" t="e">
        <f t="shared" si="12"/>
        <v>#N/A</v>
      </c>
      <c r="S127" s="828">
        <f t="shared" si="20"/>
        <v>0</v>
      </c>
      <c r="T127" s="1675" t="str">
        <f t="shared" si="13"/>
        <v/>
      </c>
    </row>
    <row r="128" spans="1:20">
      <c r="A128" s="836"/>
      <c r="B128" s="529"/>
      <c r="C128" s="827"/>
      <c r="D128" s="827"/>
      <c r="E128" s="828" t="e">
        <f>LOOKUP(D128,Lookup!$C$9:$C$24,Lookup!$I$9:$I$24)</f>
        <v>#N/A</v>
      </c>
      <c r="F128" s="529"/>
      <c r="G128" s="529"/>
      <c r="H128" s="529"/>
      <c r="I128" s="828" t="e">
        <f t="shared" si="14"/>
        <v>#N/A</v>
      </c>
      <c r="J128" s="643"/>
      <c r="K128" s="829">
        <f t="shared" si="15"/>
        <v>0</v>
      </c>
      <c r="L128" s="830" t="e">
        <f t="shared" si="16"/>
        <v>#DIV/0!</v>
      </c>
      <c r="M128" s="830" t="str">
        <f t="shared" si="17"/>
        <v>N/A</v>
      </c>
      <c r="N128" s="831" t="e">
        <f t="shared" si="11"/>
        <v>#N/A</v>
      </c>
      <c r="O128" s="831">
        <f t="shared" si="18"/>
        <v>0</v>
      </c>
      <c r="P128" s="1024" t="e">
        <f>LOOKUP(G128,$J$4:$J$26,$M$4:$M$26)*LOOKUP(LOOKUP(G128,$J$4:$J$26,$K$4:$K$26),Lookup!$K$9:$K$24,Lookup!$O$9:$O$24)*IF(E128="A",LOOKUP(LOOKUP(G128,$J$4:$J$26,$K$4:$K$26),Lookup!$K$9:$K$24,Lookup!$L$9:$L$24),IF(E128="B",LOOKUP(LOOKUP(G128,$J$4:$J$26,$K$4:$K$26),Lookup!$K$9:$K$24,Lookup!$M$9:$M$24),IF(E128="C",LOOKUP(LOOKUP(G128,$J$4:$J$26,$K$4:$K$26),Lookup!$K$9:$K$24,Lookup!$N$9:$N$24))))</f>
        <v>#N/A</v>
      </c>
      <c r="Q128" s="1024" t="e">
        <f t="shared" si="19"/>
        <v>#N/A</v>
      </c>
      <c r="R128" s="1024" t="e">
        <f t="shared" si="12"/>
        <v>#N/A</v>
      </c>
      <c r="S128" s="828">
        <f t="shared" si="20"/>
        <v>0</v>
      </c>
      <c r="T128" s="1675" t="str">
        <f t="shared" si="13"/>
        <v/>
      </c>
    </row>
    <row r="129" spans="1:20">
      <c r="A129" s="826"/>
      <c r="B129" s="529"/>
      <c r="C129" s="827"/>
      <c r="D129" s="827"/>
      <c r="E129" s="828" t="e">
        <f>LOOKUP(D129,Lookup!$C$9:$C$24,Lookup!$I$9:$I$24)</f>
        <v>#N/A</v>
      </c>
      <c r="F129" s="529"/>
      <c r="G129" s="529"/>
      <c r="H129" s="529"/>
      <c r="I129" s="828" t="e">
        <f t="shared" si="14"/>
        <v>#N/A</v>
      </c>
      <c r="J129" s="643"/>
      <c r="K129" s="829">
        <f t="shared" si="15"/>
        <v>0</v>
      </c>
      <c r="L129" s="830" t="e">
        <f t="shared" si="16"/>
        <v>#DIV/0!</v>
      </c>
      <c r="M129" s="830" t="str">
        <f t="shared" si="17"/>
        <v>N/A</v>
      </c>
      <c r="N129" s="831" t="e">
        <f t="shared" si="11"/>
        <v>#N/A</v>
      </c>
      <c r="O129" s="831">
        <f t="shared" si="18"/>
        <v>0</v>
      </c>
      <c r="P129" s="1024" t="e">
        <f>LOOKUP(G129,$J$4:$J$26,$M$4:$M$26)*LOOKUP(LOOKUP(G129,$J$4:$J$26,$K$4:$K$26),Lookup!$K$9:$K$24,Lookup!$O$9:$O$24)*IF(E129="A",LOOKUP(LOOKUP(G129,$J$4:$J$26,$K$4:$K$26),Lookup!$K$9:$K$24,Lookup!$L$9:$L$24),IF(E129="B",LOOKUP(LOOKUP(G129,$J$4:$J$26,$K$4:$K$26),Lookup!$K$9:$K$24,Lookup!$M$9:$M$24),IF(E129="C",LOOKUP(LOOKUP(G129,$J$4:$J$26,$K$4:$K$26),Lookup!$K$9:$K$24,Lookup!$N$9:$N$24))))</f>
        <v>#N/A</v>
      </c>
      <c r="Q129" s="1024" t="e">
        <f t="shared" si="19"/>
        <v>#N/A</v>
      </c>
      <c r="R129" s="1024" t="e">
        <f t="shared" si="12"/>
        <v>#N/A</v>
      </c>
      <c r="S129" s="828">
        <f t="shared" si="20"/>
        <v>0</v>
      </c>
      <c r="T129" s="1675" t="str">
        <f t="shared" si="13"/>
        <v/>
      </c>
    </row>
    <row r="130" spans="1:20">
      <c r="A130" s="826"/>
      <c r="B130" s="529"/>
      <c r="C130" s="827"/>
      <c r="D130" s="827"/>
      <c r="E130" s="828" t="e">
        <f>LOOKUP(D130,Lookup!$C$9:$C$24,Lookup!$I$9:$I$24)</f>
        <v>#N/A</v>
      </c>
      <c r="F130" s="529"/>
      <c r="G130" s="529"/>
      <c r="H130" s="529"/>
      <c r="I130" s="828" t="e">
        <f t="shared" si="14"/>
        <v>#N/A</v>
      </c>
      <c r="J130" s="643"/>
      <c r="K130" s="829">
        <f t="shared" si="15"/>
        <v>0</v>
      </c>
      <c r="L130" s="830" t="e">
        <f t="shared" si="16"/>
        <v>#DIV/0!</v>
      </c>
      <c r="M130" s="830" t="str">
        <f t="shared" si="17"/>
        <v>N/A</v>
      </c>
      <c r="N130" s="831" t="e">
        <f t="shared" si="11"/>
        <v>#N/A</v>
      </c>
      <c r="O130" s="831">
        <f t="shared" si="18"/>
        <v>0</v>
      </c>
      <c r="P130" s="1024" t="e">
        <f>LOOKUP(G130,$J$4:$J$26,$M$4:$M$26)*LOOKUP(LOOKUP(G130,$J$4:$J$26,$K$4:$K$26),Lookup!$K$9:$K$24,Lookup!$O$9:$O$24)*IF(E130="A",LOOKUP(LOOKUP(G130,$J$4:$J$26,$K$4:$K$26),Lookup!$K$9:$K$24,Lookup!$L$9:$L$24),IF(E130="B",LOOKUP(LOOKUP(G130,$J$4:$J$26,$K$4:$K$26),Lookup!$K$9:$K$24,Lookup!$M$9:$M$24),IF(E130="C",LOOKUP(LOOKUP(G130,$J$4:$J$26,$K$4:$K$26),Lookup!$K$9:$K$24,Lookup!$N$9:$N$24))))</f>
        <v>#N/A</v>
      </c>
      <c r="Q130" s="1024" t="e">
        <f t="shared" si="19"/>
        <v>#N/A</v>
      </c>
      <c r="R130" s="1024" t="e">
        <f t="shared" si="12"/>
        <v>#N/A</v>
      </c>
      <c r="S130" s="828">
        <f t="shared" si="20"/>
        <v>0</v>
      </c>
      <c r="T130" s="1675" t="str">
        <f t="shared" si="13"/>
        <v/>
      </c>
    </row>
    <row r="131" spans="1:20">
      <c r="A131" s="826"/>
      <c r="B131" s="529"/>
      <c r="C131" s="837"/>
      <c r="D131" s="827"/>
      <c r="E131" s="828" t="e">
        <f>LOOKUP(D131,Lookup!$C$9:$C$24,Lookup!$I$9:$I$24)</f>
        <v>#N/A</v>
      </c>
      <c r="F131" s="529"/>
      <c r="G131" s="529"/>
      <c r="H131" s="529"/>
      <c r="I131" s="828" t="e">
        <f t="shared" si="14"/>
        <v>#N/A</v>
      </c>
      <c r="J131" s="643"/>
      <c r="K131" s="829">
        <f t="shared" si="15"/>
        <v>0</v>
      </c>
      <c r="L131" s="830" t="e">
        <f t="shared" si="16"/>
        <v>#DIV/0!</v>
      </c>
      <c r="M131" s="830" t="str">
        <f t="shared" si="17"/>
        <v>N/A</v>
      </c>
      <c r="N131" s="831" t="e">
        <f t="shared" si="11"/>
        <v>#N/A</v>
      </c>
      <c r="O131" s="831">
        <f t="shared" si="18"/>
        <v>0</v>
      </c>
      <c r="P131" s="1024" t="e">
        <f>LOOKUP(G131,$J$4:$J$26,$M$4:$M$26)*LOOKUP(LOOKUP(G131,$J$4:$J$26,$K$4:$K$26),Lookup!$K$9:$K$24,Lookup!$O$9:$O$24)*IF(E131="A",LOOKUP(LOOKUP(G131,$J$4:$J$26,$K$4:$K$26),Lookup!$K$9:$K$24,Lookup!$L$9:$L$24),IF(E131="B",LOOKUP(LOOKUP(G131,$J$4:$J$26,$K$4:$K$26),Lookup!$K$9:$K$24,Lookup!$M$9:$M$24),IF(E131="C",LOOKUP(LOOKUP(G131,$J$4:$J$26,$K$4:$K$26),Lookup!$K$9:$K$24,Lookup!$N$9:$N$24))))</f>
        <v>#N/A</v>
      </c>
      <c r="Q131" s="1024" t="e">
        <f t="shared" si="19"/>
        <v>#N/A</v>
      </c>
      <c r="R131" s="1024" t="e">
        <f t="shared" si="12"/>
        <v>#N/A</v>
      </c>
      <c r="S131" s="828">
        <f t="shared" si="20"/>
        <v>0</v>
      </c>
      <c r="T131" s="1675" t="str">
        <f t="shared" si="13"/>
        <v/>
      </c>
    </row>
    <row r="132" spans="1:20">
      <c r="A132" s="835"/>
      <c r="B132" s="529"/>
      <c r="C132" s="827"/>
      <c r="D132" s="827"/>
      <c r="E132" s="828" t="e">
        <f>LOOKUP(D132,Lookup!$C$9:$C$24,Lookup!$I$9:$I$24)</f>
        <v>#N/A</v>
      </c>
      <c r="F132" s="529"/>
      <c r="G132" s="529"/>
      <c r="H132" s="529"/>
      <c r="I132" s="828" t="e">
        <f t="shared" si="14"/>
        <v>#N/A</v>
      </c>
      <c r="J132" s="643"/>
      <c r="K132" s="829">
        <f t="shared" si="15"/>
        <v>0</v>
      </c>
      <c r="L132" s="830" t="e">
        <f t="shared" si="16"/>
        <v>#DIV/0!</v>
      </c>
      <c r="M132" s="830" t="str">
        <f t="shared" si="17"/>
        <v>N/A</v>
      </c>
      <c r="N132" s="831" t="e">
        <f t="shared" si="11"/>
        <v>#N/A</v>
      </c>
      <c r="O132" s="831">
        <f t="shared" si="18"/>
        <v>0</v>
      </c>
      <c r="P132" s="1024" t="e">
        <f>LOOKUP(G132,$J$4:$J$26,$M$4:$M$26)*LOOKUP(LOOKUP(G132,$J$4:$J$26,$K$4:$K$26),Lookup!$K$9:$K$24,Lookup!$O$9:$O$24)*IF(E132="A",LOOKUP(LOOKUP(G132,$J$4:$J$26,$K$4:$K$26),Lookup!$K$9:$K$24,Lookup!$L$9:$L$24),IF(E132="B",LOOKUP(LOOKUP(G132,$J$4:$J$26,$K$4:$K$26),Lookup!$K$9:$K$24,Lookup!$M$9:$M$24),IF(E132="C",LOOKUP(LOOKUP(G132,$J$4:$J$26,$K$4:$K$26),Lookup!$K$9:$K$24,Lookup!$N$9:$N$24))))</f>
        <v>#N/A</v>
      </c>
      <c r="Q132" s="1024" t="e">
        <f t="shared" si="19"/>
        <v>#N/A</v>
      </c>
      <c r="R132" s="1024" t="e">
        <f t="shared" si="12"/>
        <v>#N/A</v>
      </c>
      <c r="S132" s="828">
        <f t="shared" si="20"/>
        <v>0</v>
      </c>
      <c r="T132" s="1675" t="str">
        <f t="shared" si="13"/>
        <v/>
      </c>
    </row>
    <row r="133" spans="1:20">
      <c r="A133" s="826"/>
      <c r="B133" s="529"/>
      <c r="C133" s="827"/>
      <c r="D133" s="827"/>
      <c r="E133" s="828" t="e">
        <f>LOOKUP(D133,Lookup!$C$9:$C$24,Lookup!$I$9:$I$24)</f>
        <v>#N/A</v>
      </c>
      <c r="F133" s="529"/>
      <c r="G133" s="529"/>
      <c r="H133" s="529"/>
      <c r="I133" s="828" t="e">
        <f t="shared" si="14"/>
        <v>#N/A</v>
      </c>
      <c r="J133" s="643"/>
      <c r="K133" s="829">
        <f t="shared" si="15"/>
        <v>0</v>
      </c>
      <c r="L133" s="830" t="e">
        <f t="shared" si="16"/>
        <v>#DIV/0!</v>
      </c>
      <c r="M133" s="830" t="str">
        <f t="shared" si="17"/>
        <v>N/A</v>
      </c>
      <c r="N133" s="831" t="e">
        <f t="shared" si="11"/>
        <v>#N/A</v>
      </c>
      <c r="O133" s="831">
        <f t="shared" si="18"/>
        <v>0</v>
      </c>
      <c r="P133" s="1024" t="e">
        <f>LOOKUP(G133,$J$4:$J$26,$M$4:$M$26)*LOOKUP(LOOKUP(G133,$J$4:$J$26,$K$4:$K$26),Lookup!$K$9:$K$24,Lookup!$O$9:$O$24)*IF(E133="A",LOOKUP(LOOKUP(G133,$J$4:$J$26,$K$4:$K$26),Lookup!$K$9:$K$24,Lookup!$L$9:$L$24),IF(E133="B",LOOKUP(LOOKUP(G133,$J$4:$J$26,$K$4:$K$26),Lookup!$K$9:$K$24,Lookup!$M$9:$M$24),IF(E133="C",LOOKUP(LOOKUP(G133,$J$4:$J$26,$K$4:$K$26),Lookup!$K$9:$K$24,Lookup!$N$9:$N$24))))</f>
        <v>#N/A</v>
      </c>
      <c r="Q133" s="1024" t="e">
        <f t="shared" si="19"/>
        <v>#N/A</v>
      </c>
      <c r="R133" s="1024" t="e">
        <f t="shared" si="12"/>
        <v>#N/A</v>
      </c>
      <c r="S133" s="828">
        <f t="shared" si="20"/>
        <v>0</v>
      </c>
      <c r="T133" s="1675" t="str">
        <f t="shared" si="13"/>
        <v/>
      </c>
    </row>
    <row r="134" spans="1:20">
      <c r="A134" s="826"/>
      <c r="B134" s="529"/>
      <c r="C134" s="837"/>
      <c r="D134" s="827"/>
      <c r="E134" s="828" t="e">
        <f>LOOKUP(D134,Lookup!$C$9:$C$24,Lookup!$I$9:$I$24)</f>
        <v>#N/A</v>
      </c>
      <c r="F134" s="529"/>
      <c r="G134" s="529"/>
      <c r="H134" s="529"/>
      <c r="I134" s="828" t="e">
        <f t="shared" si="14"/>
        <v>#N/A</v>
      </c>
      <c r="J134" s="643"/>
      <c r="K134" s="829">
        <f t="shared" si="15"/>
        <v>0</v>
      </c>
      <c r="L134" s="830" t="e">
        <f t="shared" si="16"/>
        <v>#DIV/0!</v>
      </c>
      <c r="M134" s="830" t="str">
        <f t="shared" si="17"/>
        <v>N/A</v>
      </c>
      <c r="N134" s="831" t="e">
        <f t="shared" si="11"/>
        <v>#N/A</v>
      </c>
      <c r="O134" s="831">
        <f t="shared" si="18"/>
        <v>0</v>
      </c>
      <c r="P134" s="1024" t="e">
        <f>LOOKUP(G134,$J$4:$J$26,$M$4:$M$26)*LOOKUP(LOOKUP(G134,$J$4:$J$26,$K$4:$K$26),Lookup!$K$9:$K$24,Lookup!$O$9:$O$24)*IF(E134="A",LOOKUP(LOOKUP(G134,$J$4:$J$26,$K$4:$K$26),Lookup!$K$9:$K$24,Lookup!$L$9:$L$24),IF(E134="B",LOOKUP(LOOKUP(G134,$J$4:$J$26,$K$4:$K$26),Lookup!$K$9:$K$24,Lookup!$M$9:$M$24),IF(E134="C",LOOKUP(LOOKUP(G134,$J$4:$J$26,$K$4:$K$26),Lookup!$K$9:$K$24,Lookup!$N$9:$N$24))))</f>
        <v>#N/A</v>
      </c>
      <c r="Q134" s="1024" t="e">
        <f t="shared" si="19"/>
        <v>#N/A</v>
      </c>
      <c r="R134" s="1024" t="e">
        <f t="shared" si="12"/>
        <v>#N/A</v>
      </c>
      <c r="S134" s="828">
        <f t="shared" si="20"/>
        <v>0</v>
      </c>
      <c r="T134" s="1675" t="str">
        <f t="shared" si="13"/>
        <v/>
      </c>
    </row>
    <row r="135" spans="1:20">
      <c r="A135" s="826"/>
      <c r="B135" s="529"/>
      <c r="C135" s="827"/>
      <c r="D135" s="827"/>
      <c r="E135" s="828" t="e">
        <f>LOOKUP(D135,Lookup!$C$9:$C$24,Lookup!$I$9:$I$24)</f>
        <v>#N/A</v>
      </c>
      <c r="F135" s="529"/>
      <c r="G135" s="529"/>
      <c r="H135" s="529"/>
      <c r="I135" s="828" t="e">
        <f t="shared" si="14"/>
        <v>#N/A</v>
      </c>
      <c r="J135" s="643"/>
      <c r="K135" s="829">
        <f t="shared" si="15"/>
        <v>0</v>
      </c>
      <c r="L135" s="830" t="e">
        <f t="shared" si="16"/>
        <v>#DIV/0!</v>
      </c>
      <c r="M135" s="830" t="str">
        <f t="shared" si="17"/>
        <v>N/A</v>
      </c>
      <c r="N135" s="831" t="e">
        <f t="shared" si="11"/>
        <v>#N/A</v>
      </c>
      <c r="O135" s="831">
        <f t="shared" si="18"/>
        <v>0</v>
      </c>
      <c r="P135" s="1024" t="e">
        <f>LOOKUP(G135,$J$4:$J$26,$M$4:$M$26)*LOOKUP(LOOKUP(G135,$J$4:$J$26,$K$4:$K$26),Lookup!$K$9:$K$24,Lookup!$O$9:$O$24)*IF(E135="A",LOOKUP(LOOKUP(G135,$J$4:$J$26,$K$4:$K$26),Lookup!$K$9:$K$24,Lookup!$L$9:$L$24),IF(E135="B",LOOKUP(LOOKUP(G135,$J$4:$J$26,$K$4:$K$26),Lookup!$K$9:$K$24,Lookup!$M$9:$M$24),IF(E135="C",LOOKUP(LOOKUP(G135,$J$4:$J$26,$K$4:$K$26),Lookup!$K$9:$K$24,Lookup!$N$9:$N$24))))</f>
        <v>#N/A</v>
      </c>
      <c r="Q135" s="1024" t="e">
        <f t="shared" si="19"/>
        <v>#N/A</v>
      </c>
      <c r="R135" s="1024" t="e">
        <f t="shared" si="12"/>
        <v>#N/A</v>
      </c>
      <c r="S135" s="828">
        <f t="shared" si="20"/>
        <v>0</v>
      </c>
      <c r="T135" s="1675" t="str">
        <f t="shared" si="13"/>
        <v/>
      </c>
    </row>
    <row r="136" spans="1:20">
      <c r="A136" s="826"/>
      <c r="B136" s="529"/>
      <c r="C136" s="827"/>
      <c r="D136" s="827"/>
      <c r="E136" s="828" t="e">
        <f>LOOKUP(D136,Lookup!$C$9:$C$24,Lookup!$I$9:$I$24)</f>
        <v>#N/A</v>
      </c>
      <c r="F136" s="529"/>
      <c r="G136" s="529"/>
      <c r="H136" s="529"/>
      <c r="I136" s="828" t="e">
        <f t="shared" si="14"/>
        <v>#N/A</v>
      </c>
      <c r="J136" s="643"/>
      <c r="K136" s="829">
        <f t="shared" si="15"/>
        <v>0</v>
      </c>
      <c r="L136" s="830" t="e">
        <f t="shared" si="16"/>
        <v>#DIV/0!</v>
      </c>
      <c r="M136" s="830" t="str">
        <f t="shared" si="17"/>
        <v>N/A</v>
      </c>
      <c r="N136" s="831" t="e">
        <f t="shared" si="11"/>
        <v>#N/A</v>
      </c>
      <c r="O136" s="831">
        <f t="shared" si="18"/>
        <v>0</v>
      </c>
      <c r="P136" s="1024" t="e">
        <f>LOOKUP(G136,$J$4:$J$26,$M$4:$M$26)*LOOKUP(LOOKUP(G136,$J$4:$J$26,$K$4:$K$26),Lookup!$K$9:$K$24,Lookup!$O$9:$O$24)*IF(E136="A",LOOKUP(LOOKUP(G136,$J$4:$J$26,$K$4:$K$26),Lookup!$K$9:$K$24,Lookup!$L$9:$L$24),IF(E136="B",LOOKUP(LOOKUP(G136,$J$4:$J$26,$K$4:$K$26),Lookup!$K$9:$K$24,Lookup!$M$9:$M$24),IF(E136="C",LOOKUP(LOOKUP(G136,$J$4:$J$26,$K$4:$K$26),Lookup!$K$9:$K$24,Lookup!$N$9:$N$24))))</f>
        <v>#N/A</v>
      </c>
      <c r="Q136" s="1024" t="e">
        <f t="shared" si="19"/>
        <v>#N/A</v>
      </c>
      <c r="R136" s="1024" t="e">
        <f t="shared" si="12"/>
        <v>#N/A</v>
      </c>
      <c r="S136" s="828">
        <f t="shared" si="20"/>
        <v>0</v>
      </c>
      <c r="T136" s="1675" t="str">
        <f t="shared" si="13"/>
        <v/>
      </c>
    </row>
    <row r="137" spans="1:20">
      <c r="A137" s="826"/>
      <c r="B137" s="529"/>
      <c r="C137" s="827"/>
      <c r="D137" s="827"/>
      <c r="E137" s="828" t="e">
        <f>LOOKUP(D137,Lookup!$C$9:$C$24,Lookup!$I$9:$I$24)</f>
        <v>#N/A</v>
      </c>
      <c r="F137" s="529"/>
      <c r="G137" s="529"/>
      <c r="H137" s="529"/>
      <c r="I137" s="828" t="e">
        <f t="shared" si="14"/>
        <v>#N/A</v>
      </c>
      <c r="J137" s="643"/>
      <c r="K137" s="829">
        <f t="shared" si="15"/>
        <v>0</v>
      </c>
      <c r="L137" s="830" t="e">
        <f t="shared" si="16"/>
        <v>#DIV/0!</v>
      </c>
      <c r="M137" s="830" t="str">
        <f t="shared" si="17"/>
        <v>N/A</v>
      </c>
      <c r="N137" s="831" t="e">
        <f t="shared" si="11"/>
        <v>#N/A</v>
      </c>
      <c r="O137" s="831">
        <f t="shared" si="18"/>
        <v>0</v>
      </c>
      <c r="P137" s="1024" t="e">
        <f>LOOKUP(G137,$J$4:$J$26,$M$4:$M$26)*LOOKUP(LOOKUP(G137,$J$4:$J$26,$K$4:$K$26),Lookup!$K$9:$K$24,Lookup!$O$9:$O$24)*IF(E137="A",LOOKUP(LOOKUP(G137,$J$4:$J$26,$K$4:$K$26),Lookup!$K$9:$K$24,Lookup!$L$9:$L$24),IF(E137="B",LOOKUP(LOOKUP(G137,$J$4:$J$26,$K$4:$K$26),Lookup!$K$9:$K$24,Lookup!$M$9:$M$24),IF(E137="C",LOOKUP(LOOKUP(G137,$J$4:$J$26,$K$4:$K$26),Lookup!$K$9:$K$24,Lookup!$N$9:$N$24))))</f>
        <v>#N/A</v>
      </c>
      <c r="Q137" s="1024" t="e">
        <f t="shared" si="19"/>
        <v>#N/A</v>
      </c>
      <c r="R137" s="1024" t="e">
        <f t="shared" si="12"/>
        <v>#N/A</v>
      </c>
      <c r="S137" s="828">
        <f t="shared" si="20"/>
        <v>0</v>
      </c>
      <c r="T137" s="1675" t="str">
        <f t="shared" si="13"/>
        <v/>
      </c>
    </row>
    <row r="138" spans="1:20">
      <c r="A138" s="826"/>
      <c r="B138" s="529"/>
      <c r="C138" s="827"/>
      <c r="D138" s="827"/>
      <c r="E138" s="828" t="e">
        <f>LOOKUP(D138,Lookup!$C$9:$C$24,Lookup!$I$9:$I$24)</f>
        <v>#N/A</v>
      </c>
      <c r="F138" s="529"/>
      <c r="G138" s="529"/>
      <c r="H138" s="529"/>
      <c r="I138" s="828" t="e">
        <f t="shared" si="14"/>
        <v>#N/A</v>
      </c>
      <c r="J138" s="643"/>
      <c r="K138" s="829">
        <f t="shared" si="15"/>
        <v>0</v>
      </c>
      <c r="L138" s="830" t="e">
        <f t="shared" si="16"/>
        <v>#DIV/0!</v>
      </c>
      <c r="M138" s="830" t="str">
        <f t="shared" si="17"/>
        <v>N/A</v>
      </c>
      <c r="N138" s="831" t="e">
        <f t="shared" si="11"/>
        <v>#N/A</v>
      </c>
      <c r="O138" s="831">
        <f t="shared" si="18"/>
        <v>0</v>
      </c>
      <c r="P138" s="1024" t="e">
        <f>LOOKUP(G138,$J$4:$J$26,$M$4:$M$26)*LOOKUP(LOOKUP(G138,$J$4:$J$26,$K$4:$K$26),Lookup!$K$9:$K$24,Lookup!$O$9:$O$24)*IF(E138="A",LOOKUP(LOOKUP(G138,$J$4:$J$26,$K$4:$K$26),Lookup!$K$9:$K$24,Lookup!$L$9:$L$24),IF(E138="B",LOOKUP(LOOKUP(G138,$J$4:$J$26,$K$4:$K$26),Lookup!$K$9:$K$24,Lookup!$M$9:$M$24),IF(E138="C",LOOKUP(LOOKUP(G138,$J$4:$J$26,$K$4:$K$26),Lookup!$K$9:$K$24,Lookup!$N$9:$N$24))))</f>
        <v>#N/A</v>
      </c>
      <c r="Q138" s="1024" t="e">
        <f t="shared" si="19"/>
        <v>#N/A</v>
      </c>
      <c r="R138" s="1024" t="e">
        <f t="shared" si="12"/>
        <v>#N/A</v>
      </c>
      <c r="S138" s="828">
        <f t="shared" si="20"/>
        <v>0</v>
      </c>
      <c r="T138" s="1675" t="str">
        <f t="shared" si="13"/>
        <v/>
      </c>
    </row>
    <row r="139" spans="1:20">
      <c r="A139" s="835"/>
      <c r="B139" s="529"/>
      <c r="C139" s="827"/>
      <c r="D139" s="827"/>
      <c r="E139" s="828" t="e">
        <f>LOOKUP(D139,Lookup!$C$9:$C$24,Lookup!$I$9:$I$24)</f>
        <v>#N/A</v>
      </c>
      <c r="F139" s="529"/>
      <c r="G139" s="529"/>
      <c r="H139" s="529"/>
      <c r="I139" s="828" t="e">
        <f t="shared" si="14"/>
        <v>#N/A</v>
      </c>
      <c r="J139" s="643"/>
      <c r="K139" s="829">
        <f t="shared" si="15"/>
        <v>0</v>
      </c>
      <c r="L139" s="830" t="e">
        <f t="shared" si="16"/>
        <v>#DIV/0!</v>
      </c>
      <c r="M139" s="830" t="str">
        <f t="shared" si="17"/>
        <v>N/A</v>
      </c>
      <c r="N139" s="831" t="e">
        <f t="shared" si="11"/>
        <v>#N/A</v>
      </c>
      <c r="O139" s="831">
        <f t="shared" si="18"/>
        <v>0</v>
      </c>
      <c r="P139" s="1024" t="e">
        <f>LOOKUP(G139,$J$4:$J$26,$M$4:$M$26)*LOOKUP(LOOKUP(G139,$J$4:$J$26,$K$4:$K$26),Lookup!$K$9:$K$24,Lookup!$O$9:$O$24)*IF(E139="A",LOOKUP(LOOKUP(G139,$J$4:$J$26,$K$4:$K$26),Lookup!$K$9:$K$24,Lookup!$L$9:$L$24),IF(E139="B",LOOKUP(LOOKUP(G139,$J$4:$J$26,$K$4:$K$26),Lookup!$K$9:$K$24,Lookup!$M$9:$M$24),IF(E139="C",LOOKUP(LOOKUP(G139,$J$4:$J$26,$K$4:$K$26),Lookup!$K$9:$K$24,Lookup!$N$9:$N$24))))</f>
        <v>#N/A</v>
      </c>
      <c r="Q139" s="1024" t="e">
        <f t="shared" si="19"/>
        <v>#N/A</v>
      </c>
      <c r="R139" s="1024" t="e">
        <f t="shared" si="12"/>
        <v>#N/A</v>
      </c>
      <c r="S139" s="828">
        <f t="shared" si="20"/>
        <v>0</v>
      </c>
      <c r="T139" s="1675" t="str">
        <f t="shared" si="13"/>
        <v/>
      </c>
    </row>
    <row r="140" spans="1:20">
      <c r="A140" s="835"/>
      <c r="B140" s="529"/>
      <c r="C140" s="827"/>
      <c r="D140" s="827"/>
      <c r="E140" s="828" t="e">
        <f>LOOKUP(D140,Lookup!$C$9:$C$24,Lookup!$I$9:$I$24)</f>
        <v>#N/A</v>
      </c>
      <c r="F140" s="529"/>
      <c r="G140" s="529"/>
      <c r="H140" s="529"/>
      <c r="I140" s="828" t="e">
        <f t="shared" si="14"/>
        <v>#N/A</v>
      </c>
      <c r="J140" s="643"/>
      <c r="K140" s="829">
        <f t="shared" si="15"/>
        <v>0</v>
      </c>
      <c r="L140" s="830" t="e">
        <f t="shared" si="16"/>
        <v>#DIV/0!</v>
      </c>
      <c r="M140" s="830" t="str">
        <f t="shared" si="17"/>
        <v>N/A</v>
      </c>
      <c r="N140" s="831" t="e">
        <f t="shared" si="11"/>
        <v>#N/A</v>
      </c>
      <c r="O140" s="831">
        <f t="shared" si="18"/>
        <v>0</v>
      </c>
      <c r="P140" s="1024" t="e">
        <f>LOOKUP(G140,$J$4:$J$26,$M$4:$M$26)*LOOKUP(LOOKUP(G140,$J$4:$J$26,$K$4:$K$26),Lookup!$K$9:$K$24,Lookup!$O$9:$O$24)*IF(E140="A",LOOKUP(LOOKUP(G140,$J$4:$J$26,$K$4:$K$26),Lookup!$K$9:$K$24,Lookup!$L$9:$L$24),IF(E140="B",LOOKUP(LOOKUP(G140,$J$4:$J$26,$K$4:$K$26),Lookup!$K$9:$K$24,Lookup!$M$9:$M$24),IF(E140="C",LOOKUP(LOOKUP(G140,$J$4:$J$26,$K$4:$K$26),Lookup!$K$9:$K$24,Lookup!$N$9:$N$24))))</f>
        <v>#N/A</v>
      </c>
      <c r="Q140" s="1024" t="e">
        <f t="shared" si="19"/>
        <v>#N/A</v>
      </c>
      <c r="R140" s="1024" t="e">
        <f t="shared" si="12"/>
        <v>#N/A</v>
      </c>
      <c r="S140" s="828">
        <f t="shared" si="20"/>
        <v>0</v>
      </c>
      <c r="T140" s="1675" t="str">
        <f t="shared" si="13"/>
        <v/>
      </c>
    </row>
    <row r="141" spans="1:20">
      <c r="A141" s="836"/>
      <c r="B141" s="529"/>
      <c r="C141" s="827"/>
      <c r="D141" s="827"/>
      <c r="E141" s="828" t="e">
        <f>LOOKUP(D141,Lookup!$C$9:$C$24,Lookup!$I$9:$I$24)</f>
        <v>#N/A</v>
      </c>
      <c r="F141" s="529"/>
      <c r="G141" s="529"/>
      <c r="H141" s="529"/>
      <c r="I141" s="828" t="e">
        <f t="shared" si="14"/>
        <v>#N/A</v>
      </c>
      <c r="J141" s="643"/>
      <c r="K141" s="829">
        <f t="shared" si="15"/>
        <v>0</v>
      </c>
      <c r="L141" s="830" t="e">
        <f t="shared" si="16"/>
        <v>#DIV/0!</v>
      </c>
      <c r="M141" s="830" t="str">
        <f t="shared" si="17"/>
        <v>N/A</v>
      </c>
      <c r="N141" s="831" t="e">
        <f t="shared" si="11"/>
        <v>#N/A</v>
      </c>
      <c r="O141" s="831">
        <f t="shared" si="18"/>
        <v>0</v>
      </c>
      <c r="P141" s="1024" t="e">
        <f>LOOKUP(G141,$J$4:$J$26,$M$4:$M$26)*LOOKUP(LOOKUP(G141,$J$4:$J$26,$K$4:$K$26),Lookup!$K$9:$K$24,Lookup!$O$9:$O$24)*IF(E141="A",LOOKUP(LOOKUP(G141,$J$4:$J$26,$K$4:$K$26),Lookup!$K$9:$K$24,Lookup!$L$9:$L$24),IF(E141="B",LOOKUP(LOOKUP(G141,$J$4:$J$26,$K$4:$K$26),Lookup!$K$9:$K$24,Lookup!$M$9:$M$24),IF(E141="C",LOOKUP(LOOKUP(G141,$J$4:$J$26,$K$4:$K$26),Lookup!$K$9:$K$24,Lookup!$N$9:$N$24))))</f>
        <v>#N/A</v>
      </c>
      <c r="Q141" s="1024" t="e">
        <f t="shared" si="19"/>
        <v>#N/A</v>
      </c>
      <c r="R141" s="1024" t="e">
        <f t="shared" si="12"/>
        <v>#N/A</v>
      </c>
      <c r="S141" s="828">
        <f t="shared" si="20"/>
        <v>0</v>
      </c>
      <c r="T141" s="1675" t="str">
        <f t="shared" si="13"/>
        <v/>
      </c>
    </row>
    <row r="142" spans="1:20">
      <c r="A142" s="836"/>
      <c r="B142" s="529"/>
      <c r="C142" s="837"/>
      <c r="D142" s="827"/>
      <c r="E142" s="828" t="e">
        <f>LOOKUP(D142,Lookup!$C$9:$C$24,Lookup!$I$9:$I$24)</f>
        <v>#N/A</v>
      </c>
      <c r="F142" s="529"/>
      <c r="G142" s="529"/>
      <c r="H142" s="529"/>
      <c r="I142" s="828" t="e">
        <f t="shared" si="14"/>
        <v>#N/A</v>
      </c>
      <c r="J142" s="643"/>
      <c r="K142" s="829">
        <f t="shared" si="15"/>
        <v>0</v>
      </c>
      <c r="L142" s="830" t="e">
        <f t="shared" si="16"/>
        <v>#DIV/0!</v>
      </c>
      <c r="M142" s="830" t="str">
        <f t="shared" si="17"/>
        <v>N/A</v>
      </c>
      <c r="N142" s="831" t="e">
        <f t="shared" si="11"/>
        <v>#N/A</v>
      </c>
      <c r="O142" s="831">
        <f t="shared" si="18"/>
        <v>0</v>
      </c>
      <c r="P142" s="1024" t="e">
        <f>LOOKUP(G142,$J$4:$J$26,$M$4:$M$26)*LOOKUP(LOOKUP(G142,$J$4:$J$26,$K$4:$K$26),Lookup!$K$9:$K$24,Lookup!$O$9:$O$24)*IF(E142="A",LOOKUP(LOOKUP(G142,$J$4:$J$26,$K$4:$K$26),Lookup!$K$9:$K$24,Lookup!$L$9:$L$24),IF(E142="B",LOOKUP(LOOKUP(G142,$J$4:$J$26,$K$4:$K$26),Lookup!$K$9:$K$24,Lookup!$M$9:$M$24),IF(E142="C",LOOKUP(LOOKUP(G142,$J$4:$J$26,$K$4:$K$26),Lookup!$K$9:$K$24,Lookup!$N$9:$N$24))))</f>
        <v>#N/A</v>
      </c>
      <c r="Q142" s="1024" t="e">
        <f t="shared" si="19"/>
        <v>#N/A</v>
      </c>
      <c r="R142" s="1024" t="e">
        <f t="shared" si="12"/>
        <v>#N/A</v>
      </c>
      <c r="S142" s="828">
        <f t="shared" si="20"/>
        <v>0</v>
      </c>
      <c r="T142" s="1675" t="str">
        <f t="shared" si="13"/>
        <v/>
      </c>
    </row>
    <row r="143" spans="1:20">
      <c r="A143" s="836"/>
      <c r="B143" s="529"/>
      <c r="C143" s="827"/>
      <c r="D143" s="827"/>
      <c r="E143" s="828" t="e">
        <f>LOOKUP(D143,Lookup!$C$9:$C$24,Lookup!$I$9:$I$24)</f>
        <v>#N/A</v>
      </c>
      <c r="F143" s="529"/>
      <c r="G143" s="529"/>
      <c r="H143" s="529"/>
      <c r="I143" s="828" t="e">
        <f t="shared" si="14"/>
        <v>#N/A</v>
      </c>
      <c r="J143" s="643"/>
      <c r="K143" s="829">
        <f t="shared" si="15"/>
        <v>0</v>
      </c>
      <c r="L143" s="830" t="e">
        <f t="shared" si="16"/>
        <v>#DIV/0!</v>
      </c>
      <c r="M143" s="830" t="str">
        <f t="shared" si="17"/>
        <v>N/A</v>
      </c>
      <c r="N143" s="831" t="e">
        <f t="shared" si="11"/>
        <v>#N/A</v>
      </c>
      <c r="O143" s="831">
        <f t="shared" si="18"/>
        <v>0</v>
      </c>
      <c r="P143" s="1024" t="e">
        <f>LOOKUP(G143,$J$4:$J$26,$M$4:$M$26)*LOOKUP(LOOKUP(G143,$J$4:$J$26,$K$4:$K$26),Lookup!$K$9:$K$24,Lookup!$O$9:$O$24)*IF(E143="A",LOOKUP(LOOKUP(G143,$J$4:$J$26,$K$4:$K$26),Lookup!$K$9:$K$24,Lookup!$L$9:$L$24),IF(E143="B",LOOKUP(LOOKUP(G143,$J$4:$J$26,$K$4:$K$26),Lookup!$K$9:$K$24,Lookup!$M$9:$M$24),IF(E143="C",LOOKUP(LOOKUP(G143,$J$4:$J$26,$K$4:$K$26),Lookup!$K$9:$K$24,Lookup!$N$9:$N$24))))</f>
        <v>#N/A</v>
      </c>
      <c r="Q143" s="1024" t="e">
        <f t="shared" si="19"/>
        <v>#N/A</v>
      </c>
      <c r="R143" s="1024" t="e">
        <f t="shared" si="12"/>
        <v>#N/A</v>
      </c>
      <c r="S143" s="828">
        <f t="shared" si="20"/>
        <v>0</v>
      </c>
      <c r="T143" s="1675" t="str">
        <f t="shared" si="13"/>
        <v/>
      </c>
    </row>
    <row r="144" spans="1:20">
      <c r="A144" s="836"/>
      <c r="B144" s="529"/>
      <c r="C144" s="827"/>
      <c r="D144" s="827"/>
      <c r="E144" s="828" t="e">
        <f>LOOKUP(D144,Lookup!$C$9:$C$24,Lookup!$I$9:$I$24)</f>
        <v>#N/A</v>
      </c>
      <c r="F144" s="529"/>
      <c r="G144" s="529"/>
      <c r="H144" s="529"/>
      <c r="I144" s="828" t="e">
        <f t="shared" si="14"/>
        <v>#N/A</v>
      </c>
      <c r="J144" s="643"/>
      <c r="K144" s="829">
        <f t="shared" si="15"/>
        <v>0</v>
      </c>
      <c r="L144" s="830" t="e">
        <f t="shared" si="16"/>
        <v>#DIV/0!</v>
      </c>
      <c r="M144" s="830" t="str">
        <f t="shared" si="17"/>
        <v>N/A</v>
      </c>
      <c r="N144" s="831" t="e">
        <f t="shared" si="11"/>
        <v>#N/A</v>
      </c>
      <c r="O144" s="831">
        <f t="shared" si="18"/>
        <v>0</v>
      </c>
      <c r="P144" s="1024" t="e">
        <f>LOOKUP(G144,$J$4:$J$26,$M$4:$M$26)*LOOKUP(LOOKUP(G144,$J$4:$J$26,$K$4:$K$26),Lookup!$K$9:$K$24,Lookup!$O$9:$O$24)*IF(E144="A",LOOKUP(LOOKUP(G144,$J$4:$J$26,$K$4:$K$26),Lookup!$K$9:$K$24,Lookup!$L$9:$L$24),IF(E144="B",LOOKUP(LOOKUP(G144,$J$4:$J$26,$K$4:$K$26),Lookup!$K$9:$K$24,Lookup!$M$9:$M$24),IF(E144="C",LOOKUP(LOOKUP(G144,$J$4:$J$26,$K$4:$K$26),Lookup!$K$9:$K$24,Lookup!$N$9:$N$24))))</f>
        <v>#N/A</v>
      </c>
      <c r="Q144" s="1024" t="e">
        <f t="shared" si="19"/>
        <v>#N/A</v>
      </c>
      <c r="R144" s="1024" t="e">
        <f t="shared" si="12"/>
        <v>#N/A</v>
      </c>
      <c r="S144" s="828">
        <f t="shared" si="20"/>
        <v>0</v>
      </c>
      <c r="T144" s="1675" t="str">
        <f t="shared" si="13"/>
        <v/>
      </c>
    </row>
    <row r="145" spans="1:20">
      <c r="A145" s="836"/>
      <c r="B145" s="529"/>
      <c r="C145" s="827"/>
      <c r="D145" s="827"/>
      <c r="E145" s="828" t="e">
        <f>LOOKUP(D145,Lookup!$C$9:$C$24,Lookup!$I$9:$I$24)</f>
        <v>#N/A</v>
      </c>
      <c r="F145" s="529"/>
      <c r="G145" s="529"/>
      <c r="H145" s="529"/>
      <c r="I145" s="828" t="e">
        <f t="shared" si="14"/>
        <v>#N/A</v>
      </c>
      <c r="J145" s="643"/>
      <c r="K145" s="829">
        <f t="shared" si="15"/>
        <v>0</v>
      </c>
      <c r="L145" s="830" t="e">
        <f t="shared" si="16"/>
        <v>#DIV/0!</v>
      </c>
      <c r="M145" s="830" t="str">
        <f t="shared" si="17"/>
        <v>N/A</v>
      </c>
      <c r="N145" s="831" t="e">
        <f t="shared" si="11"/>
        <v>#N/A</v>
      </c>
      <c r="O145" s="831">
        <f t="shared" si="18"/>
        <v>0</v>
      </c>
      <c r="P145" s="1024" t="e">
        <f>LOOKUP(G145,$J$4:$J$26,$M$4:$M$26)*LOOKUP(LOOKUP(G145,$J$4:$J$26,$K$4:$K$26),Lookup!$K$9:$K$24,Lookup!$O$9:$O$24)*IF(E145="A",LOOKUP(LOOKUP(G145,$J$4:$J$26,$K$4:$K$26),Lookup!$K$9:$K$24,Lookup!$L$9:$L$24),IF(E145="B",LOOKUP(LOOKUP(G145,$J$4:$J$26,$K$4:$K$26),Lookup!$K$9:$K$24,Lookup!$M$9:$M$24),IF(E145="C",LOOKUP(LOOKUP(G145,$J$4:$J$26,$K$4:$K$26),Lookup!$K$9:$K$24,Lookup!$N$9:$N$24))))</f>
        <v>#N/A</v>
      </c>
      <c r="Q145" s="1024" t="e">
        <f t="shared" si="19"/>
        <v>#N/A</v>
      </c>
      <c r="R145" s="1024" t="e">
        <f t="shared" si="12"/>
        <v>#N/A</v>
      </c>
      <c r="S145" s="828">
        <f t="shared" si="20"/>
        <v>0</v>
      </c>
      <c r="T145" s="1675" t="str">
        <f t="shared" si="13"/>
        <v/>
      </c>
    </row>
    <row r="146" spans="1:20">
      <c r="A146" s="836"/>
      <c r="B146" s="529"/>
      <c r="C146" s="827"/>
      <c r="D146" s="827"/>
      <c r="E146" s="828" t="e">
        <f>LOOKUP(D146,Lookup!$C$9:$C$24,Lookup!$I$9:$I$24)</f>
        <v>#N/A</v>
      </c>
      <c r="F146" s="529"/>
      <c r="G146" s="529"/>
      <c r="H146" s="529"/>
      <c r="I146" s="828" t="e">
        <f t="shared" si="14"/>
        <v>#N/A</v>
      </c>
      <c r="J146" s="643"/>
      <c r="K146" s="829">
        <f t="shared" si="15"/>
        <v>0</v>
      </c>
      <c r="L146" s="830" t="e">
        <f t="shared" si="16"/>
        <v>#DIV/0!</v>
      </c>
      <c r="M146" s="830" t="str">
        <f t="shared" si="17"/>
        <v>N/A</v>
      </c>
      <c r="N146" s="831" t="e">
        <f t="shared" si="11"/>
        <v>#N/A</v>
      </c>
      <c r="O146" s="831">
        <f t="shared" si="18"/>
        <v>0</v>
      </c>
      <c r="P146" s="1024" t="e">
        <f>LOOKUP(G146,$J$4:$J$26,$M$4:$M$26)*LOOKUP(LOOKUP(G146,$J$4:$J$26,$K$4:$K$26),Lookup!$K$9:$K$24,Lookup!$O$9:$O$24)*IF(E146="A",LOOKUP(LOOKUP(G146,$J$4:$J$26,$K$4:$K$26),Lookup!$K$9:$K$24,Lookup!$L$9:$L$24),IF(E146="B",LOOKUP(LOOKUP(G146,$J$4:$J$26,$K$4:$K$26),Lookup!$K$9:$K$24,Lookup!$M$9:$M$24),IF(E146="C",LOOKUP(LOOKUP(G146,$J$4:$J$26,$K$4:$K$26),Lookup!$K$9:$K$24,Lookup!$N$9:$N$24))))</f>
        <v>#N/A</v>
      </c>
      <c r="Q146" s="1024" t="e">
        <f t="shared" si="19"/>
        <v>#N/A</v>
      </c>
      <c r="R146" s="1024" t="e">
        <f t="shared" si="12"/>
        <v>#N/A</v>
      </c>
      <c r="S146" s="828">
        <f t="shared" si="20"/>
        <v>0</v>
      </c>
      <c r="T146" s="1675" t="str">
        <f t="shared" si="13"/>
        <v/>
      </c>
    </row>
    <row r="147" spans="1:20">
      <c r="A147" s="836"/>
      <c r="B147" s="529"/>
      <c r="C147" s="827"/>
      <c r="D147" s="827"/>
      <c r="E147" s="828" t="e">
        <f>LOOKUP(D147,Lookup!$C$9:$C$24,Lookup!$I$9:$I$24)</f>
        <v>#N/A</v>
      </c>
      <c r="F147" s="529"/>
      <c r="G147" s="529"/>
      <c r="H147" s="529"/>
      <c r="I147" s="828" t="e">
        <f t="shared" si="14"/>
        <v>#N/A</v>
      </c>
      <c r="J147" s="643"/>
      <c r="K147" s="829">
        <f t="shared" si="15"/>
        <v>0</v>
      </c>
      <c r="L147" s="830" t="e">
        <f t="shared" si="16"/>
        <v>#DIV/0!</v>
      </c>
      <c r="M147" s="830" t="str">
        <f t="shared" si="17"/>
        <v>N/A</v>
      </c>
      <c r="N147" s="831" t="e">
        <f t="shared" si="11"/>
        <v>#N/A</v>
      </c>
      <c r="O147" s="831">
        <f t="shared" si="18"/>
        <v>0</v>
      </c>
      <c r="P147" s="1024" t="e">
        <f>LOOKUP(G147,$J$4:$J$26,$M$4:$M$26)*LOOKUP(LOOKUP(G147,$J$4:$J$26,$K$4:$K$26),Lookup!$K$9:$K$24,Lookup!$O$9:$O$24)*IF(E147="A",LOOKUP(LOOKUP(G147,$J$4:$J$26,$K$4:$K$26),Lookup!$K$9:$K$24,Lookup!$L$9:$L$24),IF(E147="B",LOOKUP(LOOKUP(G147,$J$4:$J$26,$K$4:$K$26),Lookup!$K$9:$K$24,Lookup!$M$9:$M$24),IF(E147="C",LOOKUP(LOOKUP(G147,$J$4:$J$26,$K$4:$K$26),Lookup!$K$9:$K$24,Lookup!$N$9:$N$24))))</f>
        <v>#N/A</v>
      </c>
      <c r="Q147" s="1024" t="e">
        <f t="shared" si="19"/>
        <v>#N/A</v>
      </c>
      <c r="R147" s="1024" t="e">
        <f t="shared" si="12"/>
        <v>#N/A</v>
      </c>
      <c r="S147" s="828">
        <f t="shared" si="20"/>
        <v>0</v>
      </c>
      <c r="T147" s="1675" t="str">
        <f t="shared" si="13"/>
        <v/>
      </c>
    </row>
    <row r="148" spans="1:20">
      <c r="A148" s="836"/>
      <c r="B148" s="529"/>
      <c r="C148" s="837"/>
      <c r="D148" s="827"/>
      <c r="E148" s="828" t="e">
        <f>LOOKUP(D148,Lookup!$C$9:$C$24,Lookup!$I$9:$I$24)</f>
        <v>#N/A</v>
      </c>
      <c r="F148" s="529"/>
      <c r="G148" s="529"/>
      <c r="H148" s="529"/>
      <c r="I148" s="828" t="e">
        <f t="shared" si="14"/>
        <v>#N/A</v>
      </c>
      <c r="J148" s="643"/>
      <c r="K148" s="829">
        <f t="shared" si="15"/>
        <v>0</v>
      </c>
      <c r="L148" s="830" t="e">
        <f t="shared" si="16"/>
        <v>#DIV/0!</v>
      </c>
      <c r="M148" s="830" t="str">
        <f t="shared" si="17"/>
        <v>N/A</v>
      </c>
      <c r="N148" s="831" t="e">
        <f t="shared" si="11"/>
        <v>#N/A</v>
      </c>
      <c r="O148" s="831">
        <f t="shared" si="18"/>
        <v>0</v>
      </c>
      <c r="P148" s="1024" t="e">
        <f>LOOKUP(G148,$J$4:$J$26,$M$4:$M$26)*LOOKUP(LOOKUP(G148,$J$4:$J$26,$K$4:$K$26),Lookup!$K$9:$K$24,Lookup!$O$9:$O$24)*IF(E148="A",LOOKUP(LOOKUP(G148,$J$4:$J$26,$K$4:$K$26),Lookup!$K$9:$K$24,Lookup!$L$9:$L$24),IF(E148="B",LOOKUP(LOOKUP(G148,$J$4:$J$26,$K$4:$K$26),Lookup!$K$9:$K$24,Lookup!$M$9:$M$24),IF(E148="C",LOOKUP(LOOKUP(G148,$J$4:$J$26,$K$4:$K$26),Lookup!$K$9:$K$24,Lookup!$N$9:$N$24))))</f>
        <v>#N/A</v>
      </c>
      <c r="Q148" s="1024" t="e">
        <f t="shared" si="19"/>
        <v>#N/A</v>
      </c>
      <c r="R148" s="1024" t="e">
        <f t="shared" si="12"/>
        <v>#N/A</v>
      </c>
      <c r="S148" s="828">
        <f t="shared" si="20"/>
        <v>0</v>
      </c>
      <c r="T148" s="1675" t="str">
        <f t="shared" si="13"/>
        <v/>
      </c>
    </row>
    <row r="149" spans="1:20">
      <c r="A149" s="836"/>
      <c r="B149" s="529"/>
      <c r="C149" s="827"/>
      <c r="D149" s="827"/>
      <c r="E149" s="828" t="e">
        <f>LOOKUP(D149,Lookup!$C$9:$C$24,Lookup!$I$9:$I$24)</f>
        <v>#N/A</v>
      </c>
      <c r="F149" s="529"/>
      <c r="G149" s="529"/>
      <c r="H149" s="529"/>
      <c r="I149" s="828" t="e">
        <f t="shared" si="14"/>
        <v>#N/A</v>
      </c>
      <c r="J149" s="643"/>
      <c r="K149" s="829">
        <f t="shared" si="15"/>
        <v>0</v>
      </c>
      <c r="L149" s="830" t="e">
        <f t="shared" si="16"/>
        <v>#DIV/0!</v>
      </c>
      <c r="M149" s="830" t="str">
        <f t="shared" si="17"/>
        <v>N/A</v>
      </c>
      <c r="N149" s="831" t="e">
        <f t="shared" si="11"/>
        <v>#N/A</v>
      </c>
      <c r="O149" s="831">
        <f t="shared" si="18"/>
        <v>0</v>
      </c>
      <c r="P149" s="1024" t="e">
        <f>LOOKUP(G149,$J$4:$J$26,$M$4:$M$26)*LOOKUP(LOOKUP(G149,$J$4:$J$26,$K$4:$K$26),Lookup!$K$9:$K$24,Lookup!$O$9:$O$24)*IF(E149="A",LOOKUP(LOOKUP(G149,$J$4:$J$26,$K$4:$K$26),Lookup!$K$9:$K$24,Lookup!$L$9:$L$24),IF(E149="B",LOOKUP(LOOKUP(G149,$J$4:$J$26,$K$4:$K$26),Lookup!$K$9:$K$24,Lookup!$M$9:$M$24),IF(E149="C",LOOKUP(LOOKUP(G149,$J$4:$J$26,$K$4:$K$26),Lookup!$K$9:$K$24,Lookup!$N$9:$N$24))))</f>
        <v>#N/A</v>
      </c>
      <c r="Q149" s="1024" t="e">
        <f t="shared" si="19"/>
        <v>#N/A</v>
      </c>
      <c r="R149" s="1024" t="e">
        <f t="shared" si="12"/>
        <v>#N/A</v>
      </c>
      <c r="S149" s="828">
        <f t="shared" si="20"/>
        <v>0</v>
      </c>
      <c r="T149" s="1675" t="str">
        <f t="shared" si="13"/>
        <v/>
      </c>
    </row>
    <row r="150" spans="1:20">
      <c r="A150" s="836"/>
      <c r="B150" s="529"/>
      <c r="C150" s="827"/>
      <c r="D150" s="827"/>
      <c r="E150" s="828" t="e">
        <f>LOOKUP(D150,Lookup!$C$9:$C$24,Lookup!$I$9:$I$24)</f>
        <v>#N/A</v>
      </c>
      <c r="F150" s="529"/>
      <c r="G150" s="529"/>
      <c r="H150" s="529"/>
      <c r="I150" s="828" t="e">
        <f t="shared" si="14"/>
        <v>#N/A</v>
      </c>
      <c r="J150" s="643"/>
      <c r="K150" s="829">
        <f t="shared" si="15"/>
        <v>0</v>
      </c>
      <c r="L150" s="830" t="e">
        <f t="shared" si="16"/>
        <v>#DIV/0!</v>
      </c>
      <c r="M150" s="830" t="str">
        <f t="shared" si="17"/>
        <v>N/A</v>
      </c>
      <c r="N150" s="831" t="e">
        <f t="shared" si="11"/>
        <v>#N/A</v>
      </c>
      <c r="O150" s="831">
        <f t="shared" si="18"/>
        <v>0</v>
      </c>
      <c r="P150" s="1024" t="e">
        <f>LOOKUP(G150,$J$4:$J$26,$M$4:$M$26)*LOOKUP(LOOKUP(G150,$J$4:$J$26,$K$4:$K$26),Lookup!$K$9:$K$24,Lookup!$O$9:$O$24)*IF(E150="A",LOOKUP(LOOKUP(G150,$J$4:$J$26,$K$4:$K$26),Lookup!$K$9:$K$24,Lookup!$L$9:$L$24),IF(E150="B",LOOKUP(LOOKUP(G150,$J$4:$J$26,$K$4:$K$26),Lookup!$K$9:$K$24,Lookup!$M$9:$M$24),IF(E150="C",LOOKUP(LOOKUP(G150,$J$4:$J$26,$K$4:$K$26),Lookup!$K$9:$K$24,Lookup!$N$9:$N$24))))</f>
        <v>#N/A</v>
      </c>
      <c r="Q150" s="1024" t="e">
        <f t="shared" si="19"/>
        <v>#N/A</v>
      </c>
      <c r="R150" s="1024" t="e">
        <f t="shared" si="12"/>
        <v>#N/A</v>
      </c>
      <c r="S150" s="828">
        <f t="shared" si="20"/>
        <v>0</v>
      </c>
      <c r="T150" s="1675" t="str">
        <f t="shared" si="13"/>
        <v/>
      </c>
    </row>
    <row r="151" spans="1:20">
      <c r="A151" s="836"/>
      <c r="B151" s="529"/>
      <c r="C151" s="827"/>
      <c r="D151" s="827"/>
      <c r="E151" s="828" t="e">
        <f>LOOKUP(D151,Lookup!$C$9:$C$24,Lookup!$I$9:$I$24)</f>
        <v>#N/A</v>
      </c>
      <c r="F151" s="529"/>
      <c r="G151" s="529"/>
      <c r="H151" s="529"/>
      <c r="I151" s="828" t="e">
        <f t="shared" si="14"/>
        <v>#N/A</v>
      </c>
      <c r="J151" s="643"/>
      <c r="K151" s="829">
        <f t="shared" si="15"/>
        <v>0</v>
      </c>
      <c r="L151" s="830" t="e">
        <f t="shared" si="16"/>
        <v>#DIV/0!</v>
      </c>
      <c r="M151" s="830" t="str">
        <f t="shared" si="17"/>
        <v>N/A</v>
      </c>
      <c r="N151" s="831" t="e">
        <f t="shared" si="11"/>
        <v>#N/A</v>
      </c>
      <c r="O151" s="831">
        <f t="shared" si="18"/>
        <v>0</v>
      </c>
      <c r="P151" s="1024" t="e">
        <f>LOOKUP(G151,$J$4:$J$26,$M$4:$M$26)*LOOKUP(LOOKUP(G151,$J$4:$J$26,$K$4:$K$26),Lookup!$K$9:$K$24,Lookup!$O$9:$O$24)*IF(E151="A",LOOKUP(LOOKUP(G151,$J$4:$J$26,$K$4:$K$26),Lookup!$K$9:$K$24,Lookup!$L$9:$L$24),IF(E151="B",LOOKUP(LOOKUP(G151,$J$4:$J$26,$K$4:$K$26),Lookup!$K$9:$K$24,Lookup!$M$9:$M$24),IF(E151="C",LOOKUP(LOOKUP(G151,$J$4:$J$26,$K$4:$K$26),Lookup!$K$9:$K$24,Lookup!$N$9:$N$24))))</f>
        <v>#N/A</v>
      </c>
      <c r="Q151" s="1024" t="e">
        <f t="shared" si="19"/>
        <v>#N/A</v>
      </c>
      <c r="R151" s="1024" t="e">
        <f t="shared" si="12"/>
        <v>#N/A</v>
      </c>
      <c r="S151" s="828">
        <f t="shared" si="20"/>
        <v>0</v>
      </c>
      <c r="T151" s="1675" t="str">
        <f t="shared" si="13"/>
        <v/>
      </c>
    </row>
    <row r="152" spans="1:20">
      <c r="A152" s="836"/>
      <c r="B152" s="529"/>
      <c r="C152" s="827"/>
      <c r="D152" s="827"/>
      <c r="E152" s="828" t="e">
        <f>LOOKUP(D152,Lookup!$C$9:$C$24,Lookup!$I$9:$I$24)</f>
        <v>#N/A</v>
      </c>
      <c r="F152" s="529"/>
      <c r="G152" s="529"/>
      <c r="H152" s="529"/>
      <c r="I152" s="828" t="e">
        <f t="shared" si="14"/>
        <v>#N/A</v>
      </c>
      <c r="J152" s="643"/>
      <c r="K152" s="829">
        <f t="shared" si="15"/>
        <v>0</v>
      </c>
      <c r="L152" s="830" t="e">
        <f t="shared" si="16"/>
        <v>#DIV/0!</v>
      </c>
      <c r="M152" s="830" t="str">
        <f t="shared" si="17"/>
        <v>N/A</v>
      </c>
      <c r="N152" s="831" t="e">
        <f t="shared" si="11"/>
        <v>#N/A</v>
      </c>
      <c r="O152" s="831">
        <f t="shared" si="18"/>
        <v>0</v>
      </c>
      <c r="P152" s="1024" t="e">
        <f>LOOKUP(G152,$J$4:$J$26,$M$4:$M$26)*LOOKUP(LOOKUP(G152,$J$4:$J$26,$K$4:$K$26),Lookup!$K$9:$K$24,Lookup!$O$9:$O$24)*IF(E152="A",LOOKUP(LOOKUP(G152,$J$4:$J$26,$K$4:$K$26),Lookup!$K$9:$K$24,Lookup!$L$9:$L$24),IF(E152="B",LOOKUP(LOOKUP(G152,$J$4:$J$26,$K$4:$K$26),Lookup!$K$9:$K$24,Lookup!$M$9:$M$24),IF(E152="C",LOOKUP(LOOKUP(G152,$J$4:$J$26,$K$4:$K$26),Lookup!$K$9:$K$24,Lookup!$N$9:$N$24))))</f>
        <v>#N/A</v>
      </c>
      <c r="Q152" s="1024" t="e">
        <f t="shared" si="19"/>
        <v>#N/A</v>
      </c>
      <c r="R152" s="1024" t="e">
        <f t="shared" si="12"/>
        <v>#N/A</v>
      </c>
      <c r="S152" s="828">
        <f t="shared" si="20"/>
        <v>0</v>
      </c>
      <c r="T152" s="1675" t="str">
        <f t="shared" si="13"/>
        <v/>
      </c>
    </row>
    <row r="153" spans="1:20">
      <c r="A153" s="836"/>
      <c r="B153" s="529"/>
      <c r="C153" s="827"/>
      <c r="D153" s="827"/>
      <c r="E153" s="828" t="e">
        <f>LOOKUP(D153,Lookup!$C$9:$C$24,Lookup!$I$9:$I$24)</f>
        <v>#N/A</v>
      </c>
      <c r="F153" s="529"/>
      <c r="G153" s="529"/>
      <c r="H153" s="529"/>
      <c r="I153" s="828" t="e">
        <f t="shared" si="14"/>
        <v>#N/A</v>
      </c>
      <c r="J153" s="643"/>
      <c r="K153" s="829">
        <f t="shared" si="15"/>
        <v>0</v>
      </c>
      <c r="L153" s="830" t="e">
        <f t="shared" si="16"/>
        <v>#DIV/0!</v>
      </c>
      <c r="M153" s="830" t="str">
        <f t="shared" si="17"/>
        <v>N/A</v>
      </c>
      <c r="N153" s="831" t="e">
        <f t="shared" si="11"/>
        <v>#N/A</v>
      </c>
      <c r="O153" s="831">
        <f t="shared" si="18"/>
        <v>0</v>
      </c>
      <c r="P153" s="1024" t="e">
        <f>LOOKUP(G153,$J$4:$J$26,$M$4:$M$26)*LOOKUP(LOOKUP(G153,$J$4:$J$26,$K$4:$K$26),Lookup!$K$9:$K$24,Lookup!$O$9:$O$24)*IF(E153="A",LOOKUP(LOOKUP(G153,$J$4:$J$26,$K$4:$K$26),Lookup!$K$9:$K$24,Lookup!$L$9:$L$24),IF(E153="B",LOOKUP(LOOKUP(G153,$J$4:$J$26,$K$4:$K$26),Lookup!$K$9:$K$24,Lookup!$M$9:$M$24),IF(E153="C",LOOKUP(LOOKUP(G153,$J$4:$J$26,$K$4:$K$26),Lookup!$K$9:$K$24,Lookup!$N$9:$N$24))))</f>
        <v>#N/A</v>
      </c>
      <c r="Q153" s="1024" t="e">
        <f t="shared" si="19"/>
        <v>#N/A</v>
      </c>
      <c r="R153" s="1024" t="e">
        <f t="shared" si="12"/>
        <v>#N/A</v>
      </c>
      <c r="S153" s="828">
        <f t="shared" si="20"/>
        <v>0</v>
      </c>
      <c r="T153" s="1675" t="str">
        <f t="shared" si="13"/>
        <v/>
      </c>
    </row>
    <row r="154" spans="1:20">
      <c r="A154" s="836"/>
      <c r="B154" s="529"/>
      <c r="C154" s="837"/>
      <c r="D154" s="827"/>
      <c r="E154" s="828" t="e">
        <f>LOOKUP(D154,Lookup!$C$9:$C$24,Lookup!$I$9:$I$24)</f>
        <v>#N/A</v>
      </c>
      <c r="F154" s="529"/>
      <c r="G154" s="529"/>
      <c r="H154" s="529"/>
      <c r="I154" s="828" t="e">
        <f t="shared" si="14"/>
        <v>#N/A</v>
      </c>
      <c r="J154" s="643"/>
      <c r="K154" s="829">
        <f t="shared" si="15"/>
        <v>0</v>
      </c>
      <c r="L154" s="830" t="e">
        <f t="shared" si="16"/>
        <v>#DIV/0!</v>
      </c>
      <c r="M154" s="830" t="str">
        <f t="shared" si="17"/>
        <v>N/A</v>
      </c>
      <c r="N154" s="831" t="e">
        <f t="shared" si="11"/>
        <v>#N/A</v>
      </c>
      <c r="O154" s="831">
        <f t="shared" si="18"/>
        <v>0</v>
      </c>
      <c r="P154" s="1024" t="e">
        <f>LOOKUP(G154,$J$4:$J$26,$M$4:$M$26)*LOOKUP(LOOKUP(G154,$J$4:$J$26,$K$4:$K$26),Lookup!$K$9:$K$24,Lookup!$O$9:$O$24)*IF(E154="A",LOOKUP(LOOKUP(G154,$J$4:$J$26,$K$4:$K$26),Lookup!$K$9:$K$24,Lookup!$L$9:$L$24),IF(E154="B",LOOKUP(LOOKUP(G154,$J$4:$J$26,$K$4:$K$26),Lookup!$K$9:$K$24,Lookup!$M$9:$M$24),IF(E154="C",LOOKUP(LOOKUP(G154,$J$4:$J$26,$K$4:$K$26),Lookup!$K$9:$K$24,Lookup!$N$9:$N$24))))</f>
        <v>#N/A</v>
      </c>
      <c r="Q154" s="1024" t="e">
        <f t="shared" si="19"/>
        <v>#N/A</v>
      </c>
      <c r="R154" s="1024" t="e">
        <f t="shared" si="12"/>
        <v>#N/A</v>
      </c>
      <c r="S154" s="828">
        <f t="shared" si="20"/>
        <v>0</v>
      </c>
      <c r="T154" s="1675" t="str">
        <f t="shared" si="13"/>
        <v/>
      </c>
    </row>
    <row r="155" spans="1:20">
      <c r="A155" s="836"/>
      <c r="B155" s="529"/>
      <c r="C155" s="827"/>
      <c r="D155" s="827"/>
      <c r="E155" s="828" t="e">
        <f>LOOKUP(D155,Lookup!$C$9:$C$24,Lookup!$I$9:$I$24)</f>
        <v>#N/A</v>
      </c>
      <c r="F155" s="529"/>
      <c r="G155" s="529"/>
      <c r="H155" s="529"/>
      <c r="I155" s="828" t="e">
        <f t="shared" si="14"/>
        <v>#N/A</v>
      </c>
      <c r="J155" s="643"/>
      <c r="K155" s="829">
        <f t="shared" si="15"/>
        <v>0</v>
      </c>
      <c r="L155" s="830" t="e">
        <f t="shared" si="16"/>
        <v>#DIV/0!</v>
      </c>
      <c r="M155" s="830" t="str">
        <f t="shared" si="17"/>
        <v>N/A</v>
      </c>
      <c r="N155" s="831" t="e">
        <f t="shared" si="11"/>
        <v>#N/A</v>
      </c>
      <c r="O155" s="831">
        <f t="shared" si="18"/>
        <v>0</v>
      </c>
      <c r="P155" s="1024" t="e">
        <f>LOOKUP(G155,$J$4:$J$26,$M$4:$M$26)*LOOKUP(LOOKUP(G155,$J$4:$J$26,$K$4:$K$26),Lookup!$K$9:$K$24,Lookup!$O$9:$O$24)*IF(E155="A",LOOKUP(LOOKUP(G155,$J$4:$J$26,$K$4:$K$26),Lookup!$K$9:$K$24,Lookup!$L$9:$L$24),IF(E155="B",LOOKUP(LOOKUP(G155,$J$4:$J$26,$K$4:$K$26),Lookup!$K$9:$K$24,Lookup!$M$9:$M$24),IF(E155="C",LOOKUP(LOOKUP(G155,$J$4:$J$26,$K$4:$K$26),Lookup!$K$9:$K$24,Lookup!$N$9:$N$24))))</f>
        <v>#N/A</v>
      </c>
      <c r="Q155" s="1024" t="e">
        <f t="shared" si="19"/>
        <v>#N/A</v>
      </c>
      <c r="R155" s="1024" t="e">
        <f t="shared" si="12"/>
        <v>#N/A</v>
      </c>
      <c r="S155" s="828">
        <f t="shared" si="20"/>
        <v>0</v>
      </c>
      <c r="T155" s="1675" t="str">
        <f t="shared" si="13"/>
        <v/>
      </c>
    </row>
    <row r="156" spans="1:20">
      <c r="A156" s="836"/>
      <c r="B156" s="529"/>
      <c r="C156" s="827"/>
      <c r="D156" s="827"/>
      <c r="E156" s="828" t="e">
        <f>LOOKUP(D156,Lookup!$C$9:$C$24,Lookup!$I$9:$I$24)</f>
        <v>#N/A</v>
      </c>
      <c r="F156" s="529"/>
      <c r="G156" s="529"/>
      <c r="H156" s="529"/>
      <c r="I156" s="828" t="e">
        <f t="shared" si="14"/>
        <v>#N/A</v>
      </c>
      <c r="J156" s="643"/>
      <c r="K156" s="829">
        <f t="shared" si="15"/>
        <v>0</v>
      </c>
      <c r="L156" s="830" t="e">
        <f t="shared" si="16"/>
        <v>#DIV/0!</v>
      </c>
      <c r="M156" s="830" t="str">
        <f t="shared" si="17"/>
        <v>N/A</v>
      </c>
      <c r="N156" s="831" t="e">
        <f t="shared" si="11"/>
        <v>#N/A</v>
      </c>
      <c r="O156" s="831">
        <f t="shared" si="18"/>
        <v>0</v>
      </c>
      <c r="P156" s="1024" t="e">
        <f>LOOKUP(G156,$J$4:$J$26,$M$4:$M$26)*LOOKUP(LOOKUP(G156,$J$4:$J$26,$K$4:$K$26),Lookup!$K$9:$K$24,Lookup!$O$9:$O$24)*IF(E156="A",LOOKUP(LOOKUP(G156,$J$4:$J$26,$K$4:$K$26),Lookup!$K$9:$K$24,Lookup!$L$9:$L$24),IF(E156="B",LOOKUP(LOOKUP(G156,$J$4:$J$26,$K$4:$K$26),Lookup!$K$9:$K$24,Lookup!$M$9:$M$24),IF(E156="C",LOOKUP(LOOKUP(G156,$J$4:$J$26,$K$4:$K$26),Lookup!$K$9:$K$24,Lookup!$N$9:$N$24))))</f>
        <v>#N/A</v>
      </c>
      <c r="Q156" s="1024" t="e">
        <f t="shared" si="19"/>
        <v>#N/A</v>
      </c>
      <c r="R156" s="1024" t="e">
        <f t="shared" si="12"/>
        <v>#N/A</v>
      </c>
      <c r="S156" s="828">
        <f t="shared" si="20"/>
        <v>0</v>
      </c>
      <c r="T156" s="1675" t="str">
        <f t="shared" si="13"/>
        <v/>
      </c>
    </row>
    <row r="157" spans="1:20">
      <c r="A157" s="836"/>
      <c r="B157" s="529"/>
      <c r="C157" s="827"/>
      <c r="D157" s="827"/>
      <c r="E157" s="828" t="e">
        <f>LOOKUP(D157,Lookup!$C$9:$C$24,Lookup!$I$9:$I$24)</f>
        <v>#N/A</v>
      </c>
      <c r="F157" s="529"/>
      <c r="G157" s="529"/>
      <c r="H157" s="529"/>
      <c r="I157" s="828" t="e">
        <f t="shared" si="14"/>
        <v>#N/A</v>
      </c>
      <c r="J157" s="643"/>
      <c r="K157" s="829">
        <f t="shared" si="15"/>
        <v>0</v>
      </c>
      <c r="L157" s="830" t="e">
        <f t="shared" si="16"/>
        <v>#DIV/0!</v>
      </c>
      <c r="M157" s="830" t="str">
        <f t="shared" si="17"/>
        <v>N/A</v>
      </c>
      <c r="N157" s="831" t="e">
        <f t="shared" ref="N157:N220" si="21">IF($D$17="Space-By-Space (90.1-2007)",LOOKUP(D157, LightingSpaceType, LPD2007SS),IF($D$17="Space-By-Space (90.1-2010)",LOOKUP(D157,LightingSpaceType, LPD2010SS), IF($D$17="Building Area (90.1-2007)",LOOKUP(D157,LightingSpaceType,LPD2007WB),IF($D$17="Building Area (90.1-2010)",LOOKUP(D157,LightingSpaceType,LPD2010WB),0))))</f>
        <v>#N/A</v>
      </c>
      <c r="O157" s="831">
        <f t="shared" si="18"/>
        <v>0</v>
      </c>
      <c r="P157" s="1024" t="e">
        <f>LOOKUP(G157,$J$4:$J$26,$M$4:$M$26)*LOOKUP(LOOKUP(G157,$J$4:$J$26,$K$4:$K$26),Lookup!$K$9:$K$24,Lookup!$O$9:$O$24)*IF(E157="A",LOOKUP(LOOKUP(G157,$J$4:$J$26,$K$4:$K$26),Lookup!$K$9:$K$24,Lookup!$L$9:$L$24),IF(E157="B",LOOKUP(LOOKUP(G157,$J$4:$J$26,$K$4:$K$26),Lookup!$K$9:$K$24,Lookup!$M$9:$M$24),IF(E157="C",LOOKUP(LOOKUP(G157,$J$4:$J$26,$K$4:$K$26),Lookup!$K$9:$K$24,Lookup!$N$9:$N$24))))</f>
        <v>#N/A</v>
      </c>
      <c r="Q157" s="1024" t="e">
        <f t="shared" si="19"/>
        <v>#N/A</v>
      </c>
      <c r="R157" s="1024" t="e">
        <f t="shared" ref="R157:R220" si="22">LOOKUP(D157, LightingSpaceType, Footcandles)</f>
        <v>#N/A</v>
      </c>
      <c r="S157" s="828">
        <f t="shared" si="20"/>
        <v>0</v>
      </c>
      <c r="T157" s="1675" t="str">
        <f t="shared" ref="T157:T220" si="23">IF(F157&gt;0, IF(Q157&lt;R157, "Insufficient lighting to meet IESNA footcandle recommendations.", ""), "")</f>
        <v/>
      </c>
    </row>
    <row r="158" spans="1:20">
      <c r="A158" s="836"/>
      <c r="B158" s="529"/>
      <c r="C158" s="827"/>
      <c r="D158" s="827"/>
      <c r="E158" s="828" t="e">
        <f>LOOKUP(D158,Lookup!$C$9:$C$24,Lookup!$I$9:$I$24)</f>
        <v>#N/A</v>
      </c>
      <c r="F158" s="529"/>
      <c r="G158" s="529"/>
      <c r="H158" s="529"/>
      <c r="I158" s="828" t="e">
        <f t="shared" ref="I158:I221" si="24">LOOKUP(G158, $J$4:$J$26, $L$4:$L$26)</f>
        <v>#N/A</v>
      </c>
      <c r="J158" s="643"/>
      <c r="K158" s="829">
        <f t="shared" ref="K158:K221" si="25">IF(F158&gt;0, F158*I158*J158, 0)</f>
        <v>0</v>
      </c>
      <c r="L158" s="830" t="e">
        <f t="shared" ref="L158:L221" si="26">IF(D158="Exit Signs","convert to kW", K158/B158)</f>
        <v>#DIV/0!</v>
      </c>
      <c r="M158" s="830" t="str">
        <f t="shared" ref="M158:M221" si="27">IF(H158="Yes",IF(D158="Stairs - Active",0.65*L158,IF(D158="Corridor/Transition",0.75*L158,IF(D158="Conference/meeting/multipurpose",1*L158,IF(D158="Community or Computer Room",1*L158,0.9*L158)))),"N/A")</f>
        <v>N/A</v>
      </c>
      <c r="N158" s="831" t="e">
        <f t="shared" si="21"/>
        <v>#N/A</v>
      </c>
      <c r="O158" s="831">
        <f t="shared" ref="O158:O221" si="28">IF(D158="Exit Signs", 5*F158, IF(B158&gt;0, N158*B158, 0))</f>
        <v>0</v>
      </c>
      <c r="P158" s="1024" t="e">
        <f>LOOKUP(G158,$J$4:$J$26,$M$4:$M$26)*LOOKUP(LOOKUP(G158,$J$4:$J$26,$K$4:$K$26),Lookup!$K$9:$K$24,Lookup!$O$9:$O$24)*IF(E158="A",LOOKUP(LOOKUP(G158,$J$4:$J$26,$K$4:$K$26),Lookup!$K$9:$K$24,Lookup!$L$9:$L$24),IF(E158="B",LOOKUP(LOOKUP(G158,$J$4:$J$26,$K$4:$K$26),Lookup!$K$9:$K$24,Lookup!$M$9:$M$24),IF(E158="C",LOOKUP(LOOKUP(G158,$J$4:$J$26,$K$4:$K$26),Lookup!$K$9:$K$24,Lookup!$N$9:$N$24))))</f>
        <v>#N/A</v>
      </c>
      <c r="Q158" s="1024" t="e">
        <f t="shared" ref="Q158:Q221" si="29">IF(D158="Exit Signs","NA", K158*P158/B158)</f>
        <v>#N/A</v>
      </c>
      <c r="R158" s="1024" t="e">
        <f t="shared" si="22"/>
        <v>#N/A</v>
      </c>
      <c r="S158" s="828">
        <f t="shared" ref="S158:S221" si="30">J158*B158</f>
        <v>0</v>
      </c>
      <c r="T158" s="1675" t="str">
        <f t="shared" si="23"/>
        <v/>
      </c>
    </row>
    <row r="159" spans="1:20">
      <c r="A159" s="836"/>
      <c r="B159" s="529"/>
      <c r="C159" s="827"/>
      <c r="D159" s="827"/>
      <c r="E159" s="828" t="e">
        <f>LOOKUP(D159,Lookup!$C$9:$C$24,Lookup!$I$9:$I$24)</f>
        <v>#N/A</v>
      </c>
      <c r="F159" s="529"/>
      <c r="G159" s="529"/>
      <c r="H159" s="529"/>
      <c r="I159" s="828" t="e">
        <f t="shared" si="24"/>
        <v>#N/A</v>
      </c>
      <c r="J159" s="643"/>
      <c r="K159" s="829">
        <f t="shared" si="25"/>
        <v>0</v>
      </c>
      <c r="L159" s="830" t="e">
        <f t="shared" si="26"/>
        <v>#DIV/0!</v>
      </c>
      <c r="M159" s="830" t="str">
        <f t="shared" si="27"/>
        <v>N/A</v>
      </c>
      <c r="N159" s="831" t="e">
        <f t="shared" si="21"/>
        <v>#N/A</v>
      </c>
      <c r="O159" s="831">
        <f t="shared" si="28"/>
        <v>0</v>
      </c>
      <c r="P159" s="1024" t="e">
        <f>LOOKUP(G159,$J$4:$J$26,$M$4:$M$26)*LOOKUP(LOOKUP(G159,$J$4:$J$26,$K$4:$K$26),Lookup!$K$9:$K$24,Lookup!$O$9:$O$24)*IF(E159="A",LOOKUP(LOOKUP(G159,$J$4:$J$26,$K$4:$K$26),Lookup!$K$9:$K$24,Lookup!$L$9:$L$24),IF(E159="B",LOOKUP(LOOKUP(G159,$J$4:$J$26,$K$4:$K$26),Lookup!$K$9:$K$24,Lookup!$M$9:$M$24),IF(E159="C",LOOKUP(LOOKUP(G159,$J$4:$J$26,$K$4:$K$26),Lookup!$K$9:$K$24,Lookup!$N$9:$N$24))))</f>
        <v>#N/A</v>
      </c>
      <c r="Q159" s="1024" t="e">
        <f t="shared" si="29"/>
        <v>#N/A</v>
      </c>
      <c r="R159" s="1024" t="e">
        <f t="shared" si="22"/>
        <v>#N/A</v>
      </c>
      <c r="S159" s="828">
        <f t="shared" si="30"/>
        <v>0</v>
      </c>
      <c r="T159" s="1675" t="str">
        <f t="shared" si="23"/>
        <v/>
      </c>
    </row>
    <row r="160" spans="1:20">
      <c r="A160" s="836"/>
      <c r="B160" s="529"/>
      <c r="C160" s="837"/>
      <c r="D160" s="827"/>
      <c r="E160" s="828" t="e">
        <f>LOOKUP(D160,Lookup!$C$9:$C$24,Lookup!$I$9:$I$24)</f>
        <v>#N/A</v>
      </c>
      <c r="F160" s="529"/>
      <c r="G160" s="529"/>
      <c r="H160" s="529"/>
      <c r="I160" s="828" t="e">
        <f t="shared" si="24"/>
        <v>#N/A</v>
      </c>
      <c r="J160" s="643"/>
      <c r="K160" s="829">
        <f t="shared" si="25"/>
        <v>0</v>
      </c>
      <c r="L160" s="830" t="e">
        <f t="shared" si="26"/>
        <v>#DIV/0!</v>
      </c>
      <c r="M160" s="830" t="str">
        <f t="shared" si="27"/>
        <v>N/A</v>
      </c>
      <c r="N160" s="831" t="e">
        <f t="shared" si="21"/>
        <v>#N/A</v>
      </c>
      <c r="O160" s="831">
        <f t="shared" si="28"/>
        <v>0</v>
      </c>
      <c r="P160" s="1024" t="e">
        <f>LOOKUP(G160,$J$4:$J$26,$M$4:$M$26)*LOOKUP(LOOKUP(G160,$J$4:$J$26,$K$4:$K$26),Lookup!$K$9:$K$24,Lookup!$O$9:$O$24)*IF(E160="A",LOOKUP(LOOKUP(G160,$J$4:$J$26,$K$4:$K$26),Lookup!$K$9:$K$24,Lookup!$L$9:$L$24),IF(E160="B",LOOKUP(LOOKUP(G160,$J$4:$J$26,$K$4:$K$26),Lookup!$K$9:$K$24,Lookup!$M$9:$M$24),IF(E160="C",LOOKUP(LOOKUP(G160,$J$4:$J$26,$K$4:$K$26),Lookup!$K$9:$K$24,Lookup!$N$9:$N$24))))</f>
        <v>#N/A</v>
      </c>
      <c r="Q160" s="1024" t="e">
        <f t="shared" si="29"/>
        <v>#N/A</v>
      </c>
      <c r="R160" s="1024" t="e">
        <f t="shared" si="22"/>
        <v>#N/A</v>
      </c>
      <c r="S160" s="828">
        <f t="shared" si="30"/>
        <v>0</v>
      </c>
      <c r="T160" s="1675" t="str">
        <f t="shared" si="23"/>
        <v/>
      </c>
    </row>
    <row r="161" spans="1:20">
      <c r="A161" s="836"/>
      <c r="B161" s="529"/>
      <c r="C161" s="827"/>
      <c r="D161" s="827"/>
      <c r="E161" s="828" t="e">
        <f>LOOKUP(D161,Lookup!$C$9:$C$24,Lookup!$I$9:$I$24)</f>
        <v>#N/A</v>
      </c>
      <c r="F161" s="529"/>
      <c r="G161" s="529"/>
      <c r="H161" s="529"/>
      <c r="I161" s="828" t="e">
        <f t="shared" si="24"/>
        <v>#N/A</v>
      </c>
      <c r="J161" s="643"/>
      <c r="K161" s="829">
        <f t="shared" si="25"/>
        <v>0</v>
      </c>
      <c r="L161" s="830" t="e">
        <f t="shared" si="26"/>
        <v>#DIV/0!</v>
      </c>
      <c r="M161" s="830" t="str">
        <f t="shared" si="27"/>
        <v>N/A</v>
      </c>
      <c r="N161" s="831" t="e">
        <f t="shared" si="21"/>
        <v>#N/A</v>
      </c>
      <c r="O161" s="831">
        <f t="shared" si="28"/>
        <v>0</v>
      </c>
      <c r="P161" s="1024" t="e">
        <f>LOOKUP(G161,$J$4:$J$26,$M$4:$M$26)*LOOKUP(LOOKUP(G161,$J$4:$J$26,$K$4:$K$26),Lookup!$K$9:$K$24,Lookup!$O$9:$O$24)*IF(E161="A",LOOKUP(LOOKUP(G161,$J$4:$J$26,$K$4:$K$26),Lookup!$K$9:$K$24,Lookup!$L$9:$L$24),IF(E161="B",LOOKUP(LOOKUP(G161,$J$4:$J$26,$K$4:$K$26),Lookup!$K$9:$K$24,Lookup!$M$9:$M$24),IF(E161="C",LOOKUP(LOOKUP(G161,$J$4:$J$26,$K$4:$K$26),Lookup!$K$9:$K$24,Lookup!$N$9:$N$24))))</f>
        <v>#N/A</v>
      </c>
      <c r="Q161" s="1024" t="e">
        <f t="shared" si="29"/>
        <v>#N/A</v>
      </c>
      <c r="R161" s="1024" t="e">
        <f t="shared" si="22"/>
        <v>#N/A</v>
      </c>
      <c r="S161" s="828">
        <f t="shared" si="30"/>
        <v>0</v>
      </c>
      <c r="T161" s="1675" t="str">
        <f t="shared" si="23"/>
        <v/>
      </c>
    </row>
    <row r="162" spans="1:20">
      <c r="A162" s="836"/>
      <c r="B162" s="529"/>
      <c r="C162" s="827"/>
      <c r="D162" s="827"/>
      <c r="E162" s="828" t="e">
        <f>LOOKUP(D162,Lookup!$C$9:$C$24,Lookup!$I$9:$I$24)</f>
        <v>#N/A</v>
      </c>
      <c r="F162" s="529"/>
      <c r="G162" s="529"/>
      <c r="H162" s="529"/>
      <c r="I162" s="828" t="e">
        <f t="shared" si="24"/>
        <v>#N/A</v>
      </c>
      <c r="J162" s="643"/>
      <c r="K162" s="829">
        <f t="shared" si="25"/>
        <v>0</v>
      </c>
      <c r="L162" s="830" t="e">
        <f t="shared" si="26"/>
        <v>#DIV/0!</v>
      </c>
      <c r="M162" s="830" t="str">
        <f t="shared" si="27"/>
        <v>N/A</v>
      </c>
      <c r="N162" s="831" t="e">
        <f t="shared" si="21"/>
        <v>#N/A</v>
      </c>
      <c r="O162" s="831">
        <f t="shared" si="28"/>
        <v>0</v>
      </c>
      <c r="P162" s="1024" t="e">
        <f>LOOKUP(G162,$J$4:$J$26,$M$4:$M$26)*LOOKUP(LOOKUP(G162,$J$4:$J$26,$K$4:$K$26),Lookup!$K$9:$K$24,Lookup!$O$9:$O$24)*IF(E162="A",LOOKUP(LOOKUP(G162,$J$4:$J$26,$K$4:$K$26),Lookup!$K$9:$K$24,Lookup!$L$9:$L$24),IF(E162="B",LOOKUP(LOOKUP(G162,$J$4:$J$26,$K$4:$K$26),Lookup!$K$9:$K$24,Lookup!$M$9:$M$24),IF(E162="C",LOOKUP(LOOKUP(G162,$J$4:$J$26,$K$4:$K$26),Lookup!$K$9:$K$24,Lookup!$N$9:$N$24))))</f>
        <v>#N/A</v>
      </c>
      <c r="Q162" s="1024" t="e">
        <f t="shared" si="29"/>
        <v>#N/A</v>
      </c>
      <c r="R162" s="1024" t="e">
        <f t="shared" si="22"/>
        <v>#N/A</v>
      </c>
      <c r="S162" s="828">
        <f t="shared" si="30"/>
        <v>0</v>
      </c>
      <c r="T162" s="1675" t="str">
        <f t="shared" si="23"/>
        <v/>
      </c>
    </row>
    <row r="163" spans="1:20">
      <c r="A163" s="836"/>
      <c r="B163" s="529"/>
      <c r="C163" s="827"/>
      <c r="D163" s="827"/>
      <c r="E163" s="828" t="e">
        <f>LOOKUP(D163,Lookup!$C$9:$C$24,Lookup!$I$9:$I$24)</f>
        <v>#N/A</v>
      </c>
      <c r="F163" s="529"/>
      <c r="G163" s="529"/>
      <c r="H163" s="529"/>
      <c r="I163" s="828" t="e">
        <f t="shared" si="24"/>
        <v>#N/A</v>
      </c>
      <c r="J163" s="643"/>
      <c r="K163" s="829">
        <f t="shared" si="25"/>
        <v>0</v>
      </c>
      <c r="L163" s="830" t="e">
        <f t="shared" si="26"/>
        <v>#DIV/0!</v>
      </c>
      <c r="M163" s="830" t="str">
        <f t="shared" si="27"/>
        <v>N/A</v>
      </c>
      <c r="N163" s="831" t="e">
        <f t="shared" si="21"/>
        <v>#N/A</v>
      </c>
      <c r="O163" s="831">
        <f t="shared" si="28"/>
        <v>0</v>
      </c>
      <c r="P163" s="1024" t="e">
        <f>LOOKUP(G163,$J$4:$J$26,$M$4:$M$26)*LOOKUP(LOOKUP(G163,$J$4:$J$26,$K$4:$K$26),Lookup!$K$9:$K$24,Lookup!$O$9:$O$24)*IF(E163="A",LOOKUP(LOOKUP(G163,$J$4:$J$26,$K$4:$K$26),Lookup!$K$9:$K$24,Lookup!$L$9:$L$24),IF(E163="B",LOOKUP(LOOKUP(G163,$J$4:$J$26,$K$4:$K$26),Lookup!$K$9:$K$24,Lookup!$M$9:$M$24),IF(E163="C",LOOKUP(LOOKUP(G163,$J$4:$J$26,$K$4:$K$26),Lookup!$K$9:$K$24,Lookup!$N$9:$N$24))))</f>
        <v>#N/A</v>
      </c>
      <c r="Q163" s="1024" t="e">
        <f t="shared" si="29"/>
        <v>#N/A</v>
      </c>
      <c r="R163" s="1024" t="e">
        <f t="shared" si="22"/>
        <v>#N/A</v>
      </c>
      <c r="S163" s="828">
        <f t="shared" si="30"/>
        <v>0</v>
      </c>
      <c r="T163" s="1675" t="str">
        <f t="shared" si="23"/>
        <v/>
      </c>
    </row>
    <row r="164" spans="1:20">
      <c r="A164" s="836"/>
      <c r="B164" s="529"/>
      <c r="C164" s="827"/>
      <c r="D164" s="827"/>
      <c r="E164" s="828" t="e">
        <f>LOOKUP(D164,Lookup!$C$9:$C$24,Lookup!$I$9:$I$24)</f>
        <v>#N/A</v>
      </c>
      <c r="F164" s="529"/>
      <c r="G164" s="529"/>
      <c r="H164" s="529"/>
      <c r="I164" s="828" t="e">
        <f t="shared" si="24"/>
        <v>#N/A</v>
      </c>
      <c r="J164" s="643"/>
      <c r="K164" s="829">
        <f t="shared" si="25"/>
        <v>0</v>
      </c>
      <c r="L164" s="830" t="e">
        <f t="shared" si="26"/>
        <v>#DIV/0!</v>
      </c>
      <c r="M164" s="830" t="str">
        <f t="shared" si="27"/>
        <v>N/A</v>
      </c>
      <c r="N164" s="831" t="e">
        <f t="shared" si="21"/>
        <v>#N/A</v>
      </c>
      <c r="O164" s="831">
        <f t="shared" si="28"/>
        <v>0</v>
      </c>
      <c r="P164" s="1024" t="e">
        <f>LOOKUP(G164,$J$4:$J$26,$M$4:$M$26)*LOOKUP(LOOKUP(G164,$J$4:$J$26,$K$4:$K$26),Lookup!$K$9:$K$24,Lookup!$O$9:$O$24)*IF(E164="A",LOOKUP(LOOKUP(G164,$J$4:$J$26,$K$4:$K$26),Lookup!$K$9:$K$24,Lookup!$L$9:$L$24),IF(E164="B",LOOKUP(LOOKUP(G164,$J$4:$J$26,$K$4:$K$26),Lookup!$K$9:$K$24,Lookup!$M$9:$M$24),IF(E164="C",LOOKUP(LOOKUP(G164,$J$4:$J$26,$K$4:$K$26),Lookup!$K$9:$K$24,Lookup!$N$9:$N$24))))</f>
        <v>#N/A</v>
      </c>
      <c r="Q164" s="1024" t="e">
        <f t="shared" si="29"/>
        <v>#N/A</v>
      </c>
      <c r="R164" s="1024" t="e">
        <f t="shared" si="22"/>
        <v>#N/A</v>
      </c>
      <c r="S164" s="828">
        <f t="shared" si="30"/>
        <v>0</v>
      </c>
      <c r="T164" s="1675" t="str">
        <f t="shared" si="23"/>
        <v/>
      </c>
    </row>
    <row r="165" spans="1:20">
      <c r="A165" s="836"/>
      <c r="B165" s="529"/>
      <c r="C165" s="827"/>
      <c r="D165" s="827"/>
      <c r="E165" s="828" t="e">
        <f>LOOKUP(D165,Lookup!$C$9:$C$24,Lookup!$I$9:$I$24)</f>
        <v>#N/A</v>
      </c>
      <c r="F165" s="529"/>
      <c r="G165" s="529"/>
      <c r="H165" s="529"/>
      <c r="I165" s="828" t="e">
        <f t="shared" si="24"/>
        <v>#N/A</v>
      </c>
      <c r="J165" s="643"/>
      <c r="K165" s="829">
        <f t="shared" si="25"/>
        <v>0</v>
      </c>
      <c r="L165" s="830" t="e">
        <f t="shared" si="26"/>
        <v>#DIV/0!</v>
      </c>
      <c r="M165" s="830" t="str">
        <f t="shared" si="27"/>
        <v>N/A</v>
      </c>
      <c r="N165" s="831" t="e">
        <f t="shared" si="21"/>
        <v>#N/A</v>
      </c>
      <c r="O165" s="831">
        <f t="shared" si="28"/>
        <v>0</v>
      </c>
      <c r="P165" s="1024" t="e">
        <f>LOOKUP(G165,$J$4:$J$26,$M$4:$M$26)*LOOKUP(LOOKUP(G165,$J$4:$J$26,$K$4:$K$26),Lookup!$K$9:$K$24,Lookup!$O$9:$O$24)*IF(E165="A",LOOKUP(LOOKUP(G165,$J$4:$J$26,$K$4:$K$26),Lookup!$K$9:$K$24,Lookup!$L$9:$L$24),IF(E165="B",LOOKUP(LOOKUP(G165,$J$4:$J$26,$K$4:$K$26),Lookup!$K$9:$K$24,Lookup!$M$9:$M$24),IF(E165="C",LOOKUP(LOOKUP(G165,$J$4:$J$26,$K$4:$K$26),Lookup!$K$9:$K$24,Lookup!$N$9:$N$24))))</f>
        <v>#N/A</v>
      </c>
      <c r="Q165" s="1024" t="e">
        <f t="shared" si="29"/>
        <v>#N/A</v>
      </c>
      <c r="R165" s="1024" t="e">
        <f t="shared" si="22"/>
        <v>#N/A</v>
      </c>
      <c r="S165" s="828">
        <f t="shared" si="30"/>
        <v>0</v>
      </c>
      <c r="T165" s="1675" t="str">
        <f t="shared" si="23"/>
        <v/>
      </c>
    </row>
    <row r="166" spans="1:20">
      <c r="A166" s="836"/>
      <c r="B166" s="529"/>
      <c r="C166" s="837"/>
      <c r="D166" s="827"/>
      <c r="E166" s="828" t="e">
        <f>LOOKUP(D166,Lookup!$C$9:$C$24,Lookup!$I$9:$I$24)</f>
        <v>#N/A</v>
      </c>
      <c r="F166" s="529"/>
      <c r="G166" s="529"/>
      <c r="H166" s="529"/>
      <c r="I166" s="828" t="e">
        <f t="shared" si="24"/>
        <v>#N/A</v>
      </c>
      <c r="J166" s="643"/>
      <c r="K166" s="829">
        <f t="shared" si="25"/>
        <v>0</v>
      </c>
      <c r="L166" s="830" t="e">
        <f t="shared" si="26"/>
        <v>#DIV/0!</v>
      </c>
      <c r="M166" s="830" t="str">
        <f t="shared" si="27"/>
        <v>N/A</v>
      </c>
      <c r="N166" s="831" t="e">
        <f t="shared" si="21"/>
        <v>#N/A</v>
      </c>
      <c r="O166" s="831">
        <f t="shared" si="28"/>
        <v>0</v>
      </c>
      <c r="P166" s="1024" t="e">
        <f>LOOKUP(G166,$J$4:$J$26,$M$4:$M$26)*LOOKUP(LOOKUP(G166,$J$4:$J$26,$K$4:$K$26),Lookup!$K$9:$K$24,Lookup!$O$9:$O$24)*IF(E166="A",LOOKUP(LOOKUP(G166,$J$4:$J$26,$K$4:$K$26),Lookup!$K$9:$K$24,Lookup!$L$9:$L$24),IF(E166="B",LOOKUP(LOOKUP(G166,$J$4:$J$26,$K$4:$K$26),Lookup!$K$9:$K$24,Lookup!$M$9:$M$24),IF(E166="C",LOOKUP(LOOKUP(G166,$J$4:$J$26,$K$4:$K$26),Lookup!$K$9:$K$24,Lookup!$N$9:$N$24))))</f>
        <v>#N/A</v>
      </c>
      <c r="Q166" s="1024" t="e">
        <f t="shared" si="29"/>
        <v>#N/A</v>
      </c>
      <c r="R166" s="1024" t="e">
        <f t="shared" si="22"/>
        <v>#N/A</v>
      </c>
      <c r="S166" s="828">
        <f t="shared" si="30"/>
        <v>0</v>
      </c>
      <c r="T166" s="1675" t="str">
        <f t="shared" si="23"/>
        <v/>
      </c>
    </row>
    <row r="167" spans="1:20">
      <c r="A167" s="836"/>
      <c r="B167" s="529"/>
      <c r="C167" s="827"/>
      <c r="D167" s="827"/>
      <c r="E167" s="828" t="e">
        <f>LOOKUP(D167,Lookup!$C$9:$C$24,Lookup!$I$9:$I$24)</f>
        <v>#N/A</v>
      </c>
      <c r="F167" s="529"/>
      <c r="G167" s="529"/>
      <c r="H167" s="529"/>
      <c r="I167" s="828" t="e">
        <f t="shared" si="24"/>
        <v>#N/A</v>
      </c>
      <c r="J167" s="643"/>
      <c r="K167" s="829">
        <f t="shared" si="25"/>
        <v>0</v>
      </c>
      <c r="L167" s="830" t="e">
        <f t="shared" si="26"/>
        <v>#DIV/0!</v>
      </c>
      <c r="M167" s="830" t="str">
        <f t="shared" si="27"/>
        <v>N/A</v>
      </c>
      <c r="N167" s="831" t="e">
        <f t="shared" si="21"/>
        <v>#N/A</v>
      </c>
      <c r="O167" s="831">
        <f t="shared" si="28"/>
        <v>0</v>
      </c>
      <c r="P167" s="1024" t="e">
        <f>LOOKUP(G167,$J$4:$J$26,$M$4:$M$26)*LOOKUP(LOOKUP(G167,$J$4:$J$26,$K$4:$K$26),Lookup!$K$9:$K$24,Lookup!$O$9:$O$24)*IF(E167="A",LOOKUP(LOOKUP(G167,$J$4:$J$26,$K$4:$K$26),Lookup!$K$9:$K$24,Lookup!$L$9:$L$24),IF(E167="B",LOOKUP(LOOKUP(G167,$J$4:$J$26,$K$4:$K$26),Lookup!$K$9:$K$24,Lookup!$M$9:$M$24),IF(E167="C",LOOKUP(LOOKUP(G167,$J$4:$J$26,$K$4:$K$26),Lookup!$K$9:$K$24,Lookup!$N$9:$N$24))))</f>
        <v>#N/A</v>
      </c>
      <c r="Q167" s="1024" t="e">
        <f t="shared" si="29"/>
        <v>#N/A</v>
      </c>
      <c r="R167" s="1024" t="e">
        <f t="shared" si="22"/>
        <v>#N/A</v>
      </c>
      <c r="S167" s="828">
        <f t="shared" si="30"/>
        <v>0</v>
      </c>
      <c r="T167" s="1675" t="str">
        <f t="shared" si="23"/>
        <v/>
      </c>
    </row>
    <row r="168" spans="1:20">
      <c r="A168" s="836"/>
      <c r="B168" s="529"/>
      <c r="C168" s="827"/>
      <c r="D168" s="827"/>
      <c r="E168" s="828" t="e">
        <f>LOOKUP(D168,Lookup!$C$9:$C$24,Lookup!$I$9:$I$24)</f>
        <v>#N/A</v>
      </c>
      <c r="F168" s="529"/>
      <c r="G168" s="529"/>
      <c r="H168" s="529"/>
      <c r="I168" s="828" t="e">
        <f t="shared" si="24"/>
        <v>#N/A</v>
      </c>
      <c r="J168" s="643"/>
      <c r="K168" s="829">
        <f t="shared" si="25"/>
        <v>0</v>
      </c>
      <c r="L168" s="830" t="e">
        <f t="shared" si="26"/>
        <v>#DIV/0!</v>
      </c>
      <c r="M168" s="830" t="str">
        <f t="shared" si="27"/>
        <v>N/A</v>
      </c>
      <c r="N168" s="831" t="e">
        <f t="shared" si="21"/>
        <v>#N/A</v>
      </c>
      <c r="O168" s="831">
        <f t="shared" si="28"/>
        <v>0</v>
      </c>
      <c r="P168" s="1024" t="e">
        <f>LOOKUP(G168,$J$4:$J$26,$M$4:$M$26)*LOOKUP(LOOKUP(G168,$J$4:$J$26,$K$4:$K$26),Lookup!$K$9:$K$24,Lookup!$O$9:$O$24)*IF(E168="A",LOOKUP(LOOKUP(G168,$J$4:$J$26,$K$4:$K$26),Lookup!$K$9:$K$24,Lookup!$L$9:$L$24),IF(E168="B",LOOKUP(LOOKUP(G168,$J$4:$J$26,$K$4:$K$26),Lookup!$K$9:$K$24,Lookup!$M$9:$M$24),IF(E168="C",LOOKUP(LOOKUP(G168,$J$4:$J$26,$K$4:$K$26),Lookup!$K$9:$K$24,Lookup!$N$9:$N$24))))</f>
        <v>#N/A</v>
      </c>
      <c r="Q168" s="1024" t="e">
        <f t="shared" si="29"/>
        <v>#N/A</v>
      </c>
      <c r="R168" s="1024" t="e">
        <f t="shared" si="22"/>
        <v>#N/A</v>
      </c>
      <c r="S168" s="828">
        <f t="shared" si="30"/>
        <v>0</v>
      </c>
      <c r="T168" s="1675" t="str">
        <f t="shared" si="23"/>
        <v/>
      </c>
    </row>
    <row r="169" spans="1:20">
      <c r="A169" s="836"/>
      <c r="B169" s="529"/>
      <c r="C169" s="827"/>
      <c r="D169" s="827"/>
      <c r="E169" s="828" t="e">
        <f>LOOKUP(D169,Lookup!$C$9:$C$24,Lookup!$I$9:$I$24)</f>
        <v>#N/A</v>
      </c>
      <c r="F169" s="529"/>
      <c r="G169" s="529"/>
      <c r="H169" s="529"/>
      <c r="I169" s="828" t="e">
        <f t="shared" si="24"/>
        <v>#N/A</v>
      </c>
      <c r="J169" s="643"/>
      <c r="K169" s="829">
        <f t="shared" si="25"/>
        <v>0</v>
      </c>
      <c r="L169" s="830" t="e">
        <f t="shared" si="26"/>
        <v>#DIV/0!</v>
      </c>
      <c r="M169" s="830" t="str">
        <f t="shared" si="27"/>
        <v>N/A</v>
      </c>
      <c r="N169" s="831" t="e">
        <f t="shared" si="21"/>
        <v>#N/A</v>
      </c>
      <c r="O169" s="831">
        <f t="shared" si="28"/>
        <v>0</v>
      </c>
      <c r="P169" s="1024" t="e">
        <f>LOOKUP(G169,$J$4:$J$26,$M$4:$M$26)*LOOKUP(LOOKUP(G169,$J$4:$J$26,$K$4:$K$26),Lookup!$K$9:$K$24,Lookup!$O$9:$O$24)*IF(E169="A",LOOKUP(LOOKUP(G169,$J$4:$J$26,$K$4:$K$26),Lookup!$K$9:$K$24,Lookup!$L$9:$L$24),IF(E169="B",LOOKUP(LOOKUP(G169,$J$4:$J$26,$K$4:$K$26),Lookup!$K$9:$K$24,Lookup!$M$9:$M$24),IF(E169="C",LOOKUP(LOOKUP(G169,$J$4:$J$26,$K$4:$K$26),Lookup!$K$9:$K$24,Lookup!$N$9:$N$24))))</f>
        <v>#N/A</v>
      </c>
      <c r="Q169" s="1024" t="e">
        <f t="shared" si="29"/>
        <v>#N/A</v>
      </c>
      <c r="R169" s="1024" t="e">
        <f t="shared" si="22"/>
        <v>#N/A</v>
      </c>
      <c r="S169" s="828">
        <f t="shared" si="30"/>
        <v>0</v>
      </c>
      <c r="T169" s="1675" t="str">
        <f t="shared" si="23"/>
        <v/>
      </c>
    </row>
    <row r="170" spans="1:20">
      <c r="A170" s="836"/>
      <c r="B170" s="529"/>
      <c r="C170" s="827"/>
      <c r="D170" s="827"/>
      <c r="E170" s="828" t="e">
        <f>LOOKUP(D170,Lookup!$C$9:$C$24,Lookup!$I$9:$I$24)</f>
        <v>#N/A</v>
      </c>
      <c r="F170" s="529"/>
      <c r="G170" s="529"/>
      <c r="H170" s="529"/>
      <c r="I170" s="828" t="e">
        <f t="shared" si="24"/>
        <v>#N/A</v>
      </c>
      <c r="J170" s="643"/>
      <c r="K170" s="829">
        <f t="shared" si="25"/>
        <v>0</v>
      </c>
      <c r="L170" s="830" t="e">
        <f t="shared" si="26"/>
        <v>#DIV/0!</v>
      </c>
      <c r="M170" s="830" t="str">
        <f t="shared" si="27"/>
        <v>N/A</v>
      </c>
      <c r="N170" s="831" t="e">
        <f t="shared" si="21"/>
        <v>#N/A</v>
      </c>
      <c r="O170" s="831">
        <f t="shared" si="28"/>
        <v>0</v>
      </c>
      <c r="P170" s="1024" t="e">
        <f>LOOKUP(G170,$J$4:$J$26,$M$4:$M$26)*LOOKUP(LOOKUP(G170,$J$4:$J$26,$K$4:$K$26),Lookup!$K$9:$K$24,Lookup!$O$9:$O$24)*IF(E170="A",LOOKUP(LOOKUP(G170,$J$4:$J$26,$K$4:$K$26),Lookup!$K$9:$K$24,Lookup!$L$9:$L$24),IF(E170="B",LOOKUP(LOOKUP(G170,$J$4:$J$26,$K$4:$K$26),Lookup!$K$9:$K$24,Lookup!$M$9:$M$24),IF(E170="C",LOOKUP(LOOKUP(G170,$J$4:$J$26,$K$4:$K$26),Lookup!$K$9:$K$24,Lookup!$N$9:$N$24))))</f>
        <v>#N/A</v>
      </c>
      <c r="Q170" s="1024" t="e">
        <f t="shared" si="29"/>
        <v>#N/A</v>
      </c>
      <c r="R170" s="1024" t="e">
        <f t="shared" si="22"/>
        <v>#N/A</v>
      </c>
      <c r="S170" s="828">
        <f t="shared" si="30"/>
        <v>0</v>
      </c>
      <c r="T170" s="1675" t="str">
        <f t="shared" si="23"/>
        <v/>
      </c>
    </row>
    <row r="171" spans="1:20">
      <c r="A171" s="836"/>
      <c r="B171" s="529"/>
      <c r="C171" s="827"/>
      <c r="D171" s="827"/>
      <c r="E171" s="828" t="e">
        <f>LOOKUP(D171,Lookup!$C$9:$C$24,Lookup!$I$9:$I$24)</f>
        <v>#N/A</v>
      </c>
      <c r="F171" s="529"/>
      <c r="G171" s="529"/>
      <c r="H171" s="529"/>
      <c r="I171" s="828" t="e">
        <f t="shared" si="24"/>
        <v>#N/A</v>
      </c>
      <c r="J171" s="643"/>
      <c r="K171" s="829">
        <f t="shared" si="25"/>
        <v>0</v>
      </c>
      <c r="L171" s="830" t="e">
        <f t="shared" si="26"/>
        <v>#DIV/0!</v>
      </c>
      <c r="M171" s="830" t="str">
        <f t="shared" si="27"/>
        <v>N/A</v>
      </c>
      <c r="N171" s="831" t="e">
        <f t="shared" si="21"/>
        <v>#N/A</v>
      </c>
      <c r="O171" s="831">
        <f t="shared" si="28"/>
        <v>0</v>
      </c>
      <c r="P171" s="1024" t="e">
        <f>LOOKUP(G171,$J$4:$J$26,$M$4:$M$26)*LOOKUP(LOOKUP(G171,$J$4:$J$26,$K$4:$K$26),Lookup!$K$9:$K$24,Lookup!$O$9:$O$24)*IF(E171="A",LOOKUP(LOOKUP(G171,$J$4:$J$26,$K$4:$K$26),Lookup!$K$9:$K$24,Lookup!$L$9:$L$24),IF(E171="B",LOOKUP(LOOKUP(G171,$J$4:$J$26,$K$4:$K$26),Lookup!$K$9:$K$24,Lookup!$M$9:$M$24),IF(E171="C",LOOKUP(LOOKUP(G171,$J$4:$J$26,$K$4:$K$26),Lookup!$K$9:$K$24,Lookup!$N$9:$N$24))))</f>
        <v>#N/A</v>
      </c>
      <c r="Q171" s="1024" t="e">
        <f t="shared" si="29"/>
        <v>#N/A</v>
      </c>
      <c r="R171" s="1024" t="e">
        <f t="shared" si="22"/>
        <v>#N/A</v>
      </c>
      <c r="S171" s="828">
        <f t="shared" si="30"/>
        <v>0</v>
      </c>
      <c r="T171" s="1675" t="str">
        <f t="shared" si="23"/>
        <v/>
      </c>
    </row>
    <row r="172" spans="1:20">
      <c r="A172" s="836"/>
      <c r="B172" s="529"/>
      <c r="C172" s="837"/>
      <c r="D172" s="827"/>
      <c r="E172" s="828" t="e">
        <f>LOOKUP(D172,Lookup!$C$9:$C$24,Lookup!$I$9:$I$24)</f>
        <v>#N/A</v>
      </c>
      <c r="F172" s="529"/>
      <c r="G172" s="529"/>
      <c r="H172" s="529"/>
      <c r="I172" s="828" t="e">
        <f t="shared" si="24"/>
        <v>#N/A</v>
      </c>
      <c r="J172" s="643"/>
      <c r="K172" s="829">
        <f t="shared" si="25"/>
        <v>0</v>
      </c>
      <c r="L172" s="830" t="e">
        <f t="shared" si="26"/>
        <v>#DIV/0!</v>
      </c>
      <c r="M172" s="830" t="str">
        <f t="shared" si="27"/>
        <v>N/A</v>
      </c>
      <c r="N172" s="831" t="e">
        <f t="shared" si="21"/>
        <v>#N/A</v>
      </c>
      <c r="O172" s="831">
        <f t="shared" si="28"/>
        <v>0</v>
      </c>
      <c r="P172" s="1024" t="e">
        <f>LOOKUP(G172,$J$4:$J$26,$M$4:$M$26)*LOOKUP(LOOKUP(G172,$J$4:$J$26,$K$4:$K$26),Lookup!$K$9:$K$24,Lookup!$O$9:$O$24)*IF(E172="A",LOOKUP(LOOKUP(G172,$J$4:$J$26,$K$4:$K$26),Lookup!$K$9:$K$24,Lookup!$L$9:$L$24),IF(E172="B",LOOKUP(LOOKUP(G172,$J$4:$J$26,$K$4:$K$26),Lookup!$K$9:$K$24,Lookup!$M$9:$M$24),IF(E172="C",LOOKUP(LOOKUP(G172,$J$4:$J$26,$K$4:$K$26),Lookup!$K$9:$K$24,Lookup!$N$9:$N$24))))</f>
        <v>#N/A</v>
      </c>
      <c r="Q172" s="1024" t="e">
        <f t="shared" si="29"/>
        <v>#N/A</v>
      </c>
      <c r="R172" s="1024" t="e">
        <f t="shared" si="22"/>
        <v>#N/A</v>
      </c>
      <c r="S172" s="828">
        <f t="shared" si="30"/>
        <v>0</v>
      </c>
      <c r="T172" s="1675" t="str">
        <f t="shared" si="23"/>
        <v/>
      </c>
    </row>
    <row r="173" spans="1:20">
      <c r="A173" s="836"/>
      <c r="B173" s="529"/>
      <c r="C173" s="827"/>
      <c r="D173" s="827"/>
      <c r="E173" s="828" t="e">
        <f>LOOKUP(D173,Lookup!$C$9:$C$24,Lookup!$I$9:$I$24)</f>
        <v>#N/A</v>
      </c>
      <c r="F173" s="529"/>
      <c r="G173" s="529"/>
      <c r="H173" s="529"/>
      <c r="I173" s="828" t="e">
        <f t="shared" si="24"/>
        <v>#N/A</v>
      </c>
      <c r="J173" s="643"/>
      <c r="K173" s="829">
        <f t="shared" si="25"/>
        <v>0</v>
      </c>
      <c r="L173" s="830" t="e">
        <f t="shared" si="26"/>
        <v>#DIV/0!</v>
      </c>
      <c r="M173" s="830" t="str">
        <f t="shared" si="27"/>
        <v>N/A</v>
      </c>
      <c r="N173" s="831" t="e">
        <f t="shared" si="21"/>
        <v>#N/A</v>
      </c>
      <c r="O173" s="831">
        <f t="shared" si="28"/>
        <v>0</v>
      </c>
      <c r="P173" s="1024" t="e">
        <f>LOOKUP(G173,$J$4:$J$26,$M$4:$M$26)*LOOKUP(LOOKUP(G173,$J$4:$J$26,$K$4:$K$26),Lookup!$K$9:$K$24,Lookup!$O$9:$O$24)*IF(E173="A",LOOKUP(LOOKUP(G173,$J$4:$J$26,$K$4:$K$26),Lookup!$K$9:$K$24,Lookup!$L$9:$L$24),IF(E173="B",LOOKUP(LOOKUP(G173,$J$4:$J$26,$K$4:$K$26),Lookup!$K$9:$K$24,Lookup!$M$9:$M$24),IF(E173="C",LOOKUP(LOOKUP(G173,$J$4:$J$26,$K$4:$K$26),Lookup!$K$9:$K$24,Lookup!$N$9:$N$24))))</f>
        <v>#N/A</v>
      </c>
      <c r="Q173" s="1024" t="e">
        <f t="shared" si="29"/>
        <v>#N/A</v>
      </c>
      <c r="R173" s="1024" t="e">
        <f t="shared" si="22"/>
        <v>#N/A</v>
      </c>
      <c r="S173" s="828">
        <f t="shared" si="30"/>
        <v>0</v>
      </c>
      <c r="T173" s="1675" t="str">
        <f t="shared" si="23"/>
        <v/>
      </c>
    </row>
    <row r="174" spans="1:20">
      <c r="A174" s="836"/>
      <c r="B174" s="529"/>
      <c r="C174" s="827"/>
      <c r="D174" s="827"/>
      <c r="E174" s="828" t="e">
        <f>LOOKUP(D174,Lookup!$C$9:$C$24,Lookup!$I$9:$I$24)</f>
        <v>#N/A</v>
      </c>
      <c r="F174" s="529"/>
      <c r="G174" s="529"/>
      <c r="H174" s="529"/>
      <c r="I174" s="828" t="e">
        <f t="shared" si="24"/>
        <v>#N/A</v>
      </c>
      <c r="J174" s="643"/>
      <c r="K174" s="829">
        <f t="shared" si="25"/>
        <v>0</v>
      </c>
      <c r="L174" s="830" t="e">
        <f t="shared" si="26"/>
        <v>#DIV/0!</v>
      </c>
      <c r="M174" s="830" t="str">
        <f t="shared" si="27"/>
        <v>N/A</v>
      </c>
      <c r="N174" s="831" t="e">
        <f t="shared" si="21"/>
        <v>#N/A</v>
      </c>
      <c r="O174" s="831">
        <f t="shared" si="28"/>
        <v>0</v>
      </c>
      <c r="P174" s="1024" t="e">
        <f>LOOKUP(G174,$J$4:$J$26,$M$4:$M$26)*LOOKUP(LOOKUP(G174,$J$4:$J$26,$K$4:$K$26),Lookup!$K$9:$K$24,Lookup!$O$9:$O$24)*IF(E174="A",LOOKUP(LOOKUP(G174,$J$4:$J$26,$K$4:$K$26),Lookup!$K$9:$K$24,Lookup!$L$9:$L$24),IF(E174="B",LOOKUP(LOOKUP(G174,$J$4:$J$26,$K$4:$K$26),Lookup!$K$9:$K$24,Lookup!$M$9:$M$24),IF(E174="C",LOOKUP(LOOKUP(G174,$J$4:$J$26,$K$4:$K$26),Lookup!$K$9:$K$24,Lookup!$N$9:$N$24))))</f>
        <v>#N/A</v>
      </c>
      <c r="Q174" s="1024" t="e">
        <f t="shared" si="29"/>
        <v>#N/A</v>
      </c>
      <c r="R174" s="1024" t="e">
        <f t="shared" si="22"/>
        <v>#N/A</v>
      </c>
      <c r="S174" s="828">
        <f t="shared" si="30"/>
        <v>0</v>
      </c>
      <c r="T174" s="1675" t="str">
        <f t="shared" si="23"/>
        <v/>
      </c>
    </row>
    <row r="175" spans="1:20">
      <c r="A175" s="836"/>
      <c r="B175" s="529"/>
      <c r="C175" s="827"/>
      <c r="D175" s="827"/>
      <c r="E175" s="828" t="e">
        <f>LOOKUP(D175,Lookup!$C$9:$C$24,Lookup!$I$9:$I$24)</f>
        <v>#N/A</v>
      </c>
      <c r="F175" s="529"/>
      <c r="G175" s="529"/>
      <c r="H175" s="529"/>
      <c r="I175" s="828" t="e">
        <f t="shared" si="24"/>
        <v>#N/A</v>
      </c>
      <c r="J175" s="643"/>
      <c r="K175" s="829">
        <f t="shared" si="25"/>
        <v>0</v>
      </c>
      <c r="L175" s="830" t="e">
        <f t="shared" si="26"/>
        <v>#DIV/0!</v>
      </c>
      <c r="M175" s="830" t="str">
        <f t="shared" si="27"/>
        <v>N/A</v>
      </c>
      <c r="N175" s="831" t="e">
        <f t="shared" si="21"/>
        <v>#N/A</v>
      </c>
      <c r="O175" s="831">
        <f t="shared" si="28"/>
        <v>0</v>
      </c>
      <c r="P175" s="1024" t="e">
        <f>LOOKUP(G175,$J$4:$J$26,$M$4:$M$26)*LOOKUP(LOOKUP(G175,$J$4:$J$26,$K$4:$K$26),Lookup!$K$9:$K$24,Lookup!$O$9:$O$24)*IF(E175="A",LOOKUP(LOOKUP(G175,$J$4:$J$26,$K$4:$K$26),Lookup!$K$9:$K$24,Lookup!$L$9:$L$24),IF(E175="B",LOOKUP(LOOKUP(G175,$J$4:$J$26,$K$4:$K$26),Lookup!$K$9:$K$24,Lookup!$M$9:$M$24),IF(E175="C",LOOKUP(LOOKUP(G175,$J$4:$J$26,$K$4:$K$26),Lookup!$K$9:$K$24,Lookup!$N$9:$N$24))))</f>
        <v>#N/A</v>
      </c>
      <c r="Q175" s="1024" t="e">
        <f t="shared" si="29"/>
        <v>#N/A</v>
      </c>
      <c r="R175" s="1024" t="e">
        <f t="shared" si="22"/>
        <v>#N/A</v>
      </c>
      <c r="S175" s="828">
        <f t="shared" si="30"/>
        <v>0</v>
      </c>
      <c r="T175" s="1675" t="str">
        <f t="shared" si="23"/>
        <v/>
      </c>
    </row>
    <row r="176" spans="1:20">
      <c r="A176" s="836"/>
      <c r="B176" s="529"/>
      <c r="C176" s="827"/>
      <c r="D176" s="827"/>
      <c r="E176" s="828" t="e">
        <f>LOOKUP(D176,Lookup!$C$9:$C$24,Lookup!$I$9:$I$24)</f>
        <v>#N/A</v>
      </c>
      <c r="F176" s="529"/>
      <c r="G176" s="529"/>
      <c r="H176" s="529"/>
      <c r="I176" s="828" t="e">
        <f t="shared" si="24"/>
        <v>#N/A</v>
      </c>
      <c r="J176" s="643"/>
      <c r="K176" s="829">
        <f t="shared" si="25"/>
        <v>0</v>
      </c>
      <c r="L176" s="830" t="e">
        <f t="shared" si="26"/>
        <v>#DIV/0!</v>
      </c>
      <c r="M176" s="830" t="str">
        <f t="shared" si="27"/>
        <v>N/A</v>
      </c>
      <c r="N176" s="831" t="e">
        <f t="shared" si="21"/>
        <v>#N/A</v>
      </c>
      <c r="O176" s="831">
        <f t="shared" si="28"/>
        <v>0</v>
      </c>
      <c r="P176" s="1024" t="e">
        <f>LOOKUP(G176,$J$4:$J$26,$M$4:$M$26)*LOOKUP(LOOKUP(G176,$J$4:$J$26,$K$4:$K$26),Lookup!$K$9:$K$24,Lookup!$O$9:$O$24)*IF(E176="A",LOOKUP(LOOKUP(G176,$J$4:$J$26,$K$4:$K$26),Lookup!$K$9:$K$24,Lookup!$L$9:$L$24),IF(E176="B",LOOKUP(LOOKUP(G176,$J$4:$J$26,$K$4:$K$26),Lookup!$K$9:$K$24,Lookup!$M$9:$M$24),IF(E176="C",LOOKUP(LOOKUP(G176,$J$4:$J$26,$K$4:$K$26),Lookup!$K$9:$K$24,Lookup!$N$9:$N$24))))</f>
        <v>#N/A</v>
      </c>
      <c r="Q176" s="1024" t="e">
        <f t="shared" si="29"/>
        <v>#N/A</v>
      </c>
      <c r="R176" s="1024" t="e">
        <f t="shared" si="22"/>
        <v>#N/A</v>
      </c>
      <c r="S176" s="828">
        <f t="shared" si="30"/>
        <v>0</v>
      </c>
      <c r="T176" s="1675" t="str">
        <f t="shared" si="23"/>
        <v/>
      </c>
    </row>
    <row r="177" spans="1:20">
      <c r="A177" s="836"/>
      <c r="B177" s="529"/>
      <c r="C177" s="827"/>
      <c r="D177" s="827"/>
      <c r="E177" s="828" t="e">
        <f>LOOKUP(D177,Lookup!$C$9:$C$24,Lookup!$I$9:$I$24)</f>
        <v>#N/A</v>
      </c>
      <c r="F177" s="529"/>
      <c r="G177" s="529"/>
      <c r="H177" s="529"/>
      <c r="I177" s="828" t="e">
        <f t="shared" si="24"/>
        <v>#N/A</v>
      </c>
      <c r="J177" s="643"/>
      <c r="K177" s="829">
        <f t="shared" si="25"/>
        <v>0</v>
      </c>
      <c r="L177" s="830" t="e">
        <f t="shared" si="26"/>
        <v>#DIV/0!</v>
      </c>
      <c r="M177" s="830" t="str">
        <f t="shared" si="27"/>
        <v>N/A</v>
      </c>
      <c r="N177" s="831" t="e">
        <f t="shared" si="21"/>
        <v>#N/A</v>
      </c>
      <c r="O177" s="831">
        <f t="shared" si="28"/>
        <v>0</v>
      </c>
      <c r="P177" s="1024" t="e">
        <f>LOOKUP(G177,$J$4:$J$26,$M$4:$M$26)*LOOKUP(LOOKUP(G177,$J$4:$J$26,$K$4:$K$26),Lookup!$K$9:$K$24,Lookup!$O$9:$O$24)*IF(E177="A",LOOKUP(LOOKUP(G177,$J$4:$J$26,$K$4:$K$26),Lookup!$K$9:$K$24,Lookup!$L$9:$L$24),IF(E177="B",LOOKUP(LOOKUP(G177,$J$4:$J$26,$K$4:$K$26),Lookup!$K$9:$K$24,Lookup!$M$9:$M$24),IF(E177="C",LOOKUP(LOOKUP(G177,$J$4:$J$26,$K$4:$K$26),Lookup!$K$9:$K$24,Lookup!$N$9:$N$24))))</f>
        <v>#N/A</v>
      </c>
      <c r="Q177" s="1024" t="e">
        <f t="shared" si="29"/>
        <v>#N/A</v>
      </c>
      <c r="R177" s="1024" t="e">
        <f t="shared" si="22"/>
        <v>#N/A</v>
      </c>
      <c r="S177" s="828">
        <f t="shared" si="30"/>
        <v>0</v>
      </c>
      <c r="T177" s="1675" t="str">
        <f t="shared" si="23"/>
        <v/>
      </c>
    </row>
    <row r="178" spans="1:20">
      <c r="A178" s="836"/>
      <c r="B178" s="529"/>
      <c r="C178" s="837"/>
      <c r="D178" s="827"/>
      <c r="E178" s="828" t="e">
        <f>LOOKUP(D178,Lookup!$C$9:$C$24,Lookup!$I$9:$I$24)</f>
        <v>#N/A</v>
      </c>
      <c r="F178" s="529"/>
      <c r="G178" s="529"/>
      <c r="H178" s="529"/>
      <c r="I178" s="828" t="e">
        <f t="shared" si="24"/>
        <v>#N/A</v>
      </c>
      <c r="J178" s="643"/>
      <c r="K178" s="829">
        <f t="shared" si="25"/>
        <v>0</v>
      </c>
      <c r="L178" s="830" t="e">
        <f t="shared" si="26"/>
        <v>#DIV/0!</v>
      </c>
      <c r="M178" s="830" t="str">
        <f t="shared" si="27"/>
        <v>N/A</v>
      </c>
      <c r="N178" s="831" t="e">
        <f t="shared" si="21"/>
        <v>#N/A</v>
      </c>
      <c r="O178" s="831">
        <f t="shared" si="28"/>
        <v>0</v>
      </c>
      <c r="P178" s="1024" t="e">
        <f>LOOKUP(G178,$J$4:$J$26,$M$4:$M$26)*LOOKUP(LOOKUP(G178,$J$4:$J$26,$K$4:$K$26),Lookup!$K$9:$K$24,Lookup!$O$9:$O$24)*IF(E178="A",LOOKUP(LOOKUP(G178,$J$4:$J$26,$K$4:$K$26),Lookup!$K$9:$K$24,Lookup!$L$9:$L$24),IF(E178="B",LOOKUP(LOOKUP(G178,$J$4:$J$26,$K$4:$K$26),Lookup!$K$9:$K$24,Lookup!$M$9:$M$24),IF(E178="C",LOOKUP(LOOKUP(G178,$J$4:$J$26,$K$4:$K$26),Lookup!$K$9:$K$24,Lookup!$N$9:$N$24))))</f>
        <v>#N/A</v>
      </c>
      <c r="Q178" s="1024" t="e">
        <f t="shared" si="29"/>
        <v>#N/A</v>
      </c>
      <c r="R178" s="1024" t="e">
        <f t="shared" si="22"/>
        <v>#N/A</v>
      </c>
      <c r="S178" s="828">
        <f t="shared" si="30"/>
        <v>0</v>
      </c>
      <c r="T178" s="1675" t="str">
        <f t="shared" si="23"/>
        <v/>
      </c>
    </row>
    <row r="179" spans="1:20">
      <c r="A179" s="836"/>
      <c r="B179" s="529"/>
      <c r="C179" s="827"/>
      <c r="D179" s="827"/>
      <c r="E179" s="828" t="e">
        <f>LOOKUP(D179,Lookup!$C$9:$C$24,Lookup!$I$9:$I$24)</f>
        <v>#N/A</v>
      </c>
      <c r="F179" s="529"/>
      <c r="G179" s="529"/>
      <c r="H179" s="529"/>
      <c r="I179" s="828" t="e">
        <f t="shared" si="24"/>
        <v>#N/A</v>
      </c>
      <c r="J179" s="643"/>
      <c r="K179" s="829">
        <f t="shared" si="25"/>
        <v>0</v>
      </c>
      <c r="L179" s="830" t="e">
        <f t="shared" si="26"/>
        <v>#DIV/0!</v>
      </c>
      <c r="M179" s="830" t="str">
        <f t="shared" si="27"/>
        <v>N/A</v>
      </c>
      <c r="N179" s="831" t="e">
        <f t="shared" si="21"/>
        <v>#N/A</v>
      </c>
      <c r="O179" s="831">
        <f t="shared" si="28"/>
        <v>0</v>
      </c>
      <c r="P179" s="1024" t="e">
        <f>LOOKUP(G179,$J$4:$J$26,$M$4:$M$26)*LOOKUP(LOOKUP(G179,$J$4:$J$26,$K$4:$K$26),Lookup!$K$9:$K$24,Lookup!$O$9:$O$24)*IF(E179="A",LOOKUP(LOOKUP(G179,$J$4:$J$26,$K$4:$K$26),Lookup!$K$9:$K$24,Lookup!$L$9:$L$24),IF(E179="B",LOOKUP(LOOKUP(G179,$J$4:$J$26,$K$4:$K$26),Lookup!$K$9:$K$24,Lookup!$M$9:$M$24),IF(E179="C",LOOKUP(LOOKUP(G179,$J$4:$J$26,$K$4:$K$26),Lookup!$K$9:$K$24,Lookup!$N$9:$N$24))))</f>
        <v>#N/A</v>
      </c>
      <c r="Q179" s="1024" t="e">
        <f t="shared" si="29"/>
        <v>#N/A</v>
      </c>
      <c r="R179" s="1024" t="e">
        <f t="shared" si="22"/>
        <v>#N/A</v>
      </c>
      <c r="S179" s="828">
        <f t="shared" si="30"/>
        <v>0</v>
      </c>
      <c r="T179" s="1675" t="str">
        <f t="shared" si="23"/>
        <v/>
      </c>
    </row>
    <row r="180" spans="1:20">
      <c r="A180" s="836"/>
      <c r="B180" s="529"/>
      <c r="C180" s="827"/>
      <c r="D180" s="827"/>
      <c r="E180" s="828" t="e">
        <f>LOOKUP(D180,Lookup!$C$9:$C$24,Lookup!$I$9:$I$24)</f>
        <v>#N/A</v>
      </c>
      <c r="F180" s="529"/>
      <c r="G180" s="529"/>
      <c r="H180" s="529"/>
      <c r="I180" s="828" t="e">
        <f t="shared" si="24"/>
        <v>#N/A</v>
      </c>
      <c r="J180" s="643"/>
      <c r="K180" s="829">
        <f t="shared" si="25"/>
        <v>0</v>
      </c>
      <c r="L180" s="830" t="e">
        <f t="shared" si="26"/>
        <v>#DIV/0!</v>
      </c>
      <c r="M180" s="830" t="str">
        <f t="shared" si="27"/>
        <v>N/A</v>
      </c>
      <c r="N180" s="831" t="e">
        <f t="shared" si="21"/>
        <v>#N/A</v>
      </c>
      <c r="O180" s="831">
        <f t="shared" si="28"/>
        <v>0</v>
      </c>
      <c r="P180" s="1024" t="e">
        <f>LOOKUP(G180,$J$4:$J$26,$M$4:$M$26)*LOOKUP(LOOKUP(G180,$J$4:$J$26,$K$4:$K$26),Lookup!$K$9:$K$24,Lookup!$O$9:$O$24)*IF(E180="A",LOOKUP(LOOKUP(G180,$J$4:$J$26,$K$4:$K$26),Lookup!$K$9:$K$24,Lookup!$L$9:$L$24),IF(E180="B",LOOKUP(LOOKUP(G180,$J$4:$J$26,$K$4:$K$26),Lookup!$K$9:$K$24,Lookup!$M$9:$M$24),IF(E180="C",LOOKUP(LOOKUP(G180,$J$4:$J$26,$K$4:$K$26),Lookup!$K$9:$K$24,Lookup!$N$9:$N$24))))</f>
        <v>#N/A</v>
      </c>
      <c r="Q180" s="1024" t="e">
        <f t="shared" si="29"/>
        <v>#N/A</v>
      </c>
      <c r="R180" s="1024" t="e">
        <f t="shared" si="22"/>
        <v>#N/A</v>
      </c>
      <c r="S180" s="828">
        <f t="shared" si="30"/>
        <v>0</v>
      </c>
      <c r="T180" s="1675" t="str">
        <f t="shared" si="23"/>
        <v/>
      </c>
    </row>
    <row r="181" spans="1:20">
      <c r="A181" s="836"/>
      <c r="B181" s="529"/>
      <c r="C181" s="827"/>
      <c r="D181" s="827"/>
      <c r="E181" s="828" t="e">
        <f>LOOKUP(D181,Lookup!$C$9:$C$24,Lookup!$I$9:$I$24)</f>
        <v>#N/A</v>
      </c>
      <c r="F181" s="529"/>
      <c r="G181" s="529"/>
      <c r="H181" s="529"/>
      <c r="I181" s="828" t="e">
        <f t="shared" si="24"/>
        <v>#N/A</v>
      </c>
      <c r="J181" s="643"/>
      <c r="K181" s="829">
        <f t="shared" si="25"/>
        <v>0</v>
      </c>
      <c r="L181" s="830" t="e">
        <f t="shared" si="26"/>
        <v>#DIV/0!</v>
      </c>
      <c r="M181" s="830" t="str">
        <f t="shared" si="27"/>
        <v>N/A</v>
      </c>
      <c r="N181" s="831" t="e">
        <f t="shared" si="21"/>
        <v>#N/A</v>
      </c>
      <c r="O181" s="831">
        <f t="shared" si="28"/>
        <v>0</v>
      </c>
      <c r="P181" s="1024" t="e">
        <f>LOOKUP(G181,$J$4:$J$26,$M$4:$M$26)*LOOKUP(LOOKUP(G181,$J$4:$J$26,$K$4:$K$26),Lookup!$K$9:$K$24,Lookup!$O$9:$O$24)*IF(E181="A",LOOKUP(LOOKUP(G181,$J$4:$J$26,$K$4:$K$26),Lookup!$K$9:$K$24,Lookup!$L$9:$L$24),IF(E181="B",LOOKUP(LOOKUP(G181,$J$4:$J$26,$K$4:$K$26),Lookup!$K$9:$K$24,Lookup!$M$9:$M$24),IF(E181="C",LOOKUP(LOOKUP(G181,$J$4:$J$26,$K$4:$K$26),Lookup!$K$9:$K$24,Lookup!$N$9:$N$24))))</f>
        <v>#N/A</v>
      </c>
      <c r="Q181" s="1024" t="e">
        <f t="shared" si="29"/>
        <v>#N/A</v>
      </c>
      <c r="R181" s="1024" t="e">
        <f t="shared" si="22"/>
        <v>#N/A</v>
      </c>
      <c r="S181" s="828">
        <f t="shared" si="30"/>
        <v>0</v>
      </c>
      <c r="T181" s="1675" t="str">
        <f t="shared" si="23"/>
        <v/>
      </c>
    </row>
    <row r="182" spans="1:20">
      <c r="A182" s="836"/>
      <c r="B182" s="529"/>
      <c r="C182" s="827"/>
      <c r="D182" s="827"/>
      <c r="E182" s="828" t="e">
        <f>LOOKUP(D182,Lookup!$C$9:$C$24,Lookup!$I$9:$I$24)</f>
        <v>#N/A</v>
      </c>
      <c r="F182" s="529"/>
      <c r="G182" s="529"/>
      <c r="H182" s="529"/>
      <c r="I182" s="828" t="e">
        <f t="shared" si="24"/>
        <v>#N/A</v>
      </c>
      <c r="J182" s="643"/>
      <c r="K182" s="829">
        <f t="shared" si="25"/>
        <v>0</v>
      </c>
      <c r="L182" s="830" t="e">
        <f t="shared" si="26"/>
        <v>#DIV/0!</v>
      </c>
      <c r="M182" s="830" t="str">
        <f t="shared" si="27"/>
        <v>N/A</v>
      </c>
      <c r="N182" s="831" t="e">
        <f t="shared" si="21"/>
        <v>#N/A</v>
      </c>
      <c r="O182" s="831">
        <f t="shared" si="28"/>
        <v>0</v>
      </c>
      <c r="P182" s="1024" t="e">
        <f>LOOKUP(G182,$J$4:$J$26,$M$4:$M$26)*LOOKUP(LOOKUP(G182,$J$4:$J$26,$K$4:$K$26),Lookup!$K$9:$K$24,Lookup!$O$9:$O$24)*IF(E182="A",LOOKUP(LOOKUP(G182,$J$4:$J$26,$K$4:$K$26),Lookup!$K$9:$K$24,Lookup!$L$9:$L$24),IF(E182="B",LOOKUP(LOOKUP(G182,$J$4:$J$26,$K$4:$K$26),Lookup!$K$9:$K$24,Lookup!$M$9:$M$24),IF(E182="C",LOOKUP(LOOKUP(G182,$J$4:$J$26,$K$4:$K$26),Lookup!$K$9:$K$24,Lookup!$N$9:$N$24))))</f>
        <v>#N/A</v>
      </c>
      <c r="Q182" s="1024" t="e">
        <f t="shared" si="29"/>
        <v>#N/A</v>
      </c>
      <c r="R182" s="1024" t="e">
        <f t="shared" si="22"/>
        <v>#N/A</v>
      </c>
      <c r="S182" s="828">
        <f t="shared" si="30"/>
        <v>0</v>
      </c>
      <c r="T182" s="1675" t="str">
        <f t="shared" si="23"/>
        <v/>
      </c>
    </row>
    <row r="183" spans="1:20">
      <c r="A183" s="836"/>
      <c r="B183" s="529"/>
      <c r="C183" s="827"/>
      <c r="D183" s="827"/>
      <c r="E183" s="828" t="e">
        <f>LOOKUP(D183,Lookup!$C$9:$C$24,Lookup!$I$9:$I$24)</f>
        <v>#N/A</v>
      </c>
      <c r="F183" s="529"/>
      <c r="G183" s="529"/>
      <c r="H183" s="529"/>
      <c r="I183" s="828" t="e">
        <f t="shared" si="24"/>
        <v>#N/A</v>
      </c>
      <c r="J183" s="643"/>
      <c r="K183" s="829">
        <f t="shared" si="25"/>
        <v>0</v>
      </c>
      <c r="L183" s="830" t="e">
        <f t="shared" si="26"/>
        <v>#DIV/0!</v>
      </c>
      <c r="M183" s="830" t="str">
        <f t="shared" si="27"/>
        <v>N/A</v>
      </c>
      <c r="N183" s="831" t="e">
        <f t="shared" si="21"/>
        <v>#N/A</v>
      </c>
      <c r="O183" s="831">
        <f t="shared" si="28"/>
        <v>0</v>
      </c>
      <c r="P183" s="1024" t="e">
        <f>LOOKUP(G183,$J$4:$J$26,$M$4:$M$26)*LOOKUP(LOOKUP(G183,$J$4:$J$26,$K$4:$K$26),Lookup!$K$9:$K$24,Lookup!$O$9:$O$24)*IF(E183="A",LOOKUP(LOOKUP(G183,$J$4:$J$26,$K$4:$K$26),Lookup!$K$9:$K$24,Lookup!$L$9:$L$24),IF(E183="B",LOOKUP(LOOKUP(G183,$J$4:$J$26,$K$4:$K$26),Lookup!$K$9:$K$24,Lookup!$M$9:$M$24),IF(E183="C",LOOKUP(LOOKUP(G183,$J$4:$J$26,$K$4:$K$26),Lookup!$K$9:$K$24,Lookup!$N$9:$N$24))))</f>
        <v>#N/A</v>
      </c>
      <c r="Q183" s="1024" t="e">
        <f t="shared" si="29"/>
        <v>#N/A</v>
      </c>
      <c r="R183" s="1024" t="e">
        <f t="shared" si="22"/>
        <v>#N/A</v>
      </c>
      <c r="S183" s="828">
        <f t="shared" si="30"/>
        <v>0</v>
      </c>
      <c r="T183" s="1675" t="str">
        <f t="shared" si="23"/>
        <v/>
      </c>
    </row>
    <row r="184" spans="1:20">
      <c r="A184" s="836"/>
      <c r="B184" s="529"/>
      <c r="C184" s="837"/>
      <c r="D184" s="827"/>
      <c r="E184" s="828" t="e">
        <f>LOOKUP(D184,Lookup!$C$9:$C$24,Lookup!$I$9:$I$24)</f>
        <v>#N/A</v>
      </c>
      <c r="F184" s="529"/>
      <c r="G184" s="529"/>
      <c r="H184" s="529"/>
      <c r="I184" s="828" t="e">
        <f t="shared" si="24"/>
        <v>#N/A</v>
      </c>
      <c r="J184" s="643"/>
      <c r="K184" s="829">
        <f t="shared" si="25"/>
        <v>0</v>
      </c>
      <c r="L184" s="830" t="e">
        <f t="shared" si="26"/>
        <v>#DIV/0!</v>
      </c>
      <c r="M184" s="830" t="str">
        <f t="shared" si="27"/>
        <v>N/A</v>
      </c>
      <c r="N184" s="831" t="e">
        <f t="shared" si="21"/>
        <v>#N/A</v>
      </c>
      <c r="O184" s="831">
        <f t="shared" si="28"/>
        <v>0</v>
      </c>
      <c r="P184" s="1024" t="e">
        <f>LOOKUP(G184,$J$4:$J$26,$M$4:$M$26)*LOOKUP(LOOKUP(G184,$J$4:$J$26,$K$4:$K$26),Lookup!$K$9:$K$24,Lookup!$O$9:$O$24)*IF(E184="A",LOOKUP(LOOKUP(G184,$J$4:$J$26,$K$4:$K$26),Lookup!$K$9:$K$24,Lookup!$L$9:$L$24),IF(E184="B",LOOKUP(LOOKUP(G184,$J$4:$J$26,$K$4:$K$26),Lookup!$K$9:$K$24,Lookup!$M$9:$M$24),IF(E184="C",LOOKUP(LOOKUP(G184,$J$4:$J$26,$K$4:$K$26),Lookup!$K$9:$K$24,Lookup!$N$9:$N$24))))</f>
        <v>#N/A</v>
      </c>
      <c r="Q184" s="1024" t="e">
        <f t="shared" si="29"/>
        <v>#N/A</v>
      </c>
      <c r="R184" s="1024" t="e">
        <f t="shared" si="22"/>
        <v>#N/A</v>
      </c>
      <c r="S184" s="828">
        <f t="shared" si="30"/>
        <v>0</v>
      </c>
      <c r="T184" s="1675" t="str">
        <f t="shared" si="23"/>
        <v/>
      </c>
    </row>
    <row r="185" spans="1:20">
      <c r="A185" s="836"/>
      <c r="B185" s="529"/>
      <c r="C185" s="827"/>
      <c r="D185" s="827"/>
      <c r="E185" s="828" t="e">
        <f>LOOKUP(D185,Lookup!$C$9:$C$24,Lookup!$I$9:$I$24)</f>
        <v>#N/A</v>
      </c>
      <c r="F185" s="529"/>
      <c r="G185" s="529"/>
      <c r="H185" s="529"/>
      <c r="I185" s="828" t="e">
        <f t="shared" si="24"/>
        <v>#N/A</v>
      </c>
      <c r="J185" s="643"/>
      <c r="K185" s="829">
        <f t="shared" si="25"/>
        <v>0</v>
      </c>
      <c r="L185" s="830" t="e">
        <f t="shared" si="26"/>
        <v>#DIV/0!</v>
      </c>
      <c r="M185" s="830" t="str">
        <f t="shared" si="27"/>
        <v>N/A</v>
      </c>
      <c r="N185" s="831" t="e">
        <f t="shared" si="21"/>
        <v>#N/A</v>
      </c>
      <c r="O185" s="831">
        <f t="shared" si="28"/>
        <v>0</v>
      </c>
      <c r="P185" s="1024" t="e">
        <f>LOOKUP(G185,$J$4:$J$26,$M$4:$M$26)*LOOKUP(LOOKUP(G185,$J$4:$J$26,$K$4:$K$26),Lookup!$K$9:$K$24,Lookup!$O$9:$O$24)*IF(E185="A",LOOKUP(LOOKUP(G185,$J$4:$J$26,$K$4:$K$26),Lookup!$K$9:$K$24,Lookup!$L$9:$L$24),IF(E185="B",LOOKUP(LOOKUP(G185,$J$4:$J$26,$K$4:$K$26),Lookup!$K$9:$K$24,Lookup!$M$9:$M$24),IF(E185="C",LOOKUP(LOOKUP(G185,$J$4:$J$26,$K$4:$K$26),Lookup!$K$9:$K$24,Lookup!$N$9:$N$24))))</f>
        <v>#N/A</v>
      </c>
      <c r="Q185" s="1024" t="e">
        <f t="shared" si="29"/>
        <v>#N/A</v>
      </c>
      <c r="R185" s="1024" t="e">
        <f t="shared" si="22"/>
        <v>#N/A</v>
      </c>
      <c r="S185" s="828">
        <f t="shared" si="30"/>
        <v>0</v>
      </c>
      <c r="T185" s="1675" t="str">
        <f t="shared" si="23"/>
        <v/>
      </c>
    </row>
    <row r="186" spans="1:20">
      <c r="A186" s="836"/>
      <c r="B186" s="529"/>
      <c r="C186" s="827"/>
      <c r="D186" s="827"/>
      <c r="E186" s="828" t="e">
        <f>LOOKUP(D186,Lookup!$C$9:$C$24,Lookup!$I$9:$I$24)</f>
        <v>#N/A</v>
      </c>
      <c r="F186" s="529"/>
      <c r="G186" s="529"/>
      <c r="H186" s="529"/>
      <c r="I186" s="828" t="e">
        <f t="shared" si="24"/>
        <v>#N/A</v>
      </c>
      <c r="J186" s="643"/>
      <c r="K186" s="829">
        <f t="shared" si="25"/>
        <v>0</v>
      </c>
      <c r="L186" s="830" t="e">
        <f t="shared" si="26"/>
        <v>#DIV/0!</v>
      </c>
      <c r="M186" s="830" t="str">
        <f t="shared" si="27"/>
        <v>N/A</v>
      </c>
      <c r="N186" s="831" t="e">
        <f t="shared" si="21"/>
        <v>#N/A</v>
      </c>
      <c r="O186" s="831">
        <f t="shared" si="28"/>
        <v>0</v>
      </c>
      <c r="P186" s="1024" t="e">
        <f>LOOKUP(G186,$J$4:$J$26,$M$4:$M$26)*LOOKUP(LOOKUP(G186,$J$4:$J$26,$K$4:$K$26),Lookup!$K$9:$K$24,Lookup!$O$9:$O$24)*IF(E186="A",LOOKUP(LOOKUP(G186,$J$4:$J$26,$K$4:$K$26),Lookup!$K$9:$K$24,Lookup!$L$9:$L$24),IF(E186="B",LOOKUP(LOOKUP(G186,$J$4:$J$26,$K$4:$K$26),Lookup!$K$9:$K$24,Lookup!$M$9:$M$24),IF(E186="C",LOOKUP(LOOKUP(G186,$J$4:$J$26,$K$4:$K$26),Lookup!$K$9:$K$24,Lookup!$N$9:$N$24))))</f>
        <v>#N/A</v>
      </c>
      <c r="Q186" s="1024" t="e">
        <f t="shared" si="29"/>
        <v>#N/A</v>
      </c>
      <c r="R186" s="1024" t="e">
        <f t="shared" si="22"/>
        <v>#N/A</v>
      </c>
      <c r="S186" s="828">
        <f t="shared" si="30"/>
        <v>0</v>
      </c>
      <c r="T186" s="1675" t="str">
        <f t="shared" si="23"/>
        <v/>
      </c>
    </row>
    <row r="187" spans="1:20">
      <c r="A187" s="836"/>
      <c r="B187" s="529"/>
      <c r="C187" s="827"/>
      <c r="D187" s="827"/>
      <c r="E187" s="828" t="e">
        <f>LOOKUP(D187,Lookup!$C$9:$C$24,Lookup!$I$9:$I$24)</f>
        <v>#N/A</v>
      </c>
      <c r="F187" s="529"/>
      <c r="G187" s="529"/>
      <c r="H187" s="529"/>
      <c r="I187" s="828" t="e">
        <f t="shared" si="24"/>
        <v>#N/A</v>
      </c>
      <c r="J187" s="643"/>
      <c r="K187" s="829">
        <f t="shared" si="25"/>
        <v>0</v>
      </c>
      <c r="L187" s="830" t="e">
        <f t="shared" si="26"/>
        <v>#DIV/0!</v>
      </c>
      <c r="M187" s="830" t="str">
        <f t="shared" si="27"/>
        <v>N/A</v>
      </c>
      <c r="N187" s="831" t="e">
        <f t="shared" si="21"/>
        <v>#N/A</v>
      </c>
      <c r="O187" s="831">
        <f t="shared" si="28"/>
        <v>0</v>
      </c>
      <c r="P187" s="1024" t="e">
        <f>LOOKUP(G187,$J$4:$J$26,$M$4:$M$26)*LOOKUP(LOOKUP(G187,$J$4:$J$26,$K$4:$K$26),Lookup!$K$9:$K$24,Lookup!$O$9:$O$24)*IF(E187="A",LOOKUP(LOOKUP(G187,$J$4:$J$26,$K$4:$K$26),Lookup!$K$9:$K$24,Lookup!$L$9:$L$24),IF(E187="B",LOOKUP(LOOKUP(G187,$J$4:$J$26,$K$4:$K$26),Lookup!$K$9:$K$24,Lookup!$M$9:$M$24),IF(E187="C",LOOKUP(LOOKUP(G187,$J$4:$J$26,$K$4:$K$26),Lookup!$K$9:$K$24,Lookup!$N$9:$N$24))))</f>
        <v>#N/A</v>
      </c>
      <c r="Q187" s="1024" t="e">
        <f t="shared" si="29"/>
        <v>#N/A</v>
      </c>
      <c r="R187" s="1024" t="e">
        <f t="shared" si="22"/>
        <v>#N/A</v>
      </c>
      <c r="S187" s="828">
        <f t="shared" si="30"/>
        <v>0</v>
      </c>
      <c r="T187" s="1675" t="str">
        <f t="shared" si="23"/>
        <v/>
      </c>
    </row>
    <row r="188" spans="1:20">
      <c r="A188" s="836"/>
      <c r="B188" s="529"/>
      <c r="C188" s="827"/>
      <c r="D188" s="827"/>
      <c r="E188" s="828" t="e">
        <f>LOOKUP(D188,Lookup!$C$9:$C$24,Lookup!$I$9:$I$24)</f>
        <v>#N/A</v>
      </c>
      <c r="F188" s="529"/>
      <c r="G188" s="529"/>
      <c r="H188" s="529"/>
      <c r="I188" s="828" t="e">
        <f t="shared" si="24"/>
        <v>#N/A</v>
      </c>
      <c r="J188" s="643"/>
      <c r="K188" s="829">
        <f t="shared" si="25"/>
        <v>0</v>
      </c>
      <c r="L188" s="830" t="e">
        <f t="shared" si="26"/>
        <v>#DIV/0!</v>
      </c>
      <c r="M188" s="830" t="str">
        <f t="shared" si="27"/>
        <v>N/A</v>
      </c>
      <c r="N188" s="831" t="e">
        <f t="shared" si="21"/>
        <v>#N/A</v>
      </c>
      <c r="O188" s="831">
        <f t="shared" si="28"/>
        <v>0</v>
      </c>
      <c r="P188" s="1024" t="e">
        <f>LOOKUP(G188,$J$4:$J$26,$M$4:$M$26)*LOOKUP(LOOKUP(G188,$J$4:$J$26,$K$4:$K$26),Lookup!$K$9:$K$24,Lookup!$O$9:$O$24)*IF(E188="A",LOOKUP(LOOKUP(G188,$J$4:$J$26,$K$4:$K$26),Lookup!$K$9:$K$24,Lookup!$L$9:$L$24),IF(E188="B",LOOKUP(LOOKUP(G188,$J$4:$J$26,$K$4:$K$26),Lookup!$K$9:$K$24,Lookup!$M$9:$M$24),IF(E188="C",LOOKUP(LOOKUP(G188,$J$4:$J$26,$K$4:$K$26),Lookup!$K$9:$K$24,Lookup!$N$9:$N$24))))</f>
        <v>#N/A</v>
      </c>
      <c r="Q188" s="1024" t="e">
        <f t="shared" si="29"/>
        <v>#N/A</v>
      </c>
      <c r="R188" s="1024" t="e">
        <f t="shared" si="22"/>
        <v>#N/A</v>
      </c>
      <c r="S188" s="828">
        <f t="shared" si="30"/>
        <v>0</v>
      </c>
      <c r="T188" s="1675" t="str">
        <f t="shared" si="23"/>
        <v/>
      </c>
    </row>
    <row r="189" spans="1:20">
      <c r="A189" s="836"/>
      <c r="B189" s="529"/>
      <c r="C189" s="827"/>
      <c r="D189" s="827"/>
      <c r="E189" s="828" t="e">
        <f>LOOKUP(D189,Lookup!$C$9:$C$24,Lookup!$I$9:$I$24)</f>
        <v>#N/A</v>
      </c>
      <c r="F189" s="529"/>
      <c r="G189" s="529"/>
      <c r="H189" s="529"/>
      <c r="I189" s="828" t="e">
        <f t="shared" si="24"/>
        <v>#N/A</v>
      </c>
      <c r="J189" s="643"/>
      <c r="K189" s="829">
        <f t="shared" si="25"/>
        <v>0</v>
      </c>
      <c r="L189" s="830" t="e">
        <f t="shared" si="26"/>
        <v>#DIV/0!</v>
      </c>
      <c r="M189" s="830" t="str">
        <f t="shared" si="27"/>
        <v>N/A</v>
      </c>
      <c r="N189" s="831" t="e">
        <f t="shared" si="21"/>
        <v>#N/A</v>
      </c>
      <c r="O189" s="831">
        <f t="shared" si="28"/>
        <v>0</v>
      </c>
      <c r="P189" s="1024" t="e">
        <f>LOOKUP(G189,$J$4:$J$26,$M$4:$M$26)*LOOKUP(LOOKUP(G189,$J$4:$J$26,$K$4:$K$26),Lookup!$K$9:$K$24,Lookup!$O$9:$O$24)*IF(E189="A",LOOKUP(LOOKUP(G189,$J$4:$J$26,$K$4:$K$26),Lookup!$K$9:$K$24,Lookup!$L$9:$L$24),IF(E189="B",LOOKUP(LOOKUP(G189,$J$4:$J$26,$K$4:$K$26),Lookup!$K$9:$K$24,Lookup!$M$9:$M$24),IF(E189="C",LOOKUP(LOOKUP(G189,$J$4:$J$26,$K$4:$K$26),Lookup!$K$9:$K$24,Lookup!$N$9:$N$24))))</f>
        <v>#N/A</v>
      </c>
      <c r="Q189" s="1024" t="e">
        <f t="shared" si="29"/>
        <v>#N/A</v>
      </c>
      <c r="R189" s="1024" t="e">
        <f t="shared" si="22"/>
        <v>#N/A</v>
      </c>
      <c r="S189" s="828">
        <f t="shared" si="30"/>
        <v>0</v>
      </c>
      <c r="T189" s="1675" t="str">
        <f t="shared" si="23"/>
        <v/>
      </c>
    </row>
    <row r="190" spans="1:20">
      <c r="A190" s="836"/>
      <c r="B190" s="529"/>
      <c r="C190" s="837"/>
      <c r="D190" s="827"/>
      <c r="E190" s="828" t="e">
        <f>LOOKUP(D190,Lookup!$C$9:$C$24,Lookup!$I$9:$I$24)</f>
        <v>#N/A</v>
      </c>
      <c r="F190" s="529"/>
      <c r="G190" s="529"/>
      <c r="H190" s="529"/>
      <c r="I190" s="828" t="e">
        <f t="shared" si="24"/>
        <v>#N/A</v>
      </c>
      <c r="J190" s="643"/>
      <c r="K190" s="829">
        <f t="shared" si="25"/>
        <v>0</v>
      </c>
      <c r="L190" s="830" t="e">
        <f t="shared" si="26"/>
        <v>#DIV/0!</v>
      </c>
      <c r="M190" s="830" t="str">
        <f t="shared" si="27"/>
        <v>N/A</v>
      </c>
      <c r="N190" s="831" t="e">
        <f t="shared" si="21"/>
        <v>#N/A</v>
      </c>
      <c r="O190" s="831">
        <f t="shared" si="28"/>
        <v>0</v>
      </c>
      <c r="P190" s="1024" t="e">
        <f>LOOKUP(G190,$J$4:$J$26,$M$4:$M$26)*LOOKUP(LOOKUP(G190,$J$4:$J$26,$K$4:$K$26),Lookup!$K$9:$K$24,Lookup!$O$9:$O$24)*IF(E190="A",LOOKUP(LOOKUP(G190,$J$4:$J$26,$K$4:$K$26),Lookup!$K$9:$K$24,Lookup!$L$9:$L$24),IF(E190="B",LOOKUP(LOOKUP(G190,$J$4:$J$26,$K$4:$K$26),Lookup!$K$9:$K$24,Lookup!$M$9:$M$24),IF(E190="C",LOOKUP(LOOKUP(G190,$J$4:$J$26,$K$4:$K$26),Lookup!$K$9:$K$24,Lookup!$N$9:$N$24))))</f>
        <v>#N/A</v>
      </c>
      <c r="Q190" s="1024" t="e">
        <f t="shared" si="29"/>
        <v>#N/A</v>
      </c>
      <c r="R190" s="1024" t="e">
        <f t="shared" si="22"/>
        <v>#N/A</v>
      </c>
      <c r="S190" s="828">
        <f t="shared" si="30"/>
        <v>0</v>
      </c>
      <c r="T190" s="1675" t="str">
        <f t="shared" si="23"/>
        <v/>
      </c>
    </row>
    <row r="191" spans="1:20">
      <c r="A191" s="836"/>
      <c r="B191" s="529"/>
      <c r="C191" s="827"/>
      <c r="D191" s="827"/>
      <c r="E191" s="828" t="e">
        <f>LOOKUP(D191,Lookup!$C$9:$C$24,Lookup!$I$9:$I$24)</f>
        <v>#N/A</v>
      </c>
      <c r="F191" s="529"/>
      <c r="G191" s="529"/>
      <c r="H191" s="529"/>
      <c r="I191" s="828" t="e">
        <f t="shared" si="24"/>
        <v>#N/A</v>
      </c>
      <c r="J191" s="643"/>
      <c r="K191" s="829">
        <f t="shared" si="25"/>
        <v>0</v>
      </c>
      <c r="L191" s="830" t="e">
        <f t="shared" si="26"/>
        <v>#DIV/0!</v>
      </c>
      <c r="M191" s="830" t="str">
        <f t="shared" si="27"/>
        <v>N/A</v>
      </c>
      <c r="N191" s="831" t="e">
        <f t="shared" si="21"/>
        <v>#N/A</v>
      </c>
      <c r="O191" s="831">
        <f t="shared" si="28"/>
        <v>0</v>
      </c>
      <c r="P191" s="1024" t="e">
        <f>LOOKUP(G191,$J$4:$J$26,$M$4:$M$26)*LOOKUP(LOOKUP(G191,$J$4:$J$26,$K$4:$K$26),Lookup!$K$9:$K$24,Lookup!$O$9:$O$24)*IF(E191="A",LOOKUP(LOOKUP(G191,$J$4:$J$26,$K$4:$K$26),Lookup!$K$9:$K$24,Lookup!$L$9:$L$24),IF(E191="B",LOOKUP(LOOKUP(G191,$J$4:$J$26,$K$4:$K$26),Lookup!$K$9:$K$24,Lookup!$M$9:$M$24),IF(E191="C",LOOKUP(LOOKUP(G191,$J$4:$J$26,$K$4:$K$26),Lookup!$K$9:$K$24,Lookup!$N$9:$N$24))))</f>
        <v>#N/A</v>
      </c>
      <c r="Q191" s="1024" t="e">
        <f t="shared" si="29"/>
        <v>#N/A</v>
      </c>
      <c r="R191" s="1024" t="e">
        <f t="shared" si="22"/>
        <v>#N/A</v>
      </c>
      <c r="S191" s="828">
        <f t="shared" si="30"/>
        <v>0</v>
      </c>
      <c r="T191" s="1675" t="str">
        <f t="shared" si="23"/>
        <v/>
      </c>
    </row>
    <row r="192" spans="1:20">
      <c r="A192" s="836"/>
      <c r="B192" s="529"/>
      <c r="C192" s="827"/>
      <c r="D192" s="827"/>
      <c r="E192" s="828" t="e">
        <f>LOOKUP(D192,Lookup!$C$9:$C$24,Lookup!$I$9:$I$24)</f>
        <v>#N/A</v>
      </c>
      <c r="F192" s="529"/>
      <c r="G192" s="529"/>
      <c r="H192" s="529"/>
      <c r="I192" s="828" t="e">
        <f t="shared" si="24"/>
        <v>#N/A</v>
      </c>
      <c r="J192" s="643"/>
      <c r="K192" s="829">
        <f t="shared" si="25"/>
        <v>0</v>
      </c>
      <c r="L192" s="830" t="e">
        <f t="shared" si="26"/>
        <v>#DIV/0!</v>
      </c>
      <c r="M192" s="830" t="str">
        <f t="shared" si="27"/>
        <v>N/A</v>
      </c>
      <c r="N192" s="831" t="e">
        <f t="shared" si="21"/>
        <v>#N/A</v>
      </c>
      <c r="O192" s="831">
        <f t="shared" si="28"/>
        <v>0</v>
      </c>
      <c r="P192" s="1024" t="e">
        <f>LOOKUP(G192,$J$4:$J$26,$M$4:$M$26)*LOOKUP(LOOKUP(G192,$J$4:$J$26,$K$4:$K$26),Lookup!$K$9:$K$24,Lookup!$O$9:$O$24)*IF(E192="A",LOOKUP(LOOKUP(G192,$J$4:$J$26,$K$4:$K$26),Lookup!$K$9:$K$24,Lookup!$L$9:$L$24),IF(E192="B",LOOKUP(LOOKUP(G192,$J$4:$J$26,$K$4:$K$26),Lookup!$K$9:$K$24,Lookup!$M$9:$M$24),IF(E192="C",LOOKUP(LOOKUP(G192,$J$4:$J$26,$K$4:$K$26),Lookup!$K$9:$K$24,Lookup!$N$9:$N$24))))</f>
        <v>#N/A</v>
      </c>
      <c r="Q192" s="1024" t="e">
        <f t="shared" si="29"/>
        <v>#N/A</v>
      </c>
      <c r="R192" s="1024" t="e">
        <f t="shared" si="22"/>
        <v>#N/A</v>
      </c>
      <c r="S192" s="828">
        <f t="shared" si="30"/>
        <v>0</v>
      </c>
      <c r="T192" s="1675" t="str">
        <f t="shared" si="23"/>
        <v/>
      </c>
    </row>
    <row r="193" spans="1:20">
      <c r="A193" s="836"/>
      <c r="B193" s="529"/>
      <c r="C193" s="827"/>
      <c r="D193" s="827"/>
      <c r="E193" s="828" t="e">
        <f>LOOKUP(D193,Lookup!$C$9:$C$24,Lookup!$I$9:$I$24)</f>
        <v>#N/A</v>
      </c>
      <c r="F193" s="529"/>
      <c r="G193" s="529"/>
      <c r="H193" s="529"/>
      <c r="I193" s="828" t="e">
        <f t="shared" si="24"/>
        <v>#N/A</v>
      </c>
      <c r="J193" s="643"/>
      <c r="K193" s="829">
        <f t="shared" si="25"/>
        <v>0</v>
      </c>
      <c r="L193" s="830" t="e">
        <f t="shared" si="26"/>
        <v>#DIV/0!</v>
      </c>
      <c r="M193" s="830" t="str">
        <f t="shared" si="27"/>
        <v>N/A</v>
      </c>
      <c r="N193" s="831" t="e">
        <f t="shared" si="21"/>
        <v>#N/A</v>
      </c>
      <c r="O193" s="831">
        <f t="shared" si="28"/>
        <v>0</v>
      </c>
      <c r="P193" s="1024" t="e">
        <f>LOOKUP(G193,$J$4:$J$26,$M$4:$M$26)*LOOKUP(LOOKUP(G193,$J$4:$J$26,$K$4:$K$26),Lookup!$K$9:$K$24,Lookup!$O$9:$O$24)*IF(E193="A",LOOKUP(LOOKUP(G193,$J$4:$J$26,$K$4:$K$26),Lookup!$K$9:$K$24,Lookup!$L$9:$L$24),IF(E193="B",LOOKUP(LOOKUP(G193,$J$4:$J$26,$K$4:$K$26),Lookup!$K$9:$K$24,Lookup!$M$9:$M$24),IF(E193="C",LOOKUP(LOOKUP(G193,$J$4:$J$26,$K$4:$K$26),Lookup!$K$9:$K$24,Lookup!$N$9:$N$24))))</f>
        <v>#N/A</v>
      </c>
      <c r="Q193" s="1024" t="e">
        <f t="shared" si="29"/>
        <v>#N/A</v>
      </c>
      <c r="R193" s="1024" t="e">
        <f t="shared" si="22"/>
        <v>#N/A</v>
      </c>
      <c r="S193" s="828">
        <f t="shared" si="30"/>
        <v>0</v>
      </c>
      <c r="T193" s="1675" t="str">
        <f t="shared" si="23"/>
        <v/>
      </c>
    </row>
    <row r="194" spans="1:20">
      <c r="A194" s="836"/>
      <c r="B194" s="529"/>
      <c r="C194" s="827"/>
      <c r="D194" s="827"/>
      <c r="E194" s="828" t="e">
        <f>LOOKUP(D194,Lookup!$C$9:$C$24,Lookup!$I$9:$I$24)</f>
        <v>#N/A</v>
      </c>
      <c r="F194" s="529"/>
      <c r="G194" s="529"/>
      <c r="H194" s="529"/>
      <c r="I194" s="828" t="e">
        <f t="shared" si="24"/>
        <v>#N/A</v>
      </c>
      <c r="J194" s="643"/>
      <c r="K194" s="829">
        <f t="shared" si="25"/>
        <v>0</v>
      </c>
      <c r="L194" s="830" t="e">
        <f t="shared" si="26"/>
        <v>#DIV/0!</v>
      </c>
      <c r="M194" s="830" t="str">
        <f t="shared" si="27"/>
        <v>N/A</v>
      </c>
      <c r="N194" s="831" t="e">
        <f t="shared" si="21"/>
        <v>#N/A</v>
      </c>
      <c r="O194" s="831">
        <f t="shared" si="28"/>
        <v>0</v>
      </c>
      <c r="P194" s="1024" t="e">
        <f>LOOKUP(G194,$J$4:$J$26,$M$4:$M$26)*LOOKUP(LOOKUP(G194,$J$4:$J$26,$K$4:$K$26),Lookup!$K$9:$K$24,Lookup!$O$9:$O$24)*IF(E194="A",LOOKUP(LOOKUP(G194,$J$4:$J$26,$K$4:$K$26),Lookup!$K$9:$K$24,Lookup!$L$9:$L$24),IF(E194="B",LOOKUP(LOOKUP(G194,$J$4:$J$26,$K$4:$K$26),Lookup!$K$9:$K$24,Lookup!$M$9:$M$24),IF(E194="C",LOOKUP(LOOKUP(G194,$J$4:$J$26,$K$4:$K$26),Lookup!$K$9:$K$24,Lookup!$N$9:$N$24))))</f>
        <v>#N/A</v>
      </c>
      <c r="Q194" s="1024" t="e">
        <f t="shared" si="29"/>
        <v>#N/A</v>
      </c>
      <c r="R194" s="1024" t="e">
        <f t="shared" si="22"/>
        <v>#N/A</v>
      </c>
      <c r="S194" s="828">
        <f t="shared" si="30"/>
        <v>0</v>
      </c>
      <c r="T194" s="1675" t="str">
        <f t="shared" si="23"/>
        <v/>
      </c>
    </row>
    <row r="195" spans="1:20">
      <c r="A195" s="836"/>
      <c r="B195" s="529"/>
      <c r="C195" s="827"/>
      <c r="D195" s="827"/>
      <c r="E195" s="828" t="e">
        <f>LOOKUP(D195,Lookup!$C$9:$C$24,Lookup!$I$9:$I$24)</f>
        <v>#N/A</v>
      </c>
      <c r="F195" s="529"/>
      <c r="G195" s="529"/>
      <c r="H195" s="529"/>
      <c r="I195" s="828" t="e">
        <f t="shared" si="24"/>
        <v>#N/A</v>
      </c>
      <c r="J195" s="643"/>
      <c r="K195" s="829">
        <f t="shared" si="25"/>
        <v>0</v>
      </c>
      <c r="L195" s="830" t="e">
        <f t="shared" si="26"/>
        <v>#DIV/0!</v>
      </c>
      <c r="M195" s="830" t="str">
        <f t="shared" si="27"/>
        <v>N/A</v>
      </c>
      <c r="N195" s="831" t="e">
        <f t="shared" si="21"/>
        <v>#N/A</v>
      </c>
      <c r="O195" s="831">
        <f t="shared" si="28"/>
        <v>0</v>
      </c>
      <c r="P195" s="1024" t="e">
        <f>LOOKUP(G195,$J$4:$J$26,$M$4:$M$26)*LOOKUP(LOOKUP(G195,$J$4:$J$26,$K$4:$K$26),Lookup!$K$9:$K$24,Lookup!$O$9:$O$24)*IF(E195="A",LOOKUP(LOOKUP(G195,$J$4:$J$26,$K$4:$K$26),Lookup!$K$9:$K$24,Lookup!$L$9:$L$24),IF(E195="B",LOOKUP(LOOKUP(G195,$J$4:$J$26,$K$4:$K$26),Lookup!$K$9:$K$24,Lookup!$M$9:$M$24),IF(E195="C",LOOKUP(LOOKUP(G195,$J$4:$J$26,$K$4:$K$26),Lookup!$K$9:$K$24,Lookup!$N$9:$N$24))))</f>
        <v>#N/A</v>
      </c>
      <c r="Q195" s="1024" t="e">
        <f t="shared" si="29"/>
        <v>#N/A</v>
      </c>
      <c r="R195" s="1024" t="e">
        <f t="shared" si="22"/>
        <v>#N/A</v>
      </c>
      <c r="S195" s="828">
        <f t="shared" si="30"/>
        <v>0</v>
      </c>
      <c r="T195" s="1675" t="str">
        <f t="shared" si="23"/>
        <v/>
      </c>
    </row>
    <row r="196" spans="1:20">
      <c r="A196" s="836"/>
      <c r="B196" s="529"/>
      <c r="C196" s="837"/>
      <c r="D196" s="827"/>
      <c r="E196" s="828" t="e">
        <f>LOOKUP(D196,Lookup!$C$9:$C$24,Lookup!$I$9:$I$24)</f>
        <v>#N/A</v>
      </c>
      <c r="F196" s="529"/>
      <c r="G196" s="529"/>
      <c r="H196" s="529"/>
      <c r="I196" s="828" t="e">
        <f t="shared" si="24"/>
        <v>#N/A</v>
      </c>
      <c r="J196" s="643"/>
      <c r="K196" s="829">
        <f t="shared" si="25"/>
        <v>0</v>
      </c>
      <c r="L196" s="830" t="e">
        <f t="shared" si="26"/>
        <v>#DIV/0!</v>
      </c>
      <c r="M196" s="830" t="str">
        <f t="shared" si="27"/>
        <v>N/A</v>
      </c>
      <c r="N196" s="831" t="e">
        <f t="shared" si="21"/>
        <v>#N/A</v>
      </c>
      <c r="O196" s="831">
        <f t="shared" si="28"/>
        <v>0</v>
      </c>
      <c r="P196" s="1024" t="e">
        <f>LOOKUP(G196,$J$4:$J$26,$M$4:$M$26)*LOOKUP(LOOKUP(G196,$J$4:$J$26,$K$4:$K$26),Lookup!$K$9:$K$24,Lookup!$O$9:$O$24)*IF(E196="A",LOOKUP(LOOKUP(G196,$J$4:$J$26,$K$4:$K$26),Lookup!$K$9:$K$24,Lookup!$L$9:$L$24),IF(E196="B",LOOKUP(LOOKUP(G196,$J$4:$J$26,$K$4:$K$26),Lookup!$K$9:$K$24,Lookup!$M$9:$M$24),IF(E196="C",LOOKUP(LOOKUP(G196,$J$4:$J$26,$K$4:$K$26),Lookup!$K$9:$K$24,Lookup!$N$9:$N$24))))</f>
        <v>#N/A</v>
      </c>
      <c r="Q196" s="1024" t="e">
        <f t="shared" si="29"/>
        <v>#N/A</v>
      </c>
      <c r="R196" s="1024" t="e">
        <f t="shared" si="22"/>
        <v>#N/A</v>
      </c>
      <c r="S196" s="828">
        <f t="shared" si="30"/>
        <v>0</v>
      </c>
      <c r="T196" s="1675" t="str">
        <f t="shared" si="23"/>
        <v/>
      </c>
    </row>
    <row r="197" spans="1:20">
      <c r="A197" s="836"/>
      <c r="B197" s="529"/>
      <c r="C197" s="827"/>
      <c r="D197" s="827"/>
      <c r="E197" s="828" t="e">
        <f>LOOKUP(D197,Lookup!$C$9:$C$24,Lookup!$I$9:$I$24)</f>
        <v>#N/A</v>
      </c>
      <c r="F197" s="529"/>
      <c r="G197" s="529"/>
      <c r="H197" s="529"/>
      <c r="I197" s="828" t="e">
        <f t="shared" si="24"/>
        <v>#N/A</v>
      </c>
      <c r="J197" s="643"/>
      <c r="K197" s="829">
        <f t="shared" si="25"/>
        <v>0</v>
      </c>
      <c r="L197" s="830" t="e">
        <f t="shared" si="26"/>
        <v>#DIV/0!</v>
      </c>
      <c r="M197" s="830" t="str">
        <f t="shared" si="27"/>
        <v>N/A</v>
      </c>
      <c r="N197" s="831" t="e">
        <f t="shared" si="21"/>
        <v>#N/A</v>
      </c>
      <c r="O197" s="831">
        <f t="shared" si="28"/>
        <v>0</v>
      </c>
      <c r="P197" s="1024" t="e">
        <f>LOOKUP(G197,$J$4:$J$26,$M$4:$M$26)*LOOKUP(LOOKUP(G197,$J$4:$J$26,$K$4:$K$26),Lookup!$K$9:$K$24,Lookup!$O$9:$O$24)*IF(E197="A",LOOKUP(LOOKUP(G197,$J$4:$J$26,$K$4:$K$26),Lookup!$K$9:$K$24,Lookup!$L$9:$L$24),IF(E197="B",LOOKUP(LOOKUP(G197,$J$4:$J$26,$K$4:$K$26),Lookup!$K$9:$K$24,Lookup!$M$9:$M$24),IF(E197="C",LOOKUP(LOOKUP(G197,$J$4:$J$26,$K$4:$K$26),Lookup!$K$9:$K$24,Lookup!$N$9:$N$24))))</f>
        <v>#N/A</v>
      </c>
      <c r="Q197" s="1024" t="e">
        <f t="shared" si="29"/>
        <v>#N/A</v>
      </c>
      <c r="R197" s="1024" t="e">
        <f t="shared" si="22"/>
        <v>#N/A</v>
      </c>
      <c r="S197" s="828">
        <f t="shared" si="30"/>
        <v>0</v>
      </c>
      <c r="T197" s="1675" t="str">
        <f t="shared" si="23"/>
        <v/>
      </c>
    </row>
    <row r="198" spans="1:20">
      <c r="A198" s="836"/>
      <c r="B198" s="529"/>
      <c r="C198" s="827"/>
      <c r="D198" s="827"/>
      <c r="E198" s="828" t="e">
        <f>LOOKUP(D198,Lookup!$C$9:$C$24,Lookup!$I$9:$I$24)</f>
        <v>#N/A</v>
      </c>
      <c r="F198" s="529"/>
      <c r="G198" s="529"/>
      <c r="H198" s="529"/>
      <c r="I198" s="828" t="e">
        <f t="shared" si="24"/>
        <v>#N/A</v>
      </c>
      <c r="J198" s="643"/>
      <c r="K198" s="829">
        <f t="shared" si="25"/>
        <v>0</v>
      </c>
      <c r="L198" s="830" t="e">
        <f t="shared" si="26"/>
        <v>#DIV/0!</v>
      </c>
      <c r="M198" s="830" t="str">
        <f t="shared" si="27"/>
        <v>N/A</v>
      </c>
      <c r="N198" s="831" t="e">
        <f t="shared" si="21"/>
        <v>#N/A</v>
      </c>
      <c r="O198" s="831">
        <f t="shared" si="28"/>
        <v>0</v>
      </c>
      <c r="P198" s="1024" t="e">
        <f>LOOKUP(G198,$J$4:$J$26,$M$4:$M$26)*LOOKUP(LOOKUP(G198,$J$4:$J$26,$K$4:$K$26),Lookup!$K$9:$K$24,Lookup!$O$9:$O$24)*IF(E198="A",LOOKUP(LOOKUP(G198,$J$4:$J$26,$K$4:$K$26),Lookup!$K$9:$K$24,Lookup!$L$9:$L$24),IF(E198="B",LOOKUP(LOOKUP(G198,$J$4:$J$26,$K$4:$K$26),Lookup!$K$9:$K$24,Lookup!$M$9:$M$24),IF(E198="C",LOOKUP(LOOKUP(G198,$J$4:$J$26,$K$4:$K$26),Lookup!$K$9:$K$24,Lookup!$N$9:$N$24))))</f>
        <v>#N/A</v>
      </c>
      <c r="Q198" s="1024" t="e">
        <f t="shared" si="29"/>
        <v>#N/A</v>
      </c>
      <c r="R198" s="1024" t="e">
        <f t="shared" si="22"/>
        <v>#N/A</v>
      </c>
      <c r="S198" s="828">
        <f t="shared" si="30"/>
        <v>0</v>
      </c>
      <c r="T198" s="1675" t="str">
        <f t="shared" si="23"/>
        <v/>
      </c>
    </row>
    <row r="199" spans="1:20">
      <c r="A199" s="836"/>
      <c r="B199" s="529"/>
      <c r="C199" s="827"/>
      <c r="D199" s="827"/>
      <c r="E199" s="828" t="e">
        <f>LOOKUP(D199,Lookup!$C$9:$C$24,Lookup!$I$9:$I$24)</f>
        <v>#N/A</v>
      </c>
      <c r="F199" s="529"/>
      <c r="G199" s="529"/>
      <c r="H199" s="529"/>
      <c r="I199" s="828" t="e">
        <f t="shared" si="24"/>
        <v>#N/A</v>
      </c>
      <c r="J199" s="643"/>
      <c r="K199" s="829">
        <f t="shared" si="25"/>
        <v>0</v>
      </c>
      <c r="L199" s="830" t="e">
        <f t="shared" si="26"/>
        <v>#DIV/0!</v>
      </c>
      <c r="M199" s="830" t="str">
        <f t="shared" si="27"/>
        <v>N/A</v>
      </c>
      <c r="N199" s="831" t="e">
        <f t="shared" si="21"/>
        <v>#N/A</v>
      </c>
      <c r="O199" s="831">
        <f t="shared" si="28"/>
        <v>0</v>
      </c>
      <c r="P199" s="1024" t="e">
        <f>LOOKUP(G199,$J$4:$J$26,$M$4:$M$26)*LOOKUP(LOOKUP(G199,$J$4:$J$26,$K$4:$K$26),Lookup!$K$9:$K$24,Lookup!$O$9:$O$24)*IF(E199="A",LOOKUP(LOOKUP(G199,$J$4:$J$26,$K$4:$K$26),Lookup!$K$9:$K$24,Lookup!$L$9:$L$24),IF(E199="B",LOOKUP(LOOKUP(G199,$J$4:$J$26,$K$4:$K$26),Lookup!$K$9:$K$24,Lookup!$M$9:$M$24),IF(E199="C",LOOKUP(LOOKUP(G199,$J$4:$J$26,$K$4:$K$26),Lookup!$K$9:$K$24,Lookup!$N$9:$N$24))))</f>
        <v>#N/A</v>
      </c>
      <c r="Q199" s="1024" t="e">
        <f t="shared" si="29"/>
        <v>#N/A</v>
      </c>
      <c r="R199" s="1024" t="e">
        <f t="shared" si="22"/>
        <v>#N/A</v>
      </c>
      <c r="S199" s="828">
        <f t="shared" si="30"/>
        <v>0</v>
      </c>
      <c r="T199" s="1675" t="str">
        <f t="shared" si="23"/>
        <v/>
      </c>
    </row>
    <row r="200" spans="1:20">
      <c r="A200" s="836"/>
      <c r="B200" s="529"/>
      <c r="C200" s="827"/>
      <c r="D200" s="827"/>
      <c r="E200" s="828" t="e">
        <f>LOOKUP(D200,Lookup!$C$9:$C$24,Lookup!$I$9:$I$24)</f>
        <v>#N/A</v>
      </c>
      <c r="F200" s="529"/>
      <c r="G200" s="529"/>
      <c r="H200" s="529"/>
      <c r="I200" s="828" t="e">
        <f t="shared" si="24"/>
        <v>#N/A</v>
      </c>
      <c r="J200" s="643"/>
      <c r="K200" s="829">
        <f t="shared" si="25"/>
        <v>0</v>
      </c>
      <c r="L200" s="830" t="e">
        <f t="shared" si="26"/>
        <v>#DIV/0!</v>
      </c>
      <c r="M200" s="830" t="str">
        <f t="shared" si="27"/>
        <v>N/A</v>
      </c>
      <c r="N200" s="831" t="e">
        <f t="shared" si="21"/>
        <v>#N/A</v>
      </c>
      <c r="O200" s="831">
        <f t="shared" si="28"/>
        <v>0</v>
      </c>
      <c r="P200" s="1024" t="e">
        <f>LOOKUP(G200,$J$4:$J$26,$M$4:$M$26)*LOOKUP(LOOKUP(G200,$J$4:$J$26,$K$4:$K$26),Lookup!$K$9:$K$24,Lookup!$O$9:$O$24)*IF(E200="A",LOOKUP(LOOKUP(G200,$J$4:$J$26,$K$4:$K$26),Lookup!$K$9:$K$24,Lookup!$L$9:$L$24),IF(E200="B",LOOKUP(LOOKUP(G200,$J$4:$J$26,$K$4:$K$26),Lookup!$K$9:$K$24,Lookup!$M$9:$M$24),IF(E200="C",LOOKUP(LOOKUP(G200,$J$4:$J$26,$K$4:$K$26),Lookup!$K$9:$K$24,Lookup!$N$9:$N$24))))</f>
        <v>#N/A</v>
      </c>
      <c r="Q200" s="1024" t="e">
        <f t="shared" si="29"/>
        <v>#N/A</v>
      </c>
      <c r="R200" s="1024" t="e">
        <f t="shared" si="22"/>
        <v>#N/A</v>
      </c>
      <c r="S200" s="828">
        <f t="shared" si="30"/>
        <v>0</v>
      </c>
      <c r="T200" s="1675" t="str">
        <f t="shared" si="23"/>
        <v/>
      </c>
    </row>
    <row r="201" spans="1:20">
      <c r="A201" s="836"/>
      <c r="B201" s="529"/>
      <c r="C201" s="827"/>
      <c r="D201" s="827"/>
      <c r="E201" s="828" t="e">
        <f>LOOKUP(D201,Lookup!$C$9:$C$24,Lookup!$I$9:$I$24)</f>
        <v>#N/A</v>
      </c>
      <c r="F201" s="529"/>
      <c r="G201" s="529"/>
      <c r="H201" s="529"/>
      <c r="I201" s="828" t="e">
        <f t="shared" si="24"/>
        <v>#N/A</v>
      </c>
      <c r="J201" s="643"/>
      <c r="K201" s="829">
        <f t="shared" si="25"/>
        <v>0</v>
      </c>
      <c r="L201" s="830" t="e">
        <f t="shared" si="26"/>
        <v>#DIV/0!</v>
      </c>
      <c r="M201" s="830" t="str">
        <f t="shared" si="27"/>
        <v>N/A</v>
      </c>
      <c r="N201" s="831" t="e">
        <f t="shared" si="21"/>
        <v>#N/A</v>
      </c>
      <c r="O201" s="831">
        <f t="shared" si="28"/>
        <v>0</v>
      </c>
      <c r="P201" s="1024" t="e">
        <f>LOOKUP(G201,$J$4:$J$26,$M$4:$M$26)*LOOKUP(LOOKUP(G201,$J$4:$J$26,$K$4:$K$26),Lookup!$K$9:$K$24,Lookup!$O$9:$O$24)*IF(E201="A",LOOKUP(LOOKUP(G201,$J$4:$J$26,$K$4:$K$26),Lookup!$K$9:$K$24,Lookup!$L$9:$L$24),IF(E201="B",LOOKUP(LOOKUP(G201,$J$4:$J$26,$K$4:$K$26),Lookup!$K$9:$K$24,Lookup!$M$9:$M$24),IF(E201="C",LOOKUP(LOOKUP(G201,$J$4:$J$26,$K$4:$K$26),Lookup!$K$9:$K$24,Lookup!$N$9:$N$24))))</f>
        <v>#N/A</v>
      </c>
      <c r="Q201" s="1024" t="e">
        <f t="shared" si="29"/>
        <v>#N/A</v>
      </c>
      <c r="R201" s="1024" t="e">
        <f t="shared" si="22"/>
        <v>#N/A</v>
      </c>
      <c r="S201" s="828">
        <f t="shared" si="30"/>
        <v>0</v>
      </c>
      <c r="T201" s="1675" t="str">
        <f t="shared" si="23"/>
        <v/>
      </c>
    </row>
    <row r="202" spans="1:20">
      <c r="A202" s="836"/>
      <c r="B202" s="529"/>
      <c r="C202" s="837"/>
      <c r="D202" s="827"/>
      <c r="E202" s="828" t="e">
        <f>LOOKUP(D202,Lookup!$C$9:$C$24,Lookup!$I$9:$I$24)</f>
        <v>#N/A</v>
      </c>
      <c r="F202" s="529"/>
      <c r="G202" s="529"/>
      <c r="H202" s="529"/>
      <c r="I202" s="828" t="e">
        <f t="shared" si="24"/>
        <v>#N/A</v>
      </c>
      <c r="J202" s="643"/>
      <c r="K202" s="829">
        <f t="shared" si="25"/>
        <v>0</v>
      </c>
      <c r="L202" s="830" t="e">
        <f t="shared" si="26"/>
        <v>#DIV/0!</v>
      </c>
      <c r="M202" s="830" t="str">
        <f t="shared" si="27"/>
        <v>N/A</v>
      </c>
      <c r="N202" s="831" t="e">
        <f t="shared" si="21"/>
        <v>#N/A</v>
      </c>
      <c r="O202" s="831">
        <f t="shared" si="28"/>
        <v>0</v>
      </c>
      <c r="P202" s="1024" t="e">
        <f>LOOKUP(G202,$J$4:$J$26,$M$4:$M$26)*LOOKUP(LOOKUP(G202,$J$4:$J$26,$K$4:$K$26),Lookup!$K$9:$K$24,Lookup!$O$9:$O$24)*IF(E202="A",LOOKUP(LOOKUP(G202,$J$4:$J$26,$K$4:$K$26),Lookup!$K$9:$K$24,Lookup!$L$9:$L$24),IF(E202="B",LOOKUP(LOOKUP(G202,$J$4:$J$26,$K$4:$K$26),Lookup!$K$9:$K$24,Lookup!$M$9:$M$24),IF(E202="C",LOOKUP(LOOKUP(G202,$J$4:$J$26,$K$4:$K$26),Lookup!$K$9:$K$24,Lookup!$N$9:$N$24))))</f>
        <v>#N/A</v>
      </c>
      <c r="Q202" s="1024" t="e">
        <f t="shared" si="29"/>
        <v>#N/A</v>
      </c>
      <c r="R202" s="1024" t="e">
        <f t="shared" si="22"/>
        <v>#N/A</v>
      </c>
      <c r="S202" s="828">
        <f t="shared" si="30"/>
        <v>0</v>
      </c>
      <c r="T202" s="1675" t="str">
        <f t="shared" si="23"/>
        <v/>
      </c>
    </row>
    <row r="203" spans="1:20">
      <c r="A203" s="836"/>
      <c r="B203" s="529"/>
      <c r="C203" s="827"/>
      <c r="D203" s="827"/>
      <c r="E203" s="828" t="e">
        <f>LOOKUP(D203,Lookup!$C$9:$C$24,Lookup!$I$9:$I$24)</f>
        <v>#N/A</v>
      </c>
      <c r="F203" s="529"/>
      <c r="G203" s="529"/>
      <c r="H203" s="529"/>
      <c r="I203" s="828" t="e">
        <f t="shared" si="24"/>
        <v>#N/A</v>
      </c>
      <c r="J203" s="643"/>
      <c r="K203" s="829">
        <f t="shared" si="25"/>
        <v>0</v>
      </c>
      <c r="L203" s="830" t="e">
        <f t="shared" si="26"/>
        <v>#DIV/0!</v>
      </c>
      <c r="M203" s="830" t="str">
        <f t="shared" si="27"/>
        <v>N/A</v>
      </c>
      <c r="N203" s="831" t="e">
        <f t="shared" si="21"/>
        <v>#N/A</v>
      </c>
      <c r="O203" s="831">
        <f t="shared" si="28"/>
        <v>0</v>
      </c>
      <c r="P203" s="1024" t="e">
        <f>LOOKUP(G203,$J$4:$J$26,$M$4:$M$26)*LOOKUP(LOOKUP(G203,$J$4:$J$26,$K$4:$K$26),Lookup!$K$9:$K$24,Lookup!$O$9:$O$24)*IF(E203="A",LOOKUP(LOOKUP(G203,$J$4:$J$26,$K$4:$K$26),Lookup!$K$9:$K$24,Lookup!$L$9:$L$24),IF(E203="B",LOOKUP(LOOKUP(G203,$J$4:$J$26,$K$4:$K$26),Lookup!$K$9:$K$24,Lookup!$M$9:$M$24),IF(E203="C",LOOKUP(LOOKUP(G203,$J$4:$J$26,$K$4:$K$26),Lookup!$K$9:$K$24,Lookup!$N$9:$N$24))))</f>
        <v>#N/A</v>
      </c>
      <c r="Q203" s="1024" t="e">
        <f t="shared" si="29"/>
        <v>#N/A</v>
      </c>
      <c r="R203" s="1024" t="e">
        <f t="shared" si="22"/>
        <v>#N/A</v>
      </c>
      <c r="S203" s="828">
        <f t="shared" si="30"/>
        <v>0</v>
      </c>
      <c r="T203" s="1675" t="str">
        <f t="shared" si="23"/>
        <v/>
      </c>
    </row>
    <row r="204" spans="1:20">
      <c r="A204" s="836"/>
      <c r="B204" s="529"/>
      <c r="C204" s="827"/>
      <c r="D204" s="827"/>
      <c r="E204" s="828" t="e">
        <f>LOOKUP(D204,Lookup!$C$9:$C$24,Lookup!$I$9:$I$24)</f>
        <v>#N/A</v>
      </c>
      <c r="F204" s="529"/>
      <c r="G204" s="529"/>
      <c r="H204" s="529"/>
      <c r="I204" s="828" t="e">
        <f t="shared" si="24"/>
        <v>#N/A</v>
      </c>
      <c r="J204" s="643"/>
      <c r="K204" s="829">
        <f t="shared" si="25"/>
        <v>0</v>
      </c>
      <c r="L204" s="830" t="e">
        <f t="shared" si="26"/>
        <v>#DIV/0!</v>
      </c>
      <c r="M204" s="830" t="str">
        <f t="shared" si="27"/>
        <v>N/A</v>
      </c>
      <c r="N204" s="831" t="e">
        <f t="shared" si="21"/>
        <v>#N/A</v>
      </c>
      <c r="O204" s="831">
        <f t="shared" si="28"/>
        <v>0</v>
      </c>
      <c r="P204" s="1024" t="e">
        <f>LOOKUP(G204,$J$4:$J$26,$M$4:$M$26)*LOOKUP(LOOKUP(G204,$J$4:$J$26,$K$4:$K$26),Lookup!$K$9:$K$24,Lookup!$O$9:$O$24)*IF(E204="A",LOOKUP(LOOKUP(G204,$J$4:$J$26,$K$4:$K$26),Lookup!$K$9:$K$24,Lookup!$L$9:$L$24),IF(E204="B",LOOKUP(LOOKUP(G204,$J$4:$J$26,$K$4:$K$26),Lookup!$K$9:$K$24,Lookup!$M$9:$M$24),IF(E204="C",LOOKUP(LOOKUP(G204,$J$4:$J$26,$K$4:$K$26),Lookup!$K$9:$K$24,Lookup!$N$9:$N$24))))</f>
        <v>#N/A</v>
      </c>
      <c r="Q204" s="1024" t="e">
        <f t="shared" si="29"/>
        <v>#N/A</v>
      </c>
      <c r="R204" s="1024" t="e">
        <f t="shared" si="22"/>
        <v>#N/A</v>
      </c>
      <c r="S204" s="828">
        <f t="shared" si="30"/>
        <v>0</v>
      </c>
      <c r="T204" s="1675" t="str">
        <f t="shared" si="23"/>
        <v/>
      </c>
    </row>
    <row r="205" spans="1:20">
      <c r="A205" s="836"/>
      <c r="B205" s="529"/>
      <c r="C205" s="827"/>
      <c r="D205" s="827"/>
      <c r="E205" s="828" t="e">
        <f>LOOKUP(D205,Lookup!$C$9:$C$24,Lookup!$I$9:$I$24)</f>
        <v>#N/A</v>
      </c>
      <c r="F205" s="529"/>
      <c r="G205" s="529"/>
      <c r="H205" s="529"/>
      <c r="I205" s="828" t="e">
        <f t="shared" si="24"/>
        <v>#N/A</v>
      </c>
      <c r="J205" s="643"/>
      <c r="K205" s="829">
        <f t="shared" si="25"/>
        <v>0</v>
      </c>
      <c r="L205" s="830" t="e">
        <f t="shared" si="26"/>
        <v>#DIV/0!</v>
      </c>
      <c r="M205" s="830" t="str">
        <f t="shared" si="27"/>
        <v>N/A</v>
      </c>
      <c r="N205" s="831" t="e">
        <f t="shared" si="21"/>
        <v>#N/A</v>
      </c>
      <c r="O205" s="831">
        <f t="shared" si="28"/>
        <v>0</v>
      </c>
      <c r="P205" s="1024" t="e">
        <f>LOOKUP(G205,$J$4:$J$26,$M$4:$M$26)*LOOKUP(LOOKUP(G205,$J$4:$J$26,$K$4:$K$26),Lookup!$K$9:$K$24,Lookup!$O$9:$O$24)*IF(E205="A",LOOKUP(LOOKUP(G205,$J$4:$J$26,$K$4:$K$26),Lookup!$K$9:$K$24,Lookup!$L$9:$L$24),IF(E205="B",LOOKUP(LOOKUP(G205,$J$4:$J$26,$K$4:$K$26),Lookup!$K$9:$K$24,Lookup!$M$9:$M$24),IF(E205="C",LOOKUP(LOOKUP(G205,$J$4:$J$26,$K$4:$K$26),Lookup!$K$9:$K$24,Lookup!$N$9:$N$24))))</f>
        <v>#N/A</v>
      </c>
      <c r="Q205" s="1024" t="e">
        <f t="shared" si="29"/>
        <v>#N/A</v>
      </c>
      <c r="R205" s="1024" t="e">
        <f t="shared" si="22"/>
        <v>#N/A</v>
      </c>
      <c r="S205" s="828">
        <f t="shared" si="30"/>
        <v>0</v>
      </c>
      <c r="T205" s="1675" t="str">
        <f t="shared" si="23"/>
        <v/>
      </c>
    </row>
    <row r="206" spans="1:20">
      <c r="A206" s="836"/>
      <c r="B206" s="529"/>
      <c r="C206" s="827"/>
      <c r="D206" s="827"/>
      <c r="E206" s="828" t="e">
        <f>LOOKUP(D206,Lookup!$C$9:$C$24,Lookup!$I$9:$I$24)</f>
        <v>#N/A</v>
      </c>
      <c r="F206" s="529"/>
      <c r="G206" s="529"/>
      <c r="H206" s="529"/>
      <c r="I206" s="828" t="e">
        <f t="shared" si="24"/>
        <v>#N/A</v>
      </c>
      <c r="J206" s="643"/>
      <c r="K206" s="829">
        <f t="shared" si="25"/>
        <v>0</v>
      </c>
      <c r="L206" s="830" t="e">
        <f t="shared" si="26"/>
        <v>#DIV/0!</v>
      </c>
      <c r="M206" s="830" t="str">
        <f t="shared" si="27"/>
        <v>N/A</v>
      </c>
      <c r="N206" s="831" t="e">
        <f t="shared" si="21"/>
        <v>#N/A</v>
      </c>
      <c r="O206" s="831">
        <f t="shared" si="28"/>
        <v>0</v>
      </c>
      <c r="P206" s="1024" t="e">
        <f>LOOKUP(G206,$J$4:$J$26,$M$4:$M$26)*LOOKUP(LOOKUP(G206,$J$4:$J$26,$K$4:$K$26),Lookup!$K$9:$K$24,Lookup!$O$9:$O$24)*IF(E206="A",LOOKUP(LOOKUP(G206,$J$4:$J$26,$K$4:$K$26),Lookup!$K$9:$K$24,Lookup!$L$9:$L$24),IF(E206="B",LOOKUP(LOOKUP(G206,$J$4:$J$26,$K$4:$K$26),Lookup!$K$9:$K$24,Lookup!$M$9:$M$24),IF(E206="C",LOOKUP(LOOKUP(G206,$J$4:$J$26,$K$4:$K$26),Lookup!$K$9:$K$24,Lookup!$N$9:$N$24))))</f>
        <v>#N/A</v>
      </c>
      <c r="Q206" s="1024" t="e">
        <f t="shared" si="29"/>
        <v>#N/A</v>
      </c>
      <c r="R206" s="1024" t="e">
        <f t="shared" si="22"/>
        <v>#N/A</v>
      </c>
      <c r="S206" s="828">
        <f t="shared" si="30"/>
        <v>0</v>
      </c>
      <c r="T206" s="1675" t="str">
        <f t="shared" si="23"/>
        <v/>
      </c>
    </row>
    <row r="207" spans="1:20">
      <c r="A207" s="836"/>
      <c r="B207" s="529"/>
      <c r="C207" s="827"/>
      <c r="D207" s="827"/>
      <c r="E207" s="828" t="e">
        <f>LOOKUP(D207,Lookup!$C$9:$C$24,Lookup!$I$9:$I$24)</f>
        <v>#N/A</v>
      </c>
      <c r="F207" s="529"/>
      <c r="G207" s="529"/>
      <c r="H207" s="529"/>
      <c r="I207" s="828" t="e">
        <f t="shared" si="24"/>
        <v>#N/A</v>
      </c>
      <c r="J207" s="643"/>
      <c r="K207" s="829">
        <f t="shared" si="25"/>
        <v>0</v>
      </c>
      <c r="L207" s="830" t="e">
        <f t="shared" si="26"/>
        <v>#DIV/0!</v>
      </c>
      <c r="M207" s="830" t="str">
        <f t="shared" si="27"/>
        <v>N/A</v>
      </c>
      <c r="N207" s="831" t="e">
        <f t="shared" si="21"/>
        <v>#N/A</v>
      </c>
      <c r="O207" s="831">
        <f t="shared" si="28"/>
        <v>0</v>
      </c>
      <c r="P207" s="1024" t="e">
        <f>LOOKUP(G207,$J$4:$J$26,$M$4:$M$26)*LOOKUP(LOOKUP(G207,$J$4:$J$26,$K$4:$K$26),Lookup!$K$9:$K$24,Lookup!$O$9:$O$24)*IF(E207="A",LOOKUP(LOOKUP(G207,$J$4:$J$26,$K$4:$K$26),Lookup!$K$9:$K$24,Lookup!$L$9:$L$24),IF(E207="B",LOOKUP(LOOKUP(G207,$J$4:$J$26,$K$4:$K$26),Lookup!$K$9:$K$24,Lookup!$M$9:$M$24),IF(E207="C",LOOKUP(LOOKUP(G207,$J$4:$J$26,$K$4:$K$26),Lookup!$K$9:$K$24,Lookup!$N$9:$N$24))))</f>
        <v>#N/A</v>
      </c>
      <c r="Q207" s="1024" t="e">
        <f t="shared" si="29"/>
        <v>#N/A</v>
      </c>
      <c r="R207" s="1024" t="e">
        <f t="shared" si="22"/>
        <v>#N/A</v>
      </c>
      <c r="S207" s="828">
        <f t="shared" si="30"/>
        <v>0</v>
      </c>
      <c r="T207" s="1675" t="str">
        <f t="shared" si="23"/>
        <v/>
      </c>
    </row>
    <row r="208" spans="1:20">
      <c r="A208" s="836"/>
      <c r="B208" s="529"/>
      <c r="C208" s="837"/>
      <c r="D208" s="827"/>
      <c r="E208" s="828" t="e">
        <f>LOOKUP(D208,Lookup!$C$9:$C$24,Lookup!$I$9:$I$24)</f>
        <v>#N/A</v>
      </c>
      <c r="F208" s="529"/>
      <c r="G208" s="529"/>
      <c r="H208" s="529"/>
      <c r="I208" s="828" t="e">
        <f t="shared" si="24"/>
        <v>#N/A</v>
      </c>
      <c r="J208" s="643"/>
      <c r="K208" s="829">
        <f t="shared" si="25"/>
        <v>0</v>
      </c>
      <c r="L208" s="830" t="e">
        <f t="shared" si="26"/>
        <v>#DIV/0!</v>
      </c>
      <c r="M208" s="830" t="str">
        <f t="shared" si="27"/>
        <v>N/A</v>
      </c>
      <c r="N208" s="831" t="e">
        <f t="shared" si="21"/>
        <v>#N/A</v>
      </c>
      <c r="O208" s="831">
        <f t="shared" si="28"/>
        <v>0</v>
      </c>
      <c r="P208" s="1024" t="e">
        <f>LOOKUP(G208,$J$4:$J$26,$M$4:$M$26)*LOOKUP(LOOKUP(G208,$J$4:$J$26,$K$4:$K$26),Lookup!$K$9:$K$24,Lookup!$O$9:$O$24)*IF(E208="A",LOOKUP(LOOKUP(G208,$J$4:$J$26,$K$4:$K$26),Lookup!$K$9:$K$24,Lookup!$L$9:$L$24),IF(E208="B",LOOKUP(LOOKUP(G208,$J$4:$J$26,$K$4:$K$26),Lookup!$K$9:$K$24,Lookup!$M$9:$M$24),IF(E208="C",LOOKUP(LOOKUP(G208,$J$4:$J$26,$K$4:$K$26),Lookup!$K$9:$K$24,Lookup!$N$9:$N$24))))</f>
        <v>#N/A</v>
      </c>
      <c r="Q208" s="1024" t="e">
        <f t="shared" si="29"/>
        <v>#N/A</v>
      </c>
      <c r="R208" s="1024" t="e">
        <f t="shared" si="22"/>
        <v>#N/A</v>
      </c>
      <c r="S208" s="828">
        <f t="shared" si="30"/>
        <v>0</v>
      </c>
      <c r="T208" s="1675" t="str">
        <f t="shared" si="23"/>
        <v/>
      </c>
    </row>
    <row r="209" spans="1:20">
      <c r="A209" s="836"/>
      <c r="B209" s="529"/>
      <c r="C209" s="827"/>
      <c r="D209" s="827"/>
      <c r="E209" s="828" t="e">
        <f>LOOKUP(D209,Lookup!$C$9:$C$24,Lookup!$I$9:$I$24)</f>
        <v>#N/A</v>
      </c>
      <c r="F209" s="529"/>
      <c r="G209" s="529"/>
      <c r="H209" s="529"/>
      <c r="I209" s="828" t="e">
        <f t="shared" si="24"/>
        <v>#N/A</v>
      </c>
      <c r="J209" s="643"/>
      <c r="K209" s="829">
        <f t="shared" si="25"/>
        <v>0</v>
      </c>
      <c r="L209" s="830" t="e">
        <f t="shared" si="26"/>
        <v>#DIV/0!</v>
      </c>
      <c r="M209" s="830" t="str">
        <f t="shared" si="27"/>
        <v>N/A</v>
      </c>
      <c r="N209" s="831" t="e">
        <f t="shared" si="21"/>
        <v>#N/A</v>
      </c>
      <c r="O209" s="831">
        <f t="shared" si="28"/>
        <v>0</v>
      </c>
      <c r="P209" s="1024" t="e">
        <f>LOOKUP(G209,$J$4:$J$26,$M$4:$M$26)*LOOKUP(LOOKUP(G209,$J$4:$J$26,$K$4:$K$26),Lookup!$K$9:$K$24,Lookup!$O$9:$O$24)*IF(E209="A",LOOKUP(LOOKUP(G209,$J$4:$J$26,$K$4:$K$26),Lookup!$K$9:$K$24,Lookup!$L$9:$L$24),IF(E209="B",LOOKUP(LOOKUP(G209,$J$4:$J$26,$K$4:$K$26),Lookup!$K$9:$K$24,Lookup!$M$9:$M$24),IF(E209="C",LOOKUP(LOOKUP(G209,$J$4:$J$26,$K$4:$K$26),Lookup!$K$9:$K$24,Lookup!$N$9:$N$24))))</f>
        <v>#N/A</v>
      </c>
      <c r="Q209" s="1024" t="e">
        <f t="shared" si="29"/>
        <v>#N/A</v>
      </c>
      <c r="R209" s="1024" t="e">
        <f t="shared" si="22"/>
        <v>#N/A</v>
      </c>
      <c r="S209" s="828">
        <f t="shared" si="30"/>
        <v>0</v>
      </c>
      <c r="T209" s="1675" t="str">
        <f t="shared" si="23"/>
        <v/>
      </c>
    </row>
    <row r="210" spans="1:20">
      <c r="A210" s="836"/>
      <c r="B210" s="529"/>
      <c r="C210" s="827"/>
      <c r="D210" s="827"/>
      <c r="E210" s="828" t="e">
        <f>LOOKUP(D210,Lookup!$C$9:$C$24,Lookup!$I$9:$I$24)</f>
        <v>#N/A</v>
      </c>
      <c r="F210" s="529"/>
      <c r="G210" s="529"/>
      <c r="H210" s="529"/>
      <c r="I210" s="828" t="e">
        <f t="shared" si="24"/>
        <v>#N/A</v>
      </c>
      <c r="J210" s="643"/>
      <c r="K210" s="829">
        <f t="shared" si="25"/>
        <v>0</v>
      </c>
      <c r="L210" s="830" t="e">
        <f t="shared" si="26"/>
        <v>#DIV/0!</v>
      </c>
      <c r="M210" s="830" t="str">
        <f t="shared" si="27"/>
        <v>N/A</v>
      </c>
      <c r="N210" s="831" t="e">
        <f t="shared" si="21"/>
        <v>#N/A</v>
      </c>
      <c r="O210" s="831">
        <f t="shared" si="28"/>
        <v>0</v>
      </c>
      <c r="P210" s="1024" t="e">
        <f>LOOKUP(G210,$J$4:$J$26,$M$4:$M$26)*LOOKUP(LOOKUP(G210,$J$4:$J$26,$K$4:$K$26),Lookup!$K$9:$K$24,Lookup!$O$9:$O$24)*IF(E210="A",LOOKUP(LOOKUP(G210,$J$4:$J$26,$K$4:$K$26),Lookup!$K$9:$K$24,Lookup!$L$9:$L$24),IF(E210="B",LOOKUP(LOOKUP(G210,$J$4:$J$26,$K$4:$K$26),Lookup!$K$9:$K$24,Lookup!$M$9:$M$24),IF(E210="C",LOOKUP(LOOKUP(G210,$J$4:$J$26,$K$4:$K$26),Lookup!$K$9:$K$24,Lookup!$N$9:$N$24))))</f>
        <v>#N/A</v>
      </c>
      <c r="Q210" s="1024" t="e">
        <f t="shared" si="29"/>
        <v>#N/A</v>
      </c>
      <c r="R210" s="1024" t="e">
        <f t="shared" si="22"/>
        <v>#N/A</v>
      </c>
      <c r="S210" s="828">
        <f t="shared" si="30"/>
        <v>0</v>
      </c>
      <c r="T210" s="1675" t="str">
        <f t="shared" si="23"/>
        <v/>
      </c>
    </row>
    <row r="211" spans="1:20">
      <c r="A211" s="836"/>
      <c r="B211" s="529"/>
      <c r="C211" s="827"/>
      <c r="D211" s="827"/>
      <c r="E211" s="828" t="e">
        <f>LOOKUP(D211,Lookup!$C$9:$C$24,Lookup!$I$9:$I$24)</f>
        <v>#N/A</v>
      </c>
      <c r="F211" s="529"/>
      <c r="G211" s="529"/>
      <c r="H211" s="529"/>
      <c r="I211" s="828" t="e">
        <f t="shared" si="24"/>
        <v>#N/A</v>
      </c>
      <c r="J211" s="643"/>
      <c r="K211" s="829">
        <f t="shared" si="25"/>
        <v>0</v>
      </c>
      <c r="L211" s="830" t="e">
        <f t="shared" si="26"/>
        <v>#DIV/0!</v>
      </c>
      <c r="M211" s="830" t="str">
        <f t="shared" si="27"/>
        <v>N/A</v>
      </c>
      <c r="N211" s="831" t="e">
        <f t="shared" si="21"/>
        <v>#N/A</v>
      </c>
      <c r="O211" s="831">
        <f t="shared" si="28"/>
        <v>0</v>
      </c>
      <c r="P211" s="1024" t="e">
        <f>LOOKUP(G211,$J$4:$J$26,$M$4:$M$26)*LOOKUP(LOOKUP(G211,$J$4:$J$26,$K$4:$K$26),Lookup!$K$9:$K$24,Lookup!$O$9:$O$24)*IF(E211="A",LOOKUP(LOOKUP(G211,$J$4:$J$26,$K$4:$K$26),Lookup!$K$9:$K$24,Lookup!$L$9:$L$24),IF(E211="B",LOOKUP(LOOKUP(G211,$J$4:$J$26,$K$4:$K$26),Lookup!$K$9:$K$24,Lookup!$M$9:$M$24),IF(E211="C",LOOKUP(LOOKUP(G211,$J$4:$J$26,$K$4:$K$26),Lookup!$K$9:$K$24,Lookup!$N$9:$N$24))))</f>
        <v>#N/A</v>
      </c>
      <c r="Q211" s="1024" t="e">
        <f t="shared" si="29"/>
        <v>#N/A</v>
      </c>
      <c r="R211" s="1024" t="e">
        <f t="shared" si="22"/>
        <v>#N/A</v>
      </c>
      <c r="S211" s="828">
        <f t="shared" si="30"/>
        <v>0</v>
      </c>
      <c r="T211" s="1675" t="str">
        <f t="shared" si="23"/>
        <v/>
      </c>
    </row>
    <row r="212" spans="1:20">
      <c r="A212" s="836"/>
      <c r="B212" s="529"/>
      <c r="C212" s="827"/>
      <c r="D212" s="827"/>
      <c r="E212" s="828" t="e">
        <f>LOOKUP(D212,Lookup!$C$9:$C$24,Lookup!$I$9:$I$24)</f>
        <v>#N/A</v>
      </c>
      <c r="F212" s="529"/>
      <c r="G212" s="529"/>
      <c r="H212" s="529"/>
      <c r="I212" s="828" t="e">
        <f t="shared" si="24"/>
        <v>#N/A</v>
      </c>
      <c r="J212" s="643"/>
      <c r="K212" s="829">
        <f t="shared" si="25"/>
        <v>0</v>
      </c>
      <c r="L212" s="830" t="e">
        <f t="shared" si="26"/>
        <v>#DIV/0!</v>
      </c>
      <c r="M212" s="830" t="str">
        <f t="shared" si="27"/>
        <v>N/A</v>
      </c>
      <c r="N212" s="831" t="e">
        <f t="shared" si="21"/>
        <v>#N/A</v>
      </c>
      <c r="O212" s="831">
        <f t="shared" si="28"/>
        <v>0</v>
      </c>
      <c r="P212" s="1024" t="e">
        <f>LOOKUP(G212,$J$4:$J$26,$M$4:$M$26)*LOOKUP(LOOKUP(G212,$J$4:$J$26,$K$4:$K$26),Lookup!$K$9:$K$24,Lookup!$O$9:$O$24)*IF(E212="A",LOOKUP(LOOKUP(G212,$J$4:$J$26,$K$4:$K$26),Lookup!$K$9:$K$24,Lookup!$L$9:$L$24),IF(E212="B",LOOKUP(LOOKUP(G212,$J$4:$J$26,$K$4:$K$26),Lookup!$K$9:$K$24,Lookup!$M$9:$M$24),IF(E212="C",LOOKUP(LOOKUP(G212,$J$4:$J$26,$K$4:$K$26),Lookup!$K$9:$K$24,Lookup!$N$9:$N$24))))</f>
        <v>#N/A</v>
      </c>
      <c r="Q212" s="1024" t="e">
        <f t="shared" si="29"/>
        <v>#N/A</v>
      </c>
      <c r="R212" s="1024" t="e">
        <f t="shared" si="22"/>
        <v>#N/A</v>
      </c>
      <c r="S212" s="828">
        <f t="shared" si="30"/>
        <v>0</v>
      </c>
      <c r="T212" s="1675" t="str">
        <f t="shared" si="23"/>
        <v/>
      </c>
    </row>
    <row r="213" spans="1:20">
      <c r="A213" s="836"/>
      <c r="B213" s="529"/>
      <c r="C213" s="827"/>
      <c r="D213" s="827"/>
      <c r="E213" s="828" t="e">
        <f>LOOKUP(D213,Lookup!$C$9:$C$24,Lookup!$I$9:$I$24)</f>
        <v>#N/A</v>
      </c>
      <c r="F213" s="529"/>
      <c r="G213" s="529"/>
      <c r="H213" s="529"/>
      <c r="I213" s="828" t="e">
        <f t="shared" si="24"/>
        <v>#N/A</v>
      </c>
      <c r="J213" s="643"/>
      <c r="K213" s="829">
        <f t="shared" si="25"/>
        <v>0</v>
      </c>
      <c r="L213" s="830" t="e">
        <f t="shared" si="26"/>
        <v>#DIV/0!</v>
      </c>
      <c r="M213" s="830" t="str">
        <f t="shared" si="27"/>
        <v>N/A</v>
      </c>
      <c r="N213" s="831" t="e">
        <f t="shared" si="21"/>
        <v>#N/A</v>
      </c>
      <c r="O213" s="831">
        <f t="shared" si="28"/>
        <v>0</v>
      </c>
      <c r="P213" s="1024" t="e">
        <f>LOOKUP(G213,$J$4:$J$26,$M$4:$M$26)*LOOKUP(LOOKUP(G213,$J$4:$J$26,$K$4:$K$26),Lookup!$K$9:$K$24,Lookup!$O$9:$O$24)*IF(E213="A",LOOKUP(LOOKUP(G213,$J$4:$J$26,$K$4:$K$26),Lookup!$K$9:$K$24,Lookup!$L$9:$L$24),IF(E213="B",LOOKUP(LOOKUP(G213,$J$4:$J$26,$K$4:$K$26),Lookup!$K$9:$K$24,Lookup!$M$9:$M$24),IF(E213="C",LOOKUP(LOOKUP(G213,$J$4:$J$26,$K$4:$K$26),Lookup!$K$9:$K$24,Lookup!$N$9:$N$24))))</f>
        <v>#N/A</v>
      </c>
      <c r="Q213" s="1024" t="e">
        <f t="shared" si="29"/>
        <v>#N/A</v>
      </c>
      <c r="R213" s="1024" t="e">
        <f t="shared" si="22"/>
        <v>#N/A</v>
      </c>
      <c r="S213" s="828">
        <f t="shared" si="30"/>
        <v>0</v>
      </c>
      <c r="T213" s="1675" t="str">
        <f t="shared" si="23"/>
        <v/>
      </c>
    </row>
    <row r="214" spans="1:20">
      <c r="A214" s="836"/>
      <c r="B214" s="529"/>
      <c r="C214" s="837"/>
      <c r="D214" s="827"/>
      <c r="E214" s="828" t="e">
        <f>LOOKUP(D214,Lookup!$C$9:$C$24,Lookup!$I$9:$I$24)</f>
        <v>#N/A</v>
      </c>
      <c r="F214" s="529"/>
      <c r="G214" s="529"/>
      <c r="H214" s="529"/>
      <c r="I214" s="828" t="e">
        <f t="shared" si="24"/>
        <v>#N/A</v>
      </c>
      <c r="J214" s="643"/>
      <c r="K214" s="829">
        <f t="shared" si="25"/>
        <v>0</v>
      </c>
      <c r="L214" s="830" t="e">
        <f t="shared" si="26"/>
        <v>#DIV/0!</v>
      </c>
      <c r="M214" s="830" t="str">
        <f t="shared" si="27"/>
        <v>N/A</v>
      </c>
      <c r="N214" s="831" t="e">
        <f t="shared" si="21"/>
        <v>#N/A</v>
      </c>
      <c r="O214" s="831">
        <f t="shared" si="28"/>
        <v>0</v>
      </c>
      <c r="P214" s="1024" t="e">
        <f>LOOKUP(G214,$J$4:$J$26,$M$4:$M$26)*LOOKUP(LOOKUP(G214,$J$4:$J$26,$K$4:$K$26),Lookup!$K$9:$K$24,Lookup!$O$9:$O$24)*IF(E214="A",LOOKUP(LOOKUP(G214,$J$4:$J$26,$K$4:$K$26),Lookup!$K$9:$K$24,Lookup!$L$9:$L$24),IF(E214="B",LOOKUP(LOOKUP(G214,$J$4:$J$26,$K$4:$K$26),Lookup!$K$9:$K$24,Lookup!$M$9:$M$24),IF(E214="C",LOOKUP(LOOKUP(G214,$J$4:$J$26,$K$4:$K$26),Lookup!$K$9:$K$24,Lookup!$N$9:$N$24))))</f>
        <v>#N/A</v>
      </c>
      <c r="Q214" s="1024" t="e">
        <f t="shared" si="29"/>
        <v>#N/A</v>
      </c>
      <c r="R214" s="1024" t="e">
        <f t="shared" si="22"/>
        <v>#N/A</v>
      </c>
      <c r="S214" s="828">
        <f t="shared" si="30"/>
        <v>0</v>
      </c>
      <c r="T214" s="1675" t="str">
        <f t="shared" si="23"/>
        <v/>
      </c>
    </row>
    <row r="215" spans="1:20">
      <c r="A215" s="836"/>
      <c r="B215" s="529"/>
      <c r="C215" s="827"/>
      <c r="D215" s="827"/>
      <c r="E215" s="828" t="e">
        <f>LOOKUP(D215,Lookup!$C$9:$C$24,Lookup!$I$9:$I$24)</f>
        <v>#N/A</v>
      </c>
      <c r="F215" s="529"/>
      <c r="G215" s="529"/>
      <c r="H215" s="529"/>
      <c r="I215" s="828" t="e">
        <f t="shared" si="24"/>
        <v>#N/A</v>
      </c>
      <c r="J215" s="643"/>
      <c r="K215" s="829">
        <f t="shared" si="25"/>
        <v>0</v>
      </c>
      <c r="L215" s="830" t="e">
        <f t="shared" si="26"/>
        <v>#DIV/0!</v>
      </c>
      <c r="M215" s="830" t="str">
        <f t="shared" si="27"/>
        <v>N/A</v>
      </c>
      <c r="N215" s="831" t="e">
        <f t="shared" si="21"/>
        <v>#N/A</v>
      </c>
      <c r="O215" s="831">
        <f t="shared" si="28"/>
        <v>0</v>
      </c>
      <c r="P215" s="1024" t="e">
        <f>LOOKUP(G215,$J$4:$J$26,$M$4:$M$26)*LOOKUP(LOOKUP(G215,$J$4:$J$26,$K$4:$K$26),Lookup!$K$9:$K$24,Lookup!$O$9:$O$24)*IF(E215="A",LOOKUP(LOOKUP(G215,$J$4:$J$26,$K$4:$K$26),Lookup!$K$9:$K$24,Lookup!$L$9:$L$24),IF(E215="B",LOOKUP(LOOKUP(G215,$J$4:$J$26,$K$4:$K$26),Lookup!$K$9:$K$24,Lookup!$M$9:$M$24),IF(E215="C",LOOKUP(LOOKUP(G215,$J$4:$J$26,$K$4:$K$26),Lookup!$K$9:$K$24,Lookup!$N$9:$N$24))))</f>
        <v>#N/A</v>
      </c>
      <c r="Q215" s="1024" t="e">
        <f t="shared" si="29"/>
        <v>#N/A</v>
      </c>
      <c r="R215" s="1024" t="e">
        <f t="shared" si="22"/>
        <v>#N/A</v>
      </c>
      <c r="S215" s="828">
        <f t="shared" si="30"/>
        <v>0</v>
      </c>
      <c r="T215" s="1675" t="str">
        <f t="shared" si="23"/>
        <v/>
      </c>
    </row>
    <row r="216" spans="1:20">
      <c r="A216" s="836"/>
      <c r="B216" s="529"/>
      <c r="C216" s="827"/>
      <c r="D216" s="827"/>
      <c r="E216" s="828" t="e">
        <f>LOOKUP(D216,Lookup!$C$9:$C$24,Lookup!$I$9:$I$24)</f>
        <v>#N/A</v>
      </c>
      <c r="F216" s="529"/>
      <c r="G216" s="529"/>
      <c r="H216" s="529"/>
      <c r="I216" s="828" t="e">
        <f t="shared" si="24"/>
        <v>#N/A</v>
      </c>
      <c r="J216" s="643"/>
      <c r="K216" s="829">
        <f t="shared" si="25"/>
        <v>0</v>
      </c>
      <c r="L216" s="830" t="e">
        <f t="shared" si="26"/>
        <v>#DIV/0!</v>
      </c>
      <c r="M216" s="830" t="str">
        <f t="shared" si="27"/>
        <v>N/A</v>
      </c>
      <c r="N216" s="831" t="e">
        <f t="shared" si="21"/>
        <v>#N/A</v>
      </c>
      <c r="O216" s="831">
        <f t="shared" si="28"/>
        <v>0</v>
      </c>
      <c r="P216" s="1024" t="e">
        <f>LOOKUP(G216,$J$4:$J$26,$M$4:$M$26)*LOOKUP(LOOKUP(G216,$J$4:$J$26,$K$4:$K$26),Lookup!$K$9:$K$24,Lookup!$O$9:$O$24)*IF(E216="A",LOOKUP(LOOKUP(G216,$J$4:$J$26,$K$4:$K$26),Lookup!$K$9:$K$24,Lookup!$L$9:$L$24),IF(E216="B",LOOKUP(LOOKUP(G216,$J$4:$J$26,$K$4:$K$26),Lookup!$K$9:$K$24,Lookup!$M$9:$M$24),IF(E216="C",LOOKUP(LOOKUP(G216,$J$4:$J$26,$K$4:$K$26),Lookup!$K$9:$K$24,Lookup!$N$9:$N$24))))</f>
        <v>#N/A</v>
      </c>
      <c r="Q216" s="1024" t="e">
        <f t="shared" si="29"/>
        <v>#N/A</v>
      </c>
      <c r="R216" s="1024" t="e">
        <f t="shared" si="22"/>
        <v>#N/A</v>
      </c>
      <c r="S216" s="828">
        <f t="shared" si="30"/>
        <v>0</v>
      </c>
      <c r="T216" s="1675" t="str">
        <f t="shared" si="23"/>
        <v/>
      </c>
    </row>
    <row r="217" spans="1:20">
      <c r="A217" s="836"/>
      <c r="B217" s="529"/>
      <c r="C217" s="827"/>
      <c r="D217" s="827"/>
      <c r="E217" s="828" t="e">
        <f>LOOKUP(D217,Lookup!$C$9:$C$24,Lookup!$I$9:$I$24)</f>
        <v>#N/A</v>
      </c>
      <c r="F217" s="529"/>
      <c r="G217" s="529"/>
      <c r="H217" s="529"/>
      <c r="I217" s="828" t="e">
        <f t="shared" si="24"/>
        <v>#N/A</v>
      </c>
      <c r="J217" s="643"/>
      <c r="K217" s="829">
        <f t="shared" si="25"/>
        <v>0</v>
      </c>
      <c r="L217" s="830" t="e">
        <f t="shared" si="26"/>
        <v>#DIV/0!</v>
      </c>
      <c r="M217" s="830" t="str">
        <f t="shared" si="27"/>
        <v>N/A</v>
      </c>
      <c r="N217" s="831" t="e">
        <f t="shared" si="21"/>
        <v>#N/A</v>
      </c>
      <c r="O217" s="831">
        <f t="shared" si="28"/>
        <v>0</v>
      </c>
      <c r="P217" s="1024" t="e">
        <f>LOOKUP(G217,$J$4:$J$26,$M$4:$M$26)*LOOKUP(LOOKUP(G217,$J$4:$J$26,$K$4:$K$26),Lookup!$K$9:$K$24,Lookup!$O$9:$O$24)*IF(E217="A",LOOKUP(LOOKUP(G217,$J$4:$J$26,$K$4:$K$26),Lookup!$K$9:$K$24,Lookup!$L$9:$L$24),IF(E217="B",LOOKUP(LOOKUP(G217,$J$4:$J$26,$K$4:$K$26),Lookup!$K$9:$K$24,Lookup!$M$9:$M$24),IF(E217="C",LOOKUP(LOOKUP(G217,$J$4:$J$26,$K$4:$K$26),Lookup!$K$9:$K$24,Lookup!$N$9:$N$24))))</f>
        <v>#N/A</v>
      </c>
      <c r="Q217" s="1024" t="e">
        <f t="shared" si="29"/>
        <v>#N/A</v>
      </c>
      <c r="R217" s="1024" t="e">
        <f t="shared" si="22"/>
        <v>#N/A</v>
      </c>
      <c r="S217" s="828">
        <f t="shared" si="30"/>
        <v>0</v>
      </c>
      <c r="T217" s="1675" t="str">
        <f t="shared" si="23"/>
        <v/>
      </c>
    </row>
    <row r="218" spans="1:20">
      <c r="A218" s="836"/>
      <c r="B218" s="529"/>
      <c r="C218" s="827"/>
      <c r="D218" s="827"/>
      <c r="E218" s="828" t="e">
        <f>LOOKUP(D218,Lookup!$C$9:$C$24,Lookup!$I$9:$I$24)</f>
        <v>#N/A</v>
      </c>
      <c r="F218" s="529"/>
      <c r="G218" s="529"/>
      <c r="H218" s="529"/>
      <c r="I218" s="828" t="e">
        <f t="shared" si="24"/>
        <v>#N/A</v>
      </c>
      <c r="J218" s="643"/>
      <c r="K218" s="829">
        <f t="shared" si="25"/>
        <v>0</v>
      </c>
      <c r="L218" s="830" t="e">
        <f t="shared" si="26"/>
        <v>#DIV/0!</v>
      </c>
      <c r="M218" s="830" t="str">
        <f t="shared" si="27"/>
        <v>N/A</v>
      </c>
      <c r="N218" s="831" t="e">
        <f t="shared" si="21"/>
        <v>#N/A</v>
      </c>
      <c r="O218" s="831">
        <f t="shared" si="28"/>
        <v>0</v>
      </c>
      <c r="P218" s="1024" t="e">
        <f>LOOKUP(G218,$J$4:$J$26,$M$4:$M$26)*LOOKUP(LOOKUP(G218,$J$4:$J$26,$K$4:$K$26),Lookup!$K$9:$K$24,Lookup!$O$9:$O$24)*IF(E218="A",LOOKUP(LOOKUP(G218,$J$4:$J$26,$K$4:$K$26),Lookup!$K$9:$K$24,Lookup!$L$9:$L$24),IF(E218="B",LOOKUP(LOOKUP(G218,$J$4:$J$26,$K$4:$K$26),Lookup!$K$9:$K$24,Lookup!$M$9:$M$24),IF(E218="C",LOOKUP(LOOKUP(G218,$J$4:$J$26,$K$4:$K$26),Lookup!$K$9:$K$24,Lookup!$N$9:$N$24))))</f>
        <v>#N/A</v>
      </c>
      <c r="Q218" s="1024" t="e">
        <f t="shared" si="29"/>
        <v>#N/A</v>
      </c>
      <c r="R218" s="1024" t="e">
        <f t="shared" si="22"/>
        <v>#N/A</v>
      </c>
      <c r="S218" s="828">
        <f t="shared" si="30"/>
        <v>0</v>
      </c>
      <c r="T218" s="1675" t="str">
        <f t="shared" si="23"/>
        <v/>
      </c>
    </row>
    <row r="219" spans="1:20">
      <c r="A219" s="836"/>
      <c r="B219" s="529"/>
      <c r="C219" s="827"/>
      <c r="D219" s="827"/>
      <c r="E219" s="828" t="e">
        <f>LOOKUP(D219,Lookup!$C$9:$C$24,Lookup!$I$9:$I$24)</f>
        <v>#N/A</v>
      </c>
      <c r="F219" s="529"/>
      <c r="G219" s="529"/>
      <c r="H219" s="529"/>
      <c r="I219" s="828" t="e">
        <f t="shared" si="24"/>
        <v>#N/A</v>
      </c>
      <c r="J219" s="643"/>
      <c r="K219" s="829">
        <f t="shared" si="25"/>
        <v>0</v>
      </c>
      <c r="L219" s="830" t="e">
        <f t="shared" si="26"/>
        <v>#DIV/0!</v>
      </c>
      <c r="M219" s="830" t="str">
        <f t="shared" si="27"/>
        <v>N/A</v>
      </c>
      <c r="N219" s="831" t="e">
        <f t="shared" si="21"/>
        <v>#N/A</v>
      </c>
      <c r="O219" s="831">
        <f t="shared" si="28"/>
        <v>0</v>
      </c>
      <c r="P219" s="1024" t="e">
        <f>LOOKUP(G219,$J$4:$J$26,$M$4:$M$26)*LOOKUP(LOOKUP(G219,$J$4:$J$26,$K$4:$K$26),Lookup!$K$9:$K$24,Lookup!$O$9:$O$24)*IF(E219="A",LOOKUP(LOOKUP(G219,$J$4:$J$26,$K$4:$K$26),Lookup!$K$9:$K$24,Lookup!$L$9:$L$24),IF(E219="B",LOOKUP(LOOKUP(G219,$J$4:$J$26,$K$4:$K$26),Lookup!$K$9:$K$24,Lookup!$M$9:$M$24),IF(E219="C",LOOKUP(LOOKUP(G219,$J$4:$J$26,$K$4:$K$26),Lookup!$K$9:$K$24,Lookup!$N$9:$N$24))))</f>
        <v>#N/A</v>
      </c>
      <c r="Q219" s="1024" t="e">
        <f t="shared" si="29"/>
        <v>#N/A</v>
      </c>
      <c r="R219" s="1024" t="e">
        <f t="shared" si="22"/>
        <v>#N/A</v>
      </c>
      <c r="S219" s="828">
        <f t="shared" si="30"/>
        <v>0</v>
      </c>
      <c r="T219" s="1675" t="str">
        <f t="shared" si="23"/>
        <v/>
      </c>
    </row>
    <row r="220" spans="1:20">
      <c r="A220" s="836"/>
      <c r="B220" s="529"/>
      <c r="C220" s="837"/>
      <c r="D220" s="827"/>
      <c r="E220" s="828" t="e">
        <f>LOOKUP(D220,Lookup!$C$9:$C$24,Lookup!$I$9:$I$24)</f>
        <v>#N/A</v>
      </c>
      <c r="F220" s="529"/>
      <c r="G220" s="529"/>
      <c r="H220" s="529"/>
      <c r="I220" s="828" t="e">
        <f t="shared" si="24"/>
        <v>#N/A</v>
      </c>
      <c r="J220" s="643"/>
      <c r="K220" s="829">
        <f t="shared" si="25"/>
        <v>0</v>
      </c>
      <c r="L220" s="830" t="e">
        <f t="shared" si="26"/>
        <v>#DIV/0!</v>
      </c>
      <c r="M220" s="830" t="str">
        <f t="shared" si="27"/>
        <v>N/A</v>
      </c>
      <c r="N220" s="831" t="e">
        <f t="shared" si="21"/>
        <v>#N/A</v>
      </c>
      <c r="O220" s="831">
        <f t="shared" si="28"/>
        <v>0</v>
      </c>
      <c r="P220" s="1024" t="e">
        <f>LOOKUP(G220,$J$4:$J$26,$M$4:$M$26)*LOOKUP(LOOKUP(G220,$J$4:$J$26,$K$4:$K$26),Lookup!$K$9:$K$24,Lookup!$O$9:$O$24)*IF(E220="A",LOOKUP(LOOKUP(G220,$J$4:$J$26,$K$4:$K$26),Lookup!$K$9:$K$24,Lookup!$L$9:$L$24),IF(E220="B",LOOKUP(LOOKUP(G220,$J$4:$J$26,$K$4:$K$26),Lookup!$K$9:$K$24,Lookup!$M$9:$M$24),IF(E220="C",LOOKUP(LOOKUP(G220,$J$4:$J$26,$K$4:$K$26),Lookup!$K$9:$K$24,Lookup!$N$9:$N$24))))</f>
        <v>#N/A</v>
      </c>
      <c r="Q220" s="1024" t="e">
        <f t="shared" si="29"/>
        <v>#N/A</v>
      </c>
      <c r="R220" s="1024" t="e">
        <f t="shared" si="22"/>
        <v>#N/A</v>
      </c>
      <c r="S220" s="828">
        <f t="shared" si="30"/>
        <v>0</v>
      </c>
      <c r="T220" s="1675" t="str">
        <f t="shared" si="23"/>
        <v/>
      </c>
    </row>
    <row r="221" spans="1:20">
      <c r="A221" s="836"/>
      <c r="B221" s="529"/>
      <c r="C221" s="827"/>
      <c r="D221" s="827"/>
      <c r="E221" s="828" t="e">
        <f>LOOKUP(D221,Lookup!$C$9:$C$24,Lookup!$I$9:$I$24)</f>
        <v>#N/A</v>
      </c>
      <c r="F221" s="529"/>
      <c r="G221" s="529"/>
      <c r="H221" s="529"/>
      <c r="I221" s="828" t="e">
        <f t="shared" si="24"/>
        <v>#N/A</v>
      </c>
      <c r="J221" s="643"/>
      <c r="K221" s="829">
        <f t="shared" si="25"/>
        <v>0</v>
      </c>
      <c r="L221" s="830" t="e">
        <f t="shared" si="26"/>
        <v>#DIV/0!</v>
      </c>
      <c r="M221" s="830" t="str">
        <f t="shared" si="27"/>
        <v>N/A</v>
      </c>
      <c r="N221" s="831" t="e">
        <f t="shared" ref="N221:N284" si="31">IF($D$17="Space-By-Space (90.1-2007)",LOOKUP(D221, LightingSpaceType, LPD2007SS),IF($D$17="Space-By-Space (90.1-2010)",LOOKUP(D221,LightingSpaceType, LPD2010SS), IF($D$17="Building Area (90.1-2007)",LOOKUP(D221,LightingSpaceType,LPD2007WB),IF($D$17="Building Area (90.1-2010)",LOOKUP(D221,LightingSpaceType,LPD2010WB),0))))</f>
        <v>#N/A</v>
      </c>
      <c r="O221" s="831">
        <f t="shared" si="28"/>
        <v>0</v>
      </c>
      <c r="P221" s="1024" t="e">
        <f>LOOKUP(G221,$J$4:$J$26,$M$4:$M$26)*LOOKUP(LOOKUP(G221,$J$4:$J$26,$K$4:$K$26),Lookup!$K$9:$K$24,Lookup!$O$9:$O$24)*IF(E221="A",LOOKUP(LOOKUP(G221,$J$4:$J$26,$K$4:$K$26),Lookup!$K$9:$K$24,Lookup!$L$9:$L$24),IF(E221="B",LOOKUP(LOOKUP(G221,$J$4:$J$26,$K$4:$K$26),Lookup!$K$9:$K$24,Lookup!$M$9:$M$24),IF(E221="C",LOOKUP(LOOKUP(G221,$J$4:$J$26,$K$4:$K$26),Lookup!$K$9:$K$24,Lookup!$N$9:$N$24))))</f>
        <v>#N/A</v>
      </c>
      <c r="Q221" s="1024" t="e">
        <f t="shared" si="29"/>
        <v>#N/A</v>
      </c>
      <c r="R221" s="1024" t="e">
        <f t="shared" ref="R221:R284" si="32">LOOKUP(D221, LightingSpaceType, Footcandles)</f>
        <v>#N/A</v>
      </c>
      <c r="S221" s="828">
        <f t="shared" si="30"/>
        <v>0</v>
      </c>
      <c r="T221" s="1675" t="str">
        <f t="shared" ref="T221:T284" si="33">IF(F221&gt;0, IF(Q221&lt;R221, "Insufficient lighting to meet IESNA footcandle recommendations.", ""), "")</f>
        <v/>
      </c>
    </row>
    <row r="222" spans="1:20">
      <c r="A222" s="836"/>
      <c r="B222" s="529"/>
      <c r="C222" s="827"/>
      <c r="D222" s="827"/>
      <c r="E222" s="828" t="e">
        <f>LOOKUP(D222,Lookup!$C$9:$C$24,Lookup!$I$9:$I$24)</f>
        <v>#N/A</v>
      </c>
      <c r="F222" s="529"/>
      <c r="G222" s="529"/>
      <c r="H222" s="529"/>
      <c r="I222" s="828" t="e">
        <f t="shared" ref="I222:I285" si="34">LOOKUP(G222, $J$4:$J$26, $L$4:$L$26)</f>
        <v>#N/A</v>
      </c>
      <c r="J222" s="643"/>
      <c r="K222" s="829">
        <f t="shared" ref="K222:K285" si="35">IF(F222&gt;0, F222*I222*J222, 0)</f>
        <v>0</v>
      </c>
      <c r="L222" s="830" t="e">
        <f t="shared" ref="L222:L285" si="36">IF(D222="Exit Signs","convert to kW", K222/B222)</f>
        <v>#DIV/0!</v>
      </c>
      <c r="M222" s="830" t="str">
        <f t="shared" ref="M222:M285" si="37">IF(H222="Yes",IF(D222="Stairs - Active",0.65*L222,IF(D222="Corridor/Transition",0.75*L222,IF(D222="Conference/meeting/multipurpose",1*L222,IF(D222="Community or Computer Room",1*L222,0.9*L222)))),"N/A")</f>
        <v>N/A</v>
      </c>
      <c r="N222" s="831" t="e">
        <f t="shared" si="31"/>
        <v>#N/A</v>
      </c>
      <c r="O222" s="831">
        <f t="shared" ref="O222:O285" si="38">IF(D222="Exit Signs", 5*F222, IF(B222&gt;0, N222*B222, 0))</f>
        <v>0</v>
      </c>
      <c r="P222" s="1024" t="e">
        <f>LOOKUP(G222,$J$4:$J$26,$M$4:$M$26)*LOOKUP(LOOKUP(G222,$J$4:$J$26,$K$4:$K$26),Lookup!$K$9:$K$24,Lookup!$O$9:$O$24)*IF(E222="A",LOOKUP(LOOKUP(G222,$J$4:$J$26,$K$4:$K$26),Lookup!$K$9:$K$24,Lookup!$L$9:$L$24),IF(E222="B",LOOKUP(LOOKUP(G222,$J$4:$J$26,$K$4:$K$26),Lookup!$K$9:$K$24,Lookup!$M$9:$M$24),IF(E222="C",LOOKUP(LOOKUP(G222,$J$4:$J$26,$K$4:$K$26),Lookup!$K$9:$K$24,Lookup!$N$9:$N$24))))</f>
        <v>#N/A</v>
      </c>
      <c r="Q222" s="1024" t="e">
        <f t="shared" ref="Q222:Q285" si="39">IF(D222="Exit Signs","NA", K222*P222/B222)</f>
        <v>#N/A</v>
      </c>
      <c r="R222" s="1024" t="e">
        <f t="shared" si="32"/>
        <v>#N/A</v>
      </c>
      <c r="S222" s="828">
        <f t="shared" ref="S222:S285" si="40">J222*B222</f>
        <v>0</v>
      </c>
      <c r="T222" s="1675" t="str">
        <f t="shared" si="33"/>
        <v/>
      </c>
    </row>
    <row r="223" spans="1:20">
      <c r="A223" s="836"/>
      <c r="B223" s="529"/>
      <c r="C223" s="827"/>
      <c r="D223" s="827"/>
      <c r="E223" s="828" t="e">
        <f>LOOKUP(D223,Lookup!$C$9:$C$24,Lookup!$I$9:$I$24)</f>
        <v>#N/A</v>
      </c>
      <c r="F223" s="529"/>
      <c r="G223" s="529"/>
      <c r="H223" s="529"/>
      <c r="I223" s="828" t="e">
        <f t="shared" si="34"/>
        <v>#N/A</v>
      </c>
      <c r="J223" s="643"/>
      <c r="K223" s="829">
        <f t="shared" si="35"/>
        <v>0</v>
      </c>
      <c r="L223" s="830" t="e">
        <f t="shared" si="36"/>
        <v>#DIV/0!</v>
      </c>
      <c r="M223" s="830" t="str">
        <f t="shared" si="37"/>
        <v>N/A</v>
      </c>
      <c r="N223" s="831" t="e">
        <f t="shared" si="31"/>
        <v>#N/A</v>
      </c>
      <c r="O223" s="831">
        <f t="shared" si="38"/>
        <v>0</v>
      </c>
      <c r="P223" s="1024" t="e">
        <f>LOOKUP(G223,$J$4:$J$26,$M$4:$M$26)*LOOKUP(LOOKUP(G223,$J$4:$J$26,$K$4:$K$26),Lookup!$K$9:$K$24,Lookup!$O$9:$O$24)*IF(E223="A",LOOKUP(LOOKUP(G223,$J$4:$J$26,$K$4:$K$26),Lookup!$K$9:$K$24,Lookup!$L$9:$L$24),IF(E223="B",LOOKUP(LOOKUP(G223,$J$4:$J$26,$K$4:$K$26),Lookup!$K$9:$K$24,Lookup!$M$9:$M$24),IF(E223="C",LOOKUP(LOOKUP(G223,$J$4:$J$26,$K$4:$K$26),Lookup!$K$9:$K$24,Lookup!$N$9:$N$24))))</f>
        <v>#N/A</v>
      </c>
      <c r="Q223" s="1024" t="e">
        <f t="shared" si="39"/>
        <v>#N/A</v>
      </c>
      <c r="R223" s="1024" t="e">
        <f t="shared" si="32"/>
        <v>#N/A</v>
      </c>
      <c r="S223" s="828">
        <f t="shared" si="40"/>
        <v>0</v>
      </c>
      <c r="T223" s="1675" t="str">
        <f t="shared" si="33"/>
        <v/>
      </c>
    </row>
    <row r="224" spans="1:20">
      <c r="A224" s="836"/>
      <c r="B224" s="529"/>
      <c r="C224" s="827"/>
      <c r="D224" s="827"/>
      <c r="E224" s="828" t="e">
        <f>LOOKUP(D224,Lookup!$C$9:$C$24,Lookup!$I$9:$I$24)</f>
        <v>#N/A</v>
      </c>
      <c r="F224" s="529"/>
      <c r="G224" s="529"/>
      <c r="H224" s="529"/>
      <c r="I224" s="828" t="e">
        <f t="shared" si="34"/>
        <v>#N/A</v>
      </c>
      <c r="J224" s="643"/>
      <c r="K224" s="829">
        <f t="shared" si="35"/>
        <v>0</v>
      </c>
      <c r="L224" s="830" t="e">
        <f t="shared" si="36"/>
        <v>#DIV/0!</v>
      </c>
      <c r="M224" s="830" t="str">
        <f t="shared" si="37"/>
        <v>N/A</v>
      </c>
      <c r="N224" s="831" t="e">
        <f t="shared" si="31"/>
        <v>#N/A</v>
      </c>
      <c r="O224" s="831">
        <f t="shared" si="38"/>
        <v>0</v>
      </c>
      <c r="P224" s="1024" t="e">
        <f>LOOKUP(G224,$J$4:$J$26,$M$4:$M$26)*LOOKUP(LOOKUP(G224,$J$4:$J$26,$K$4:$K$26),Lookup!$K$9:$K$24,Lookup!$O$9:$O$24)*IF(E224="A",LOOKUP(LOOKUP(G224,$J$4:$J$26,$K$4:$K$26),Lookup!$K$9:$K$24,Lookup!$L$9:$L$24),IF(E224="B",LOOKUP(LOOKUP(G224,$J$4:$J$26,$K$4:$K$26),Lookup!$K$9:$K$24,Lookup!$M$9:$M$24),IF(E224="C",LOOKUP(LOOKUP(G224,$J$4:$J$26,$K$4:$K$26),Lookup!$K$9:$K$24,Lookup!$N$9:$N$24))))</f>
        <v>#N/A</v>
      </c>
      <c r="Q224" s="1024" t="e">
        <f t="shared" si="39"/>
        <v>#N/A</v>
      </c>
      <c r="R224" s="1024" t="e">
        <f t="shared" si="32"/>
        <v>#N/A</v>
      </c>
      <c r="S224" s="828">
        <f t="shared" si="40"/>
        <v>0</v>
      </c>
      <c r="T224" s="1675" t="str">
        <f t="shared" si="33"/>
        <v/>
      </c>
    </row>
    <row r="225" spans="1:20">
      <c r="A225" s="826"/>
      <c r="B225" s="529"/>
      <c r="C225" s="827"/>
      <c r="D225" s="827"/>
      <c r="E225" s="828" t="e">
        <f>LOOKUP(D225,Lookup!$C$9:$C$24,Lookup!$I$9:$I$24)</f>
        <v>#N/A</v>
      </c>
      <c r="F225" s="529"/>
      <c r="G225" s="529"/>
      <c r="H225" s="529"/>
      <c r="I225" s="828" t="e">
        <f t="shared" si="34"/>
        <v>#N/A</v>
      </c>
      <c r="J225" s="643"/>
      <c r="K225" s="829">
        <f t="shared" si="35"/>
        <v>0</v>
      </c>
      <c r="L225" s="830" t="e">
        <f t="shared" si="36"/>
        <v>#DIV/0!</v>
      </c>
      <c r="M225" s="830" t="str">
        <f t="shared" si="37"/>
        <v>N/A</v>
      </c>
      <c r="N225" s="831" t="e">
        <f t="shared" si="31"/>
        <v>#N/A</v>
      </c>
      <c r="O225" s="831">
        <f t="shared" si="38"/>
        <v>0</v>
      </c>
      <c r="P225" s="1024" t="e">
        <f>LOOKUP(G225,$J$4:$J$26,$M$4:$M$26)*LOOKUP(LOOKUP(G225,$J$4:$J$26,$K$4:$K$26),Lookup!$K$9:$K$24,Lookup!$O$9:$O$24)*IF(E225="A",LOOKUP(LOOKUP(G225,$J$4:$J$26,$K$4:$K$26),Lookup!$K$9:$K$24,Lookup!$L$9:$L$24),IF(E225="B",LOOKUP(LOOKUP(G225,$J$4:$J$26,$K$4:$K$26),Lookup!$K$9:$K$24,Lookup!$M$9:$M$24),IF(E225="C",LOOKUP(LOOKUP(G225,$J$4:$J$26,$K$4:$K$26),Lookup!$K$9:$K$24,Lookup!$N$9:$N$24))))</f>
        <v>#N/A</v>
      </c>
      <c r="Q225" s="1024" t="e">
        <f t="shared" si="39"/>
        <v>#N/A</v>
      </c>
      <c r="R225" s="1024" t="e">
        <f t="shared" si="32"/>
        <v>#N/A</v>
      </c>
      <c r="S225" s="828">
        <f t="shared" si="40"/>
        <v>0</v>
      </c>
      <c r="T225" s="1675" t="str">
        <f t="shared" si="33"/>
        <v/>
      </c>
    </row>
    <row r="226" spans="1:20">
      <c r="A226" s="835"/>
      <c r="B226" s="529"/>
      <c r="C226" s="827"/>
      <c r="D226" s="827"/>
      <c r="E226" s="828" t="e">
        <f>LOOKUP(D226,Lookup!$C$9:$C$24,Lookup!$I$9:$I$24)</f>
        <v>#N/A</v>
      </c>
      <c r="F226" s="529"/>
      <c r="G226" s="529"/>
      <c r="H226" s="529"/>
      <c r="I226" s="828" t="e">
        <f t="shared" si="34"/>
        <v>#N/A</v>
      </c>
      <c r="J226" s="643"/>
      <c r="K226" s="829">
        <f t="shared" si="35"/>
        <v>0</v>
      </c>
      <c r="L226" s="830" t="e">
        <f t="shared" si="36"/>
        <v>#DIV/0!</v>
      </c>
      <c r="M226" s="830" t="str">
        <f t="shared" si="37"/>
        <v>N/A</v>
      </c>
      <c r="N226" s="831" t="e">
        <f t="shared" si="31"/>
        <v>#N/A</v>
      </c>
      <c r="O226" s="831">
        <f t="shared" si="38"/>
        <v>0</v>
      </c>
      <c r="P226" s="1024" t="e">
        <f>LOOKUP(G226,$J$4:$J$26,$M$4:$M$26)*LOOKUP(LOOKUP(G226,$J$4:$J$26,$K$4:$K$26),Lookup!$K$9:$K$24,Lookup!$O$9:$O$24)*IF(E226="A",LOOKUP(LOOKUP(G226,$J$4:$J$26,$K$4:$K$26),Lookup!$K$9:$K$24,Lookup!$L$9:$L$24),IF(E226="B",LOOKUP(LOOKUP(G226,$J$4:$J$26,$K$4:$K$26),Lookup!$K$9:$K$24,Lookup!$M$9:$M$24),IF(E226="C",LOOKUP(LOOKUP(G226,$J$4:$J$26,$K$4:$K$26),Lookup!$K$9:$K$24,Lookup!$N$9:$N$24))))</f>
        <v>#N/A</v>
      </c>
      <c r="Q226" s="1024" t="e">
        <f t="shared" si="39"/>
        <v>#N/A</v>
      </c>
      <c r="R226" s="1024" t="e">
        <f t="shared" si="32"/>
        <v>#N/A</v>
      </c>
      <c r="S226" s="828">
        <f t="shared" si="40"/>
        <v>0</v>
      </c>
      <c r="T226" s="1675" t="str">
        <f t="shared" si="33"/>
        <v/>
      </c>
    </row>
    <row r="227" spans="1:20">
      <c r="A227" s="835"/>
      <c r="B227" s="529"/>
      <c r="C227" s="827"/>
      <c r="D227" s="827"/>
      <c r="E227" s="828" t="e">
        <f>LOOKUP(D227,Lookup!$C$9:$C$24,Lookup!$I$9:$I$24)</f>
        <v>#N/A</v>
      </c>
      <c r="F227" s="529"/>
      <c r="G227" s="529"/>
      <c r="H227" s="529"/>
      <c r="I227" s="828" t="e">
        <f t="shared" si="34"/>
        <v>#N/A</v>
      </c>
      <c r="J227" s="643"/>
      <c r="K227" s="829">
        <f t="shared" si="35"/>
        <v>0</v>
      </c>
      <c r="L227" s="830" t="e">
        <f t="shared" si="36"/>
        <v>#DIV/0!</v>
      </c>
      <c r="M227" s="830" t="str">
        <f t="shared" si="37"/>
        <v>N/A</v>
      </c>
      <c r="N227" s="831" t="e">
        <f t="shared" si="31"/>
        <v>#N/A</v>
      </c>
      <c r="O227" s="831">
        <f t="shared" si="38"/>
        <v>0</v>
      </c>
      <c r="P227" s="1024" t="e">
        <f>LOOKUP(G227,$J$4:$J$26,$M$4:$M$26)*LOOKUP(LOOKUP(G227,$J$4:$J$26,$K$4:$K$26),Lookup!$K$9:$K$24,Lookup!$O$9:$O$24)*IF(E227="A",LOOKUP(LOOKUP(G227,$J$4:$J$26,$K$4:$K$26),Lookup!$K$9:$K$24,Lookup!$L$9:$L$24),IF(E227="B",LOOKUP(LOOKUP(G227,$J$4:$J$26,$K$4:$K$26),Lookup!$K$9:$K$24,Lookup!$M$9:$M$24),IF(E227="C",LOOKUP(LOOKUP(G227,$J$4:$J$26,$K$4:$K$26),Lookup!$K$9:$K$24,Lookup!$N$9:$N$24))))</f>
        <v>#N/A</v>
      </c>
      <c r="Q227" s="1024" t="e">
        <f t="shared" si="39"/>
        <v>#N/A</v>
      </c>
      <c r="R227" s="1024" t="e">
        <f t="shared" si="32"/>
        <v>#N/A</v>
      </c>
      <c r="S227" s="828">
        <f t="shared" si="40"/>
        <v>0</v>
      </c>
      <c r="T227" s="1675" t="str">
        <f t="shared" si="33"/>
        <v/>
      </c>
    </row>
    <row r="228" spans="1:20">
      <c r="A228" s="826"/>
      <c r="B228" s="529"/>
      <c r="C228" s="827"/>
      <c r="D228" s="827"/>
      <c r="E228" s="828" t="e">
        <f>LOOKUP(D228,Lookup!$C$9:$C$24,Lookup!$I$9:$I$24)</f>
        <v>#N/A</v>
      </c>
      <c r="F228" s="529"/>
      <c r="G228" s="529"/>
      <c r="H228" s="529"/>
      <c r="I228" s="828" t="e">
        <f t="shared" si="34"/>
        <v>#N/A</v>
      </c>
      <c r="J228" s="643"/>
      <c r="K228" s="829">
        <f t="shared" si="35"/>
        <v>0</v>
      </c>
      <c r="L228" s="830" t="e">
        <f t="shared" si="36"/>
        <v>#DIV/0!</v>
      </c>
      <c r="M228" s="830" t="str">
        <f t="shared" si="37"/>
        <v>N/A</v>
      </c>
      <c r="N228" s="831" t="e">
        <f t="shared" si="31"/>
        <v>#N/A</v>
      </c>
      <c r="O228" s="831">
        <f t="shared" si="38"/>
        <v>0</v>
      </c>
      <c r="P228" s="1024" t="e">
        <f>LOOKUP(G228,$J$4:$J$26,$M$4:$M$26)*LOOKUP(LOOKUP(G228,$J$4:$J$26,$K$4:$K$26),Lookup!$K$9:$K$24,Lookup!$O$9:$O$24)*IF(E228="A",LOOKUP(LOOKUP(G228,$J$4:$J$26,$K$4:$K$26),Lookup!$K$9:$K$24,Lookup!$L$9:$L$24),IF(E228="B",LOOKUP(LOOKUP(G228,$J$4:$J$26,$K$4:$K$26),Lookup!$K$9:$K$24,Lookup!$M$9:$M$24),IF(E228="C",LOOKUP(LOOKUP(G228,$J$4:$J$26,$K$4:$K$26),Lookup!$K$9:$K$24,Lookup!$N$9:$N$24))))</f>
        <v>#N/A</v>
      </c>
      <c r="Q228" s="1024" t="e">
        <f t="shared" si="39"/>
        <v>#N/A</v>
      </c>
      <c r="R228" s="1024" t="e">
        <f t="shared" si="32"/>
        <v>#N/A</v>
      </c>
      <c r="S228" s="828">
        <f t="shared" si="40"/>
        <v>0</v>
      </c>
      <c r="T228" s="1675" t="str">
        <f t="shared" si="33"/>
        <v/>
      </c>
    </row>
    <row r="229" spans="1:20">
      <c r="A229" s="836"/>
      <c r="B229" s="529"/>
      <c r="C229" s="827"/>
      <c r="D229" s="827"/>
      <c r="E229" s="828" t="e">
        <f>LOOKUP(D229,Lookup!$C$9:$C$24,Lookup!$I$9:$I$24)</f>
        <v>#N/A</v>
      </c>
      <c r="F229" s="529"/>
      <c r="G229" s="529"/>
      <c r="H229" s="529"/>
      <c r="I229" s="828" t="e">
        <f t="shared" si="34"/>
        <v>#N/A</v>
      </c>
      <c r="J229" s="643"/>
      <c r="K229" s="829">
        <f t="shared" si="35"/>
        <v>0</v>
      </c>
      <c r="L229" s="830" t="e">
        <f t="shared" si="36"/>
        <v>#DIV/0!</v>
      </c>
      <c r="M229" s="830" t="str">
        <f t="shared" si="37"/>
        <v>N/A</v>
      </c>
      <c r="N229" s="831" t="e">
        <f t="shared" si="31"/>
        <v>#N/A</v>
      </c>
      <c r="O229" s="831">
        <f t="shared" si="38"/>
        <v>0</v>
      </c>
      <c r="P229" s="1024" t="e">
        <f>LOOKUP(G229,$J$4:$J$26,$M$4:$M$26)*LOOKUP(LOOKUP(G229,$J$4:$J$26,$K$4:$K$26),Lookup!$K$9:$K$24,Lookup!$O$9:$O$24)*IF(E229="A",LOOKUP(LOOKUP(G229,$J$4:$J$26,$K$4:$K$26),Lookup!$K$9:$K$24,Lookup!$L$9:$L$24),IF(E229="B",LOOKUP(LOOKUP(G229,$J$4:$J$26,$K$4:$K$26),Lookup!$K$9:$K$24,Lookup!$M$9:$M$24),IF(E229="C",LOOKUP(LOOKUP(G229,$J$4:$J$26,$K$4:$K$26),Lookup!$K$9:$K$24,Lookup!$N$9:$N$24))))</f>
        <v>#N/A</v>
      </c>
      <c r="Q229" s="1024" t="e">
        <f t="shared" si="39"/>
        <v>#N/A</v>
      </c>
      <c r="R229" s="1024" t="e">
        <f t="shared" si="32"/>
        <v>#N/A</v>
      </c>
      <c r="S229" s="828">
        <f t="shared" si="40"/>
        <v>0</v>
      </c>
      <c r="T229" s="1675" t="str">
        <f t="shared" si="33"/>
        <v/>
      </c>
    </row>
    <row r="230" spans="1:20">
      <c r="A230" s="836"/>
      <c r="B230" s="529"/>
      <c r="C230" s="837"/>
      <c r="D230" s="827"/>
      <c r="E230" s="828" t="e">
        <f>LOOKUP(D230,Lookup!$C$9:$C$24,Lookup!$I$9:$I$24)</f>
        <v>#N/A</v>
      </c>
      <c r="F230" s="529"/>
      <c r="G230" s="529"/>
      <c r="H230" s="529"/>
      <c r="I230" s="828" t="e">
        <f t="shared" si="34"/>
        <v>#N/A</v>
      </c>
      <c r="J230" s="643"/>
      <c r="K230" s="829">
        <f t="shared" si="35"/>
        <v>0</v>
      </c>
      <c r="L230" s="830" t="e">
        <f t="shared" si="36"/>
        <v>#DIV/0!</v>
      </c>
      <c r="M230" s="830" t="str">
        <f t="shared" si="37"/>
        <v>N/A</v>
      </c>
      <c r="N230" s="831" t="e">
        <f t="shared" si="31"/>
        <v>#N/A</v>
      </c>
      <c r="O230" s="831">
        <f t="shared" si="38"/>
        <v>0</v>
      </c>
      <c r="P230" s="1024" t="e">
        <f>LOOKUP(G230,$J$4:$J$26,$M$4:$M$26)*LOOKUP(LOOKUP(G230,$J$4:$J$26,$K$4:$K$26),Lookup!$K$9:$K$24,Lookup!$O$9:$O$24)*IF(E230="A",LOOKUP(LOOKUP(G230,$J$4:$J$26,$K$4:$K$26),Lookup!$K$9:$K$24,Lookup!$L$9:$L$24),IF(E230="B",LOOKUP(LOOKUP(G230,$J$4:$J$26,$K$4:$K$26),Lookup!$K$9:$K$24,Lookup!$M$9:$M$24),IF(E230="C",LOOKUP(LOOKUP(G230,$J$4:$J$26,$K$4:$K$26),Lookup!$K$9:$K$24,Lookup!$N$9:$N$24))))</f>
        <v>#N/A</v>
      </c>
      <c r="Q230" s="1024" t="e">
        <f t="shared" si="39"/>
        <v>#N/A</v>
      </c>
      <c r="R230" s="1024" t="e">
        <f t="shared" si="32"/>
        <v>#N/A</v>
      </c>
      <c r="S230" s="828">
        <f t="shared" si="40"/>
        <v>0</v>
      </c>
      <c r="T230" s="1675" t="str">
        <f t="shared" si="33"/>
        <v/>
      </c>
    </row>
    <row r="231" spans="1:20">
      <c r="A231" s="836"/>
      <c r="B231" s="529"/>
      <c r="C231" s="827"/>
      <c r="D231" s="827"/>
      <c r="E231" s="828" t="e">
        <f>LOOKUP(D231,Lookup!$C$9:$C$24,Lookup!$I$9:$I$24)</f>
        <v>#N/A</v>
      </c>
      <c r="F231" s="529"/>
      <c r="G231" s="529"/>
      <c r="H231" s="529"/>
      <c r="I231" s="828" t="e">
        <f t="shared" si="34"/>
        <v>#N/A</v>
      </c>
      <c r="J231" s="643"/>
      <c r="K231" s="829">
        <f t="shared" si="35"/>
        <v>0</v>
      </c>
      <c r="L231" s="830" t="e">
        <f t="shared" si="36"/>
        <v>#DIV/0!</v>
      </c>
      <c r="M231" s="830" t="str">
        <f t="shared" si="37"/>
        <v>N/A</v>
      </c>
      <c r="N231" s="831" t="e">
        <f t="shared" si="31"/>
        <v>#N/A</v>
      </c>
      <c r="O231" s="831">
        <f t="shared" si="38"/>
        <v>0</v>
      </c>
      <c r="P231" s="1024" t="e">
        <f>LOOKUP(G231,$J$4:$J$26,$M$4:$M$26)*LOOKUP(LOOKUP(G231,$J$4:$J$26,$K$4:$K$26),Lookup!$K$9:$K$24,Lookup!$O$9:$O$24)*IF(E231="A",LOOKUP(LOOKUP(G231,$J$4:$J$26,$K$4:$K$26),Lookup!$K$9:$K$24,Lookup!$L$9:$L$24),IF(E231="B",LOOKUP(LOOKUP(G231,$J$4:$J$26,$K$4:$K$26),Lookup!$K$9:$K$24,Lookup!$M$9:$M$24),IF(E231="C",LOOKUP(LOOKUP(G231,$J$4:$J$26,$K$4:$K$26),Lookup!$K$9:$K$24,Lookup!$N$9:$N$24))))</f>
        <v>#N/A</v>
      </c>
      <c r="Q231" s="1024" t="e">
        <f t="shared" si="39"/>
        <v>#N/A</v>
      </c>
      <c r="R231" s="1024" t="e">
        <f t="shared" si="32"/>
        <v>#N/A</v>
      </c>
      <c r="S231" s="828">
        <f t="shared" si="40"/>
        <v>0</v>
      </c>
      <c r="T231" s="1675" t="str">
        <f t="shared" si="33"/>
        <v/>
      </c>
    </row>
    <row r="232" spans="1:20">
      <c r="A232" s="836"/>
      <c r="B232" s="529"/>
      <c r="C232" s="827"/>
      <c r="D232" s="827"/>
      <c r="E232" s="828" t="e">
        <f>LOOKUP(D232,Lookup!$C$9:$C$24,Lookup!$I$9:$I$24)</f>
        <v>#N/A</v>
      </c>
      <c r="F232" s="529"/>
      <c r="G232" s="529"/>
      <c r="H232" s="529"/>
      <c r="I232" s="828" t="e">
        <f t="shared" si="34"/>
        <v>#N/A</v>
      </c>
      <c r="J232" s="643"/>
      <c r="K232" s="829">
        <f t="shared" si="35"/>
        <v>0</v>
      </c>
      <c r="L232" s="830" t="e">
        <f t="shared" si="36"/>
        <v>#DIV/0!</v>
      </c>
      <c r="M232" s="830" t="str">
        <f t="shared" si="37"/>
        <v>N/A</v>
      </c>
      <c r="N232" s="831" t="e">
        <f t="shared" si="31"/>
        <v>#N/A</v>
      </c>
      <c r="O232" s="831">
        <f t="shared" si="38"/>
        <v>0</v>
      </c>
      <c r="P232" s="1024" t="e">
        <f>LOOKUP(G232,$J$4:$J$26,$M$4:$M$26)*LOOKUP(LOOKUP(G232,$J$4:$J$26,$K$4:$K$26),Lookup!$K$9:$K$24,Lookup!$O$9:$O$24)*IF(E232="A",LOOKUP(LOOKUP(G232,$J$4:$J$26,$K$4:$K$26),Lookup!$K$9:$K$24,Lookup!$L$9:$L$24),IF(E232="B",LOOKUP(LOOKUP(G232,$J$4:$J$26,$K$4:$K$26),Lookup!$K$9:$K$24,Lookup!$M$9:$M$24),IF(E232="C",LOOKUP(LOOKUP(G232,$J$4:$J$26,$K$4:$K$26),Lookup!$K$9:$K$24,Lookup!$N$9:$N$24))))</f>
        <v>#N/A</v>
      </c>
      <c r="Q232" s="1024" t="e">
        <f t="shared" si="39"/>
        <v>#N/A</v>
      </c>
      <c r="R232" s="1024" t="e">
        <f t="shared" si="32"/>
        <v>#N/A</v>
      </c>
      <c r="S232" s="828">
        <f t="shared" si="40"/>
        <v>0</v>
      </c>
      <c r="T232" s="1675" t="str">
        <f t="shared" si="33"/>
        <v/>
      </c>
    </row>
    <row r="233" spans="1:20">
      <c r="A233" s="836"/>
      <c r="B233" s="529"/>
      <c r="C233" s="827"/>
      <c r="D233" s="827"/>
      <c r="E233" s="828" t="e">
        <f>LOOKUP(D233,Lookup!$C$9:$C$24,Lookup!$I$9:$I$24)</f>
        <v>#N/A</v>
      </c>
      <c r="F233" s="529"/>
      <c r="G233" s="529"/>
      <c r="H233" s="529"/>
      <c r="I233" s="828" t="e">
        <f t="shared" si="34"/>
        <v>#N/A</v>
      </c>
      <c r="J233" s="643"/>
      <c r="K233" s="829">
        <f t="shared" si="35"/>
        <v>0</v>
      </c>
      <c r="L233" s="830" t="e">
        <f t="shared" si="36"/>
        <v>#DIV/0!</v>
      </c>
      <c r="M233" s="830" t="str">
        <f t="shared" si="37"/>
        <v>N/A</v>
      </c>
      <c r="N233" s="831" t="e">
        <f t="shared" si="31"/>
        <v>#N/A</v>
      </c>
      <c r="O233" s="831">
        <f t="shared" si="38"/>
        <v>0</v>
      </c>
      <c r="P233" s="1024" t="e">
        <f>LOOKUP(G233,$J$4:$J$26,$M$4:$M$26)*LOOKUP(LOOKUP(G233,$J$4:$J$26,$K$4:$K$26),Lookup!$K$9:$K$24,Lookup!$O$9:$O$24)*IF(E233="A",LOOKUP(LOOKUP(G233,$J$4:$J$26,$K$4:$K$26),Lookup!$K$9:$K$24,Lookup!$L$9:$L$24),IF(E233="B",LOOKUP(LOOKUP(G233,$J$4:$J$26,$K$4:$K$26),Lookup!$K$9:$K$24,Lookup!$M$9:$M$24),IF(E233="C",LOOKUP(LOOKUP(G233,$J$4:$J$26,$K$4:$K$26),Lookup!$K$9:$K$24,Lookup!$N$9:$N$24))))</f>
        <v>#N/A</v>
      </c>
      <c r="Q233" s="1024" t="e">
        <f t="shared" si="39"/>
        <v>#N/A</v>
      </c>
      <c r="R233" s="1024" t="e">
        <f t="shared" si="32"/>
        <v>#N/A</v>
      </c>
      <c r="S233" s="828">
        <f t="shared" si="40"/>
        <v>0</v>
      </c>
      <c r="T233" s="1675" t="str">
        <f t="shared" si="33"/>
        <v/>
      </c>
    </row>
    <row r="234" spans="1:20">
      <c r="A234" s="836"/>
      <c r="B234" s="529"/>
      <c r="C234" s="827"/>
      <c r="D234" s="827"/>
      <c r="E234" s="828" t="e">
        <f>LOOKUP(D234,Lookup!$C$9:$C$24,Lookup!$I$9:$I$24)</f>
        <v>#N/A</v>
      </c>
      <c r="F234" s="529"/>
      <c r="G234" s="529"/>
      <c r="H234" s="529"/>
      <c r="I234" s="828" t="e">
        <f t="shared" si="34"/>
        <v>#N/A</v>
      </c>
      <c r="J234" s="643"/>
      <c r="K234" s="829">
        <f t="shared" si="35"/>
        <v>0</v>
      </c>
      <c r="L234" s="830" t="e">
        <f t="shared" si="36"/>
        <v>#DIV/0!</v>
      </c>
      <c r="M234" s="830" t="str">
        <f t="shared" si="37"/>
        <v>N/A</v>
      </c>
      <c r="N234" s="831" t="e">
        <f t="shared" si="31"/>
        <v>#N/A</v>
      </c>
      <c r="O234" s="831">
        <f t="shared" si="38"/>
        <v>0</v>
      </c>
      <c r="P234" s="1024" t="e">
        <f>LOOKUP(G234,$J$4:$J$26,$M$4:$M$26)*LOOKUP(LOOKUP(G234,$J$4:$J$26,$K$4:$K$26),Lookup!$K$9:$K$24,Lookup!$O$9:$O$24)*IF(E234="A",LOOKUP(LOOKUP(G234,$J$4:$J$26,$K$4:$K$26),Lookup!$K$9:$K$24,Lookup!$L$9:$L$24),IF(E234="B",LOOKUP(LOOKUP(G234,$J$4:$J$26,$K$4:$K$26),Lookup!$K$9:$K$24,Lookup!$M$9:$M$24),IF(E234="C",LOOKUP(LOOKUP(G234,$J$4:$J$26,$K$4:$K$26),Lookup!$K$9:$K$24,Lookup!$N$9:$N$24))))</f>
        <v>#N/A</v>
      </c>
      <c r="Q234" s="1024" t="e">
        <f t="shared" si="39"/>
        <v>#N/A</v>
      </c>
      <c r="R234" s="1024" t="e">
        <f t="shared" si="32"/>
        <v>#N/A</v>
      </c>
      <c r="S234" s="828">
        <f t="shared" si="40"/>
        <v>0</v>
      </c>
      <c r="T234" s="1675" t="str">
        <f t="shared" si="33"/>
        <v/>
      </c>
    </row>
    <row r="235" spans="1:20">
      <c r="A235" s="836"/>
      <c r="B235" s="529"/>
      <c r="C235" s="827"/>
      <c r="D235" s="827"/>
      <c r="E235" s="828" t="e">
        <f>LOOKUP(D235,Lookup!$C$9:$C$24,Lookup!$I$9:$I$24)</f>
        <v>#N/A</v>
      </c>
      <c r="F235" s="529"/>
      <c r="G235" s="529"/>
      <c r="H235" s="529"/>
      <c r="I235" s="828" t="e">
        <f t="shared" si="34"/>
        <v>#N/A</v>
      </c>
      <c r="J235" s="643"/>
      <c r="K235" s="829">
        <f t="shared" si="35"/>
        <v>0</v>
      </c>
      <c r="L235" s="830" t="e">
        <f t="shared" si="36"/>
        <v>#DIV/0!</v>
      </c>
      <c r="M235" s="830" t="str">
        <f t="shared" si="37"/>
        <v>N/A</v>
      </c>
      <c r="N235" s="831" t="e">
        <f t="shared" si="31"/>
        <v>#N/A</v>
      </c>
      <c r="O235" s="831">
        <f t="shared" si="38"/>
        <v>0</v>
      </c>
      <c r="P235" s="1024" t="e">
        <f>LOOKUP(G235,$J$4:$J$26,$M$4:$M$26)*LOOKUP(LOOKUP(G235,$J$4:$J$26,$K$4:$K$26),Lookup!$K$9:$K$24,Lookup!$O$9:$O$24)*IF(E235="A",LOOKUP(LOOKUP(G235,$J$4:$J$26,$K$4:$K$26),Lookup!$K$9:$K$24,Lookup!$L$9:$L$24),IF(E235="B",LOOKUP(LOOKUP(G235,$J$4:$J$26,$K$4:$K$26),Lookup!$K$9:$K$24,Lookup!$M$9:$M$24),IF(E235="C",LOOKUP(LOOKUP(G235,$J$4:$J$26,$K$4:$K$26),Lookup!$K$9:$K$24,Lookup!$N$9:$N$24))))</f>
        <v>#N/A</v>
      </c>
      <c r="Q235" s="1024" t="e">
        <f t="shared" si="39"/>
        <v>#N/A</v>
      </c>
      <c r="R235" s="1024" t="e">
        <f t="shared" si="32"/>
        <v>#N/A</v>
      </c>
      <c r="S235" s="828">
        <f t="shared" si="40"/>
        <v>0</v>
      </c>
      <c r="T235" s="1675" t="str">
        <f t="shared" si="33"/>
        <v/>
      </c>
    </row>
    <row r="236" spans="1:20">
      <c r="A236" s="836"/>
      <c r="B236" s="529"/>
      <c r="C236" s="837"/>
      <c r="D236" s="827"/>
      <c r="E236" s="828" t="e">
        <f>LOOKUP(D236,Lookup!$C$9:$C$24,Lookup!$I$9:$I$24)</f>
        <v>#N/A</v>
      </c>
      <c r="F236" s="529"/>
      <c r="G236" s="529"/>
      <c r="H236" s="529"/>
      <c r="I236" s="828" t="e">
        <f t="shared" si="34"/>
        <v>#N/A</v>
      </c>
      <c r="J236" s="643"/>
      <c r="K236" s="829">
        <f t="shared" si="35"/>
        <v>0</v>
      </c>
      <c r="L236" s="830" t="e">
        <f t="shared" si="36"/>
        <v>#DIV/0!</v>
      </c>
      <c r="M236" s="830" t="str">
        <f t="shared" si="37"/>
        <v>N/A</v>
      </c>
      <c r="N236" s="831" t="e">
        <f t="shared" si="31"/>
        <v>#N/A</v>
      </c>
      <c r="O236" s="831">
        <f t="shared" si="38"/>
        <v>0</v>
      </c>
      <c r="P236" s="1024" t="e">
        <f>LOOKUP(G236,$J$4:$J$26,$M$4:$M$26)*LOOKUP(LOOKUP(G236,$J$4:$J$26,$K$4:$K$26),Lookup!$K$9:$K$24,Lookup!$O$9:$O$24)*IF(E236="A",LOOKUP(LOOKUP(G236,$J$4:$J$26,$K$4:$K$26),Lookup!$K$9:$K$24,Lookup!$L$9:$L$24),IF(E236="B",LOOKUP(LOOKUP(G236,$J$4:$J$26,$K$4:$K$26),Lookup!$K$9:$K$24,Lookup!$M$9:$M$24),IF(E236="C",LOOKUP(LOOKUP(G236,$J$4:$J$26,$K$4:$K$26),Lookup!$K$9:$K$24,Lookup!$N$9:$N$24))))</f>
        <v>#N/A</v>
      </c>
      <c r="Q236" s="1024" t="e">
        <f t="shared" si="39"/>
        <v>#N/A</v>
      </c>
      <c r="R236" s="1024" t="e">
        <f t="shared" si="32"/>
        <v>#N/A</v>
      </c>
      <c r="S236" s="828">
        <f t="shared" si="40"/>
        <v>0</v>
      </c>
      <c r="T236" s="1675" t="str">
        <f t="shared" si="33"/>
        <v/>
      </c>
    </row>
    <row r="237" spans="1:20">
      <c r="A237" s="836"/>
      <c r="B237" s="529"/>
      <c r="C237" s="827"/>
      <c r="D237" s="827"/>
      <c r="E237" s="828" t="e">
        <f>LOOKUP(D237,Lookup!$C$9:$C$24,Lookup!$I$9:$I$24)</f>
        <v>#N/A</v>
      </c>
      <c r="F237" s="529"/>
      <c r="G237" s="529"/>
      <c r="H237" s="529"/>
      <c r="I237" s="828" t="e">
        <f t="shared" si="34"/>
        <v>#N/A</v>
      </c>
      <c r="J237" s="643"/>
      <c r="K237" s="829">
        <f t="shared" si="35"/>
        <v>0</v>
      </c>
      <c r="L237" s="830" t="e">
        <f t="shared" si="36"/>
        <v>#DIV/0!</v>
      </c>
      <c r="M237" s="830" t="str">
        <f t="shared" si="37"/>
        <v>N/A</v>
      </c>
      <c r="N237" s="831" t="e">
        <f t="shared" si="31"/>
        <v>#N/A</v>
      </c>
      <c r="O237" s="831">
        <f t="shared" si="38"/>
        <v>0</v>
      </c>
      <c r="P237" s="1024" t="e">
        <f>LOOKUP(G237,$J$4:$J$26,$M$4:$M$26)*LOOKUP(LOOKUP(G237,$J$4:$J$26,$K$4:$K$26),Lookup!$K$9:$K$24,Lookup!$O$9:$O$24)*IF(E237="A",LOOKUP(LOOKUP(G237,$J$4:$J$26,$K$4:$K$26),Lookup!$K$9:$K$24,Lookup!$L$9:$L$24),IF(E237="B",LOOKUP(LOOKUP(G237,$J$4:$J$26,$K$4:$K$26),Lookup!$K$9:$K$24,Lookup!$M$9:$M$24),IF(E237="C",LOOKUP(LOOKUP(G237,$J$4:$J$26,$K$4:$K$26),Lookup!$K$9:$K$24,Lookup!$N$9:$N$24))))</f>
        <v>#N/A</v>
      </c>
      <c r="Q237" s="1024" t="e">
        <f t="shared" si="39"/>
        <v>#N/A</v>
      </c>
      <c r="R237" s="1024" t="e">
        <f t="shared" si="32"/>
        <v>#N/A</v>
      </c>
      <c r="S237" s="828">
        <f t="shared" si="40"/>
        <v>0</v>
      </c>
      <c r="T237" s="1675" t="str">
        <f t="shared" si="33"/>
        <v/>
      </c>
    </row>
    <row r="238" spans="1:20">
      <c r="A238" s="836"/>
      <c r="B238" s="529"/>
      <c r="C238" s="827"/>
      <c r="D238" s="827"/>
      <c r="E238" s="828" t="e">
        <f>LOOKUP(D238,Lookup!$C$9:$C$24,Lookup!$I$9:$I$24)</f>
        <v>#N/A</v>
      </c>
      <c r="F238" s="529"/>
      <c r="G238" s="529"/>
      <c r="H238" s="529"/>
      <c r="I238" s="828" t="e">
        <f t="shared" si="34"/>
        <v>#N/A</v>
      </c>
      <c r="J238" s="643"/>
      <c r="K238" s="829">
        <f t="shared" si="35"/>
        <v>0</v>
      </c>
      <c r="L238" s="830" t="e">
        <f t="shared" si="36"/>
        <v>#DIV/0!</v>
      </c>
      <c r="M238" s="830" t="str">
        <f t="shared" si="37"/>
        <v>N/A</v>
      </c>
      <c r="N238" s="831" t="e">
        <f t="shared" si="31"/>
        <v>#N/A</v>
      </c>
      <c r="O238" s="831">
        <f t="shared" si="38"/>
        <v>0</v>
      </c>
      <c r="P238" s="1024" t="e">
        <f>LOOKUP(G238,$J$4:$J$26,$M$4:$M$26)*LOOKUP(LOOKUP(G238,$J$4:$J$26,$K$4:$K$26),Lookup!$K$9:$K$24,Lookup!$O$9:$O$24)*IF(E238="A",LOOKUP(LOOKUP(G238,$J$4:$J$26,$K$4:$K$26),Lookup!$K$9:$K$24,Lookup!$L$9:$L$24),IF(E238="B",LOOKUP(LOOKUP(G238,$J$4:$J$26,$K$4:$K$26),Lookup!$K$9:$K$24,Lookup!$M$9:$M$24),IF(E238="C",LOOKUP(LOOKUP(G238,$J$4:$J$26,$K$4:$K$26),Lookup!$K$9:$K$24,Lookup!$N$9:$N$24))))</f>
        <v>#N/A</v>
      </c>
      <c r="Q238" s="1024" t="e">
        <f t="shared" si="39"/>
        <v>#N/A</v>
      </c>
      <c r="R238" s="1024" t="e">
        <f t="shared" si="32"/>
        <v>#N/A</v>
      </c>
      <c r="S238" s="828">
        <f t="shared" si="40"/>
        <v>0</v>
      </c>
      <c r="T238" s="1675" t="str">
        <f t="shared" si="33"/>
        <v/>
      </c>
    </row>
    <row r="239" spans="1:20">
      <c r="A239" s="836"/>
      <c r="B239" s="529"/>
      <c r="C239" s="827"/>
      <c r="D239" s="827"/>
      <c r="E239" s="828" t="e">
        <f>LOOKUP(D239,Lookup!$C$9:$C$24,Lookup!$I$9:$I$24)</f>
        <v>#N/A</v>
      </c>
      <c r="F239" s="529"/>
      <c r="G239" s="529"/>
      <c r="H239" s="529"/>
      <c r="I239" s="828" t="e">
        <f t="shared" si="34"/>
        <v>#N/A</v>
      </c>
      <c r="J239" s="643"/>
      <c r="K239" s="829">
        <f t="shared" si="35"/>
        <v>0</v>
      </c>
      <c r="L239" s="830" t="e">
        <f t="shared" si="36"/>
        <v>#DIV/0!</v>
      </c>
      <c r="M239" s="830" t="str">
        <f t="shared" si="37"/>
        <v>N/A</v>
      </c>
      <c r="N239" s="831" t="e">
        <f t="shared" si="31"/>
        <v>#N/A</v>
      </c>
      <c r="O239" s="831">
        <f t="shared" si="38"/>
        <v>0</v>
      </c>
      <c r="P239" s="1024" t="e">
        <f>LOOKUP(G239,$J$4:$J$26,$M$4:$M$26)*LOOKUP(LOOKUP(G239,$J$4:$J$26,$K$4:$K$26),Lookup!$K$9:$K$24,Lookup!$O$9:$O$24)*IF(E239="A",LOOKUP(LOOKUP(G239,$J$4:$J$26,$K$4:$K$26),Lookup!$K$9:$K$24,Lookup!$L$9:$L$24),IF(E239="B",LOOKUP(LOOKUP(G239,$J$4:$J$26,$K$4:$K$26),Lookup!$K$9:$K$24,Lookup!$M$9:$M$24),IF(E239="C",LOOKUP(LOOKUP(G239,$J$4:$J$26,$K$4:$K$26),Lookup!$K$9:$K$24,Lookup!$N$9:$N$24))))</f>
        <v>#N/A</v>
      </c>
      <c r="Q239" s="1024" t="e">
        <f t="shared" si="39"/>
        <v>#N/A</v>
      </c>
      <c r="R239" s="1024" t="e">
        <f t="shared" si="32"/>
        <v>#N/A</v>
      </c>
      <c r="S239" s="828">
        <f t="shared" si="40"/>
        <v>0</v>
      </c>
      <c r="T239" s="1675" t="str">
        <f t="shared" si="33"/>
        <v/>
      </c>
    </row>
    <row r="240" spans="1:20">
      <c r="A240" s="836"/>
      <c r="B240" s="529"/>
      <c r="C240" s="827"/>
      <c r="D240" s="827"/>
      <c r="E240" s="828" t="e">
        <f>LOOKUP(D240,Lookup!$C$9:$C$24,Lookup!$I$9:$I$24)</f>
        <v>#N/A</v>
      </c>
      <c r="F240" s="529"/>
      <c r="G240" s="529"/>
      <c r="H240" s="529"/>
      <c r="I240" s="828" t="e">
        <f t="shared" si="34"/>
        <v>#N/A</v>
      </c>
      <c r="J240" s="643"/>
      <c r="K240" s="829">
        <f t="shared" si="35"/>
        <v>0</v>
      </c>
      <c r="L240" s="830" t="e">
        <f t="shared" si="36"/>
        <v>#DIV/0!</v>
      </c>
      <c r="M240" s="830" t="str">
        <f t="shared" si="37"/>
        <v>N/A</v>
      </c>
      <c r="N240" s="831" t="e">
        <f t="shared" si="31"/>
        <v>#N/A</v>
      </c>
      <c r="O240" s="831">
        <f t="shared" si="38"/>
        <v>0</v>
      </c>
      <c r="P240" s="1024" t="e">
        <f>LOOKUP(G240,$J$4:$J$26,$M$4:$M$26)*LOOKUP(LOOKUP(G240,$J$4:$J$26,$K$4:$K$26),Lookup!$K$9:$K$24,Lookup!$O$9:$O$24)*IF(E240="A",LOOKUP(LOOKUP(G240,$J$4:$J$26,$K$4:$K$26),Lookup!$K$9:$K$24,Lookup!$L$9:$L$24),IF(E240="B",LOOKUP(LOOKUP(G240,$J$4:$J$26,$K$4:$K$26),Lookup!$K$9:$K$24,Lookup!$M$9:$M$24),IF(E240="C",LOOKUP(LOOKUP(G240,$J$4:$J$26,$K$4:$K$26),Lookup!$K$9:$K$24,Lookup!$N$9:$N$24))))</f>
        <v>#N/A</v>
      </c>
      <c r="Q240" s="1024" t="e">
        <f t="shared" si="39"/>
        <v>#N/A</v>
      </c>
      <c r="R240" s="1024" t="e">
        <f t="shared" si="32"/>
        <v>#N/A</v>
      </c>
      <c r="S240" s="828">
        <f t="shared" si="40"/>
        <v>0</v>
      </c>
      <c r="T240" s="1675" t="str">
        <f t="shared" si="33"/>
        <v/>
      </c>
    </row>
    <row r="241" spans="1:20">
      <c r="A241" s="836"/>
      <c r="B241" s="529"/>
      <c r="C241" s="827"/>
      <c r="D241" s="827"/>
      <c r="E241" s="828" t="e">
        <f>LOOKUP(D241,Lookup!$C$9:$C$24,Lookup!$I$9:$I$24)</f>
        <v>#N/A</v>
      </c>
      <c r="F241" s="529"/>
      <c r="G241" s="529"/>
      <c r="H241" s="529"/>
      <c r="I241" s="828" t="e">
        <f t="shared" si="34"/>
        <v>#N/A</v>
      </c>
      <c r="J241" s="643"/>
      <c r="K241" s="829">
        <f t="shared" si="35"/>
        <v>0</v>
      </c>
      <c r="L241" s="830" t="e">
        <f t="shared" si="36"/>
        <v>#DIV/0!</v>
      </c>
      <c r="M241" s="830" t="str">
        <f t="shared" si="37"/>
        <v>N/A</v>
      </c>
      <c r="N241" s="831" t="e">
        <f t="shared" si="31"/>
        <v>#N/A</v>
      </c>
      <c r="O241" s="831">
        <f t="shared" si="38"/>
        <v>0</v>
      </c>
      <c r="P241" s="1024" t="e">
        <f>LOOKUP(G241,$J$4:$J$26,$M$4:$M$26)*LOOKUP(LOOKUP(G241,$J$4:$J$26,$K$4:$K$26),Lookup!$K$9:$K$24,Lookup!$O$9:$O$24)*IF(E241="A",LOOKUP(LOOKUP(G241,$J$4:$J$26,$K$4:$K$26),Lookup!$K$9:$K$24,Lookup!$L$9:$L$24),IF(E241="B",LOOKUP(LOOKUP(G241,$J$4:$J$26,$K$4:$K$26),Lookup!$K$9:$K$24,Lookup!$M$9:$M$24),IF(E241="C",LOOKUP(LOOKUP(G241,$J$4:$J$26,$K$4:$K$26),Lookup!$K$9:$K$24,Lookup!$N$9:$N$24))))</f>
        <v>#N/A</v>
      </c>
      <c r="Q241" s="1024" t="e">
        <f t="shared" si="39"/>
        <v>#N/A</v>
      </c>
      <c r="R241" s="1024" t="e">
        <f t="shared" si="32"/>
        <v>#N/A</v>
      </c>
      <c r="S241" s="828">
        <f t="shared" si="40"/>
        <v>0</v>
      </c>
      <c r="T241" s="1675" t="str">
        <f t="shared" si="33"/>
        <v/>
      </c>
    </row>
    <row r="242" spans="1:20">
      <c r="A242" s="836"/>
      <c r="B242" s="529"/>
      <c r="C242" s="837"/>
      <c r="D242" s="827"/>
      <c r="E242" s="828" t="e">
        <f>LOOKUP(D242,Lookup!$C$9:$C$24,Lookup!$I$9:$I$24)</f>
        <v>#N/A</v>
      </c>
      <c r="F242" s="529"/>
      <c r="G242" s="529"/>
      <c r="H242" s="529"/>
      <c r="I242" s="828" t="e">
        <f t="shared" si="34"/>
        <v>#N/A</v>
      </c>
      <c r="J242" s="643"/>
      <c r="K242" s="829">
        <f t="shared" si="35"/>
        <v>0</v>
      </c>
      <c r="L242" s="830" t="e">
        <f t="shared" si="36"/>
        <v>#DIV/0!</v>
      </c>
      <c r="M242" s="830" t="str">
        <f t="shared" si="37"/>
        <v>N/A</v>
      </c>
      <c r="N242" s="831" t="e">
        <f t="shared" si="31"/>
        <v>#N/A</v>
      </c>
      <c r="O242" s="831">
        <f t="shared" si="38"/>
        <v>0</v>
      </c>
      <c r="P242" s="1024" t="e">
        <f>LOOKUP(G242,$J$4:$J$26,$M$4:$M$26)*LOOKUP(LOOKUP(G242,$J$4:$J$26,$K$4:$K$26),Lookup!$K$9:$K$24,Lookup!$O$9:$O$24)*IF(E242="A",LOOKUP(LOOKUP(G242,$J$4:$J$26,$K$4:$K$26),Lookup!$K$9:$K$24,Lookup!$L$9:$L$24),IF(E242="B",LOOKUP(LOOKUP(G242,$J$4:$J$26,$K$4:$K$26),Lookup!$K$9:$K$24,Lookup!$M$9:$M$24),IF(E242="C",LOOKUP(LOOKUP(G242,$J$4:$J$26,$K$4:$K$26),Lookup!$K$9:$K$24,Lookup!$N$9:$N$24))))</f>
        <v>#N/A</v>
      </c>
      <c r="Q242" s="1024" t="e">
        <f t="shared" si="39"/>
        <v>#N/A</v>
      </c>
      <c r="R242" s="1024" t="e">
        <f t="shared" si="32"/>
        <v>#N/A</v>
      </c>
      <c r="S242" s="828">
        <f t="shared" si="40"/>
        <v>0</v>
      </c>
      <c r="T242" s="1675" t="str">
        <f t="shared" si="33"/>
        <v/>
      </c>
    </row>
    <row r="243" spans="1:20">
      <c r="A243" s="836"/>
      <c r="B243" s="529"/>
      <c r="C243" s="827"/>
      <c r="D243" s="827"/>
      <c r="E243" s="828" t="e">
        <f>LOOKUP(D243,Lookup!$C$9:$C$24,Lookup!$I$9:$I$24)</f>
        <v>#N/A</v>
      </c>
      <c r="F243" s="529"/>
      <c r="G243" s="529"/>
      <c r="H243" s="529"/>
      <c r="I243" s="828" t="e">
        <f t="shared" si="34"/>
        <v>#N/A</v>
      </c>
      <c r="J243" s="643"/>
      <c r="K243" s="829">
        <f t="shared" si="35"/>
        <v>0</v>
      </c>
      <c r="L243" s="830" t="e">
        <f t="shared" si="36"/>
        <v>#DIV/0!</v>
      </c>
      <c r="M243" s="830" t="str">
        <f t="shared" si="37"/>
        <v>N/A</v>
      </c>
      <c r="N243" s="831" t="e">
        <f t="shared" si="31"/>
        <v>#N/A</v>
      </c>
      <c r="O243" s="831">
        <f t="shared" si="38"/>
        <v>0</v>
      </c>
      <c r="P243" s="1024" t="e">
        <f>LOOKUP(G243,$J$4:$J$26,$M$4:$M$26)*LOOKUP(LOOKUP(G243,$J$4:$J$26,$K$4:$K$26),Lookup!$K$9:$K$24,Lookup!$O$9:$O$24)*IF(E243="A",LOOKUP(LOOKUP(G243,$J$4:$J$26,$K$4:$K$26),Lookup!$K$9:$K$24,Lookup!$L$9:$L$24),IF(E243="B",LOOKUP(LOOKUP(G243,$J$4:$J$26,$K$4:$K$26),Lookup!$K$9:$K$24,Lookup!$M$9:$M$24),IF(E243="C",LOOKUP(LOOKUP(G243,$J$4:$J$26,$K$4:$K$26),Lookup!$K$9:$K$24,Lookup!$N$9:$N$24))))</f>
        <v>#N/A</v>
      </c>
      <c r="Q243" s="1024" t="e">
        <f t="shared" si="39"/>
        <v>#N/A</v>
      </c>
      <c r="R243" s="1024" t="e">
        <f t="shared" si="32"/>
        <v>#N/A</v>
      </c>
      <c r="S243" s="828">
        <f t="shared" si="40"/>
        <v>0</v>
      </c>
      <c r="T243" s="1675" t="str">
        <f t="shared" si="33"/>
        <v/>
      </c>
    </row>
    <row r="244" spans="1:20">
      <c r="A244" s="836"/>
      <c r="B244" s="529"/>
      <c r="C244" s="827"/>
      <c r="D244" s="827"/>
      <c r="E244" s="828" t="e">
        <f>LOOKUP(D244,Lookup!$C$9:$C$24,Lookup!$I$9:$I$24)</f>
        <v>#N/A</v>
      </c>
      <c r="F244" s="529"/>
      <c r="G244" s="529"/>
      <c r="H244" s="529"/>
      <c r="I244" s="828" t="e">
        <f t="shared" si="34"/>
        <v>#N/A</v>
      </c>
      <c r="J244" s="643"/>
      <c r="K244" s="829">
        <f t="shared" si="35"/>
        <v>0</v>
      </c>
      <c r="L244" s="830" t="e">
        <f t="shared" si="36"/>
        <v>#DIV/0!</v>
      </c>
      <c r="M244" s="830" t="str">
        <f t="shared" si="37"/>
        <v>N/A</v>
      </c>
      <c r="N244" s="831" t="e">
        <f t="shared" si="31"/>
        <v>#N/A</v>
      </c>
      <c r="O244" s="831">
        <f t="shared" si="38"/>
        <v>0</v>
      </c>
      <c r="P244" s="1024" t="e">
        <f>LOOKUP(G244,$J$4:$J$26,$M$4:$M$26)*LOOKUP(LOOKUP(G244,$J$4:$J$26,$K$4:$K$26),Lookup!$K$9:$K$24,Lookup!$O$9:$O$24)*IF(E244="A",LOOKUP(LOOKUP(G244,$J$4:$J$26,$K$4:$K$26),Lookup!$K$9:$K$24,Lookup!$L$9:$L$24),IF(E244="B",LOOKUP(LOOKUP(G244,$J$4:$J$26,$K$4:$K$26),Lookup!$K$9:$K$24,Lookup!$M$9:$M$24),IF(E244="C",LOOKUP(LOOKUP(G244,$J$4:$J$26,$K$4:$K$26),Lookup!$K$9:$K$24,Lookup!$N$9:$N$24))))</f>
        <v>#N/A</v>
      </c>
      <c r="Q244" s="1024" t="e">
        <f t="shared" si="39"/>
        <v>#N/A</v>
      </c>
      <c r="R244" s="1024" t="e">
        <f t="shared" si="32"/>
        <v>#N/A</v>
      </c>
      <c r="S244" s="828">
        <f t="shared" si="40"/>
        <v>0</v>
      </c>
      <c r="T244" s="1675" t="str">
        <f t="shared" si="33"/>
        <v/>
      </c>
    </row>
    <row r="245" spans="1:20">
      <c r="A245" s="836"/>
      <c r="B245" s="529"/>
      <c r="C245" s="827"/>
      <c r="D245" s="827"/>
      <c r="E245" s="828" t="e">
        <f>LOOKUP(D245,Lookup!$C$9:$C$24,Lookup!$I$9:$I$24)</f>
        <v>#N/A</v>
      </c>
      <c r="F245" s="529"/>
      <c r="G245" s="529"/>
      <c r="H245" s="529"/>
      <c r="I245" s="828" t="e">
        <f t="shared" si="34"/>
        <v>#N/A</v>
      </c>
      <c r="J245" s="643"/>
      <c r="K245" s="829">
        <f t="shared" si="35"/>
        <v>0</v>
      </c>
      <c r="L245" s="830" t="e">
        <f t="shared" si="36"/>
        <v>#DIV/0!</v>
      </c>
      <c r="M245" s="830" t="str">
        <f t="shared" si="37"/>
        <v>N/A</v>
      </c>
      <c r="N245" s="831" t="e">
        <f t="shared" si="31"/>
        <v>#N/A</v>
      </c>
      <c r="O245" s="831">
        <f t="shared" si="38"/>
        <v>0</v>
      </c>
      <c r="P245" s="1024" t="e">
        <f>LOOKUP(G245,$J$4:$J$26,$M$4:$M$26)*LOOKUP(LOOKUP(G245,$J$4:$J$26,$K$4:$K$26),Lookup!$K$9:$K$24,Lookup!$O$9:$O$24)*IF(E245="A",LOOKUP(LOOKUP(G245,$J$4:$J$26,$K$4:$K$26),Lookup!$K$9:$K$24,Lookup!$L$9:$L$24),IF(E245="B",LOOKUP(LOOKUP(G245,$J$4:$J$26,$K$4:$K$26),Lookup!$K$9:$K$24,Lookup!$M$9:$M$24),IF(E245="C",LOOKUP(LOOKUP(G245,$J$4:$J$26,$K$4:$K$26),Lookup!$K$9:$K$24,Lookup!$N$9:$N$24))))</f>
        <v>#N/A</v>
      </c>
      <c r="Q245" s="1024" t="e">
        <f t="shared" si="39"/>
        <v>#N/A</v>
      </c>
      <c r="R245" s="1024" t="e">
        <f t="shared" si="32"/>
        <v>#N/A</v>
      </c>
      <c r="S245" s="828">
        <f t="shared" si="40"/>
        <v>0</v>
      </c>
      <c r="T245" s="1675" t="str">
        <f t="shared" si="33"/>
        <v/>
      </c>
    </row>
    <row r="246" spans="1:20">
      <c r="A246" s="836"/>
      <c r="B246" s="529"/>
      <c r="C246" s="827"/>
      <c r="D246" s="827"/>
      <c r="E246" s="828" t="e">
        <f>LOOKUP(D246,Lookup!$C$9:$C$24,Lookup!$I$9:$I$24)</f>
        <v>#N/A</v>
      </c>
      <c r="F246" s="529"/>
      <c r="G246" s="529"/>
      <c r="H246" s="529"/>
      <c r="I246" s="828" t="e">
        <f t="shared" si="34"/>
        <v>#N/A</v>
      </c>
      <c r="J246" s="643"/>
      <c r="K246" s="829">
        <f t="shared" si="35"/>
        <v>0</v>
      </c>
      <c r="L246" s="830" t="e">
        <f t="shared" si="36"/>
        <v>#DIV/0!</v>
      </c>
      <c r="M246" s="830" t="str">
        <f t="shared" si="37"/>
        <v>N/A</v>
      </c>
      <c r="N246" s="831" t="e">
        <f t="shared" si="31"/>
        <v>#N/A</v>
      </c>
      <c r="O246" s="831">
        <f t="shared" si="38"/>
        <v>0</v>
      </c>
      <c r="P246" s="1024" t="e">
        <f>LOOKUP(G246,$J$4:$J$26,$M$4:$M$26)*LOOKUP(LOOKUP(G246,$J$4:$J$26,$K$4:$K$26),Lookup!$K$9:$K$24,Lookup!$O$9:$O$24)*IF(E246="A",LOOKUP(LOOKUP(G246,$J$4:$J$26,$K$4:$K$26),Lookup!$K$9:$K$24,Lookup!$L$9:$L$24),IF(E246="B",LOOKUP(LOOKUP(G246,$J$4:$J$26,$K$4:$K$26),Lookup!$K$9:$K$24,Lookup!$M$9:$M$24),IF(E246="C",LOOKUP(LOOKUP(G246,$J$4:$J$26,$K$4:$K$26),Lookup!$K$9:$K$24,Lookup!$N$9:$N$24))))</f>
        <v>#N/A</v>
      </c>
      <c r="Q246" s="1024" t="e">
        <f t="shared" si="39"/>
        <v>#N/A</v>
      </c>
      <c r="R246" s="1024" t="e">
        <f t="shared" si="32"/>
        <v>#N/A</v>
      </c>
      <c r="S246" s="828">
        <f t="shared" si="40"/>
        <v>0</v>
      </c>
      <c r="T246" s="1675" t="str">
        <f t="shared" si="33"/>
        <v/>
      </c>
    </row>
    <row r="247" spans="1:20">
      <c r="A247" s="836"/>
      <c r="B247" s="529"/>
      <c r="C247" s="827"/>
      <c r="D247" s="827"/>
      <c r="E247" s="828" t="e">
        <f>LOOKUP(D247,Lookup!$C$9:$C$24,Lookup!$I$9:$I$24)</f>
        <v>#N/A</v>
      </c>
      <c r="F247" s="529"/>
      <c r="G247" s="529"/>
      <c r="H247" s="529"/>
      <c r="I247" s="828" t="e">
        <f t="shared" si="34"/>
        <v>#N/A</v>
      </c>
      <c r="J247" s="643"/>
      <c r="K247" s="829">
        <f t="shared" si="35"/>
        <v>0</v>
      </c>
      <c r="L247" s="830" t="e">
        <f t="shared" si="36"/>
        <v>#DIV/0!</v>
      </c>
      <c r="M247" s="830" t="str">
        <f t="shared" si="37"/>
        <v>N/A</v>
      </c>
      <c r="N247" s="831" t="e">
        <f t="shared" si="31"/>
        <v>#N/A</v>
      </c>
      <c r="O247" s="831">
        <f t="shared" si="38"/>
        <v>0</v>
      </c>
      <c r="P247" s="1024" t="e">
        <f>LOOKUP(G247,$J$4:$J$26,$M$4:$M$26)*LOOKUP(LOOKUP(G247,$J$4:$J$26,$K$4:$K$26),Lookup!$K$9:$K$24,Lookup!$O$9:$O$24)*IF(E247="A",LOOKUP(LOOKUP(G247,$J$4:$J$26,$K$4:$K$26),Lookup!$K$9:$K$24,Lookup!$L$9:$L$24),IF(E247="B",LOOKUP(LOOKUP(G247,$J$4:$J$26,$K$4:$K$26),Lookup!$K$9:$K$24,Lookup!$M$9:$M$24),IF(E247="C",LOOKUP(LOOKUP(G247,$J$4:$J$26,$K$4:$K$26),Lookup!$K$9:$K$24,Lookup!$N$9:$N$24))))</f>
        <v>#N/A</v>
      </c>
      <c r="Q247" s="1024" t="e">
        <f t="shared" si="39"/>
        <v>#N/A</v>
      </c>
      <c r="R247" s="1024" t="e">
        <f t="shared" si="32"/>
        <v>#N/A</v>
      </c>
      <c r="S247" s="828">
        <f t="shared" si="40"/>
        <v>0</v>
      </c>
      <c r="T247" s="1675" t="str">
        <f t="shared" si="33"/>
        <v/>
      </c>
    </row>
    <row r="248" spans="1:20">
      <c r="A248" s="836"/>
      <c r="B248" s="529"/>
      <c r="C248" s="837"/>
      <c r="D248" s="827"/>
      <c r="E248" s="828" t="e">
        <f>LOOKUP(D248,Lookup!$C$9:$C$24,Lookup!$I$9:$I$24)</f>
        <v>#N/A</v>
      </c>
      <c r="F248" s="529"/>
      <c r="G248" s="529"/>
      <c r="H248" s="529"/>
      <c r="I248" s="828" t="e">
        <f t="shared" si="34"/>
        <v>#N/A</v>
      </c>
      <c r="J248" s="643"/>
      <c r="K248" s="829">
        <f t="shared" si="35"/>
        <v>0</v>
      </c>
      <c r="L248" s="830" t="e">
        <f t="shared" si="36"/>
        <v>#DIV/0!</v>
      </c>
      <c r="M248" s="830" t="str">
        <f t="shared" si="37"/>
        <v>N/A</v>
      </c>
      <c r="N248" s="831" t="e">
        <f t="shared" si="31"/>
        <v>#N/A</v>
      </c>
      <c r="O248" s="831">
        <f t="shared" si="38"/>
        <v>0</v>
      </c>
      <c r="P248" s="1024" t="e">
        <f>LOOKUP(G248,$J$4:$J$26,$M$4:$M$26)*LOOKUP(LOOKUP(G248,$J$4:$J$26,$K$4:$K$26),Lookup!$K$9:$K$24,Lookup!$O$9:$O$24)*IF(E248="A",LOOKUP(LOOKUP(G248,$J$4:$J$26,$K$4:$K$26),Lookup!$K$9:$K$24,Lookup!$L$9:$L$24),IF(E248="B",LOOKUP(LOOKUP(G248,$J$4:$J$26,$K$4:$K$26),Lookup!$K$9:$K$24,Lookup!$M$9:$M$24),IF(E248="C",LOOKUP(LOOKUP(G248,$J$4:$J$26,$K$4:$K$26),Lookup!$K$9:$K$24,Lookup!$N$9:$N$24))))</f>
        <v>#N/A</v>
      </c>
      <c r="Q248" s="1024" t="e">
        <f t="shared" si="39"/>
        <v>#N/A</v>
      </c>
      <c r="R248" s="1024" t="e">
        <f t="shared" si="32"/>
        <v>#N/A</v>
      </c>
      <c r="S248" s="828">
        <f t="shared" si="40"/>
        <v>0</v>
      </c>
      <c r="T248" s="1675" t="str">
        <f t="shared" si="33"/>
        <v/>
      </c>
    </row>
    <row r="249" spans="1:20">
      <c r="A249" s="836"/>
      <c r="B249" s="529"/>
      <c r="C249" s="827"/>
      <c r="D249" s="827"/>
      <c r="E249" s="828" t="e">
        <f>LOOKUP(D249,Lookup!$C$9:$C$24,Lookup!$I$9:$I$24)</f>
        <v>#N/A</v>
      </c>
      <c r="F249" s="529"/>
      <c r="G249" s="529"/>
      <c r="H249" s="529"/>
      <c r="I249" s="828" t="e">
        <f t="shared" si="34"/>
        <v>#N/A</v>
      </c>
      <c r="J249" s="643"/>
      <c r="K249" s="829">
        <f t="shared" si="35"/>
        <v>0</v>
      </c>
      <c r="L249" s="830" t="e">
        <f t="shared" si="36"/>
        <v>#DIV/0!</v>
      </c>
      <c r="M249" s="830" t="str">
        <f t="shared" si="37"/>
        <v>N/A</v>
      </c>
      <c r="N249" s="831" t="e">
        <f t="shared" si="31"/>
        <v>#N/A</v>
      </c>
      <c r="O249" s="831">
        <f t="shared" si="38"/>
        <v>0</v>
      </c>
      <c r="P249" s="1024" t="e">
        <f>LOOKUP(G249,$J$4:$J$26,$M$4:$M$26)*LOOKUP(LOOKUP(G249,$J$4:$J$26,$K$4:$K$26),Lookup!$K$9:$K$24,Lookup!$O$9:$O$24)*IF(E249="A",LOOKUP(LOOKUP(G249,$J$4:$J$26,$K$4:$K$26),Lookup!$K$9:$K$24,Lookup!$L$9:$L$24),IF(E249="B",LOOKUP(LOOKUP(G249,$J$4:$J$26,$K$4:$K$26),Lookup!$K$9:$K$24,Lookup!$M$9:$M$24),IF(E249="C",LOOKUP(LOOKUP(G249,$J$4:$J$26,$K$4:$K$26),Lookup!$K$9:$K$24,Lookup!$N$9:$N$24))))</f>
        <v>#N/A</v>
      </c>
      <c r="Q249" s="1024" t="e">
        <f t="shared" si="39"/>
        <v>#N/A</v>
      </c>
      <c r="R249" s="1024" t="e">
        <f t="shared" si="32"/>
        <v>#N/A</v>
      </c>
      <c r="S249" s="828">
        <f t="shared" si="40"/>
        <v>0</v>
      </c>
      <c r="T249" s="1675" t="str">
        <f t="shared" si="33"/>
        <v/>
      </c>
    </row>
    <row r="250" spans="1:20">
      <c r="A250" s="836"/>
      <c r="B250" s="529"/>
      <c r="C250" s="827"/>
      <c r="D250" s="827"/>
      <c r="E250" s="828" t="e">
        <f>LOOKUP(D250,Lookup!$C$9:$C$24,Lookup!$I$9:$I$24)</f>
        <v>#N/A</v>
      </c>
      <c r="F250" s="529"/>
      <c r="G250" s="529"/>
      <c r="H250" s="529"/>
      <c r="I250" s="828" t="e">
        <f t="shared" si="34"/>
        <v>#N/A</v>
      </c>
      <c r="J250" s="643"/>
      <c r="K250" s="829">
        <f t="shared" si="35"/>
        <v>0</v>
      </c>
      <c r="L250" s="830" t="e">
        <f t="shared" si="36"/>
        <v>#DIV/0!</v>
      </c>
      <c r="M250" s="830" t="str">
        <f t="shared" si="37"/>
        <v>N/A</v>
      </c>
      <c r="N250" s="831" t="e">
        <f t="shared" si="31"/>
        <v>#N/A</v>
      </c>
      <c r="O250" s="831">
        <f t="shared" si="38"/>
        <v>0</v>
      </c>
      <c r="P250" s="1024" t="e">
        <f>LOOKUP(G250,$J$4:$J$26,$M$4:$M$26)*LOOKUP(LOOKUP(G250,$J$4:$J$26,$K$4:$K$26),Lookup!$K$9:$K$24,Lookup!$O$9:$O$24)*IF(E250="A",LOOKUP(LOOKUP(G250,$J$4:$J$26,$K$4:$K$26),Lookup!$K$9:$K$24,Lookup!$L$9:$L$24),IF(E250="B",LOOKUP(LOOKUP(G250,$J$4:$J$26,$K$4:$K$26),Lookup!$K$9:$K$24,Lookup!$M$9:$M$24),IF(E250="C",LOOKUP(LOOKUP(G250,$J$4:$J$26,$K$4:$K$26),Lookup!$K$9:$K$24,Lookup!$N$9:$N$24))))</f>
        <v>#N/A</v>
      </c>
      <c r="Q250" s="1024" t="e">
        <f t="shared" si="39"/>
        <v>#N/A</v>
      </c>
      <c r="R250" s="1024" t="e">
        <f t="shared" si="32"/>
        <v>#N/A</v>
      </c>
      <c r="S250" s="828">
        <f t="shared" si="40"/>
        <v>0</v>
      </c>
      <c r="T250" s="1675" t="str">
        <f t="shared" si="33"/>
        <v/>
      </c>
    </row>
    <row r="251" spans="1:20">
      <c r="A251" s="836"/>
      <c r="B251" s="529"/>
      <c r="C251" s="827"/>
      <c r="D251" s="827"/>
      <c r="E251" s="828" t="e">
        <f>LOOKUP(D251,Lookup!$C$9:$C$24,Lookup!$I$9:$I$24)</f>
        <v>#N/A</v>
      </c>
      <c r="F251" s="529"/>
      <c r="G251" s="529"/>
      <c r="H251" s="529"/>
      <c r="I251" s="828" t="e">
        <f t="shared" si="34"/>
        <v>#N/A</v>
      </c>
      <c r="J251" s="643"/>
      <c r="K251" s="829">
        <f t="shared" si="35"/>
        <v>0</v>
      </c>
      <c r="L251" s="830" t="e">
        <f t="shared" si="36"/>
        <v>#DIV/0!</v>
      </c>
      <c r="M251" s="830" t="str">
        <f t="shared" si="37"/>
        <v>N/A</v>
      </c>
      <c r="N251" s="831" t="e">
        <f t="shared" si="31"/>
        <v>#N/A</v>
      </c>
      <c r="O251" s="831">
        <f t="shared" si="38"/>
        <v>0</v>
      </c>
      <c r="P251" s="1024" t="e">
        <f>LOOKUP(G251,$J$4:$J$26,$M$4:$M$26)*LOOKUP(LOOKUP(G251,$J$4:$J$26,$K$4:$K$26),Lookup!$K$9:$K$24,Lookup!$O$9:$O$24)*IF(E251="A",LOOKUP(LOOKUP(G251,$J$4:$J$26,$K$4:$K$26),Lookup!$K$9:$K$24,Lookup!$L$9:$L$24),IF(E251="B",LOOKUP(LOOKUP(G251,$J$4:$J$26,$K$4:$K$26),Lookup!$K$9:$K$24,Lookup!$M$9:$M$24),IF(E251="C",LOOKUP(LOOKUP(G251,$J$4:$J$26,$K$4:$K$26),Lookup!$K$9:$K$24,Lookup!$N$9:$N$24))))</f>
        <v>#N/A</v>
      </c>
      <c r="Q251" s="1024" t="e">
        <f t="shared" si="39"/>
        <v>#N/A</v>
      </c>
      <c r="R251" s="1024" t="e">
        <f t="shared" si="32"/>
        <v>#N/A</v>
      </c>
      <c r="S251" s="828">
        <f t="shared" si="40"/>
        <v>0</v>
      </c>
      <c r="T251" s="1675" t="str">
        <f t="shared" si="33"/>
        <v/>
      </c>
    </row>
    <row r="252" spans="1:20">
      <c r="A252" s="836"/>
      <c r="B252" s="529"/>
      <c r="C252" s="827"/>
      <c r="D252" s="827"/>
      <c r="E252" s="828" t="e">
        <f>LOOKUP(D252,Lookup!$C$9:$C$24,Lookup!$I$9:$I$24)</f>
        <v>#N/A</v>
      </c>
      <c r="F252" s="529"/>
      <c r="G252" s="529"/>
      <c r="H252" s="529"/>
      <c r="I252" s="828" t="e">
        <f t="shared" si="34"/>
        <v>#N/A</v>
      </c>
      <c r="J252" s="643"/>
      <c r="K252" s="829">
        <f t="shared" si="35"/>
        <v>0</v>
      </c>
      <c r="L252" s="830" t="e">
        <f t="shared" si="36"/>
        <v>#DIV/0!</v>
      </c>
      <c r="M252" s="830" t="str">
        <f t="shared" si="37"/>
        <v>N/A</v>
      </c>
      <c r="N252" s="831" t="e">
        <f t="shared" si="31"/>
        <v>#N/A</v>
      </c>
      <c r="O252" s="831">
        <f t="shared" si="38"/>
        <v>0</v>
      </c>
      <c r="P252" s="1024" t="e">
        <f>LOOKUP(G252,$J$4:$J$26,$M$4:$M$26)*LOOKUP(LOOKUP(G252,$J$4:$J$26,$K$4:$K$26),Lookup!$K$9:$K$24,Lookup!$O$9:$O$24)*IF(E252="A",LOOKUP(LOOKUP(G252,$J$4:$J$26,$K$4:$K$26),Lookup!$K$9:$K$24,Lookup!$L$9:$L$24),IF(E252="B",LOOKUP(LOOKUP(G252,$J$4:$J$26,$K$4:$K$26),Lookup!$K$9:$K$24,Lookup!$M$9:$M$24),IF(E252="C",LOOKUP(LOOKUP(G252,$J$4:$J$26,$K$4:$K$26),Lookup!$K$9:$K$24,Lookup!$N$9:$N$24))))</f>
        <v>#N/A</v>
      </c>
      <c r="Q252" s="1024" t="e">
        <f t="shared" si="39"/>
        <v>#N/A</v>
      </c>
      <c r="R252" s="1024" t="e">
        <f t="shared" si="32"/>
        <v>#N/A</v>
      </c>
      <c r="S252" s="828">
        <f t="shared" si="40"/>
        <v>0</v>
      </c>
      <c r="T252" s="1675" t="str">
        <f t="shared" si="33"/>
        <v/>
      </c>
    </row>
    <row r="253" spans="1:20">
      <c r="A253" s="836"/>
      <c r="B253" s="529"/>
      <c r="C253" s="827"/>
      <c r="D253" s="827"/>
      <c r="E253" s="828" t="e">
        <f>LOOKUP(D253,Lookup!$C$9:$C$24,Lookup!$I$9:$I$24)</f>
        <v>#N/A</v>
      </c>
      <c r="F253" s="529"/>
      <c r="G253" s="529"/>
      <c r="H253" s="529"/>
      <c r="I253" s="828" t="e">
        <f t="shared" si="34"/>
        <v>#N/A</v>
      </c>
      <c r="J253" s="643"/>
      <c r="K253" s="829">
        <f t="shared" si="35"/>
        <v>0</v>
      </c>
      <c r="L253" s="830" t="e">
        <f t="shared" si="36"/>
        <v>#DIV/0!</v>
      </c>
      <c r="M253" s="830" t="str">
        <f t="shared" si="37"/>
        <v>N/A</v>
      </c>
      <c r="N253" s="831" t="e">
        <f t="shared" si="31"/>
        <v>#N/A</v>
      </c>
      <c r="O253" s="831">
        <f t="shared" si="38"/>
        <v>0</v>
      </c>
      <c r="P253" s="1024" t="e">
        <f>LOOKUP(G253,$J$4:$J$26,$M$4:$M$26)*LOOKUP(LOOKUP(G253,$J$4:$J$26,$K$4:$K$26),Lookup!$K$9:$K$24,Lookup!$O$9:$O$24)*IF(E253="A",LOOKUP(LOOKUP(G253,$J$4:$J$26,$K$4:$K$26),Lookup!$K$9:$K$24,Lookup!$L$9:$L$24),IF(E253="B",LOOKUP(LOOKUP(G253,$J$4:$J$26,$K$4:$K$26),Lookup!$K$9:$K$24,Lookup!$M$9:$M$24),IF(E253="C",LOOKUP(LOOKUP(G253,$J$4:$J$26,$K$4:$K$26),Lookup!$K$9:$K$24,Lookup!$N$9:$N$24))))</f>
        <v>#N/A</v>
      </c>
      <c r="Q253" s="1024" t="e">
        <f t="shared" si="39"/>
        <v>#N/A</v>
      </c>
      <c r="R253" s="1024" t="e">
        <f t="shared" si="32"/>
        <v>#N/A</v>
      </c>
      <c r="S253" s="828">
        <f t="shared" si="40"/>
        <v>0</v>
      </c>
      <c r="T253" s="1675" t="str">
        <f t="shared" si="33"/>
        <v/>
      </c>
    </row>
    <row r="254" spans="1:20">
      <c r="A254" s="836"/>
      <c r="B254" s="529"/>
      <c r="C254" s="837"/>
      <c r="D254" s="827"/>
      <c r="E254" s="828" t="e">
        <f>LOOKUP(D254,Lookup!$C$9:$C$24,Lookup!$I$9:$I$24)</f>
        <v>#N/A</v>
      </c>
      <c r="F254" s="529"/>
      <c r="G254" s="529"/>
      <c r="H254" s="529"/>
      <c r="I254" s="828" t="e">
        <f t="shared" si="34"/>
        <v>#N/A</v>
      </c>
      <c r="J254" s="643"/>
      <c r="K254" s="829">
        <f t="shared" si="35"/>
        <v>0</v>
      </c>
      <c r="L254" s="830" t="e">
        <f t="shared" si="36"/>
        <v>#DIV/0!</v>
      </c>
      <c r="M254" s="830" t="str">
        <f t="shared" si="37"/>
        <v>N/A</v>
      </c>
      <c r="N254" s="831" t="e">
        <f t="shared" si="31"/>
        <v>#N/A</v>
      </c>
      <c r="O254" s="831">
        <f t="shared" si="38"/>
        <v>0</v>
      </c>
      <c r="P254" s="1024" t="e">
        <f>LOOKUP(G254,$J$4:$J$26,$M$4:$M$26)*LOOKUP(LOOKUP(G254,$J$4:$J$26,$K$4:$K$26),Lookup!$K$9:$K$24,Lookup!$O$9:$O$24)*IF(E254="A",LOOKUP(LOOKUP(G254,$J$4:$J$26,$K$4:$K$26),Lookup!$K$9:$K$24,Lookup!$L$9:$L$24),IF(E254="B",LOOKUP(LOOKUP(G254,$J$4:$J$26,$K$4:$K$26),Lookup!$K$9:$K$24,Lookup!$M$9:$M$24),IF(E254="C",LOOKUP(LOOKUP(G254,$J$4:$J$26,$K$4:$K$26),Lookup!$K$9:$K$24,Lookup!$N$9:$N$24))))</f>
        <v>#N/A</v>
      </c>
      <c r="Q254" s="1024" t="e">
        <f t="shared" si="39"/>
        <v>#N/A</v>
      </c>
      <c r="R254" s="1024" t="e">
        <f t="shared" si="32"/>
        <v>#N/A</v>
      </c>
      <c r="S254" s="828">
        <f t="shared" si="40"/>
        <v>0</v>
      </c>
      <c r="T254" s="1675" t="str">
        <f t="shared" si="33"/>
        <v/>
      </c>
    </row>
    <row r="255" spans="1:20">
      <c r="A255" s="836"/>
      <c r="B255" s="529"/>
      <c r="C255" s="827"/>
      <c r="D255" s="827"/>
      <c r="E255" s="828" t="e">
        <f>LOOKUP(D255,Lookup!$C$9:$C$24,Lookup!$I$9:$I$24)</f>
        <v>#N/A</v>
      </c>
      <c r="F255" s="529"/>
      <c r="G255" s="529"/>
      <c r="H255" s="529"/>
      <c r="I255" s="828" t="e">
        <f t="shared" si="34"/>
        <v>#N/A</v>
      </c>
      <c r="J255" s="643"/>
      <c r="K255" s="829">
        <f t="shared" si="35"/>
        <v>0</v>
      </c>
      <c r="L255" s="830" t="e">
        <f t="shared" si="36"/>
        <v>#DIV/0!</v>
      </c>
      <c r="M255" s="830" t="str">
        <f t="shared" si="37"/>
        <v>N/A</v>
      </c>
      <c r="N255" s="831" t="e">
        <f t="shared" si="31"/>
        <v>#N/A</v>
      </c>
      <c r="O255" s="831">
        <f t="shared" si="38"/>
        <v>0</v>
      </c>
      <c r="P255" s="1024" t="e">
        <f>LOOKUP(G255,$J$4:$J$26,$M$4:$M$26)*LOOKUP(LOOKUP(G255,$J$4:$J$26,$K$4:$K$26),Lookup!$K$9:$K$24,Lookup!$O$9:$O$24)*IF(E255="A",LOOKUP(LOOKUP(G255,$J$4:$J$26,$K$4:$K$26),Lookup!$K$9:$K$24,Lookup!$L$9:$L$24),IF(E255="B",LOOKUP(LOOKUP(G255,$J$4:$J$26,$K$4:$K$26),Lookup!$K$9:$K$24,Lookup!$M$9:$M$24),IF(E255="C",LOOKUP(LOOKUP(G255,$J$4:$J$26,$K$4:$K$26),Lookup!$K$9:$K$24,Lookup!$N$9:$N$24))))</f>
        <v>#N/A</v>
      </c>
      <c r="Q255" s="1024" t="e">
        <f t="shared" si="39"/>
        <v>#N/A</v>
      </c>
      <c r="R255" s="1024" t="e">
        <f t="shared" si="32"/>
        <v>#N/A</v>
      </c>
      <c r="S255" s="828">
        <f t="shared" si="40"/>
        <v>0</v>
      </c>
      <c r="T255" s="1675" t="str">
        <f t="shared" si="33"/>
        <v/>
      </c>
    </row>
    <row r="256" spans="1:20">
      <c r="A256" s="836"/>
      <c r="B256" s="529"/>
      <c r="C256" s="827"/>
      <c r="D256" s="827"/>
      <c r="E256" s="828" t="e">
        <f>LOOKUP(D256,Lookup!$C$9:$C$24,Lookup!$I$9:$I$24)</f>
        <v>#N/A</v>
      </c>
      <c r="F256" s="529"/>
      <c r="G256" s="529"/>
      <c r="H256" s="529"/>
      <c r="I256" s="828" t="e">
        <f t="shared" si="34"/>
        <v>#N/A</v>
      </c>
      <c r="J256" s="643"/>
      <c r="K256" s="829">
        <f t="shared" si="35"/>
        <v>0</v>
      </c>
      <c r="L256" s="830" t="e">
        <f t="shared" si="36"/>
        <v>#DIV/0!</v>
      </c>
      <c r="M256" s="830" t="str">
        <f t="shared" si="37"/>
        <v>N/A</v>
      </c>
      <c r="N256" s="831" t="e">
        <f t="shared" si="31"/>
        <v>#N/A</v>
      </c>
      <c r="O256" s="831">
        <f t="shared" si="38"/>
        <v>0</v>
      </c>
      <c r="P256" s="1024" t="e">
        <f>LOOKUP(G256,$J$4:$J$26,$M$4:$M$26)*LOOKUP(LOOKUP(G256,$J$4:$J$26,$K$4:$K$26),Lookup!$K$9:$K$24,Lookup!$O$9:$O$24)*IF(E256="A",LOOKUP(LOOKUP(G256,$J$4:$J$26,$K$4:$K$26),Lookup!$K$9:$K$24,Lookup!$L$9:$L$24),IF(E256="B",LOOKUP(LOOKUP(G256,$J$4:$J$26,$K$4:$K$26),Lookup!$K$9:$K$24,Lookup!$M$9:$M$24),IF(E256="C",LOOKUP(LOOKUP(G256,$J$4:$J$26,$K$4:$K$26),Lookup!$K$9:$K$24,Lookup!$N$9:$N$24))))</f>
        <v>#N/A</v>
      </c>
      <c r="Q256" s="1024" t="e">
        <f t="shared" si="39"/>
        <v>#N/A</v>
      </c>
      <c r="R256" s="1024" t="e">
        <f t="shared" si="32"/>
        <v>#N/A</v>
      </c>
      <c r="S256" s="828">
        <f t="shared" si="40"/>
        <v>0</v>
      </c>
      <c r="T256" s="1675" t="str">
        <f t="shared" si="33"/>
        <v/>
      </c>
    </row>
    <row r="257" spans="1:20">
      <c r="A257" s="836"/>
      <c r="B257" s="529"/>
      <c r="C257" s="827"/>
      <c r="D257" s="827"/>
      <c r="E257" s="828" t="e">
        <f>LOOKUP(D257,Lookup!$C$9:$C$24,Lookup!$I$9:$I$24)</f>
        <v>#N/A</v>
      </c>
      <c r="F257" s="529"/>
      <c r="G257" s="529"/>
      <c r="H257" s="529"/>
      <c r="I257" s="828" t="e">
        <f t="shared" si="34"/>
        <v>#N/A</v>
      </c>
      <c r="J257" s="643"/>
      <c r="K257" s="829">
        <f t="shared" si="35"/>
        <v>0</v>
      </c>
      <c r="L257" s="830" t="e">
        <f t="shared" si="36"/>
        <v>#DIV/0!</v>
      </c>
      <c r="M257" s="830" t="str">
        <f t="shared" si="37"/>
        <v>N/A</v>
      </c>
      <c r="N257" s="831" t="e">
        <f t="shared" si="31"/>
        <v>#N/A</v>
      </c>
      <c r="O257" s="831">
        <f t="shared" si="38"/>
        <v>0</v>
      </c>
      <c r="P257" s="1024" t="e">
        <f>LOOKUP(G257,$J$4:$J$26,$M$4:$M$26)*LOOKUP(LOOKUP(G257,$J$4:$J$26,$K$4:$K$26),Lookup!$K$9:$K$24,Lookup!$O$9:$O$24)*IF(E257="A",LOOKUP(LOOKUP(G257,$J$4:$J$26,$K$4:$K$26),Lookup!$K$9:$K$24,Lookup!$L$9:$L$24),IF(E257="B",LOOKUP(LOOKUP(G257,$J$4:$J$26,$K$4:$K$26),Lookup!$K$9:$K$24,Lookup!$M$9:$M$24),IF(E257="C",LOOKUP(LOOKUP(G257,$J$4:$J$26,$K$4:$K$26),Lookup!$K$9:$K$24,Lookup!$N$9:$N$24))))</f>
        <v>#N/A</v>
      </c>
      <c r="Q257" s="1024" t="e">
        <f t="shared" si="39"/>
        <v>#N/A</v>
      </c>
      <c r="R257" s="1024" t="e">
        <f t="shared" si="32"/>
        <v>#N/A</v>
      </c>
      <c r="S257" s="828">
        <f t="shared" si="40"/>
        <v>0</v>
      </c>
      <c r="T257" s="1675" t="str">
        <f t="shared" si="33"/>
        <v/>
      </c>
    </row>
    <row r="258" spans="1:20">
      <c r="A258" s="836"/>
      <c r="B258" s="529"/>
      <c r="C258" s="827"/>
      <c r="D258" s="827"/>
      <c r="E258" s="828" t="e">
        <f>LOOKUP(D258,Lookup!$C$9:$C$24,Lookup!$I$9:$I$24)</f>
        <v>#N/A</v>
      </c>
      <c r="F258" s="529"/>
      <c r="G258" s="529"/>
      <c r="H258" s="529"/>
      <c r="I258" s="828" t="e">
        <f t="shared" si="34"/>
        <v>#N/A</v>
      </c>
      <c r="J258" s="643"/>
      <c r="K258" s="829">
        <f t="shared" si="35"/>
        <v>0</v>
      </c>
      <c r="L258" s="830" t="e">
        <f t="shared" si="36"/>
        <v>#DIV/0!</v>
      </c>
      <c r="M258" s="830" t="str">
        <f t="shared" si="37"/>
        <v>N/A</v>
      </c>
      <c r="N258" s="831" t="e">
        <f t="shared" si="31"/>
        <v>#N/A</v>
      </c>
      <c r="O258" s="831">
        <f t="shared" si="38"/>
        <v>0</v>
      </c>
      <c r="P258" s="1024" t="e">
        <f>LOOKUP(G258,$J$4:$J$26,$M$4:$M$26)*LOOKUP(LOOKUP(G258,$J$4:$J$26,$K$4:$K$26),Lookup!$K$9:$K$24,Lookup!$O$9:$O$24)*IF(E258="A",LOOKUP(LOOKUP(G258,$J$4:$J$26,$K$4:$K$26),Lookup!$K$9:$K$24,Lookup!$L$9:$L$24),IF(E258="B",LOOKUP(LOOKUP(G258,$J$4:$J$26,$K$4:$K$26),Lookup!$K$9:$K$24,Lookup!$M$9:$M$24),IF(E258="C",LOOKUP(LOOKUP(G258,$J$4:$J$26,$K$4:$K$26),Lookup!$K$9:$K$24,Lookup!$N$9:$N$24))))</f>
        <v>#N/A</v>
      </c>
      <c r="Q258" s="1024" t="e">
        <f t="shared" si="39"/>
        <v>#N/A</v>
      </c>
      <c r="R258" s="1024" t="e">
        <f t="shared" si="32"/>
        <v>#N/A</v>
      </c>
      <c r="S258" s="828">
        <f t="shared" si="40"/>
        <v>0</v>
      </c>
      <c r="T258" s="1675" t="str">
        <f t="shared" si="33"/>
        <v/>
      </c>
    </row>
    <row r="259" spans="1:20">
      <c r="A259" s="836"/>
      <c r="B259" s="529"/>
      <c r="C259" s="827"/>
      <c r="D259" s="827"/>
      <c r="E259" s="828" t="e">
        <f>LOOKUP(D259,Lookup!$C$9:$C$24,Lookup!$I$9:$I$24)</f>
        <v>#N/A</v>
      </c>
      <c r="F259" s="529"/>
      <c r="G259" s="529"/>
      <c r="H259" s="529"/>
      <c r="I259" s="828" t="e">
        <f t="shared" si="34"/>
        <v>#N/A</v>
      </c>
      <c r="J259" s="643"/>
      <c r="K259" s="829">
        <f t="shared" si="35"/>
        <v>0</v>
      </c>
      <c r="L259" s="830" t="e">
        <f t="shared" si="36"/>
        <v>#DIV/0!</v>
      </c>
      <c r="M259" s="830" t="str">
        <f t="shared" si="37"/>
        <v>N/A</v>
      </c>
      <c r="N259" s="831" t="e">
        <f t="shared" si="31"/>
        <v>#N/A</v>
      </c>
      <c r="O259" s="831">
        <f t="shared" si="38"/>
        <v>0</v>
      </c>
      <c r="P259" s="1024" t="e">
        <f>LOOKUP(G259,$J$4:$J$26,$M$4:$M$26)*LOOKUP(LOOKUP(G259,$J$4:$J$26,$K$4:$K$26),Lookup!$K$9:$K$24,Lookup!$O$9:$O$24)*IF(E259="A",LOOKUP(LOOKUP(G259,$J$4:$J$26,$K$4:$K$26),Lookup!$K$9:$K$24,Lookup!$L$9:$L$24),IF(E259="B",LOOKUP(LOOKUP(G259,$J$4:$J$26,$K$4:$K$26),Lookup!$K$9:$K$24,Lookup!$M$9:$M$24),IF(E259="C",LOOKUP(LOOKUP(G259,$J$4:$J$26,$K$4:$K$26),Lookup!$K$9:$K$24,Lookup!$N$9:$N$24))))</f>
        <v>#N/A</v>
      </c>
      <c r="Q259" s="1024" t="e">
        <f t="shared" si="39"/>
        <v>#N/A</v>
      </c>
      <c r="R259" s="1024" t="e">
        <f t="shared" si="32"/>
        <v>#N/A</v>
      </c>
      <c r="S259" s="828">
        <f t="shared" si="40"/>
        <v>0</v>
      </c>
      <c r="T259" s="1675" t="str">
        <f t="shared" si="33"/>
        <v/>
      </c>
    </row>
    <row r="260" spans="1:20">
      <c r="A260" s="836"/>
      <c r="B260" s="529"/>
      <c r="C260" s="837"/>
      <c r="D260" s="827"/>
      <c r="E260" s="828" t="e">
        <f>LOOKUP(D260,Lookup!$C$9:$C$24,Lookup!$I$9:$I$24)</f>
        <v>#N/A</v>
      </c>
      <c r="F260" s="529"/>
      <c r="G260" s="529"/>
      <c r="H260" s="529"/>
      <c r="I260" s="828" t="e">
        <f t="shared" si="34"/>
        <v>#N/A</v>
      </c>
      <c r="J260" s="643"/>
      <c r="K260" s="829">
        <f t="shared" si="35"/>
        <v>0</v>
      </c>
      <c r="L260" s="830" t="e">
        <f t="shared" si="36"/>
        <v>#DIV/0!</v>
      </c>
      <c r="M260" s="830" t="str">
        <f t="shared" si="37"/>
        <v>N/A</v>
      </c>
      <c r="N260" s="831" t="e">
        <f t="shared" si="31"/>
        <v>#N/A</v>
      </c>
      <c r="O260" s="831">
        <f t="shared" si="38"/>
        <v>0</v>
      </c>
      <c r="P260" s="1024" t="e">
        <f>LOOKUP(G260,$J$4:$J$26,$M$4:$M$26)*LOOKUP(LOOKUP(G260,$J$4:$J$26,$K$4:$K$26),Lookup!$K$9:$K$24,Lookup!$O$9:$O$24)*IF(E260="A",LOOKUP(LOOKUP(G260,$J$4:$J$26,$K$4:$K$26),Lookup!$K$9:$K$24,Lookup!$L$9:$L$24),IF(E260="B",LOOKUP(LOOKUP(G260,$J$4:$J$26,$K$4:$K$26),Lookup!$K$9:$K$24,Lookup!$M$9:$M$24),IF(E260="C",LOOKUP(LOOKUP(G260,$J$4:$J$26,$K$4:$K$26),Lookup!$K$9:$K$24,Lookup!$N$9:$N$24))))</f>
        <v>#N/A</v>
      </c>
      <c r="Q260" s="1024" t="e">
        <f t="shared" si="39"/>
        <v>#N/A</v>
      </c>
      <c r="R260" s="1024" t="e">
        <f t="shared" si="32"/>
        <v>#N/A</v>
      </c>
      <c r="S260" s="828">
        <f t="shared" si="40"/>
        <v>0</v>
      </c>
      <c r="T260" s="1675" t="str">
        <f t="shared" si="33"/>
        <v/>
      </c>
    </row>
    <row r="261" spans="1:20">
      <c r="A261" s="836"/>
      <c r="B261" s="529"/>
      <c r="C261" s="827"/>
      <c r="D261" s="827"/>
      <c r="E261" s="828" t="e">
        <f>LOOKUP(D261,Lookup!$C$9:$C$24,Lookup!$I$9:$I$24)</f>
        <v>#N/A</v>
      </c>
      <c r="F261" s="529"/>
      <c r="G261" s="529"/>
      <c r="H261" s="529"/>
      <c r="I261" s="828" t="e">
        <f t="shared" si="34"/>
        <v>#N/A</v>
      </c>
      <c r="J261" s="643"/>
      <c r="K261" s="829">
        <f t="shared" si="35"/>
        <v>0</v>
      </c>
      <c r="L261" s="830" t="e">
        <f t="shared" si="36"/>
        <v>#DIV/0!</v>
      </c>
      <c r="M261" s="830" t="str">
        <f t="shared" si="37"/>
        <v>N/A</v>
      </c>
      <c r="N261" s="831" t="e">
        <f t="shared" si="31"/>
        <v>#N/A</v>
      </c>
      <c r="O261" s="831">
        <f t="shared" si="38"/>
        <v>0</v>
      </c>
      <c r="P261" s="1024" t="e">
        <f>LOOKUP(G261,$J$4:$J$26,$M$4:$M$26)*LOOKUP(LOOKUP(G261,$J$4:$J$26,$K$4:$K$26),Lookup!$K$9:$K$24,Lookup!$O$9:$O$24)*IF(E261="A",LOOKUP(LOOKUP(G261,$J$4:$J$26,$K$4:$K$26),Lookup!$K$9:$K$24,Lookup!$L$9:$L$24),IF(E261="B",LOOKUP(LOOKUP(G261,$J$4:$J$26,$K$4:$K$26),Lookup!$K$9:$K$24,Lookup!$M$9:$M$24),IF(E261="C",LOOKUP(LOOKUP(G261,$J$4:$J$26,$K$4:$K$26),Lookup!$K$9:$K$24,Lookup!$N$9:$N$24))))</f>
        <v>#N/A</v>
      </c>
      <c r="Q261" s="1024" t="e">
        <f t="shared" si="39"/>
        <v>#N/A</v>
      </c>
      <c r="R261" s="1024" t="e">
        <f t="shared" si="32"/>
        <v>#N/A</v>
      </c>
      <c r="S261" s="828">
        <f t="shared" si="40"/>
        <v>0</v>
      </c>
      <c r="T261" s="1675" t="str">
        <f t="shared" si="33"/>
        <v/>
      </c>
    </row>
    <row r="262" spans="1:20">
      <c r="A262" s="836"/>
      <c r="B262" s="529"/>
      <c r="C262" s="827"/>
      <c r="D262" s="827"/>
      <c r="E262" s="828" t="e">
        <f>LOOKUP(D262,Lookup!$C$9:$C$24,Lookup!$I$9:$I$24)</f>
        <v>#N/A</v>
      </c>
      <c r="F262" s="529"/>
      <c r="G262" s="529"/>
      <c r="H262" s="529"/>
      <c r="I262" s="828" t="e">
        <f t="shared" si="34"/>
        <v>#N/A</v>
      </c>
      <c r="J262" s="643"/>
      <c r="K262" s="829">
        <f t="shared" si="35"/>
        <v>0</v>
      </c>
      <c r="L262" s="830" t="e">
        <f t="shared" si="36"/>
        <v>#DIV/0!</v>
      </c>
      <c r="M262" s="830" t="str">
        <f t="shared" si="37"/>
        <v>N/A</v>
      </c>
      <c r="N262" s="831" t="e">
        <f t="shared" si="31"/>
        <v>#N/A</v>
      </c>
      <c r="O262" s="831">
        <f t="shared" si="38"/>
        <v>0</v>
      </c>
      <c r="P262" s="1024" t="e">
        <f>LOOKUP(G262,$J$4:$J$26,$M$4:$M$26)*LOOKUP(LOOKUP(G262,$J$4:$J$26,$K$4:$K$26),Lookup!$K$9:$K$24,Lookup!$O$9:$O$24)*IF(E262="A",LOOKUP(LOOKUP(G262,$J$4:$J$26,$K$4:$K$26),Lookup!$K$9:$K$24,Lookup!$L$9:$L$24),IF(E262="B",LOOKUP(LOOKUP(G262,$J$4:$J$26,$K$4:$K$26),Lookup!$K$9:$K$24,Lookup!$M$9:$M$24),IF(E262="C",LOOKUP(LOOKUP(G262,$J$4:$J$26,$K$4:$K$26),Lookup!$K$9:$K$24,Lookup!$N$9:$N$24))))</f>
        <v>#N/A</v>
      </c>
      <c r="Q262" s="1024" t="e">
        <f t="shared" si="39"/>
        <v>#N/A</v>
      </c>
      <c r="R262" s="1024" t="e">
        <f t="shared" si="32"/>
        <v>#N/A</v>
      </c>
      <c r="S262" s="828">
        <f t="shared" si="40"/>
        <v>0</v>
      </c>
      <c r="T262" s="1675" t="str">
        <f t="shared" si="33"/>
        <v/>
      </c>
    </row>
    <row r="263" spans="1:20">
      <c r="A263" s="836"/>
      <c r="B263" s="529"/>
      <c r="C263" s="827"/>
      <c r="D263" s="827"/>
      <c r="E263" s="828" t="e">
        <f>LOOKUP(D263,Lookup!$C$9:$C$24,Lookup!$I$9:$I$24)</f>
        <v>#N/A</v>
      </c>
      <c r="F263" s="529"/>
      <c r="G263" s="529"/>
      <c r="H263" s="529"/>
      <c r="I263" s="828" t="e">
        <f t="shared" si="34"/>
        <v>#N/A</v>
      </c>
      <c r="J263" s="643"/>
      <c r="K263" s="829">
        <f t="shared" si="35"/>
        <v>0</v>
      </c>
      <c r="L263" s="830" t="e">
        <f t="shared" si="36"/>
        <v>#DIV/0!</v>
      </c>
      <c r="M263" s="830" t="str">
        <f t="shared" si="37"/>
        <v>N/A</v>
      </c>
      <c r="N263" s="831" t="e">
        <f t="shared" si="31"/>
        <v>#N/A</v>
      </c>
      <c r="O263" s="831">
        <f t="shared" si="38"/>
        <v>0</v>
      </c>
      <c r="P263" s="1024" t="e">
        <f>LOOKUP(G263,$J$4:$J$26,$M$4:$M$26)*LOOKUP(LOOKUP(G263,$J$4:$J$26,$K$4:$K$26),Lookup!$K$9:$K$24,Lookup!$O$9:$O$24)*IF(E263="A",LOOKUP(LOOKUP(G263,$J$4:$J$26,$K$4:$K$26),Lookup!$K$9:$K$24,Lookup!$L$9:$L$24),IF(E263="B",LOOKUP(LOOKUP(G263,$J$4:$J$26,$K$4:$K$26),Lookup!$K$9:$K$24,Lookup!$M$9:$M$24),IF(E263="C",LOOKUP(LOOKUP(G263,$J$4:$J$26,$K$4:$K$26),Lookup!$K$9:$K$24,Lookup!$N$9:$N$24))))</f>
        <v>#N/A</v>
      </c>
      <c r="Q263" s="1024" t="e">
        <f t="shared" si="39"/>
        <v>#N/A</v>
      </c>
      <c r="R263" s="1024" t="e">
        <f t="shared" si="32"/>
        <v>#N/A</v>
      </c>
      <c r="S263" s="828">
        <f t="shared" si="40"/>
        <v>0</v>
      </c>
      <c r="T263" s="1675" t="str">
        <f t="shared" si="33"/>
        <v/>
      </c>
    </row>
    <row r="264" spans="1:20">
      <c r="A264" s="836"/>
      <c r="B264" s="529"/>
      <c r="C264" s="827"/>
      <c r="D264" s="827"/>
      <c r="E264" s="828" t="e">
        <f>LOOKUP(D264,Lookup!$C$9:$C$24,Lookup!$I$9:$I$24)</f>
        <v>#N/A</v>
      </c>
      <c r="F264" s="529"/>
      <c r="G264" s="529"/>
      <c r="H264" s="529"/>
      <c r="I264" s="828" t="e">
        <f t="shared" si="34"/>
        <v>#N/A</v>
      </c>
      <c r="J264" s="643"/>
      <c r="K264" s="829">
        <f t="shared" si="35"/>
        <v>0</v>
      </c>
      <c r="L264" s="830" t="e">
        <f t="shared" si="36"/>
        <v>#DIV/0!</v>
      </c>
      <c r="M264" s="830" t="str">
        <f t="shared" si="37"/>
        <v>N/A</v>
      </c>
      <c r="N264" s="831" t="e">
        <f t="shared" si="31"/>
        <v>#N/A</v>
      </c>
      <c r="O264" s="831">
        <f t="shared" si="38"/>
        <v>0</v>
      </c>
      <c r="P264" s="1024" t="e">
        <f>LOOKUP(G264,$J$4:$J$26,$M$4:$M$26)*LOOKUP(LOOKUP(G264,$J$4:$J$26,$K$4:$K$26),Lookup!$K$9:$K$24,Lookup!$O$9:$O$24)*IF(E264="A",LOOKUP(LOOKUP(G264,$J$4:$J$26,$K$4:$K$26),Lookup!$K$9:$K$24,Lookup!$L$9:$L$24),IF(E264="B",LOOKUP(LOOKUP(G264,$J$4:$J$26,$K$4:$K$26),Lookup!$K$9:$K$24,Lookup!$M$9:$M$24),IF(E264="C",LOOKUP(LOOKUP(G264,$J$4:$J$26,$K$4:$K$26),Lookup!$K$9:$K$24,Lookup!$N$9:$N$24))))</f>
        <v>#N/A</v>
      </c>
      <c r="Q264" s="1024" t="e">
        <f t="shared" si="39"/>
        <v>#N/A</v>
      </c>
      <c r="R264" s="1024" t="e">
        <f t="shared" si="32"/>
        <v>#N/A</v>
      </c>
      <c r="S264" s="828">
        <f t="shared" si="40"/>
        <v>0</v>
      </c>
      <c r="T264" s="1675" t="str">
        <f t="shared" si="33"/>
        <v/>
      </c>
    </row>
    <row r="265" spans="1:20">
      <c r="A265" s="836"/>
      <c r="B265" s="529"/>
      <c r="C265" s="827"/>
      <c r="D265" s="827"/>
      <c r="E265" s="828" t="e">
        <f>LOOKUP(D265,Lookup!$C$9:$C$24,Lookup!$I$9:$I$24)</f>
        <v>#N/A</v>
      </c>
      <c r="F265" s="529"/>
      <c r="G265" s="529"/>
      <c r="H265" s="529"/>
      <c r="I265" s="828" t="e">
        <f t="shared" si="34"/>
        <v>#N/A</v>
      </c>
      <c r="J265" s="643"/>
      <c r="K265" s="829">
        <f t="shared" si="35"/>
        <v>0</v>
      </c>
      <c r="L265" s="830" t="e">
        <f t="shared" si="36"/>
        <v>#DIV/0!</v>
      </c>
      <c r="M265" s="830" t="str">
        <f t="shared" si="37"/>
        <v>N/A</v>
      </c>
      <c r="N265" s="831" t="e">
        <f t="shared" si="31"/>
        <v>#N/A</v>
      </c>
      <c r="O265" s="831">
        <f t="shared" si="38"/>
        <v>0</v>
      </c>
      <c r="P265" s="1024" t="e">
        <f>LOOKUP(G265,$J$4:$J$26,$M$4:$M$26)*LOOKUP(LOOKUP(G265,$J$4:$J$26,$K$4:$K$26),Lookup!$K$9:$K$24,Lookup!$O$9:$O$24)*IF(E265="A",LOOKUP(LOOKUP(G265,$J$4:$J$26,$K$4:$K$26),Lookup!$K$9:$K$24,Lookup!$L$9:$L$24),IF(E265="B",LOOKUP(LOOKUP(G265,$J$4:$J$26,$K$4:$K$26),Lookup!$K$9:$K$24,Lookup!$M$9:$M$24),IF(E265="C",LOOKUP(LOOKUP(G265,$J$4:$J$26,$K$4:$K$26),Lookup!$K$9:$K$24,Lookup!$N$9:$N$24))))</f>
        <v>#N/A</v>
      </c>
      <c r="Q265" s="1024" t="e">
        <f t="shared" si="39"/>
        <v>#N/A</v>
      </c>
      <c r="R265" s="1024" t="e">
        <f t="shared" si="32"/>
        <v>#N/A</v>
      </c>
      <c r="S265" s="828">
        <f t="shared" si="40"/>
        <v>0</v>
      </c>
      <c r="T265" s="1675" t="str">
        <f t="shared" si="33"/>
        <v/>
      </c>
    </row>
    <row r="266" spans="1:20">
      <c r="A266" s="836"/>
      <c r="B266" s="529"/>
      <c r="C266" s="837"/>
      <c r="D266" s="827"/>
      <c r="E266" s="828" t="e">
        <f>LOOKUP(D266,Lookup!$C$9:$C$24,Lookup!$I$9:$I$24)</f>
        <v>#N/A</v>
      </c>
      <c r="F266" s="529"/>
      <c r="G266" s="529"/>
      <c r="H266" s="529"/>
      <c r="I266" s="828" t="e">
        <f t="shared" si="34"/>
        <v>#N/A</v>
      </c>
      <c r="J266" s="643"/>
      <c r="K266" s="829">
        <f t="shared" si="35"/>
        <v>0</v>
      </c>
      <c r="L266" s="830" t="e">
        <f t="shared" si="36"/>
        <v>#DIV/0!</v>
      </c>
      <c r="M266" s="830" t="str">
        <f t="shared" si="37"/>
        <v>N/A</v>
      </c>
      <c r="N266" s="831" t="e">
        <f t="shared" si="31"/>
        <v>#N/A</v>
      </c>
      <c r="O266" s="831">
        <f t="shared" si="38"/>
        <v>0</v>
      </c>
      <c r="P266" s="1024" t="e">
        <f>LOOKUP(G266,$J$4:$J$26,$M$4:$M$26)*LOOKUP(LOOKUP(G266,$J$4:$J$26,$K$4:$K$26),Lookup!$K$9:$K$24,Lookup!$O$9:$O$24)*IF(E266="A",LOOKUP(LOOKUP(G266,$J$4:$J$26,$K$4:$K$26),Lookup!$K$9:$K$24,Lookup!$L$9:$L$24),IF(E266="B",LOOKUP(LOOKUP(G266,$J$4:$J$26,$K$4:$K$26),Lookup!$K$9:$K$24,Lookup!$M$9:$M$24),IF(E266="C",LOOKUP(LOOKUP(G266,$J$4:$J$26,$K$4:$K$26),Lookup!$K$9:$K$24,Lookup!$N$9:$N$24))))</f>
        <v>#N/A</v>
      </c>
      <c r="Q266" s="1024" t="e">
        <f t="shared" si="39"/>
        <v>#N/A</v>
      </c>
      <c r="R266" s="1024" t="e">
        <f t="shared" si="32"/>
        <v>#N/A</v>
      </c>
      <c r="S266" s="828">
        <f t="shared" si="40"/>
        <v>0</v>
      </c>
      <c r="T266" s="1675" t="str">
        <f t="shared" si="33"/>
        <v/>
      </c>
    </row>
    <row r="267" spans="1:20">
      <c r="A267" s="836"/>
      <c r="B267" s="529"/>
      <c r="C267" s="827"/>
      <c r="D267" s="827"/>
      <c r="E267" s="828" t="e">
        <f>LOOKUP(D267,Lookup!$C$9:$C$24,Lookup!$I$9:$I$24)</f>
        <v>#N/A</v>
      </c>
      <c r="F267" s="529"/>
      <c r="G267" s="529"/>
      <c r="H267" s="529"/>
      <c r="I267" s="828" t="e">
        <f t="shared" si="34"/>
        <v>#N/A</v>
      </c>
      <c r="J267" s="643"/>
      <c r="K267" s="829">
        <f t="shared" si="35"/>
        <v>0</v>
      </c>
      <c r="L267" s="830" t="e">
        <f t="shared" si="36"/>
        <v>#DIV/0!</v>
      </c>
      <c r="M267" s="830" t="str">
        <f t="shared" si="37"/>
        <v>N/A</v>
      </c>
      <c r="N267" s="831" t="e">
        <f t="shared" si="31"/>
        <v>#N/A</v>
      </c>
      <c r="O267" s="831">
        <f t="shared" si="38"/>
        <v>0</v>
      </c>
      <c r="P267" s="1024" t="e">
        <f>LOOKUP(G267,$J$4:$J$26,$M$4:$M$26)*LOOKUP(LOOKUP(G267,$J$4:$J$26,$K$4:$K$26),Lookup!$K$9:$K$24,Lookup!$O$9:$O$24)*IF(E267="A",LOOKUP(LOOKUP(G267,$J$4:$J$26,$K$4:$K$26),Lookup!$K$9:$K$24,Lookup!$L$9:$L$24),IF(E267="B",LOOKUP(LOOKUP(G267,$J$4:$J$26,$K$4:$K$26),Lookup!$K$9:$K$24,Lookup!$M$9:$M$24),IF(E267="C",LOOKUP(LOOKUP(G267,$J$4:$J$26,$K$4:$K$26),Lookup!$K$9:$K$24,Lookup!$N$9:$N$24))))</f>
        <v>#N/A</v>
      </c>
      <c r="Q267" s="1024" t="e">
        <f t="shared" si="39"/>
        <v>#N/A</v>
      </c>
      <c r="R267" s="1024" t="e">
        <f t="shared" si="32"/>
        <v>#N/A</v>
      </c>
      <c r="S267" s="828">
        <f t="shared" si="40"/>
        <v>0</v>
      </c>
      <c r="T267" s="1675" t="str">
        <f t="shared" si="33"/>
        <v/>
      </c>
    </row>
    <row r="268" spans="1:20">
      <c r="A268" s="836"/>
      <c r="B268" s="529"/>
      <c r="C268" s="827"/>
      <c r="D268" s="827"/>
      <c r="E268" s="828" t="e">
        <f>LOOKUP(D268,Lookup!$C$9:$C$24,Lookup!$I$9:$I$24)</f>
        <v>#N/A</v>
      </c>
      <c r="F268" s="529"/>
      <c r="G268" s="529"/>
      <c r="H268" s="529"/>
      <c r="I268" s="828" t="e">
        <f t="shared" si="34"/>
        <v>#N/A</v>
      </c>
      <c r="J268" s="643"/>
      <c r="K268" s="829">
        <f t="shared" si="35"/>
        <v>0</v>
      </c>
      <c r="L268" s="830" t="e">
        <f t="shared" si="36"/>
        <v>#DIV/0!</v>
      </c>
      <c r="M268" s="830" t="str">
        <f t="shared" si="37"/>
        <v>N/A</v>
      </c>
      <c r="N268" s="831" t="e">
        <f t="shared" si="31"/>
        <v>#N/A</v>
      </c>
      <c r="O268" s="831">
        <f t="shared" si="38"/>
        <v>0</v>
      </c>
      <c r="P268" s="1024" t="e">
        <f>LOOKUP(G268,$J$4:$J$26,$M$4:$M$26)*LOOKUP(LOOKUP(G268,$J$4:$J$26,$K$4:$K$26),Lookup!$K$9:$K$24,Lookup!$O$9:$O$24)*IF(E268="A",LOOKUP(LOOKUP(G268,$J$4:$J$26,$K$4:$K$26),Lookup!$K$9:$K$24,Lookup!$L$9:$L$24),IF(E268="B",LOOKUP(LOOKUP(G268,$J$4:$J$26,$K$4:$K$26),Lookup!$K$9:$K$24,Lookup!$M$9:$M$24),IF(E268="C",LOOKUP(LOOKUP(G268,$J$4:$J$26,$K$4:$K$26),Lookup!$K$9:$K$24,Lookup!$N$9:$N$24))))</f>
        <v>#N/A</v>
      </c>
      <c r="Q268" s="1024" t="e">
        <f t="shared" si="39"/>
        <v>#N/A</v>
      </c>
      <c r="R268" s="1024" t="e">
        <f t="shared" si="32"/>
        <v>#N/A</v>
      </c>
      <c r="S268" s="828">
        <f t="shared" si="40"/>
        <v>0</v>
      </c>
      <c r="T268" s="1675" t="str">
        <f t="shared" si="33"/>
        <v/>
      </c>
    </row>
    <row r="269" spans="1:20">
      <c r="A269" s="836"/>
      <c r="B269" s="529"/>
      <c r="C269" s="827"/>
      <c r="D269" s="827"/>
      <c r="E269" s="828" t="e">
        <f>LOOKUP(D269,Lookup!$C$9:$C$24,Lookup!$I$9:$I$24)</f>
        <v>#N/A</v>
      </c>
      <c r="F269" s="529"/>
      <c r="G269" s="529"/>
      <c r="H269" s="529"/>
      <c r="I269" s="828" t="e">
        <f t="shared" si="34"/>
        <v>#N/A</v>
      </c>
      <c r="J269" s="643"/>
      <c r="K269" s="829">
        <f t="shared" si="35"/>
        <v>0</v>
      </c>
      <c r="L269" s="830" t="e">
        <f t="shared" si="36"/>
        <v>#DIV/0!</v>
      </c>
      <c r="M269" s="830" t="str">
        <f t="shared" si="37"/>
        <v>N/A</v>
      </c>
      <c r="N269" s="831" t="e">
        <f t="shared" si="31"/>
        <v>#N/A</v>
      </c>
      <c r="O269" s="831">
        <f t="shared" si="38"/>
        <v>0</v>
      </c>
      <c r="P269" s="1024" t="e">
        <f>LOOKUP(G269,$J$4:$J$26,$M$4:$M$26)*LOOKUP(LOOKUP(G269,$J$4:$J$26,$K$4:$K$26),Lookup!$K$9:$K$24,Lookup!$O$9:$O$24)*IF(E269="A",LOOKUP(LOOKUP(G269,$J$4:$J$26,$K$4:$K$26),Lookup!$K$9:$K$24,Lookup!$L$9:$L$24),IF(E269="B",LOOKUP(LOOKUP(G269,$J$4:$J$26,$K$4:$K$26),Lookup!$K$9:$K$24,Lookup!$M$9:$M$24),IF(E269="C",LOOKUP(LOOKUP(G269,$J$4:$J$26,$K$4:$K$26),Lookup!$K$9:$K$24,Lookup!$N$9:$N$24))))</f>
        <v>#N/A</v>
      </c>
      <c r="Q269" s="1024" t="e">
        <f t="shared" si="39"/>
        <v>#N/A</v>
      </c>
      <c r="R269" s="1024" t="e">
        <f t="shared" si="32"/>
        <v>#N/A</v>
      </c>
      <c r="S269" s="828">
        <f t="shared" si="40"/>
        <v>0</v>
      </c>
      <c r="T269" s="1675" t="str">
        <f t="shared" si="33"/>
        <v/>
      </c>
    </row>
    <row r="270" spans="1:20">
      <c r="A270" s="836"/>
      <c r="B270" s="529"/>
      <c r="C270" s="827"/>
      <c r="D270" s="827"/>
      <c r="E270" s="828" t="e">
        <f>LOOKUP(D270,Lookup!$C$9:$C$24,Lookup!$I$9:$I$24)</f>
        <v>#N/A</v>
      </c>
      <c r="F270" s="529"/>
      <c r="G270" s="529"/>
      <c r="H270" s="529"/>
      <c r="I270" s="828" t="e">
        <f t="shared" si="34"/>
        <v>#N/A</v>
      </c>
      <c r="J270" s="643"/>
      <c r="K270" s="829">
        <f t="shared" si="35"/>
        <v>0</v>
      </c>
      <c r="L270" s="830" t="e">
        <f t="shared" si="36"/>
        <v>#DIV/0!</v>
      </c>
      <c r="M270" s="830" t="str">
        <f t="shared" si="37"/>
        <v>N/A</v>
      </c>
      <c r="N270" s="831" t="e">
        <f t="shared" si="31"/>
        <v>#N/A</v>
      </c>
      <c r="O270" s="831">
        <f t="shared" si="38"/>
        <v>0</v>
      </c>
      <c r="P270" s="1024" t="e">
        <f>LOOKUP(G270,$J$4:$J$26,$M$4:$M$26)*LOOKUP(LOOKUP(G270,$J$4:$J$26,$K$4:$K$26),Lookup!$K$9:$K$24,Lookup!$O$9:$O$24)*IF(E270="A",LOOKUP(LOOKUP(G270,$J$4:$J$26,$K$4:$K$26),Lookup!$K$9:$K$24,Lookup!$L$9:$L$24),IF(E270="B",LOOKUP(LOOKUP(G270,$J$4:$J$26,$K$4:$K$26),Lookup!$K$9:$K$24,Lookup!$M$9:$M$24),IF(E270="C",LOOKUP(LOOKUP(G270,$J$4:$J$26,$K$4:$K$26),Lookup!$K$9:$K$24,Lookup!$N$9:$N$24))))</f>
        <v>#N/A</v>
      </c>
      <c r="Q270" s="1024" t="e">
        <f t="shared" si="39"/>
        <v>#N/A</v>
      </c>
      <c r="R270" s="1024" t="e">
        <f t="shared" si="32"/>
        <v>#N/A</v>
      </c>
      <c r="S270" s="828">
        <f t="shared" si="40"/>
        <v>0</v>
      </c>
      <c r="T270" s="1675" t="str">
        <f t="shared" si="33"/>
        <v/>
      </c>
    </row>
    <row r="271" spans="1:20">
      <c r="A271" s="835"/>
      <c r="B271" s="529"/>
      <c r="C271" s="827"/>
      <c r="D271" s="827"/>
      <c r="E271" s="828" t="e">
        <f>LOOKUP(D271,Lookup!$C$9:$C$24,Lookup!$I$9:$I$24)</f>
        <v>#N/A</v>
      </c>
      <c r="F271" s="529"/>
      <c r="G271" s="529"/>
      <c r="H271" s="529"/>
      <c r="I271" s="828" t="e">
        <f t="shared" si="34"/>
        <v>#N/A</v>
      </c>
      <c r="J271" s="643"/>
      <c r="K271" s="829">
        <f t="shared" si="35"/>
        <v>0</v>
      </c>
      <c r="L271" s="830" t="e">
        <f t="shared" si="36"/>
        <v>#DIV/0!</v>
      </c>
      <c r="M271" s="830" t="str">
        <f t="shared" si="37"/>
        <v>N/A</v>
      </c>
      <c r="N271" s="831" t="e">
        <f t="shared" si="31"/>
        <v>#N/A</v>
      </c>
      <c r="O271" s="831">
        <f t="shared" si="38"/>
        <v>0</v>
      </c>
      <c r="P271" s="1024" t="e">
        <f>LOOKUP(G271,$J$4:$J$26,$M$4:$M$26)*LOOKUP(LOOKUP(G271,$J$4:$J$26,$K$4:$K$26),Lookup!$K$9:$K$24,Lookup!$O$9:$O$24)*IF(E271="A",LOOKUP(LOOKUP(G271,$J$4:$J$26,$K$4:$K$26),Lookup!$K$9:$K$24,Lookup!$L$9:$L$24),IF(E271="B",LOOKUP(LOOKUP(G271,$J$4:$J$26,$K$4:$K$26),Lookup!$K$9:$K$24,Lookup!$M$9:$M$24),IF(E271="C",LOOKUP(LOOKUP(G271,$J$4:$J$26,$K$4:$K$26),Lookup!$K$9:$K$24,Lookup!$N$9:$N$24))))</f>
        <v>#N/A</v>
      </c>
      <c r="Q271" s="1024" t="e">
        <f t="shared" si="39"/>
        <v>#N/A</v>
      </c>
      <c r="R271" s="1024" t="e">
        <f t="shared" si="32"/>
        <v>#N/A</v>
      </c>
      <c r="S271" s="828">
        <f t="shared" si="40"/>
        <v>0</v>
      </c>
      <c r="T271" s="1675" t="str">
        <f t="shared" si="33"/>
        <v/>
      </c>
    </row>
    <row r="272" spans="1:20">
      <c r="A272" s="826"/>
      <c r="B272" s="529"/>
      <c r="C272" s="827"/>
      <c r="D272" s="827"/>
      <c r="E272" s="828" t="e">
        <f>LOOKUP(D272,Lookup!$C$9:$C$24,Lookup!$I$9:$I$24)</f>
        <v>#N/A</v>
      </c>
      <c r="F272" s="529"/>
      <c r="G272" s="529"/>
      <c r="H272" s="529"/>
      <c r="I272" s="828" t="e">
        <f t="shared" si="34"/>
        <v>#N/A</v>
      </c>
      <c r="J272" s="643"/>
      <c r="K272" s="829">
        <f t="shared" si="35"/>
        <v>0</v>
      </c>
      <c r="L272" s="830" t="e">
        <f t="shared" si="36"/>
        <v>#DIV/0!</v>
      </c>
      <c r="M272" s="830" t="str">
        <f t="shared" si="37"/>
        <v>N/A</v>
      </c>
      <c r="N272" s="831" t="e">
        <f t="shared" si="31"/>
        <v>#N/A</v>
      </c>
      <c r="O272" s="831">
        <f t="shared" si="38"/>
        <v>0</v>
      </c>
      <c r="P272" s="1024" t="e">
        <f>LOOKUP(G272,$J$4:$J$26,$M$4:$M$26)*LOOKUP(LOOKUP(G272,$J$4:$J$26,$K$4:$K$26),Lookup!$K$9:$K$24,Lookup!$O$9:$O$24)*IF(E272="A",LOOKUP(LOOKUP(G272,$J$4:$J$26,$K$4:$K$26),Lookup!$K$9:$K$24,Lookup!$L$9:$L$24),IF(E272="B",LOOKUP(LOOKUP(G272,$J$4:$J$26,$K$4:$K$26),Lookup!$K$9:$K$24,Lookup!$M$9:$M$24),IF(E272="C",LOOKUP(LOOKUP(G272,$J$4:$J$26,$K$4:$K$26),Lookup!$K$9:$K$24,Lookup!$N$9:$N$24))))</f>
        <v>#N/A</v>
      </c>
      <c r="Q272" s="1024" t="e">
        <f t="shared" si="39"/>
        <v>#N/A</v>
      </c>
      <c r="R272" s="1024" t="e">
        <f t="shared" si="32"/>
        <v>#N/A</v>
      </c>
      <c r="S272" s="828">
        <f t="shared" si="40"/>
        <v>0</v>
      </c>
      <c r="T272" s="1675" t="str">
        <f t="shared" si="33"/>
        <v/>
      </c>
    </row>
    <row r="273" spans="1:20">
      <c r="A273" s="826"/>
      <c r="B273" s="529"/>
      <c r="C273" s="827"/>
      <c r="D273" s="827"/>
      <c r="E273" s="828" t="e">
        <f>LOOKUP(D273,Lookup!$C$9:$C$24,Lookup!$I$9:$I$24)</f>
        <v>#N/A</v>
      </c>
      <c r="F273" s="529"/>
      <c r="G273" s="529"/>
      <c r="H273" s="529"/>
      <c r="I273" s="828" t="e">
        <f t="shared" si="34"/>
        <v>#N/A</v>
      </c>
      <c r="J273" s="643"/>
      <c r="K273" s="829">
        <f t="shared" si="35"/>
        <v>0</v>
      </c>
      <c r="L273" s="830" t="e">
        <f t="shared" si="36"/>
        <v>#DIV/0!</v>
      </c>
      <c r="M273" s="830" t="str">
        <f t="shared" si="37"/>
        <v>N/A</v>
      </c>
      <c r="N273" s="831" t="e">
        <f t="shared" si="31"/>
        <v>#N/A</v>
      </c>
      <c r="O273" s="831">
        <f t="shared" si="38"/>
        <v>0</v>
      </c>
      <c r="P273" s="1024" t="e">
        <f>LOOKUP(G273,$J$4:$J$26,$M$4:$M$26)*LOOKUP(LOOKUP(G273,$J$4:$J$26,$K$4:$K$26),Lookup!$K$9:$K$24,Lookup!$O$9:$O$24)*IF(E273="A",LOOKUP(LOOKUP(G273,$J$4:$J$26,$K$4:$K$26),Lookup!$K$9:$K$24,Lookup!$L$9:$L$24),IF(E273="B",LOOKUP(LOOKUP(G273,$J$4:$J$26,$K$4:$K$26),Lookup!$K$9:$K$24,Lookup!$M$9:$M$24),IF(E273="C",LOOKUP(LOOKUP(G273,$J$4:$J$26,$K$4:$K$26),Lookup!$K$9:$K$24,Lookup!$N$9:$N$24))))</f>
        <v>#N/A</v>
      </c>
      <c r="Q273" s="1024" t="e">
        <f t="shared" si="39"/>
        <v>#N/A</v>
      </c>
      <c r="R273" s="1024" t="e">
        <f t="shared" si="32"/>
        <v>#N/A</v>
      </c>
      <c r="S273" s="828">
        <f t="shared" si="40"/>
        <v>0</v>
      </c>
      <c r="T273" s="1675" t="str">
        <f t="shared" si="33"/>
        <v/>
      </c>
    </row>
    <row r="274" spans="1:20">
      <c r="A274" s="835"/>
      <c r="B274" s="529"/>
      <c r="C274" s="827"/>
      <c r="D274" s="827"/>
      <c r="E274" s="828" t="e">
        <f>LOOKUP(D274,Lookup!$C$9:$C$24,Lookup!$I$9:$I$24)</f>
        <v>#N/A</v>
      </c>
      <c r="F274" s="529"/>
      <c r="G274" s="529"/>
      <c r="H274" s="529"/>
      <c r="I274" s="828" t="e">
        <f t="shared" si="34"/>
        <v>#N/A</v>
      </c>
      <c r="J274" s="643"/>
      <c r="K274" s="829">
        <f t="shared" si="35"/>
        <v>0</v>
      </c>
      <c r="L274" s="830" t="e">
        <f t="shared" si="36"/>
        <v>#DIV/0!</v>
      </c>
      <c r="M274" s="830" t="str">
        <f t="shared" si="37"/>
        <v>N/A</v>
      </c>
      <c r="N274" s="831" t="e">
        <f t="shared" si="31"/>
        <v>#N/A</v>
      </c>
      <c r="O274" s="831">
        <f t="shared" si="38"/>
        <v>0</v>
      </c>
      <c r="P274" s="1024" t="e">
        <f>LOOKUP(G274,$J$4:$J$26,$M$4:$M$26)*LOOKUP(LOOKUP(G274,$J$4:$J$26,$K$4:$K$26),Lookup!$K$9:$K$24,Lookup!$O$9:$O$24)*IF(E274="A",LOOKUP(LOOKUP(G274,$J$4:$J$26,$K$4:$K$26),Lookup!$K$9:$K$24,Lookup!$L$9:$L$24),IF(E274="B",LOOKUP(LOOKUP(G274,$J$4:$J$26,$K$4:$K$26),Lookup!$K$9:$K$24,Lookup!$M$9:$M$24),IF(E274="C",LOOKUP(LOOKUP(G274,$J$4:$J$26,$K$4:$K$26),Lookup!$K$9:$K$24,Lookup!$N$9:$N$24))))</f>
        <v>#N/A</v>
      </c>
      <c r="Q274" s="1024" t="e">
        <f t="shared" si="39"/>
        <v>#N/A</v>
      </c>
      <c r="R274" s="1024" t="e">
        <f t="shared" si="32"/>
        <v>#N/A</v>
      </c>
      <c r="S274" s="828">
        <f t="shared" si="40"/>
        <v>0</v>
      </c>
      <c r="T274" s="1675" t="str">
        <f t="shared" si="33"/>
        <v/>
      </c>
    </row>
    <row r="275" spans="1:20">
      <c r="A275" s="835"/>
      <c r="B275" s="529"/>
      <c r="C275" s="827"/>
      <c r="D275" s="827"/>
      <c r="E275" s="828" t="e">
        <f>LOOKUP(D275,Lookup!$C$9:$C$24,Lookup!$I$9:$I$24)</f>
        <v>#N/A</v>
      </c>
      <c r="F275" s="529"/>
      <c r="G275" s="529"/>
      <c r="H275" s="529"/>
      <c r="I275" s="828" t="e">
        <f t="shared" si="34"/>
        <v>#N/A</v>
      </c>
      <c r="J275" s="643"/>
      <c r="K275" s="829">
        <f t="shared" si="35"/>
        <v>0</v>
      </c>
      <c r="L275" s="830" t="e">
        <f t="shared" si="36"/>
        <v>#DIV/0!</v>
      </c>
      <c r="M275" s="830" t="str">
        <f t="shared" si="37"/>
        <v>N/A</v>
      </c>
      <c r="N275" s="831" t="e">
        <f t="shared" si="31"/>
        <v>#N/A</v>
      </c>
      <c r="O275" s="831">
        <f t="shared" si="38"/>
        <v>0</v>
      </c>
      <c r="P275" s="1024" t="e">
        <f>LOOKUP(G275,$J$4:$J$26,$M$4:$M$26)*LOOKUP(LOOKUP(G275,$J$4:$J$26,$K$4:$K$26),Lookup!$K$9:$K$24,Lookup!$O$9:$O$24)*IF(E275="A",LOOKUP(LOOKUP(G275,$J$4:$J$26,$K$4:$K$26),Lookup!$K$9:$K$24,Lookup!$L$9:$L$24),IF(E275="B",LOOKUP(LOOKUP(G275,$J$4:$J$26,$K$4:$K$26),Lookup!$K$9:$K$24,Lookup!$M$9:$M$24),IF(E275="C",LOOKUP(LOOKUP(G275,$J$4:$J$26,$K$4:$K$26),Lookup!$K$9:$K$24,Lookup!$N$9:$N$24))))</f>
        <v>#N/A</v>
      </c>
      <c r="Q275" s="1024" t="e">
        <f t="shared" si="39"/>
        <v>#N/A</v>
      </c>
      <c r="R275" s="1024" t="e">
        <f t="shared" si="32"/>
        <v>#N/A</v>
      </c>
      <c r="S275" s="828">
        <f t="shared" si="40"/>
        <v>0</v>
      </c>
      <c r="T275" s="1675" t="str">
        <f t="shared" si="33"/>
        <v/>
      </c>
    </row>
    <row r="276" spans="1:20">
      <c r="A276" s="836"/>
      <c r="B276" s="529"/>
      <c r="C276" s="827"/>
      <c r="D276" s="827"/>
      <c r="E276" s="828" t="e">
        <f>LOOKUP(D276,Lookup!$C$9:$C$24,Lookup!$I$9:$I$24)</f>
        <v>#N/A</v>
      </c>
      <c r="F276" s="529"/>
      <c r="G276" s="529"/>
      <c r="H276" s="529"/>
      <c r="I276" s="828" t="e">
        <f t="shared" si="34"/>
        <v>#N/A</v>
      </c>
      <c r="J276" s="643"/>
      <c r="K276" s="829">
        <f t="shared" si="35"/>
        <v>0</v>
      </c>
      <c r="L276" s="830" t="e">
        <f t="shared" si="36"/>
        <v>#DIV/0!</v>
      </c>
      <c r="M276" s="830" t="str">
        <f t="shared" si="37"/>
        <v>N/A</v>
      </c>
      <c r="N276" s="831" t="e">
        <f t="shared" si="31"/>
        <v>#N/A</v>
      </c>
      <c r="O276" s="831">
        <f t="shared" si="38"/>
        <v>0</v>
      </c>
      <c r="P276" s="1024" t="e">
        <f>LOOKUP(G276,$J$4:$J$26,$M$4:$M$26)*LOOKUP(LOOKUP(G276,$J$4:$J$26,$K$4:$K$26),Lookup!$K$9:$K$24,Lookup!$O$9:$O$24)*IF(E276="A",LOOKUP(LOOKUP(G276,$J$4:$J$26,$K$4:$K$26),Lookup!$K$9:$K$24,Lookup!$L$9:$L$24),IF(E276="B",LOOKUP(LOOKUP(G276,$J$4:$J$26,$K$4:$K$26),Lookup!$K$9:$K$24,Lookup!$M$9:$M$24),IF(E276="C",LOOKUP(LOOKUP(G276,$J$4:$J$26,$K$4:$K$26),Lookup!$K$9:$K$24,Lookup!$N$9:$N$24))))</f>
        <v>#N/A</v>
      </c>
      <c r="Q276" s="1024" t="e">
        <f t="shared" si="39"/>
        <v>#N/A</v>
      </c>
      <c r="R276" s="1024" t="e">
        <f t="shared" si="32"/>
        <v>#N/A</v>
      </c>
      <c r="S276" s="828">
        <f t="shared" si="40"/>
        <v>0</v>
      </c>
      <c r="T276" s="1675" t="str">
        <f t="shared" si="33"/>
        <v/>
      </c>
    </row>
    <row r="277" spans="1:20">
      <c r="A277" s="836"/>
      <c r="B277" s="529"/>
      <c r="C277" s="837"/>
      <c r="D277" s="827"/>
      <c r="E277" s="828" t="e">
        <f>LOOKUP(D277,Lookup!$C$9:$C$24,Lookup!$I$9:$I$24)</f>
        <v>#N/A</v>
      </c>
      <c r="F277" s="529"/>
      <c r="G277" s="529"/>
      <c r="H277" s="529"/>
      <c r="I277" s="828" t="e">
        <f t="shared" si="34"/>
        <v>#N/A</v>
      </c>
      <c r="J277" s="643"/>
      <c r="K277" s="829">
        <f t="shared" si="35"/>
        <v>0</v>
      </c>
      <c r="L277" s="830" t="e">
        <f t="shared" si="36"/>
        <v>#DIV/0!</v>
      </c>
      <c r="M277" s="830" t="str">
        <f t="shared" si="37"/>
        <v>N/A</v>
      </c>
      <c r="N277" s="831" t="e">
        <f t="shared" si="31"/>
        <v>#N/A</v>
      </c>
      <c r="O277" s="831">
        <f t="shared" si="38"/>
        <v>0</v>
      </c>
      <c r="P277" s="1024" t="e">
        <f>LOOKUP(G277,$J$4:$J$26,$M$4:$M$26)*LOOKUP(LOOKUP(G277,$J$4:$J$26,$K$4:$K$26),Lookup!$K$9:$K$24,Lookup!$O$9:$O$24)*IF(E277="A",LOOKUP(LOOKUP(G277,$J$4:$J$26,$K$4:$K$26),Lookup!$K$9:$K$24,Lookup!$L$9:$L$24),IF(E277="B",LOOKUP(LOOKUP(G277,$J$4:$J$26,$K$4:$K$26),Lookup!$K$9:$K$24,Lookup!$M$9:$M$24),IF(E277="C",LOOKUP(LOOKUP(G277,$J$4:$J$26,$K$4:$K$26),Lookup!$K$9:$K$24,Lookup!$N$9:$N$24))))</f>
        <v>#N/A</v>
      </c>
      <c r="Q277" s="1024" t="e">
        <f t="shared" si="39"/>
        <v>#N/A</v>
      </c>
      <c r="R277" s="1024" t="e">
        <f t="shared" si="32"/>
        <v>#N/A</v>
      </c>
      <c r="S277" s="828">
        <f t="shared" si="40"/>
        <v>0</v>
      </c>
      <c r="T277" s="1675" t="str">
        <f t="shared" si="33"/>
        <v/>
      </c>
    </row>
    <row r="278" spans="1:20">
      <c r="A278" s="836"/>
      <c r="B278" s="529"/>
      <c r="C278" s="827"/>
      <c r="D278" s="827"/>
      <c r="E278" s="828" t="e">
        <f>LOOKUP(D278,Lookup!$C$9:$C$24,Lookup!$I$9:$I$24)</f>
        <v>#N/A</v>
      </c>
      <c r="F278" s="529"/>
      <c r="G278" s="529"/>
      <c r="H278" s="529"/>
      <c r="I278" s="828" t="e">
        <f t="shared" si="34"/>
        <v>#N/A</v>
      </c>
      <c r="J278" s="643"/>
      <c r="K278" s="829">
        <f t="shared" si="35"/>
        <v>0</v>
      </c>
      <c r="L278" s="830" t="e">
        <f t="shared" si="36"/>
        <v>#DIV/0!</v>
      </c>
      <c r="M278" s="830" t="str">
        <f t="shared" si="37"/>
        <v>N/A</v>
      </c>
      <c r="N278" s="831" t="e">
        <f t="shared" si="31"/>
        <v>#N/A</v>
      </c>
      <c r="O278" s="831">
        <f t="shared" si="38"/>
        <v>0</v>
      </c>
      <c r="P278" s="1024" t="e">
        <f>LOOKUP(G278,$J$4:$J$26,$M$4:$M$26)*LOOKUP(LOOKUP(G278,$J$4:$J$26,$K$4:$K$26),Lookup!$K$9:$K$24,Lookup!$O$9:$O$24)*IF(E278="A",LOOKUP(LOOKUP(G278,$J$4:$J$26,$K$4:$K$26),Lookup!$K$9:$K$24,Lookup!$L$9:$L$24),IF(E278="B",LOOKUP(LOOKUP(G278,$J$4:$J$26,$K$4:$K$26),Lookup!$K$9:$K$24,Lookup!$M$9:$M$24),IF(E278="C",LOOKUP(LOOKUP(G278,$J$4:$J$26,$K$4:$K$26),Lookup!$K$9:$K$24,Lookup!$N$9:$N$24))))</f>
        <v>#N/A</v>
      </c>
      <c r="Q278" s="1024" t="e">
        <f t="shared" si="39"/>
        <v>#N/A</v>
      </c>
      <c r="R278" s="1024" t="e">
        <f t="shared" si="32"/>
        <v>#N/A</v>
      </c>
      <c r="S278" s="828">
        <f t="shared" si="40"/>
        <v>0</v>
      </c>
      <c r="T278" s="1675" t="str">
        <f t="shared" si="33"/>
        <v/>
      </c>
    </row>
    <row r="279" spans="1:20">
      <c r="A279" s="836"/>
      <c r="B279" s="529"/>
      <c r="C279" s="827"/>
      <c r="D279" s="827"/>
      <c r="E279" s="828" t="e">
        <f>LOOKUP(D279,Lookup!$C$9:$C$24,Lookup!$I$9:$I$24)</f>
        <v>#N/A</v>
      </c>
      <c r="F279" s="529"/>
      <c r="G279" s="529"/>
      <c r="H279" s="529"/>
      <c r="I279" s="828" t="e">
        <f t="shared" si="34"/>
        <v>#N/A</v>
      </c>
      <c r="J279" s="643"/>
      <c r="K279" s="829">
        <f t="shared" si="35"/>
        <v>0</v>
      </c>
      <c r="L279" s="830" t="e">
        <f t="shared" si="36"/>
        <v>#DIV/0!</v>
      </c>
      <c r="M279" s="830" t="str">
        <f t="shared" si="37"/>
        <v>N/A</v>
      </c>
      <c r="N279" s="831" t="e">
        <f t="shared" si="31"/>
        <v>#N/A</v>
      </c>
      <c r="O279" s="831">
        <f t="shared" si="38"/>
        <v>0</v>
      </c>
      <c r="P279" s="1024" t="e">
        <f>LOOKUP(G279,$J$4:$J$26,$M$4:$M$26)*LOOKUP(LOOKUP(G279,$J$4:$J$26,$K$4:$K$26),Lookup!$K$9:$K$24,Lookup!$O$9:$O$24)*IF(E279="A",LOOKUP(LOOKUP(G279,$J$4:$J$26,$K$4:$K$26),Lookup!$K$9:$K$24,Lookup!$L$9:$L$24),IF(E279="B",LOOKUP(LOOKUP(G279,$J$4:$J$26,$K$4:$K$26),Lookup!$K$9:$K$24,Lookup!$M$9:$M$24),IF(E279="C",LOOKUP(LOOKUP(G279,$J$4:$J$26,$K$4:$K$26),Lookup!$K$9:$K$24,Lookup!$N$9:$N$24))))</f>
        <v>#N/A</v>
      </c>
      <c r="Q279" s="1024" t="e">
        <f t="shared" si="39"/>
        <v>#N/A</v>
      </c>
      <c r="R279" s="1024" t="e">
        <f t="shared" si="32"/>
        <v>#N/A</v>
      </c>
      <c r="S279" s="828">
        <f t="shared" si="40"/>
        <v>0</v>
      </c>
      <c r="T279" s="1675" t="str">
        <f t="shared" si="33"/>
        <v/>
      </c>
    </row>
    <row r="280" spans="1:20">
      <c r="A280" s="836"/>
      <c r="B280" s="529"/>
      <c r="C280" s="827"/>
      <c r="D280" s="827"/>
      <c r="E280" s="828" t="e">
        <f>LOOKUP(D280,Lookup!$C$9:$C$24,Lookup!$I$9:$I$24)</f>
        <v>#N/A</v>
      </c>
      <c r="F280" s="529"/>
      <c r="G280" s="529"/>
      <c r="H280" s="529"/>
      <c r="I280" s="828" t="e">
        <f t="shared" si="34"/>
        <v>#N/A</v>
      </c>
      <c r="J280" s="643"/>
      <c r="K280" s="829">
        <f t="shared" si="35"/>
        <v>0</v>
      </c>
      <c r="L280" s="830" t="e">
        <f t="shared" si="36"/>
        <v>#DIV/0!</v>
      </c>
      <c r="M280" s="830" t="str">
        <f t="shared" si="37"/>
        <v>N/A</v>
      </c>
      <c r="N280" s="831" t="e">
        <f t="shared" si="31"/>
        <v>#N/A</v>
      </c>
      <c r="O280" s="831">
        <f t="shared" si="38"/>
        <v>0</v>
      </c>
      <c r="P280" s="1024" t="e">
        <f>LOOKUP(G280,$J$4:$J$26,$M$4:$M$26)*LOOKUP(LOOKUP(G280,$J$4:$J$26,$K$4:$K$26),Lookup!$K$9:$K$24,Lookup!$O$9:$O$24)*IF(E280="A",LOOKUP(LOOKUP(G280,$J$4:$J$26,$K$4:$K$26),Lookup!$K$9:$K$24,Lookup!$L$9:$L$24),IF(E280="B",LOOKUP(LOOKUP(G280,$J$4:$J$26,$K$4:$K$26),Lookup!$K$9:$K$24,Lookup!$M$9:$M$24),IF(E280="C",LOOKUP(LOOKUP(G280,$J$4:$J$26,$K$4:$K$26),Lookup!$K$9:$K$24,Lookup!$N$9:$N$24))))</f>
        <v>#N/A</v>
      </c>
      <c r="Q280" s="1024" t="e">
        <f t="shared" si="39"/>
        <v>#N/A</v>
      </c>
      <c r="R280" s="1024" t="e">
        <f t="shared" si="32"/>
        <v>#N/A</v>
      </c>
      <c r="S280" s="828">
        <f t="shared" si="40"/>
        <v>0</v>
      </c>
      <c r="T280" s="1675" t="str">
        <f t="shared" si="33"/>
        <v/>
      </c>
    </row>
    <row r="281" spans="1:20">
      <c r="A281" s="836"/>
      <c r="B281" s="529"/>
      <c r="C281" s="827"/>
      <c r="D281" s="827"/>
      <c r="E281" s="828" t="e">
        <f>LOOKUP(D281,Lookup!$C$9:$C$24,Lookup!$I$9:$I$24)</f>
        <v>#N/A</v>
      </c>
      <c r="F281" s="529"/>
      <c r="G281" s="529"/>
      <c r="H281" s="529"/>
      <c r="I281" s="828" t="e">
        <f t="shared" si="34"/>
        <v>#N/A</v>
      </c>
      <c r="J281" s="643"/>
      <c r="K281" s="829">
        <f t="shared" si="35"/>
        <v>0</v>
      </c>
      <c r="L281" s="830" t="e">
        <f t="shared" si="36"/>
        <v>#DIV/0!</v>
      </c>
      <c r="M281" s="830" t="str">
        <f t="shared" si="37"/>
        <v>N/A</v>
      </c>
      <c r="N281" s="831" t="e">
        <f t="shared" si="31"/>
        <v>#N/A</v>
      </c>
      <c r="O281" s="831">
        <f t="shared" si="38"/>
        <v>0</v>
      </c>
      <c r="P281" s="1024" t="e">
        <f>LOOKUP(G281,$J$4:$J$26,$M$4:$M$26)*LOOKUP(LOOKUP(G281,$J$4:$J$26,$K$4:$K$26),Lookup!$K$9:$K$24,Lookup!$O$9:$O$24)*IF(E281="A",LOOKUP(LOOKUP(G281,$J$4:$J$26,$K$4:$K$26),Lookup!$K$9:$K$24,Lookup!$L$9:$L$24),IF(E281="B",LOOKUP(LOOKUP(G281,$J$4:$J$26,$K$4:$K$26),Lookup!$K$9:$K$24,Lookup!$M$9:$M$24),IF(E281="C",LOOKUP(LOOKUP(G281,$J$4:$J$26,$K$4:$K$26),Lookup!$K$9:$K$24,Lookup!$N$9:$N$24))))</f>
        <v>#N/A</v>
      </c>
      <c r="Q281" s="1024" t="e">
        <f t="shared" si="39"/>
        <v>#N/A</v>
      </c>
      <c r="R281" s="1024" t="e">
        <f t="shared" si="32"/>
        <v>#N/A</v>
      </c>
      <c r="S281" s="828">
        <f t="shared" si="40"/>
        <v>0</v>
      </c>
      <c r="T281" s="1675" t="str">
        <f t="shared" si="33"/>
        <v/>
      </c>
    </row>
    <row r="282" spans="1:20">
      <c r="A282" s="836"/>
      <c r="B282" s="529"/>
      <c r="C282" s="827"/>
      <c r="D282" s="827"/>
      <c r="E282" s="828" t="e">
        <f>LOOKUP(D282,Lookup!$C$9:$C$24,Lookup!$I$9:$I$24)</f>
        <v>#N/A</v>
      </c>
      <c r="F282" s="529"/>
      <c r="G282" s="529"/>
      <c r="H282" s="529"/>
      <c r="I282" s="828" t="e">
        <f t="shared" si="34"/>
        <v>#N/A</v>
      </c>
      <c r="J282" s="643"/>
      <c r="K282" s="829">
        <f t="shared" si="35"/>
        <v>0</v>
      </c>
      <c r="L282" s="830" t="e">
        <f t="shared" si="36"/>
        <v>#DIV/0!</v>
      </c>
      <c r="M282" s="830" t="str">
        <f t="shared" si="37"/>
        <v>N/A</v>
      </c>
      <c r="N282" s="831" t="e">
        <f t="shared" si="31"/>
        <v>#N/A</v>
      </c>
      <c r="O282" s="831">
        <f t="shared" si="38"/>
        <v>0</v>
      </c>
      <c r="P282" s="1024" t="e">
        <f>LOOKUP(G282,$J$4:$J$26,$M$4:$M$26)*LOOKUP(LOOKUP(G282,$J$4:$J$26,$K$4:$K$26),Lookup!$K$9:$K$24,Lookup!$O$9:$O$24)*IF(E282="A",LOOKUP(LOOKUP(G282,$J$4:$J$26,$K$4:$K$26),Lookup!$K$9:$K$24,Lookup!$L$9:$L$24),IF(E282="B",LOOKUP(LOOKUP(G282,$J$4:$J$26,$K$4:$K$26),Lookup!$K$9:$K$24,Lookup!$M$9:$M$24),IF(E282="C",LOOKUP(LOOKUP(G282,$J$4:$J$26,$K$4:$K$26),Lookup!$K$9:$K$24,Lookup!$N$9:$N$24))))</f>
        <v>#N/A</v>
      </c>
      <c r="Q282" s="1024" t="e">
        <f t="shared" si="39"/>
        <v>#N/A</v>
      </c>
      <c r="R282" s="1024" t="e">
        <f t="shared" si="32"/>
        <v>#N/A</v>
      </c>
      <c r="S282" s="828">
        <f t="shared" si="40"/>
        <v>0</v>
      </c>
      <c r="T282" s="1675" t="str">
        <f t="shared" si="33"/>
        <v/>
      </c>
    </row>
    <row r="283" spans="1:20">
      <c r="A283" s="836"/>
      <c r="B283" s="529"/>
      <c r="C283" s="837"/>
      <c r="D283" s="827"/>
      <c r="E283" s="828" t="e">
        <f>LOOKUP(D283,Lookup!$C$9:$C$24,Lookup!$I$9:$I$24)</f>
        <v>#N/A</v>
      </c>
      <c r="F283" s="529"/>
      <c r="G283" s="529"/>
      <c r="H283" s="529"/>
      <c r="I283" s="828" t="e">
        <f t="shared" si="34"/>
        <v>#N/A</v>
      </c>
      <c r="J283" s="643"/>
      <c r="K283" s="829">
        <f t="shared" si="35"/>
        <v>0</v>
      </c>
      <c r="L283" s="830" t="e">
        <f t="shared" si="36"/>
        <v>#DIV/0!</v>
      </c>
      <c r="M283" s="830" t="str">
        <f t="shared" si="37"/>
        <v>N/A</v>
      </c>
      <c r="N283" s="831" t="e">
        <f t="shared" si="31"/>
        <v>#N/A</v>
      </c>
      <c r="O283" s="831">
        <f t="shared" si="38"/>
        <v>0</v>
      </c>
      <c r="P283" s="1024" t="e">
        <f>LOOKUP(G283,$J$4:$J$26,$M$4:$M$26)*LOOKUP(LOOKUP(G283,$J$4:$J$26,$K$4:$K$26),Lookup!$K$9:$K$24,Lookup!$O$9:$O$24)*IF(E283="A",LOOKUP(LOOKUP(G283,$J$4:$J$26,$K$4:$K$26),Lookup!$K$9:$K$24,Lookup!$L$9:$L$24),IF(E283="B",LOOKUP(LOOKUP(G283,$J$4:$J$26,$K$4:$K$26),Lookup!$K$9:$K$24,Lookup!$M$9:$M$24),IF(E283="C",LOOKUP(LOOKUP(G283,$J$4:$J$26,$K$4:$K$26),Lookup!$K$9:$K$24,Lookup!$N$9:$N$24))))</f>
        <v>#N/A</v>
      </c>
      <c r="Q283" s="1024" t="e">
        <f t="shared" si="39"/>
        <v>#N/A</v>
      </c>
      <c r="R283" s="1024" t="e">
        <f t="shared" si="32"/>
        <v>#N/A</v>
      </c>
      <c r="S283" s="828">
        <f t="shared" si="40"/>
        <v>0</v>
      </c>
      <c r="T283" s="1675" t="str">
        <f t="shared" si="33"/>
        <v/>
      </c>
    </row>
    <row r="284" spans="1:20">
      <c r="A284" s="836"/>
      <c r="B284" s="529"/>
      <c r="C284" s="827"/>
      <c r="D284" s="827"/>
      <c r="E284" s="828" t="e">
        <f>LOOKUP(D284,Lookup!$C$9:$C$24,Lookup!$I$9:$I$24)</f>
        <v>#N/A</v>
      </c>
      <c r="F284" s="529"/>
      <c r="G284" s="529"/>
      <c r="H284" s="529"/>
      <c r="I284" s="828" t="e">
        <f t="shared" si="34"/>
        <v>#N/A</v>
      </c>
      <c r="J284" s="643"/>
      <c r="K284" s="829">
        <f t="shared" si="35"/>
        <v>0</v>
      </c>
      <c r="L284" s="830" t="e">
        <f t="shared" si="36"/>
        <v>#DIV/0!</v>
      </c>
      <c r="M284" s="830" t="str">
        <f t="shared" si="37"/>
        <v>N/A</v>
      </c>
      <c r="N284" s="831" t="e">
        <f t="shared" si="31"/>
        <v>#N/A</v>
      </c>
      <c r="O284" s="831">
        <f t="shared" si="38"/>
        <v>0</v>
      </c>
      <c r="P284" s="1024" t="e">
        <f>LOOKUP(G284,$J$4:$J$26,$M$4:$M$26)*LOOKUP(LOOKUP(G284,$J$4:$J$26,$K$4:$K$26),Lookup!$K$9:$K$24,Lookup!$O$9:$O$24)*IF(E284="A",LOOKUP(LOOKUP(G284,$J$4:$J$26,$K$4:$K$26),Lookup!$K$9:$K$24,Lookup!$L$9:$L$24),IF(E284="B",LOOKUP(LOOKUP(G284,$J$4:$J$26,$K$4:$K$26),Lookup!$K$9:$K$24,Lookup!$M$9:$M$24),IF(E284="C",LOOKUP(LOOKUP(G284,$J$4:$J$26,$K$4:$K$26),Lookup!$K$9:$K$24,Lookup!$N$9:$N$24))))</f>
        <v>#N/A</v>
      </c>
      <c r="Q284" s="1024" t="e">
        <f t="shared" si="39"/>
        <v>#N/A</v>
      </c>
      <c r="R284" s="1024" t="e">
        <f t="shared" si="32"/>
        <v>#N/A</v>
      </c>
      <c r="S284" s="828">
        <f t="shared" si="40"/>
        <v>0</v>
      </c>
      <c r="T284" s="1675" t="str">
        <f t="shared" si="33"/>
        <v/>
      </c>
    </row>
    <row r="285" spans="1:20">
      <c r="A285" s="836"/>
      <c r="B285" s="529"/>
      <c r="C285" s="827"/>
      <c r="D285" s="827"/>
      <c r="E285" s="828" t="e">
        <f>LOOKUP(D285,Lookup!$C$9:$C$24,Lookup!$I$9:$I$24)</f>
        <v>#N/A</v>
      </c>
      <c r="F285" s="529"/>
      <c r="G285" s="529"/>
      <c r="H285" s="529"/>
      <c r="I285" s="828" t="e">
        <f t="shared" si="34"/>
        <v>#N/A</v>
      </c>
      <c r="J285" s="643"/>
      <c r="K285" s="829">
        <f t="shared" si="35"/>
        <v>0</v>
      </c>
      <c r="L285" s="830" t="e">
        <f t="shared" si="36"/>
        <v>#DIV/0!</v>
      </c>
      <c r="M285" s="830" t="str">
        <f t="shared" si="37"/>
        <v>N/A</v>
      </c>
      <c r="N285" s="831" t="e">
        <f t="shared" ref="N285:N348" si="41">IF($D$17="Space-By-Space (90.1-2007)",LOOKUP(D285, LightingSpaceType, LPD2007SS),IF($D$17="Space-By-Space (90.1-2010)",LOOKUP(D285,LightingSpaceType, LPD2010SS), IF($D$17="Building Area (90.1-2007)",LOOKUP(D285,LightingSpaceType,LPD2007WB),IF($D$17="Building Area (90.1-2010)",LOOKUP(D285,LightingSpaceType,LPD2010WB),0))))</f>
        <v>#N/A</v>
      </c>
      <c r="O285" s="831">
        <f t="shared" si="38"/>
        <v>0</v>
      </c>
      <c r="P285" s="1024" t="e">
        <f>LOOKUP(G285,$J$4:$J$26,$M$4:$M$26)*LOOKUP(LOOKUP(G285,$J$4:$J$26,$K$4:$K$26),Lookup!$K$9:$K$24,Lookup!$O$9:$O$24)*IF(E285="A",LOOKUP(LOOKUP(G285,$J$4:$J$26,$K$4:$K$26),Lookup!$K$9:$K$24,Lookup!$L$9:$L$24),IF(E285="B",LOOKUP(LOOKUP(G285,$J$4:$J$26,$K$4:$K$26),Lookup!$K$9:$K$24,Lookup!$M$9:$M$24),IF(E285="C",LOOKUP(LOOKUP(G285,$J$4:$J$26,$K$4:$K$26),Lookup!$K$9:$K$24,Lookup!$N$9:$N$24))))</f>
        <v>#N/A</v>
      </c>
      <c r="Q285" s="1024" t="e">
        <f t="shared" si="39"/>
        <v>#N/A</v>
      </c>
      <c r="R285" s="1024" t="e">
        <f t="shared" ref="R285:R348" si="42">LOOKUP(D285, LightingSpaceType, Footcandles)</f>
        <v>#N/A</v>
      </c>
      <c r="S285" s="828">
        <f t="shared" si="40"/>
        <v>0</v>
      </c>
      <c r="T285" s="1675" t="str">
        <f t="shared" ref="T285:T348" si="43">IF(F285&gt;0, IF(Q285&lt;R285, "Insufficient lighting to meet IESNA footcandle recommendations.", ""), "")</f>
        <v/>
      </c>
    </row>
    <row r="286" spans="1:20">
      <c r="A286" s="836"/>
      <c r="B286" s="529"/>
      <c r="C286" s="827"/>
      <c r="D286" s="827"/>
      <c r="E286" s="828" t="e">
        <f>LOOKUP(D286,Lookup!$C$9:$C$24,Lookup!$I$9:$I$24)</f>
        <v>#N/A</v>
      </c>
      <c r="F286" s="529"/>
      <c r="G286" s="529"/>
      <c r="H286" s="529"/>
      <c r="I286" s="828" t="e">
        <f t="shared" ref="I286:I349" si="44">LOOKUP(G286, $J$4:$J$26, $L$4:$L$26)</f>
        <v>#N/A</v>
      </c>
      <c r="J286" s="643"/>
      <c r="K286" s="829">
        <f t="shared" ref="K286:K349" si="45">IF(F286&gt;0, F286*I286*J286, 0)</f>
        <v>0</v>
      </c>
      <c r="L286" s="830" t="e">
        <f t="shared" ref="L286:L349" si="46">IF(D286="Exit Signs","convert to kW", K286/B286)</f>
        <v>#DIV/0!</v>
      </c>
      <c r="M286" s="830" t="str">
        <f t="shared" ref="M286:M349" si="47">IF(H286="Yes",IF(D286="Stairs - Active",0.65*L286,IF(D286="Corridor/Transition",0.75*L286,IF(D286="Conference/meeting/multipurpose",1*L286,IF(D286="Community or Computer Room",1*L286,0.9*L286)))),"N/A")</f>
        <v>N/A</v>
      </c>
      <c r="N286" s="831" t="e">
        <f t="shared" si="41"/>
        <v>#N/A</v>
      </c>
      <c r="O286" s="831">
        <f t="shared" ref="O286:O349" si="48">IF(D286="Exit Signs", 5*F286, IF(B286&gt;0, N286*B286, 0))</f>
        <v>0</v>
      </c>
      <c r="P286" s="1024" t="e">
        <f>LOOKUP(G286,$J$4:$J$26,$M$4:$M$26)*LOOKUP(LOOKUP(G286,$J$4:$J$26,$K$4:$K$26),Lookup!$K$9:$K$24,Lookup!$O$9:$O$24)*IF(E286="A",LOOKUP(LOOKUP(G286,$J$4:$J$26,$K$4:$K$26),Lookup!$K$9:$K$24,Lookup!$L$9:$L$24),IF(E286="B",LOOKUP(LOOKUP(G286,$J$4:$J$26,$K$4:$K$26),Lookup!$K$9:$K$24,Lookup!$M$9:$M$24),IF(E286="C",LOOKUP(LOOKUP(G286,$J$4:$J$26,$K$4:$K$26),Lookup!$K$9:$K$24,Lookup!$N$9:$N$24))))</f>
        <v>#N/A</v>
      </c>
      <c r="Q286" s="1024" t="e">
        <f t="shared" ref="Q286:Q349" si="49">IF(D286="Exit Signs","NA", K286*P286/B286)</f>
        <v>#N/A</v>
      </c>
      <c r="R286" s="1024" t="e">
        <f t="shared" si="42"/>
        <v>#N/A</v>
      </c>
      <c r="S286" s="828">
        <f t="shared" ref="S286:S349" si="50">J286*B286</f>
        <v>0</v>
      </c>
      <c r="T286" s="1675" t="str">
        <f t="shared" si="43"/>
        <v/>
      </c>
    </row>
    <row r="287" spans="1:20">
      <c r="A287" s="836"/>
      <c r="B287" s="529"/>
      <c r="C287" s="827"/>
      <c r="D287" s="827"/>
      <c r="E287" s="828" t="e">
        <f>LOOKUP(D287,Lookup!$C$9:$C$24,Lookup!$I$9:$I$24)</f>
        <v>#N/A</v>
      </c>
      <c r="F287" s="529"/>
      <c r="G287" s="529"/>
      <c r="H287" s="529"/>
      <c r="I287" s="828" t="e">
        <f t="shared" si="44"/>
        <v>#N/A</v>
      </c>
      <c r="J287" s="643"/>
      <c r="K287" s="829">
        <f t="shared" si="45"/>
        <v>0</v>
      </c>
      <c r="L287" s="830" t="e">
        <f t="shared" si="46"/>
        <v>#DIV/0!</v>
      </c>
      <c r="M287" s="830" t="str">
        <f t="shared" si="47"/>
        <v>N/A</v>
      </c>
      <c r="N287" s="831" t="e">
        <f t="shared" si="41"/>
        <v>#N/A</v>
      </c>
      <c r="O287" s="831">
        <f t="shared" si="48"/>
        <v>0</v>
      </c>
      <c r="P287" s="1024" t="e">
        <f>LOOKUP(G287,$J$4:$J$26,$M$4:$M$26)*LOOKUP(LOOKUP(G287,$J$4:$J$26,$K$4:$K$26),Lookup!$K$9:$K$24,Lookup!$O$9:$O$24)*IF(E287="A",LOOKUP(LOOKUP(G287,$J$4:$J$26,$K$4:$K$26),Lookup!$K$9:$K$24,Lookup!$L$9:$L$24),IF(E287="B",LOOKUP(LOOKUP(G287,$J$4:$J$26,$K$4:$K$26),Lookup!$K$9:$K$24,Lookup!$M$9:$M$24),IF(E287="C",LOOKUP(LOOKUP(G287,$J$4:$J$26,$K$4:$K$26),Lookup!$K$9:$K$24,Lookup!$N$9:$N$24))))</f>
        <v>#N/A</v>
      </c>
      <c r="Q287" s="1024" t="e">
        <f t="shared" si="49"/>
        <v>#N/A</v>
      </c>
      <c r="R287" s="1024" t="e">
        <f t="shared" si="42"/>
        <v>#N/A</v>
      </c>
      <c r="S287" s="828">
        <f t="shared" si="50"/>
        <v>0</v>
      </c>
      <c r="T287" s="1675" t="str">
        <f t="shared" si="43"/>
        <v/>
      </c>
    </row>
    <row r="288" spans="1:20">
      <c r="A288" s="836"/>
      <c r="B288" s="529"/>
      <c r="C288" s="827"/>
      <c r="D288" s="827"/>
      <c r="E288" s="828" t="e">
        <f>LOOKUP(D288,Lookup!$C$9:$C$24,Lookup!$I$9:$I$24)</f>
        <v>#N/A</v>
      </c>
      <c r="F288" s="529"/>
      <c r="G288" s="529"/>
      <c r="H288" s="529"/>
      <c r="I288" s="828" t="e">
        <f t="shared" si="44"/>
        <v>#N/A</v>
      </c>
      <c r="J288" s="643"/>
      <c r="K288" s="829">
        <f t="shared" si="45"/>
        <v>0</v>
      </c>
      <c r="L288" s="830" t="e">
        <f t="shared" si="46"/>
        <v>#DIV/0!</v>
      </c>
      <c r="M288" s="830" t="str">
        <f t="shared" si="47"/>
        <v>N/A</v>
      </c>
      <c r="N288" s="831" t="e">
        <f t="shared" si="41"/>
        <v>#N/A</v>
      </c>
      <c r="O288" s="831">
        <f t="shared" si="48"/>
        <v>0</v>
      </c>
      <c r="P288" s="1024" t="e">
        <f>LOOKUP(G288,$J$4:$J$26,$M$4:$M$26)*LOOKUP(LOOKUP(G288,$J$4:$J$26,$K$4:$K$26),Lookup!$K$9:$K$24,Lookup!$O$9:$O$24)*IF(E288="A",LOOKUP(LOOKUP(G288,$J$4:$J$26,$K$4:$K$26),Lookup!$K$9:$K$24,Lookup!$L$9:$L$24),IF(E288="B",LOOKUP(LOOKUP(G288,$J$4:$J$26,$K$4:$K$26),Lookup!$K$9:$K$24,Lookup!$M$9:$M$24),IF(E288="C",LOOKUP(LOOKUP(G288,$J$4:$J$26,$K$4:$K$26),Lookup!$K$9:$K$24,Lookup!$N$9:$N$24))))</f>
        <v>#N/A</v>
      </c>
      <c r="Q288" s="1024" t="e">
        <f t="shared" si="49"/>
        <v>#N/A</v>
      </c>
      <c r="R288" s="1024" t="e">
        <f t="shared" si="42"/>
        <v>#N/A</v>
      </c>
      <c r="S288" s="828">
        <f t="shared" si="50"/>
        <v>0</v>
      </c>
      <c r="T288" s="1675" t="str">
        <f t="shared" si="43"/>
        <v/>
      </c>
    </row>
    <row r="289" spans="1:20">
      <c r="A289" s="836"/>
      <c r="B289" s="529"/>
      <c r="C289" s="837"/>
      <c r="D289" s="827"/>
      <c r="E289" s="828" t="e">
        <f>LOOKUP(D289,Lookup!$C$9:$C$24,Lookup!$I$9:$I$24)</f>
        <v>#N/A</v>
      </c>
      <c r="F289" s="529"/>
      <c r="G289" s="529"/>
      <c r="H289" s="529"/>
      <c r="I289" s="828" t="e">
        <f t="shared" si="44"/>
        <v>#N/A</v>
      </c>
      <c r="J289" s="643"/>
      <c r="K289" s="829">
        <f t="shared" si="45"/>
        <v>0</v>
      </c>
      <c r="L289" s="830" t="e">
        <f t="shared" si="46"/>
        <v>#DIV/0!</v>
      </c>
      <c r="M289" s="830" t="str">
        <f t="shared" si="47"/>
        <v>N/A</v>
      </c>
      <c r="N289" s="831" t="e">
        <f t="shared" si="41"/>
        <v>#N/A</v>
      </c>
      <c r="O289" s="831">
        <f t="shared" si="48"/>
        <v>0</v>
      </c>
      <c r="P289" s="1024" t="e">
        <f>LOOKUP(G289,$J$4:$J$26,$M$4:$M$26)*LOOKUP(LOOKUP(G289,$J$4:$J$26,$K$4:$K$26),Lookup!$K$9:$K$24,Lookup!$O$9:$O$24)*IF(E289="A",LOOKUP(LOOKUP(G289,$J$4:$J$26,$K$4:$K$26),Lookup!$K$9:$K$24,Lookup!$L$9:$L$24),IF(E289="B",LOOKUP(LOOKUP(G289,$J$4:$J$26,$K$4:$K$26),Lookup!$K$9:$K$24,Lookup!$M$9:$M$24),IF(E289="C",LOOKUP(LOOKUP(G289,$J$4:$J$26,$K$4:$K$26),Lookup!$K$9:$K$24,Lookup!$N$9:$N$24))))</f>
        <v>#N/A</v>
      </c>
      <c r="Q289" s="1024" t="e">
        <f t="shared" si="49"/>
        <v>#N/A</v>
      </c>
      <c r="R289" s="1024" t="e">
        <f t="shared" si="42"/>
        <v>#N/A</v>
      </c>
      <c r="S289" s="828">
        <f t="shared" si="50"/>
        <v>0</v>
      </c>
      <c r="T289" s="1675" t="str">
        <f t="shared" si="43"/>
        <v/>
      </c>
    </row>
    <row r="290" spans="1:20">
      <c r="A290" s="836"/>
      <c r="B290" s="529"/>
      <c r="C290" s="827"/>
      <c r="D290" s="827"/>
      <c r="E290" s="828" t="e">
        <f>LOOKUP(D290,Lookup!$C$9:$C$24,Lookup!$I$9:$I$24)</f>
        <v>#N/A</v>
      </c>
      <c r="F290" s="529"/>
      <c r="G290" s="529"/>
      <c r="H290" s="529"/>
      <c r="I290" s="828" t="e">
        <f t="shared" si="44"/>
        <v>#N/A</v>
      </c>
      <c r="J290" s="643"/>
      <c r="K290" s="829">
        <f t="shared" si="45"/>
        <v>0</v>
      </c>
      <c r="L290" s="830" t="e">
        <f t="shared" si="46"/>
        <v>#DIV/0!</v>
      </c>
      <c r="M290" s="830" t="str">
        <f t="shared" si="47"/>
        <v>N/A</v>
      </c>
      <c r="N290" s="831" t="e">
        <f t="shared" si="41"/>
        <v>#N/A</v>
      </c>
      <c r="O290" s="831">
        <f t="shared" si="48"/>
        <v>0</v>
      </c>
      <c r="P290" s="1024" t="e">
        <f>LOOKUP(G290,$J$4:$J$26,$M$4:$M$26)*LOOKUP(LOOKUP(G290,$J$4:$J$26,$K$4:$K$26),Lookup!$K$9:$K$24,Lookup!$O$9:$O$24)*IF(E290="A",LOOKUP(LOOKUP(G290,$J$4:$J$26,$K$4:$K$26),Lookup!$K$9:$K$24,Lookup!$L$9:$L$24),IF(E290="B",LOOKUP(LOOKUP(G290,$J$4:$J$26,$K$4:$K$26),Lookup!$K$9:$K$24,Lookup!$M$9:$M$24),IF(E290="C",LOOKUP(LOOKUP(G290,$J$4:$J$26,$K$4:$K$26),Lookup!$K$9:$K$24,Lookup!$N$9:$N$24))))</f>
        <v>#N/A</v>
      </c>
      <c r="Q290" s="1024" t="e">
        <f t="shared" si="49"/>
        <v>#N/A</v>
      </c>
      <c r="R290" s="1024" t="e">
        <f t="shared" si="42"/>
        <v>#N/A</v>
      </c>
      <c r="S290" s="828">
        <f t="shared" si="50"/>
        <v>0</v>
      </c>
      <c r="T290" s="1675" t="str">
        <f t="shared" si="43"/>
        <v/>
      </c>
    </row>
    <row r="291" spans="1:20">
      <c r="A291" s="836"/>
      <c r="B291" s="529"/>
      <c r="C291" s="827"/>
      <c r="D291" s="827"/>
      <c r="E291" s="828" t="e">
        <f>LOOKUP(D291,Lookup!$C$9:$C$24,Lookup!$I$9:$I$24)</f>
        <v>#N/A</v>
      </c>
      <c r="F291" s="529"/>
      <c r="G291" s="529"/>
      <c r="H291" s="529"/>
      <c r="I291" s="828" t="e">
        <f t="shared" si="44"/>
        <v>#N/A</v>
      </c>
      <c r="J291" s="643"/>
      <c r="K291" s="829">
        <f t="shared" si="45"/>
        <v>0</v>
      </c>
      <c r="L291" s="830" t="e">
        <f t="shared" si="46"/>
        <v>#DIV/0!</v>
      </c>
      <c r="M291" s="830" t="str">
        <f t="shared" si="47"/>
        <v>N/A</v>
      </c>
      <c r="N291" s="831" t="e">
        <f t="shared" si="41"/>
        <v>#N/A</v>
      </c>
      <c r="O291" s="831">
        <f t="shared" si="48"/>
        <v>0</v>
      </c>
      <c r="P291" s="1024" t="e">
        <f>LOOKUP(G291,$J$4:$J$26,$M$4:$M$26)*LOOKUP(LOOKUP(G291,$J$4:$J$26,$K$4:$K$26),Lookup!$K$9:$K$24,Lookup!$O$9:$O$24)*IF(E291="A",LOOKUP(LOOKUP(G291,$J$4:$J$26,$K$4:$K$26),Lookup!$K$9:$K$24,Lookup!$L$9:$L$24),IF(E291="B",LOOKUP(LOOKUP(G291,$J$4:$J$26,$K$4:$K$26),Lookup!$K$9:$K$24,Lookup!$M$9:$M$24),IF(E291="C",LOOKUP(LOOKUP(G291,$J$4:$J$26,$K$4:$K$26),Lookup!$K$9:$K$24,Lookup!$N$9:$N$24))))</f>
        <v>#N/A</v>
      </c>
      <c r="Q291" s="1024" t="e">
        <f t="shared" si="49"/>
        <v>#N/A</v>
      </c>
      <c r="R291" s="1024" t="e">
        <f t="shared" si="42"/>
        <v>#N/A</v>
      </c>
      <c r="S291" s="828">
        <f t="shared" si="50"/>
        <v>0</v>
      </c>
      <c r="T291" s="1675" t="str">
        <f t="shared" si="43"/>
        <v/>
      </c>
    </row>
    <row r="292" spans="1:20">
      <c r="A292" s="836"/>
      <c r="B292" s="529"/>
      <c r="C292" s="827"/>
      <c r="D292" s="827"/>
      <c r="E292" s="828" t="e">
        <f>LOOKUP(D292,Lookup!$C$9:$C$24,Lookup!$I$9:$I$24)</f>
        <v>#N/A</v>
      </c>
      <c r="F292" s="529"/>
      <c r="G292" s="529"/>
      <c r="H292" s="529"/>
      <c r="I292" s="828" t="e">
        <f t="shared" si="44"/>
        <v>#N/A</v>
      </c>
      <c r="J292" s="643"/>
      <c r="K292" s="829">
        <f t="shared" si="45"/>
        <v>0</v>
      </c>
      <c r="L292" s="830" t="e">
        <f t="shared" si="46"/>
        <v>#DIV/0!</v>
      </c>
      <c r="M292" s="830" t="str">
        <f t="shared" si="47"/>
        <v>N/A</v>
      </c>
      <c r="N292" s="831" t="e">
        <f t="shared" si="41"/>
        <v>#N/A</v>
      </c>
      <c r="O292" s="831">
        <f t="shared" si="48"/>
        <v>0</v>
      </c>
      <c r="P292" s="1024" t="e">
        <f>LOOKUP(G292,$J$4:$J$26,$M$4:$M$26)*LOOKUP(LOOKUP(G292,$J$4:$J$26,$K$4:$K$26),Lookup!$K$9:$K$24,Lookup!$O$9:$O$24)*IF(E292="A",LOOKUP(LOOKUP(G292,$J$4:$J$26,$K$4:$K$26),Lookup!$K$9:$K$24,Lookup!$L$9:$L$24),IF(E292="B",LOOKUP(LOOKUP(G292,$J$4:$J$26,$K$4:$K$26),Lookup!$K$9:$K$24,Lookup!$M$9:$M$24),IF(E292="C",LOOKUP(LOOKUP(G292,$J$4:$J$26,$K$4:$K$26),Lookup!$K$9:$K$24,Lookup!$N$9:$N$24))))</f>
        <v>#N/A</v>
      </c>
      <c r="Q292" s="1024" t="e">
        <f t="shared" si="49"/>
        <v>#N/A</v>
      </c>
      <c r="R292" s="1024" t="e">
        <f t="shared" si="42"/>
        <v>#N/A</v>
      </c>
      <c r="S292" s="828">
        <f t="shared" si="50"/>
        <v>0</v>
      </c>
      <c r="T292" s="1675" t="str">
        <f t="shared" si="43"/>
        <v/>
      </c>
    </row>
    <row r="293" spans="1:20">
      <c r="A293" s="836"/>
      <c r="B293" s="529"/>
      <c r="C293" s="827"/>
      <c r="D293" s="827"/>
      <c r="E293" s="828" t="e">
        <f>LOOKUP(D293,Lookup!$C$9:$C$24,Lookup!$I$9:$I$24)</f>
        <v>#N/A</v>
      </c>
      <c r="F293" s="529"/>
      <c r="G293" s="529"/>
      <c r="H293" s="529"/>
      <c r="I293" s="828" t="e">
        <f t="shared" si="44"/>
        <v>#N/A</v>
      </c>
      <c r="J293" s="643"/>
      <c r="K293" s="829">
        <f t="shared" si="45"/>
        <v>0</v>
      </c>
      <c r="L293" s="830" t="e">
        <f t="shared" si="46"/>
        <v>#DIV/0!</v>
      </c>
      <c r="M293" s="830" t="str">
        <f t="shared" si="47"/>
        <v>N/A</v>
      </c>
      <c r="N293" s="831" t="e">
        <f t="shared" si="41"/>
        <v>#N/A</v>
      </c>
      <c r="O293" s="831">
        <f t="shared" si="48"/>
        <v>0</v>
      </c>
      <c r="P293" s="1024" t="e">
        <f>LOOKUP(G293,$J$4:$J$26,$M$4:$M$26)*LOOKUP(LOOKUP(G293,$J$4:$J$26,$K$4:$K$26),Lookup!$K$9:$K$24,Lookup!$O$9:$O$24)*IF(E293="A",LOOKUP(LOOKUP(G293,$J$4:$J$26,$K$4:$K$26),Lookup!$K$9:$K$24,Lookup!$L$9:$L$24),IF(E293="B",LOOKUP(LOOKUP(G293,$J$4:$J$26,$K$4:$K$26),Lookup!$K$9:$K$24,Lookup!$M$9:$M$24),IF(E293="C",LOOKUP(LOOKUP(G293,$J$4:$J$26,$K$4:$K$26),Lookup!$K$9:$K$24,Lookup!$N$9:$N$24))))</f>
        <v>#N/A</v>
      </c>
      <c r="Q293" s="1024" t="e">
        <f t="shared" si="49"/>
        <v>#N/A</v>
      </c>
      <c r="R293" s="1024" t="e">
        <f t="shared" si="42"/>
        <v>#N/A</v>
      </c>
      <c r="S293" s="828">
        <f t="shared" si="50"/>
        <v>0</v>
      </c>
      <c r="T293" s="1675" t="str">
        <f t="shared" si="43"/>
        <v/>
      </c>
    </row>
    <row r="294" spans="1:20">
      <c r="A294" s="836"/>
      <c r="B294" s="529"/>
      <c r="C294" s="827"/>
      <c r="D294" s="827"/>
      <c r="E294" s="828" t="e">
        <f>LOOKUP(D294,Lookup!$C$9:$C$24,Lookup!$I$9:$I$24)</f>
        <v>#N/A</v>
      </c>
      <c r="F294" s="529"/>
      <c r="G294" s="529"/>
      <c r="H294" s="529"/>
      <c r="I294" s="828" t="e">
        <f t="shared" si="44"/>
        <v>#N/A</v>
      </c>
      <c r="J294" s="643"/>
      <c r="K294" s="829">
        <f t="shared" si="45"/>
        <v>0</v>
      </c>
      <c r="L294" s="830" t="e">
        <f t="shared" si="46"/>
        <v>#DIV/0!</v>
      </c>
      <c r="M294" s="830" t="str">
        <f t="shared" si="47"/>
        <v>N/A</v>
      </c>
      <c r="N294" s="831" t="e">
        <f t="shared" si="41"/>
        <v>#N/A</v>
      </c>
      <c r="O294" s="831">
        <f t="shared" si="48"/>
        <v>0</v>
      </c>
      <c r="P294" s="1024" t="e">
        <f>LOOKUP(G294,$J$4:$J$26,$M$4:$M$26)*LOOKUP(LOOKUP(G294,$J$4:$J$26,$K$4:$K$26),Lookup!$K$9:$K$24,Lookup!$O$9:$O$24)*IF(E294="A",LOOKUP(LOOKUP(G294,$J$4:$J$26,$K$4:$K$26),Lookup!$K$9:$K$24,Lookup!$L$9:$L$24),IF(E294="B",LOOKUP(LOOKUP(G294,$J$4:$J$26,$K$4:$K$26),Lookup!$K$9:$K$24,Lookup!$M$9:$M$24),IF(E294="C",LOOKUP(LOOKUP(G294,$J$4:$J$26,$K$4:$K$26),Lookup!$K$9:$K$24,Lookup!$N$9:$N$24))))</f>
        <v>#N/A</v>
      </c>
      <c r="Q294" s="1024" t="e">
        <f t="shared" si="49"/>
        <v>#N/A</v>
      </c>
      <c r="R294" s="1024" t="e">
        <f t="shared" si="42"/>
        <v>#N/A</v>
      </c>
      <c r="S294" s="828">
        <f t="shared" si="50"/>
        <v>0</v>
      </c>
      <c r="T294" s="1675" t="str">
        <f t="shared" si="43"/>
        <v/>
      </c>
    </row>
    <row r="295" spans="1:20">
      <c r="A295" s="836"/>
      <c r="B295" s="529"/>
      <c r="C295" s="837"/>
      <c r="D295" s="827"/>
      <c r="E295" s="828" t="e">
        <f>LOOKUP(D295,Lookup!$C$9:$C$24,Lookup!$I$9:$I$24)</f>
        <v>#N/A</v>
      </c>
      <c r="F295" s="529"/>
      <c r="G295" s="529"/>
      <c r="H295" s="529"/>
      <c r="I295" s="828" t="e">
        <f t="shared" si="44"/>
        <v>#N/A</v>
      </c>
      <c r="J295" s="643"/>
      <c r="K295" s="829">
        <f t="shared" si="45"/>
        <v>0</v>
      </c>
      <c r="L295" s="830" t="e">
        <f t="shared" si="46"/>
        <v>#DIV/0!</v>
      </c>
      <c r="M295" s="830" t="str">
        <f t="shared" si="47"/>
        <v>N/A</v>
      </c>
      <c r="N295" s="831" t="e">
        <f t="shared" si="41"/>
        <v>#N/A</v>
      </c>
      <c r="O295" s="831">
        <f t="shared" si="48"/>
        <v>0</v>
      </c>
      <c r="P295" s="1024" t="e">
        <f>LOOKUP(G295,$J$4:$J$26,$M$4:$M$26)*LOOKUP(LOOKUP(G295,$J$4:$J$26,$K$4:$K$26),Lookup!$K$9:$K$24,Lookup!$O$9:$O$24)*IF(E295="A",LOOKUP(LOOKUP(G295,$J$4:$J$26,$K$4:$K$26),Lookup!$K$9:$K$24,Lookup!$L$9:$L$24),IF(E295="B",LOOKUP(LOOKUP(G295,$J$4:$J$26,$K$4:$K$26),Lookup!$K$9:$K$24,Lookup!$M$9:$M$24),IF(E295="C",LOOKUP(LOOKUP(G295,$J$4:$J$26,$K$4:$K$26),Lookup!$K$9:$K$24,Lookup!$N$9:$N$24))))</f>
        <v>#N/A</v>
      </c>
      <c r="Q295" s="1024" t="e">
        <f t="shared" si="49"/>
        <v>#N/A</v>
      </c>
      <c r="R295" s="1024" t="e">
        <f t="shared" si="42"/>
        <v>#N/A</v>
      </c>
      <c r="S295" s="828">
        <f t="shared" si="50"/>
        <v>0</v>
      </c>
      <c r="T295" s="1675" t="str">
        <f t="shared" si="43"/>
        <v/>
      </c>
    </row>
    <row r="296" spans="1:20">
      <c r="A296" s="836"/>
      <c r="B296" s="529"/>
      <c r="C296" s="827"/>
      <c r="D296" s="827"/>
      <c r="E296" s="828" t="e">
        <f>LOOKUP(D296,Lookup!$C$9:$C$24,Lookup!$I$9:$I$24)</f>
        <v>#N/A</v>
      </c>
      <c r="F296" s="529"/>
      <c r="G296" s="529"/>
      <c r="H296" s="529"/>
      <c r="I296" s="828" t="e">
        <f t="shared" si="44"/>
        <v>#N/A</v>
      </c>
      <c r="J296" s="643"/>
      <c r="K296" s="829">
        <f t="shared" si="45"/>
        <v>0</v>
      </c>
      <c r="L296" s="830" t="e">
        <f t="shared" si="46"/>
        <v>#DIV/0!</v>
      </c>
      <c r="M296" s="830" t="str">
        <f t="shared" si="47"/>
        <v>N/A</v>
      </c>
      <c r="N296" s="831" t="e">
        <f t="shared" si="41"/>
        <v>#N/A</v>
      </c>
      <c r="O296" s="831">
        <f t="shared" si="48"/>
        <v>0</v>
      </c>
      <c r="P296" s="1024" t="e">
        <f>LOOKUP(G296,$J$4:$J$26,$M$4:$M$26)*LOOKUP(LOOKUP(G296,$J$4:$J$26,$K$4:$K$26),Lookup!$K$9:$K$24,Lookup!$O$9:$O$24)*IF(E296="A",LOOKUP(LOOKUP(G296,$J$4:$J$26,$K$4:$K$26),Lookup!$K$9:$K$24,Lookup!$L$9:$L$24),IF(E296="B",LOOKUP(LOOKUP(G296,$J$4:$J$26,$K$4:$K$26),Lookup!$K$9:$K$24,Lookup!$M$9:$M$24),IF(E296="C",LOOKUP(LOOKUP(G296,$J$4:$J$26,$K$4:$K$26),Lookup!$K$9:$K$24,Lookup!$N$9:$N$24))))</f>
        <v>#N/A</v>
      </c>
      <c r="Q296" s="1024" t="e">
        <f t="shared" si="49"/>
        <v>#N/A</v>
      </c>
      <c r="R296" s="1024" t="e">
        <f t="shared" si="42"/>
        <v>#N/A</v>
      </c>
      <c r="S296" s="828">
        <f t="shared" si="50"/>
        <v>0</v>
      </c>
      <c r="T296" s="1675" t="str">
        <f t="shared" si="43"/>
        <v/>
      </c>
    </row>
    <row r="297" spans="1:20">
      <c r="A297" s="836"/>
      <c r="B297" s="529"/>
      <c r="C297" s="827"/>
      <c r="D297" s="827"/>
      <c r="E297" s="828" t="e">
        <f>LOOKUP(D297,Lookup!$C$9:$C$24,Lookup!$I$9:$I$24)</f>
        <v>#N/A</v>
      </c>
      <c r="F297" s="529"/>
      <c r="G297" s="529"/>
      <c r="H297" s="529"/>
      <c r="I297" s="828" t="e">
        <f t="shared" si="44"/>
        <v>#N/A</v>
      </c>
      <c r="J297" s="643"/>
      <c r="K297" s="829">
        <f t="shared" si="45"/>
        <v>0</v>
      </c>
      <c r="L297" s="830" t="e">
        <f t="shared" si="46"/>
        <v>#DIV/0!</v>
      </c>
      <c r="M297" s="830" t="str">
        <f t="shared" si="47"/>
        <v>N/A</v>
      </c>
      <c r="N297" s="831" t="e">
        <f t="shared" si="41"/>
        <v>#N/A</v>
      </c>
      <c r="O297" s="831">
        <f t="shared" si="48"/>
        <v>0</v>
      </c>
      <c r="P297" s="1024" t="e">
        <f>LOOKUP(G297,$J$4:$J$26,$M$4:$M$26)*LOOKUP(LOOKUP(G297,$J$4:$J$26,$K$4:$K$26),Lookup!$K$9:$K$24,Lookup!$O$9:$O$24)*IF(E297="A",LOOKUP(LOOKUP(G297,$J$4:$J$26,$K$4:$K$26),Lookup!$K$9:$K$24,Lookup!$L$9:$L$24),IF(E297="B",LOOKUP(LOOKUP(G297,$J$4:$J$26,$K$4:$K$26),Lookup!$K$9:$K$24,Lookup!$M$9:$M$24),IF(E297="C",LOOKUP(LOOKUP(G297,$J$4:$J$26,$K$4:$K$26),Lookup!$K$9:$K$24,Lookup!$N$9:$N$24))))</f>
        <v>#N/A</v>
      </c>
      <c r="Q297" s="1024" t="e">
        <f t="shared" si="49"/>
        <v>#N/A</v>
      </c>
      <c r="R297" s="1024" t="e">
        <f t="shared" si="42"/>
        <v>#N/A</v>
      </c>
      <c r="S297" s="828">
        <f t="shared" si="50"/>
        <v>0</v>
      </c>
      <c r="T297" s="1675" t="str">
        <f t="shared" si="43"/>
        <v/>
      </c>
    </row>
    <row r="298" spans="1:20">
      <c r="A298" s="836"/>
      <c r="B298" s="529"/>
      <c r="C298" s="827"/>
      <c r="D298" s="827"/>
      <c r="E298" s="828" t="e">
        <f>LOOKUP(D298,Lookup!$C$9:$C$24,Lookup!$I$9:$I$24)</f>
        <v>#N/A</v>
      </c>
      <c r="F298" s="529"/>
      <c r="G298" s="529"/>
      <c r="H298" s="529"/>
      <c r="I298" s="828" t="e">
        <f t="shared" si="44"/>
        <v>#N/A</v>
      </c>
      <c r="J298" s="643"/>
      <c r="K298" s="829">
        <f t="shared" si="45"/>
        <v>0</v>
      </c>
      <c r="L298" s="830" t="e">
        <f t="shared" si="46"/>
        <v>#DIV/0!</v>
      </c>
      <c r="M298" s="830" t="str">
        <f t="shared" si="47"/>
        <v>N/A</v>
      </c>
      <c r="N298" s="831" t="e">
        <f t="shared" si="41"/>
        <v>#N/A</v>
      </c>
      <c r="O298" s="831">
        <f t="shared" si="48"/>
        <v>0</v>
      </c>
      <c r="P298" s="1024" t="e">
        <f>LOOKUP(G298,$J$4:$J$26,$M$4:$M$26)*LOOKUP(LOOKUP(G298,$J$4:$J$26,$K$4:$K$26),Lookup!$K$9:$K$24,Lookup!$O$9:$O$24)*IF(E298="A",LOOKUP(LOOKUP(G298,$J$4:$J$26,$K$4:$K$26),Lookup!$K$9:$K$24,Lookup!$L$9:$L$24),IF(E298="B",LOOKUP(LOOKUP(G298,$J$4:$J$26,$K$4:$K$26),Lookup!$K$9:$K$24,Lookup!$M$9:$M$24),IF(E298="C",LOOKUP(LOOKUP(G298,$J$4:$J$26,$K$4:$K$26),Lookup!$K$9:$K$24,Lookup!$N$9:$N$24))))</f>
        <v>#N/A</v>
      </c>
      <c r="Q298" s="1024" t="e">
        <f t="shared" si="49"/>
        <v>#N/A</v>
      </c>
      <c r="R298" s="1024" t="e">
        <f t="shared" si="42"/>
        <v>#N/A</v>
      </c>
      <c r="S298" s="828">
        <f t="shared" si="50"/>
        <v>0</v>
      </c>
      <c r="T298" s="1675" t="str">
        <f t="shared" si="43"/>
        <v/>
      </c>
    </row>
    <row r="299" spans="1:20">
      <c r="A299" s="836"/>
      <c r="B299" s="529"/>
      <c r="C299" s="827"/>
      <c r="D299" s="827"/>
      <c r="E299" s="828" t="e">
        <f>LOOKUP(D299,Lookup!$C$9:$C$24,Lookup!$I$9:$I$24)</f>
        <v>#N/A</v>
      </c>
      <c r="F299" s="529"/>
      <c r="G299" s="529"/>
      <c r="H299" s="529"/>
      <c r="I299" s="828" t="e">
        <f t="shared" si="44"/>
        <v>#N/A</v>
      </c>
      <c r="J299" s="643"/>
      <c r="K299" s="829">
        <f t="shared" si="45"/>
        <v>0</v>
      </c>
      <c r="L299" s="830" t="e">
        <f t="shared" si="46"/>
        <v>#DIV/0!</v>
      </c>
      <c r="M299" s="830" t="str">
        <f t="shared" si="47"/>
        <v>N/A</v>
      </c>
      <c r="N299" s="831" t="e">
        <f t="shared" si="41"/>
        <v>#N/A</v>
      </c>
      <c r="O299" s="831">
        <f t="shared" si="48"/>
        <v>0</v>
      </c>
      <c r="P299" s="1024" t="e">
        <f>LOOKUP(G299,$J$4:$J$26,$M$4:$M$26)*LOOKUP(LOOKUP(G299,$J$4:$J$26,$K$4:$K$26),Lookup!$K$9:$K$24,Lookup!$O$9:$O$24)*IF(E299="A",LOOKUP(LOOKUP(G299,$J$4:$J$26,$K$4:$K$26),Lookup!$K$9:$K$24,Lookup!$L$9:$L$24),IF(E299="B",LOOKUP(LOOKUP(G299,$J$4:$J$26,$K$4:$K$26),Lookup!$K$9:$K$24,Lookup!$M$9:$M$24),IF(E299="C",LOOKUP(LOOKUP(G299,$J$4:$J$26,$K$4:$K$26),Lookup!$K$9:$K$24,Lookup!$N$9:$N$24))))</f>
        <v>#N/A</v>
      </c>
      <c r="Q299" s="1024" t="e">
        <f t="shared" si="49"/>
        <v>#N/A</v>
      </c>
      <c r="R299" s="1024" t="e">
        <f t="shared" si="42"/>
        <v>#N/A</v>
      </c>
      <c r="S299" s="828">
        <f t="shared" si="50"/>
        <v>0</v>
      </c>
      <c r="T299" s="1675" t="str">
        <f t="shared" si="43"/>
        <v/>
      </c>
    </row>
    <row r="300" spans="1:20">
      <c r="A300" s="836"/>
      <c r="B300" s="529"/>
      <c r="C300" s="827"/>
      <c r="D300" s="827"/>
      <c r="E300" s="828" t="e">
        <f>LOOKUP(D300,Lookup!$C$9:$C$24,Lookup!$I$9:$I$24)</f>
        <v>#N/A</v>
      </c>
      <c r="F300" s="529"/>
      <c r="G300" s="529"/>
      <c r="H300" s="529"/>
      <c r="I300" s="828" t="e">
        <f t="shared" si="44"/>
        <v>#N/A</v>
      </c>
      <c r="J300" s="643"/>
      <c r="K300" s="829">
        <f t="shared" si="45"/>
        <v>0</v>
      </c>
      <c r="L300" s="830" t="e">
        <f t="shared" si="46"/>
        <v>#DIV/0!</v>
      </c>
      <c r="M300" s="830" t="str">
        <f t="shared" si="47"/>
        <v>N/A</v>
      </c>
      <c r="N300" s="831" t="e">
        <f t="shared" si="41"/>
        <v>#N/A</v>
      </c>
      <c r="O300" s="831">
        <f t="shared" si="48"/>
        <v>0</v>
      </c>
      <c r="P300" s="1024" t="e">
        <f>LOOKUP(G300,$J$4:$J$26,$M$4:$M$26)*LOOKUP(LOOKUP(G300,$J$4:$J$26,$K$4:$K$26),Lookup!$K$9:$K$24,Lookup!$O$9:$O$24)*IF(E300="A",LOOKUP(LOOKUP(G300,$J$4:$J$26,$K$4:$K$26),Lookup!$K$9:$K$24,Lookup!$L$9:$L$24),IF(E300="B",LOOKUP(LOOKUP(G300,$J$4:$J$26,$K$4:$K$26),Lookup!$K$9:$K$24,Lookup!$M$9:$M$24),IF(E300="C",LOOKUP(LOOKUP(G300,$J$4:$J$26,$K$4:$K$26),Lookup!$K$9:$K$24,Lookup!$N$9:$N$24))))</f>
        <v>#N/A</v>
      </c>
      <c r="Q300" s="1024" t="e">
        <f t="shared" si="49"/>
        <v>#N/A</v>
      </c>
      <c r="R300" s="1024" t="e">
        <f t="shared" si="42"/>
        <v>#N/A</v>
      </c>
      <c r="S300" s="828">
        <f t="shared" si="50"/>
        <v>0</v>
      </c>
      <c r="T300" s="1675" t="str">
        <f t="shared" si="43"/>
        <v/>
      </c>
    </row>
    <row r="301" spans="1:20">
      <c r="A301" s="836"/>
      <c r="B301" s="529"/>
      <c r="C301" s="837"/>
      <c r="D301" s="827"/>
      <c r="E301" s="828" t="e">
        <f>LOOKUP(D301,Lookup!$C$9:$C$24,Lookup!$I$9:$I$24)</f>
        <v>#N/A</v>
      </c>
      <c r="F301" s="529"/>
      <c r="G301" s="529"/>
      <c r="H301" s="529"/>
      <c r="I301" s="828" t="e">
        <f t="shared" si="44"/>
        <v>#N/A</v>
      </c>
      <c r="J301" s="643"/>
      <c r="K301" s="829">
        <f t="shared" si="45"/>
        <v>0</v>
      </c>
      <c r="L301" s="830" t="e">
        <f t="shared" si="46"/>
        <v>#DIV/0!</v>
      </c>
      <c r="M301" s="830" t="str">
        <f t="shared" si="47"/>
        <v>N/A</v>
      </c>
      <c r="N301" s="831" t="e">
        <f t="shared" si="41"/>
        <v>#N/A</v>
      </c>
      <c r="O301" s="831">
        <f t="shared" si="48"/>
        <v>0</v>
      </c>
      <c r="P301" s="1024" t="e">
        <f>LOOKUP(G301,$J$4:$J$26,$M$4:$M$26)*LOOKUP(LOOKUP(G301,$J$4:$J$26,$K$4:$K$26),Lookup!$K$9:$K$24,Lookup!$O$9:$O$24)*IF(E301="A",LOOKUP(LOOKUP(G301,$J$4:$J$26,$K$4:$K$26),Lookup!$K$9:$K$24,Lookup!$L$9:$L$24),IF(E301="B",LOOKUP(LOOKUP(G301,$J$4:$J$26,$K$4:$K$26),Lookup!$K$9:$K$24,Lookup!$M$9:$M$24),IF(E301="C",LOOKUP(LOOKUP(G301,$J$4:$J$26,$K$4:$K$26),Lookup!$K$9:$K$24,Lookup!$N$9:$N$24))))</f>
        <v>#N/A</v>
      </c>
      <c r="Q301" s="1024" t="e">
        <f t="shared" si="49"/>
        <v>#N/A</v>
      </c>
      <c r="R301" s="1024" t="e">
        <f t="shared" si="42"/>
        <v>#N/A</v>
      </c>
      <c r="S301" s="828">
        <f t="shared" si="50"/>
        <v>0</v>
      </c>
      <c r="T301" s="1675" t="str">
        <f t="shared" si="43"/>
        <v/>
      </c>
    </row>
    <row r="302" spans="1:20" ht="11.25" customHeight="1">
      <c r="A302" s="836"/>
      <c r="B302" s="529"/>
      <c r="C302" s="827"/>
      <c r="D302" s="827"/>
      <c r="E302" s="828" t="e">
        <f>LOOKUP(D302,Lookup!$C$9:$C$24,Lookup!$I$9:$I$24)</f>
        <v>#N/A</v>
      </c>
      <c r="F302" s="529"/>
      <c r="G302" s="529"/>
      <c r="H302" s="529"/>
      <c r="I302" s="828" t="e">
        <f t="shared" si="44"/>
        <v>#N/A</v>
      </c>
      <c r="J302" s="643"/>
      <c r="K302" s="829">
        <f t="shared" si="45"/>
        <v>0</v>
      </c>
      <c r="L302" s="830" t="e">
        <f t="shared" si="46"/>
        <v>#DIV/0!</v>
      </c>
      <c r="M302" s="830" t="str">
        <f t="shared" si="47"/>
        <v>N/A</v>
      </c>
      <c r="N302" s="831" t="e">
        <f t="shared" si="41"/>
        <v>#N/A</v>
      </c>
      <c r="O302" s="831">
        <f t="shared" si="48"/>
        <v>0</v>
      </c>
      <c r="P302" s="1024" t="e">
        <f>LOOKUP(G302,$J$4:$J$26,$M$4:$M$26)*LOOKUP(LOOKUP(G302,$J$4:$J$26,$K$4:$K$26),Lookup!$K$9:$K$24,Lookup!$O$9:$O$24)*IF(E302="A",LOOKUP(LOOKUP(G302,$J$4:$J$26,$K$4:$K$26),Lookup!$K$9:$K$24,Lookup!$L$9:$L$24),IF(E302="B",LOOKUP(LOOKUP(G302,$J$4:$J$26,$K$4:$K$26),Lookup!$K$9:$K$24,Lookup!$M$9:$M$24),IF(E302="C",LOOKUP(LOOKUP(G302,$J$4:$J$26,$K$4:$K$26),Lookup!$K$9:$K$24,Lookup!$N$9:$N$24))))</f>
        <v>#N/A</v>
      </c>
      <c r="Q302" s="1024" t="e">
        <f t="shared" si="49"/>
        <v>#N/A</v>
      </c>
      <c r="R302" s="1024" t="e">
        <f t="shared" si="42"/>
        <v>#N/A</v>
      </c>
      <c r="S302" s="828">
        <f t="shared" si="50"/>
        <v>0</v>
      </c>
      <c r="T302" s="1675" t="str">
        <f t="shared" si="43"/>
        <v/>
      </c>
    </row>
    <row r="303" spans="1:20" ht="12.75" customHeight="1">
      <c r="A303" s="836"/>
      <c r="B303" s="529"/>
      <c r="C303" s="827"/>
      <c r="D303" s="827"/>
      <c r="E303" s="828" t="e">
        <f>LOOKUP(D303,Lookup!$C$9:$C$24,Lookup!$I$9:$I$24)</f>
        <v>#N/A</v>
      </c>
      <c r="F303" s="529"/>
      <c r="G303" s="529"/>
      <c r="H303" s="529"/>
      <c r="I303" s="828" t="e">
        <f t="shared" si="44"/>
        <v>#N/A</v>
      </c>
      <c r="J303" s="643"/>
      <c r="K303" s="829">
        <f t="shared" si="45"/>
        <v>0</v>
      </c>
      <c r="L303" s="830" t="e">
        <f t="shared" si="46"/>
        <v>#DIV/0!</v>
      </c>
      <c r="M303" s="830" t="str">
        <f t="shared" si="47"/>
        <v>N/A</v>
      </c>
      <c r="N303" s="831" t="e">
        <f t="shared" si="41"/>
        <v>#N/A</v>
      </c>
      <c r="O303" s="831">
        <f t="shared" si="48"/>
        <v>0</v>
      </c>
      <c r="P303" s="1024" t="e">
        <f>LOOKUP(G303,$J$4:$J$26,$M$4:$M$26)*LOOKUP(LOOKUP(G303,$J$4:$J$26,$K$4:$K$26),Lookup!$K$9:$K$24,Lookup!$O$9:$O$24)*IF(E303="A",LOOKUP(LOOKUP(G303,$J$4:$J$26,$K$4:$K$26),Lookup!$K$9:$K$24,Lookup!$L$9:$L$24),IF(E303="B",LOOKUP(LOOKUP(G303,$J$4:$J$26,$K$4:$K$26),Lookup!$K$9:$K$24,Lookup!$M$9:$M$24),IF(E303="C",LOOKUP(LOOKUP(G303,$J$4:$J$26,$K$4:$K$26),Lookup!$K$9:$K$24,Lookup!$N$9:$N$24))))</f>
        <v>#N/A</v>
      </c>
      <c r="Q303" s="1024" t="e">
        <f t="shared" si="49"/>
        <v>#N/A</v>
      </c>
      <c r="R303" s="1024" t="e">
        <f t="shared" si="42"/>
        <v>#N/A</v>
      </c>
      <c r="S303" s="828">
        <f t="shared" si="50"/>
        <v>0</v>
      </c>
      <c r="T303" s="1675" t="str">
        <f t="shared" si="43"/>
        <v/>
      </c>
    </row>
    <row r="304" spans="1:20" ht="12.75" customHeight="1">
      <c r="A304" s="836"/>
      <c r="B304" s="529"/>
      <c r="C304" s="827"/>
      <c r="D304" s="827"/>
      <c r="E304" s="828" t="e">
        <f>LOOKUP(D304,Lookup!$C$9:$C$24,Lookup!$I$9:$I$24)</f>
        <v>#N/A</v>
      </c>
      <c r="F304" s="529"/>
      <c r="G304" s="529"/>
      <c r="H304" s="529"/>
      <c r="I304" s="828" t="e">
        <f t="shared" si="44"/>
        <v>#N/A</v>
      </c>
      <c r="J304" s="643"/>
      <c r="K304" s="829">
        <f t="shared" si="45"/>
        <v>0</v>
      </c>
      <c r="L304" s="830" t="e">
        <f t="shared" si="46"/>
        <v>#DIV/0!</v>
      </c>
      <c r="M304" s="830" t="str">
        <f t="shared" si="47"/>
        <v>N/A</v>
      </c>
      <c r="N304" s="831" t="e">
        <f t="shared" si="41"/>
        <v>#N/A</v>
      </c>
      <c r="O304" s="831">
        <f t="shared" si="48"/>
        <v>0</v>
      </c>
      <c r="P304" s="1024" t="e">
        <f>LOOKUP(G304,$J$4:$J$26,$M$4:$M$26)*LOOKUP(LOOKUP(G304,$J$4:$J$26,$K$4:$K$26),Lookup!$K$9:$K$24,Lookup!$O$9:$O$24)*IF(E304="A",LOOKUP(LOOKUP(G304,$J$4:$J$26,$K$4:$K$26),Lookup!$K$9:$K$24,Lookup!$L$9:$L$24),IF(E304="B",LOOKUP(LOOKUP(G304,$J$4:$J$26,$K$4:$K$26),Lookup!$K$9:$K$24,Lookup!$M$9:$M$24),IF(E304="C",LOOKUP(LOOKUP(G304,$J$4:$J$26,$K$4:$K$26),Lookup!$K$9:$K$24,Lookup!$N$9:$N$24))))</f>
        <v>#N/A</v>
      </c>
      <c r="Q304" s="1024" t="e">
        <f t="shared" si="49"/>
        <v>#N/A</v>
      </c>
      <c r="R304" s="1024" t="e">
        <f t="shared" si="42"/>
        <v>#N/A</v>
      </c>
      <c r="S304" s="828">
        <f t="shared" si="50"/>
        <v>0</v>
      </c>
      <c r="T304" s="1675" t="str">
        <f t="shared" si="43"/>
        <v/>
      </c>
    </row>
    <row r="305" spans="1:20">
      <c r="A305" s="836"/>
      <c r="B305" s="529"/>
      <c r="C305" s="827"/>
      <c r="D305" s="827"/>
      <c r="E305" s="828" t="e">
        <f>LOOKUP(D305,Lookup!$C$9:$C$24,Lookup!$I$9:$I$24)</f>
        <v>#N/A</v>
      </c>
      <c r="F305" s="529"/>
      <c r="G305" s="529"/>
      <c r="H305" s="529"/>
      <c r="I305" s="828" t="e">
        <f t="shared" si="44"/>
        <v>#N/A</v>
      </c>
      <c r="J305" s="643"/>
      <c r="K305" s="829">
        <f t="shared" si="45"/>
        <v>0</v>
      </c>
      <c r="L305" s="830" t="e">
        <f t="shared" si="46"/>
        <v>#DIV/0!</v>
      </c>
      <c r="M305" s="830" t="str">
        <f t="shared" si="47"/>
        <v>N/A</v>
      </c>
      <c r="N305" s="831" t="e">
        <f t="shared" si="41"/>
        <v>#N/A</v>
      </c>
      <c r="O305" s="831">
        <f t="shared" si="48"/>
        <v>0</v>
      </c>
      <c r="P305" s="1024" t="e">
        <f>LOOKUP(G305,$J$4:$J$26,$M$4:$M$26)*LOOKUP(LOOKUP(G305,$J$4:$J$26,$K$4:$K$26),Lookup!$K$9:$K$24,Lookup!$O$9:$O$24)*IF(E305="A",LOOKUP(LOOKUP(G305,$J$4:$J$26,$K$4:$K$26),Lookup!$K$9:$K$24,Lookup!$L$9:$L$24),IF(E305="B",LOOKUP(LOOKUP(G305,$J$4:$J$26,$K$4:$K$26),Lookup!$K$9:$K$24,Lookup!$M$9:$M$24),IF(E305="C",LOOKUP(LOOKUP(G305,$J$4:$J$26,$K$4:$K$26),Lookup!$K$9:$K$24,Lookup!$N$9:$N$24))))</f>
        <v>#N/A</v>
      </c>
      <c r="Q305" s="1024" t="e">
        <f t="shared" si="49"/>
        <v>#N/A</v>
      </c>
      <c r="R305" s="1024" t="e">
        <f t="shared" si="42"/>
        <v>#N/A</v>
      </c>
      <c r="S305" s="828">
        <f t="shared" si="50"/>
        <v>0</v>
      </c>
      <c r="T305" s="1675" t="str">
        <f t="shared" si="43"/>
        <v/>
      </c>
    </row>
    <row r="306" spans="1:20">
      <c r="A306" s="836"/>
      <c r="B306" s="529"/>
      <c r="C306" s="827"/>
      <c r="D306" s="827"/>
      <c r="E306" s="828" t="e">
        <f>LOOKUP(D306,Lookup!$C$9:$C$24,Lookup!$I$9:$I$24)</f>
        <v>#N/A</v>
      </c>
      <c r="F306" s="529"/>
      <c r="G306" s="529"/>
      <c r="H306" s="529"/>
      <c r="I306" s="828" t="e">
        <f t="shared" si="44"/>
        <v>#N/A</v>
      </c>
      <c r="J306" s="643"/>
      <c r="K306" s="829">
        <f t="shared" si="45"/>
        <v>0</v>
      </c>
      <c r="L306" s="830" t="e">
        <f t="shared" si="46"/>
        <v>#DIV/0!</v>
      </c>
      <c r="M306" s="830" t="str">
        <f t="shared" si="47"/>
        <v>N/A</v>
      </c>
      <c r="N306" s="831" t="e">
        <f t="shared" si="41"/>
        <v>#N/A</v>
      </c>
      <c r="O306" s="831">
        <f t="shared" si="48"/>
        <v>0</v>
      </c>
      <c r="P306" s="1024" t="e">
        <f>LOOKUP(G306,$J$4:$J$26,$M$4:$M$26)*LOOKUP(LOOKUP(G306,$J$4:$J$26,$K$4:$K$26),Lookup!$K$9:$K$24,Lookup!$O$9:$O$24)*IF(E306="A",LOOKUP(LOOKUP(G306,$J$4:$J$26,$K$4:$K$26),Lookup!$K$9:$K$24,Lookup!$L$9:$L$24),IF(E306="B",LOOKUP(LOOKUP(G306,$J$4:$J$26,$K$4:$K$26),Lookup!$K$9:$K$24,Lookup!$M$9:$M$24),IF(E306="C",LOOKUP(LOOKUP(G306,$J$4:$J$26,$K$4:$K$26),Lookup!$K$9:$K$24,Lookup!$N$9:$N$24))))</f>
        <v>#N/A</v>
      </c>
      <c r="Q306" s="1024" t="e">
        <f t="shared" si="49"/>
        <v>#N/A</v>
      </c>
      <c r="R306" s="1024" t="e">
        <f t="shared" si="42"/>
        <v>#N/A</v>
      </c>
      <c r="S306" s="828">
        <f t="shared" si="50"/>
        <v>0</v>
      </c>
      <c r="T306" s="1675" t="str">
        <f t="shared" si="43"/>
        <v/>
      </c>
    </row>
    <row r="307" spans="1:20">
      <c r="A307" s="836"/>
      <c r="B307" s="529"/>
      <c r="C307" s="837"/>
      <c r="D307" s="827"/>
      <c r="E307" s="828" t="e">
        <f>LOOKUP(D307,Lookup!$C$9:$C$24,Lookup!$I$9:$I$24)</f>
        <v>#N/A</v>
      </c>
      <c r="F307" s="529"/>
      <c r="G307" s="529"/>
      <c r="H307" s="529"/>
      <c r="I307" s="828" t="e">
        <f t="shared" si="44"/>
        <v>#N/A</v>
      </c>
      <c r="J307" s="643"/>
      <c r="K307" s="829">
        <f t="shared" si="45"/>
        <v>0</v>
      </c>
      <c r="L307" s="830" t="e">
        <f t="shared" si="46"/>
        <v>#DIV/0!</v>
      </c>
      <c r="M307" s="830" t="str">
        <f t="shared" si="47"/>
        <v>N/A</v>
      </c>
      <c r="N307" s="831" t="e">
        <f t="shared" si="41"/>
        <v>#N/A</v>
      </c>
      <c r="O307" s="831">
        <f t="shared" si="48"/>
        <v>0</v>
      </c>
      <c r="P307" s="1024" t="e">
        <f>LOOKUP(G307,$J$4:$J$26,$M$4:$M$26)*LOOKUP(LOOKUP(G307,$J$4:$J$26,$K$4:$K$26),Lookup!$K$9:$K$24,Lookup!$O$9:$O$24)*IF(E307="A",LOOKUP(LOOKUP(G307,$J$4:$J$26,$K$4:$K$26),Lookup!$K$9:$K$24,Lookup!$L$9:$L$24),IF(E307="B",LOOKUP(LOOKUP(G307,$J$4:$J$26,$K$4:$K$26),Lookup!$K$9:$K$24,Lookup!$M$9:$M$24),IF(E307="C",LOOKUP(LOOKUP(G307,$J$4:$J$26,$K$4:$K$26),Lookup!$K$9:$K$24,Lookup!$N$9:$N$24))))</f>
        <v>#N/A</v>
      </c>
      <c r="Q307" s="1024" t="e">
        <f t="shared" si="49"/>
        <v>#N/A</v>
      </c>
      <c r="R307" s="1024" t="e">
        <f t="shared" si="42"/>
        <v>#N/A</v>
      </c>
      <c r="S307" s="828">
        <f t="shared" si="50"/>
        <v>0</v>
      </c>
      <c r="T307" s="1675" t="str">
        <f t="shared" si="43"/>
        <v/>
      </c>
    </row>
    <row r="308" spans="1:20" ht="11.25" customHeight="1">
      <c r="A308" s="836"/>
      <c r="B308" s="529"/>
      <c r="C308" s="827"/>
      <c r="D308" s="827"/>
      <c r="E308" s="828" t="e">
        <f>LOOKUP(D308,Lookup!$C$9:$C$24,Lookup!$I$9:$I$24)</f>
        <v>#N/A</v>
      </c>
      <c r="F308" s="529"/>
      <c r="G308" s="529"/>
      <c r="H308" s="529"/>
      <c r="I308" s="828" t="e">
        <f t="shared" si="44"/>
        <v>#N/A</v>
      </c>
      <c r="J308" s="643"/>
      <c r="K308" s="829">
        <f t="shared" si="45"/>
        <v>0</v>
      </c>
      <c r="L308" s="830" t="e">
        <f t="shared" si="46"/>
        <v>#DIV/0!</v>
      </c>
      <c r="M308" s="830" t="str">
        <f t="shared" si="47"/>
        <v>N/A</v>
      </c>
      <c r="N308" s="831" t="e">
        <f t="shared" si="41"/>
        <v>#N/A</v>
      </c>
      <c r="O308" s="831">
        <f t="shared" si="48"/>
        <v>0</v>
      </c>
      <c r="P308" s="1024" t="e">
        <f>LOOKUP(G308,$J$4:$J$26,$M$4:$M$26)*LOOKUP(LOOKUP(G308,$J$4:$J$26,$K$4:$K$26),Lookup!$K$9:$K$24,Lookup!$O$9:$O$24)*IF(E308="A",LOOKUP(LOOKUP(G308,$J$4:$J$26,$K$4:$K$26),Lookup!$K$9:$K$24,Lookup!$L$9:$L$24),IF(E308="B",LOOKUP(LOOKUP(G308,$J$4:$J$26,$K$4:$K$26),Lookup!$K$9:$K$24,Lookup!$M$9:$M$24),IF(E308="C",LOOKUP(LOOKUP(G308,$J$4:$J$26,$K$4:$K$26),Lookup!$K$9:$K$24,Lookup!$N$9:$N$24))))</f>
        <v>#N/A</v>
      </c>
      <c r="Q308" s="1024" t="e">
        <f t="shared" si="49"/>
        <v>#N/A</v>
      </c>
      <c r="R308" s="1024" t="e">
        <f t="shared" si="42"/>
        <v>#N/A</v>
      </c>
      <c r="S308" s="828">
        <f t="shared" si="50"/>
        <v>0</v>
      </c>
      <c r="T308" s="1675" t="str">
        <f t="shared" si="43"/>
        <v/>
      </c>
    </row>
    <row r="309" spans="1:20">
      <c r="A309" s="836"/>
      <c r="B309" s="529"/>
      <c r="C309" s="827"/>
      <c r="D309" s="827"/>
      <c r="E309" s="828" t="e">
        <f>LOOKUP(D309,Lookup!$C$9:$C$24,Lookup!$I$9:$I$24)</f>
        <v>#N/A</v>
      </c>
      <c r="F309" s="529"/>
      <c r="G309" s="529"/>
      <c r="H309" s="529"/>
      <c r="I309" s="828" t="e">
        <f t="shared" si="44"/>
        <v>#N/A</v>
      </c>
      <c r="J309" s="643"/>
      <c r="K309" s="829">
        <f t="shared" si="45"/>
        <v>0</v>
      </c>
      <c r="L309" s="830" t="e">
        <f t="shared" si="46"/>
        <v>#DIV/0!</v>
      </c>
      <c r="M309" s="830" t="str">
        <f t="shared" si="47"/>
        <v>N/A</v>
      </c>
      <c r="N309" s="831" t="e">
        <f t="shared" si="41"/>
        <v>#N/A</v>
      </c>
      <c r="O309" s="831">
        <f t="shared" si="48"/>
        <v>0</v>
      </c>
      <c r="P309" s="1024" t="e">
        <f>LOOKUP(G309,$J$4:$J$26,$M$4:$M$26)*LOOKUP(LOOKUP(G309,$J$4:$J$26,$K$4:$K$26),Lookup!$K$9:$K$24,Lookup!$O$9:$O$24)*IF(E309="A",LOOKUP(LOOKUP(G309,$J$4:$J$26,$K$4:$K$26),Lookup!$K$9:$K$24,Lookup!$L$9:$L$24),IF(E309="B",LOOKUP(LOOKUP(G309,$J$4:$J$26,$K$4:$K$26),Lookup!$K$9:$K$24,Lookup!$M$9:$M$24),IF(E309="C",LOOKUP(LOOKUP(G309,$J$4:$J$26,$K$4:$K$26),Lookup!$K$9:$K$24,Lookup!$N$9:$N$24))))</f>
        <v>#N/A</v>
      </c>
      <c r="Q309" s="1024" t="e">
        <f t="shared" si="49"/>
        <v>#N/A</v>
      </c>
      <c r="R309" s="1024" t="e">
        <f t="shared" si="42"/>
        <v>#N/A</v>
      </c>
      <c r="S309" s="828">
        <f t="shared" si="50"/>
        <v>0</v>
      </c>
      <c r="T309" s="1675" t="str">
        <f t="shared" si="43"/>
        <v/>
      </c>
    </row>
    <row r="310" spans="1:20">
      <c r="A310" s="836"/>
      <c r="B310" s="529"/>
      <c r="C310" s="827"/>
      <c r="D310" s="827"/>
      <c r="E310" s="828" t="e">
        <f>LOOKUP(D310,Lookup!$C$9:$C$24,Lookup!$I$9:$I$24)</f>
        <v>#N/A</v>
      </c>
      <c r="F310" s="529"/>
      <c r="G310" s="529"/>
      <c r="H310" s="529"/>
      <c r="I310" s="828" t="e">
        <f t="shared" si="44"/>
        <v>#N/A</v>
      </c>
      <c r="J310" s="643"/>
      <c r="K310" s="829">
        <f t="shared" si="45"/>
        <v>0</v>
      </c>
      <c r="L310" s="830" t="e">
        <f t="shared" si="46"/>
        <v>#DIV/0!</v>
      </c>
      <c r="M310" s="830" t="str">
        <f t="shared" si="47"/>
        <v>N/A</v>
      </c>
      <c r="N310" s="831" t="e">
        <f t="shared" si="41"/>
        <v>#N/A</v>
      </c>
      <c r="O310" s="831">
        <f t="shared" si="48"/>
        <v>0</v>
      </c>
      <c r="P310" s="1024" t="e">
        <f>LOOKUP(G310,$J$4:$J$26,$M$4:$M$26)*LOOKUP(LOOKUP(G310,$J$4:$J$26,$K$4:$K$26),Lookup!$K$9:$K$24,Lookup!$O$9:$O$24)*IF(E310="A",LOOKUP(LOOKUP(G310,$J$4:$J$26,$K$4:$K$26),Lookup!$K$9:$K$24,Lookup!$L$9:$L$24),IF(E310="B",LOOKUP(LOOKUP(G310,$J$4:$J$26,$K$4:$K$26),Lookup!$K$9:$K$24,Lookup!$M$9:$M$24),IF(E310="C",LOOKUP(LOOKUP(G310,$J$4:$J$26,$K$4:$K$26),Lookup!$K$9:$K$24,Lookup!$N$9:$N$24))))</f>
        <v>#N/A</v>
      </c>
      <c r="Q310" s="1024" t="e">
        <f t="shared" si="49"/>
        <v>#N/A</v>
      </c>
      <c r="R310" s="1024" t="e">
        <f t="shared" si="42"/>
        <v>#N/A</v>
      </c>
      <c r="S310" s="828">
        <f t="shared" si="50"/>
        <v>0</v>
      </c>
      <c r="T310" s="1675" t="str">
        <f t="shared" si="43"/>
        <v/>
      </c>
    </row>
    <row r="311" spans="1:20">
      <c r="A311" s="836"/>
      <c r="B311" s="529"/>
      <c r="C311" s="827"/>
      <c r="D311" s="827"/>
      <c r="E311" s="828" t="e">
        <f>LOOKUP(D311,Lookup!$C$9:$C$24,Lookup!$I$9:$I$24)</f>
        <v>#N/A</v>
      </c>
      <c r="F311" s="529"/>
      <c r="G311" s="529"/>
      <c r="H311" s="529"/>
      <c r="I311" s="828" t="e">
        <f t="shared" si="44"/>
        <v>#N/A</v>
      </c>
      <c r="J311" s="643"/>
      <c r="K311" s="829">
        <f t="shared" si="45"/>
        <v>0</v>
      </c>
      <c r="L311" s="830" t="e">
        <f t="shared" si="46"/>
        <v>#DIV/0!</v>
      </c>
      <c r="M311" s="830" t="str">
        <f t="shared" si="47"/>
        <v>N/A</v>
      </c>
      <c r="N311" s="831" t="e">
        <f t="shared" si="41"/>
        <v>#N/A</v>
      </c>
      <c r="O311" s="831">
        <f t="shared" si="48"/>
        <v>0</v>
      </c>
      <c r="P311" s="1024" t="e">
        <f>LOOKUP(G311,$J$4:$J$26,$M$4:$M$26)*LOOKUP(LOOKUP(G311,$J$4:$J$26,$K$4:$K$26),Lookup!$K$9:$K$24,Lookup!$O$9:$O$24)*IF(E311="A",LOOKUP(LOOKUP(G311,$J$4:$J$26,$K$4:$K$26),Lookup!$K$9:$K$24,Lookup!$L$9:$L$24),IF(E311="B",LOOKUP(LOOKUP(G311,$J$4:$J$26,$K$4:$K$26),Lookup!$K$9:$K$24,Lookup!$M$9:$M$24),IF(E311="C",LOOKUP(LOOKUP(G311,$J$4:$J$26,$K$4:$K$26),Lookup!$K$9:$K$24,Lookup!$N$9:$N$24))))</f>
        <v>#N/A</v>
      </c>
      <c r="Q311" s="1024" t="e">
        <f t="shared" si="49"/>
        <v>#N/A</v>
      </c>
      <c r="R311" s="1024" t="e">
        <f t="shared" si="42"/>
        <v>#N/A</v>
      </c>
      <c r="S311" s="828">
        <f t="shared" si="50"/>
        <v>0</v>
      </c>
      <c r="T311" s="1675" t="str">
        <f t="shared" si="43"/>
        <v/>
      </c>
    </row>
    <row r="312" spans="1:20">
      <c r="A312" s="836"/>
      <c r="B312" s="529"/>
      <c r="C312" s="827"/>
      <c r="D312" s="827"/>
      <c r="E312" s="828" t="e">
        <f>LOOKUP(D312,Lookup!$C$9:$C$24,Lookup!$I$9:$I$24)</f>
        <v>#N/A</v>
      </c>
      <c r="F312" s="529"/>
      <c r="G312" s="529"/>
      <c r="H312" s="529"/>
      <c r="I312" s="828" t="e">
        <f t="shared" si="44"/>
        <v>#N/A</v>
      </c>
      <c r="J312" s="643"/>
      <c r="K312" s="829">
        <f t="shared" si="45"/>
        <v>0</v>
      </c>
      <c r="L312" s="830" t="e">
        <f t="shared" si="46"/>
        <v>#DIV/0!</v>
      </c>
      <c r="M312" s="830" t="str">
        <f t="shared" si="47"/>
        <v>N/A</v>
      </c>
      <c r="N312" s="831" t="e">
        <f t="shared" si="41"/>
        <v>#N/A</v>
      </c>
      <c r="O312" s="831">
        <f t="shared" si="48"/>
        <v>0</v>
      </c>
      <c r="P312" s="1024" t="e">
        <f>LOOKUP(G312,$J$4:$J$26,$M$4:$M$26)*LOOKUP(LOOKUP(G312,$J$4:$J$26,$K$4:$K$26),Lookup!$K$9:$K$24,Lookup!$O$9:$O$24)*IF(E312="A",LOOKUP(LOOKUP(G312,$J$4:$J$26,$K$4:$K$26),Lookup!$K$9:$K$24,Lookup!$L$9:$L$24),IF(E312="B",LOOKUP(LOOKUP(G312,$J$4:$J$26,$K$4:$K$26),Lookup!$K$9:$K$24,Lookup!$M$9:$M$24),IF(E312="C",LOOKUP(LOOKUP(G312,$J$4:$J$26,$K$4:$K$26),Lookup!$K$9:$K$24,Lookup!$N$9:$N$24))))</f>
        <v>#N/A</v>
      </c>
      <c r="Q312" s="1024" t="e">
        <f t="shared" si="49"/>
        <v>#N/A</v>
      </c>
      <c r="R312" s="1024" t="e">
        <f t="shared" si="42"/>
        <v>#N/A</v>
      </c>
      <c r="S312" s="828">
        <f t="shared" si="50"/>
        <v>0</v>
      </c>
      <c r="T312" s="1675" t="str">
        <f t="shared" si="43"/>
        <v/>
      </c>
    </row>
    <row r="313" spans="1:20">
      <c r="A313" s="836"/>
      <c r="B313" s="529"/>
      <c r="C313" s="837"/>
      <c r="D313" s="827"/>
      <c r="E313" s="828" t="e">
        <f>LOOKUP(D313,Lookup!$C$9:$C$24,Lookup!$I$9:$I$24)</f>
        <v>#N/A</v>
      </c>
      <c r="F313" s="529"/>
      <c r="G313" s="529"/>
      <c r="H313" s="529"/>
      <c r="I313" s="828" t="e">
        <f t="shared" si="44"/>
        <v>#N/A</v>
      </c>
      <c r="J313" s="643"/>
      <c r="K313" s="829">
        <f t="shared" si="45"/>
        <v>0</v>
      </c>
      <c r="L313" s="830" t="e">
        <f t="shared" si="46"/>
        <v>#DIV/0!</v>
      </c>
      <c r="M313" s="830" t="str">
        <f t="shared" si="47"/>
        <v>N/A</v>
      </c>
      <c r="N313" s="831" t="e">
        <f t="shared" si="41"/>
        <v>#N/A</v>
      </c>
      <c r="O313" s="831">
        <f t="shared" si="48"/>
        <v>0</v>
      </c>
      <c r="P313" s="1024" t="e">
        <f>LOOKUP(G313,$J$4:$J$26,$M$4:$M$26)*LOOKUP(LOOKUP(G313,$J$4:$J$26,$K$4:$K$26),Lookup!$K$9:$K$24,Lookup!$O$9:$O$24)*IF(E313="A",LOOKUP(LOOKUP(G313,$J$4:$J$26,$K$4:$K$26),Lookup!$K$9:$K$24,Lookup!$L$9:$L$24),IF(E313="B",LOOKUP(LOOKUP(G313,$J$4:$J$26,$K$4:$K$26),Lookup!$K$9:$K$24,Lookup!$M$9:$M$24),IF(E313="C",LOOKUP(LOOKUP(G313,$J$4:$J$26,$K$4:$K$26),Lookup!$K$9:$K$24,Lookup!$N$9:$N$24))))</f>
        <v>#N/A</v>
      </c>
      <c r="Q313" s="1024" t="e">
        <f t="shared" si="49"/>
        <v>#N/A</v>
      </c>
      <c r="R313" s="1024" t="e">
        <f t="shared" si="42"/>
        <v>#N/A</v>
      </c>
      <c r="S313" s="828">
        <f t="shared" si="50"/>
        <v>0</v>
      </c>
      <c r="T313" s="1675" t="str">
        <f t="shared" si="43"/>
        <v/>
      </c>
    </row>
    <row r="314" spans="1:20" ht="11.25" customHeight="1">
      <c r="A314" s="836"/>
      <c r="B314" s="529"/>
      <c r="C314" s="827"/>
      <c r="D314" s="827"/>
      <c r="E314" s="828" t="e">
        <f>LOOKUP(D314,Lookup!$C$9:$C$24,Lookup!$I$9:$I$24)</f>
        <v>#N/A</v>
      </c>
      <c r="F314" s="529"/>
      <c r="G314" s="529"/>
      <c r="H314" s="529"/>
      <c r="I314" s="828" t="e">
        <f t="shared" si="44"/>
        <v>#N/A</v>
      </c>
      <c r="J314" s="643"/>
      <c r="K314" s="829">
        <f t="shared" si="45"/>
        <v>0</v>
      </c>
      <c r="L314" s="830" t="e">
        <f t="shared" si="46"/>
        <v>#DIV/0!</v>
      </c>
      <c r="M314" s="830" t="str">
        <f t="shared" si="47"/>
        <v>N/A</v>
      </c>
      <c r="N314" s="831" t="e">
        <f t="shared" si="41"/>
        <v>#N/A</v>
      </c>
      <c r="O314" s="831">
        <f t="shared" si="48"/>
        <v>0</v>
      </c>
      <c r="P314" s="1024" t="e">
        <f>LOOKUP(G314,$J$4:$J$26,$M$4:$M$26)*LOOKUP(LOOKUP(G314,$J$4:$J$26,$K$4:$K$26),Lookup!$K$9:$K$24,Lookup!$O$9:$O$24)*IF(E314="A",LOOKUP(LOOKUP(G314,$J$4:$J$26,$K$4:$K$26),Lookup!$K$9:$K$24,Lookup!$L$9:$L$24),IF(E314="B",LOOKUP(LOOKUP(G314,$J$4:$J$26,$K$4:$K$26),Lookup!$K$9:$K$24,Lookup!$M$9:$M$24),IF(E314="C",LOOKUP(LOOKUP(G314,$J$4:$J$26,$K$4:$K$26),Lookup!$K$9:$K$24,Lookup!$N$9:$N$24))))</f>
        <v>#N/A</v>
      </c>
      <c r="Q314" s="1024" t="e">
        <f t="shared" si="49"/>
        <v>#N/A</v>
      </c>
      <c r="R314" s="1024" t="e">
        <f t="shared" si="42"/>
        <v>#N/A</v>
      </c>
      <c r="S314" s="828">
        <f t="shared" si="50"/>
        <v>0</v>
      </c>
      <c r="T314" s="1675" t="str">
        <f t="shared" si="43"/>
        <v/>
      </c>
    </row>
    <row r="315" spans="1:20">
      <c r="A315" s="836"/>
      <c r="B315" s="529"/>
      <c r="C315" s="827"/>
      <c r="D315" s="827"/>
      <c r="E315" s="828" t="e">
        <f>LOOKUP(D315,Lookup!$C$9:$C$24,Lookup!$I$9:$I$24)</f>
        <v>#N/A</v>
      </c>
      <c r="F315" s="529"/>
      <c r="G315" s="529"/>
      <c r="H315" s="529"/>
      <c r="I315" s="828" t="e">
        <f t="shared" si="44"/>
        <v>#N/A</v>
      </c>
      <c r="J315" s="643"/>
      <c r="K315" s="829">
        <f t="shared" si="45"/>
        <v>0</v>
      </c>
      <c r="L315" s="830" t="e">
        <f t="shared" si="46"/>
        <v>#DIV/0!</v>
      </c>
      <c r="M315" s="830" t="str">
        <f t="shared" si="47"/>
        <v>N/A</v>
      </c>
      <c r="N315" s="831" t="e">
        <f t="shared" si="41"/>
        <v>#N/A</v>
      </c>
      <c r="O315" s="831">
        <f t="shared" si="48"/>
        <v>0</v>
      </c>
      <c r="P315" s="1024" t="e">
        <f>LOOKUP(G315,$J$4:$J$26,$M$4:$M$26)*LOOKUP(LOOKUP(G315,$J$4:$J$26,$K$4:$K$26),Lookup!$K$9:$K$24,Lookup!$O$9:$O$24)*IF(E315="A",LOOKUP(LOOKUP(G315,$J$4:$J$26,$K$4:$K$26),Lookup!$K$9:$K$24,Lookup!$L$9:$L$24),IF(E315="B",LOOKUP(LOOKUP(G315,$J$4:$J$26,$K$4:$K$26),Lookup!$K$9:$K$24,Lookup!$M$9:$M$24),IF(E315="C",LOOKUP(LOOKUP(G315,$J$4:$J$26,$K$4:$K$26),Lookup!$K$9:$K$24,Lookup!$N$9:$N$24))))</f>
        <v>#N/A</v>
      </c>
      <c r="Q315" s="1024" t="e">
        <f t="shared" si="49"/>
        <v>#N/A</v>
      </c>
      <c r="R315" s="1024" t="e">
        <f t="shared" si="42"/>
        <v>#N/A</v>
      </c>
      <c r="S315" s="828">
        <f t="shared" si="50"/>
        <v>0</v>
      </c>
      <c r="T315" s="1675" t="str">
        <f t="shared" si="43"/>
        <v/>
      </c>
    </row>
    <row r="316" spans="1:20">
      <c r="A316" s="836"/>
      <c r="B316" s="529"/>
      <c r="C316" s="827"/>
      <c r="D316" s="827"/>
      <c r="E316" s="828" t="e">
        <f>LOOKUP(D316,Lookup!$C$9:$C$24,Lookup!$I$9:$I$24)</f>
        <v>#N/A</v>
      </c>
      <c r="F316" s="529"/>
      <c r="G316" s="529"/>
      <c r="H316" s="529"/>
      <c r="I316" s="828" t="e">
        <f t="shared" si="44"/>
        <v>#N/A</v>
      </c>
      <c r="J316" s="643"/>
      <c r="K316" s="829">
        <f t="shared" si="45"/>
        <v>0</v>
      </c>
      <c r="L316" s="830" t="e">
        <f t="shared" si="46"/>
        <v>#DIV/0!</v>
      </c>
      <c r="M316" s="830" t="str">
        <f t="shared" si="47"/>
        <v>N/A</v>
      </c>
      <c r="N316" s="831" t="e">
        <f t="shared" si="41"/>
        <v>#N/A</v>
      </c>
      <c r="O316" s="831">
        <f t="shared" si="48"/>
        <v>0</v>
      </c>
      <c r="P316" s="1024" t="e">
        <f>LOOKUP(G316,$J$4:$J$26,$M$4:$M$26)*LOOKUP(LOOKUP(G316,$J$4:$J$26,$K$4:$K$26),Lookup!$K$9:$K$24,Lookup!$O$9:$O$24)*IF(E316="A",LOOKUP(LOOKUP(G316,$J$4:$J$26,$K$4:$K$26),Lookup!$K$9:$K$24,Lookup!$L$9:$L$24),IF(E316="B",LOOKUP(LOOKUP(G316,$J$4:$J$26,$K$4:$K$26),Lookup!$K$9:$K$24,Lookup!$M$9:$M$24),IF(E316="C",LOOKUP(LOOKUP(G316,$J$4:$J$26,$K$4:$K$26),Lookup!$K$9:$K$24,Lookup!$N$9:$N$24))))</f>
        <v>#N/A</v>
      </c>
      <c r="Q316" s="1024" t="e">
        <f t="shared" si="49"/>
        <v>#N/A</v>
      </c>
      <c r="R316" s="1024" t="e">
        <f t="shared" si="42"/>
        <v>#N/A</v>
      </c>
      <c r="S316" s="828">
        <f t="shared" si="50"/>
        <v>0</v>
      </c>
      <c r="T316" s="1675" t="str">
        <f t="shared" si="43"/>
        <v/>
      </c>
    </row>
    <row r="317" spans="1:20">
      <c r="A317" s="836"/>
      <c r="B317" s="529"/>
      <c r="C317" s="827"/>
      <c r="D317" s="827"/>
      <c r="E317" s="828" t="e">
        <f>LOOKUP(D317,Lookup!$C$9:$C$24,Lookup!$I$9:$I$24)</f>
        <v>#N/A</v>
      </c>
      <c r="F317" s="529"/>
      <c r="G317" s="529"/>
      <c r="H317" s="529"/>
      <c r="I317" s="828" t="e">
        <f t="shared" si="44"/>
        <v>#N/A</v>
      </c>
      <c r="J317" s="643"/>
      <c r="K317" s="829">
        <f t="shared" si="45"/>
        <v>0</v>
      </c>
      <c r="L317" s="830" t="e">
        <f t="shared" si="46"/>
        <v>#DIV/0!</v>
      </c>
      <c r="M317" s="830" t="str">
        <f t="shared" si="47"/>
        <v>N/A</v>
      </c>
      <c r="N317" s="831" t="e">
        <f t="shared" si="41"/>
        <v>#N/A</v>
      </c>
      <c r="O317" s="831">
        <f t="shared" si="48"/>
        <v>0</v>
      </c>
      <c r="P317" s="1024" t="e">
        <f>LOOKUP(G317,$J$4:$J$26,$M$4:$M$26)*LOOKUP(LOOKUP(G317,$J$4:$J$26,$K$4:$K$26),Lookup!$K$9:$K$24,Lookup!$O$9:$O$24)*IF(E317="A",LOOKUP(LOOKUP(G317,$J$4:$J$26,$K$4:$K$26),Lookup!$K$9:$K$24,Lookup!$L$9:$L$24),IF(E317="B",LOOKUP(LOOKUP(G317,$J$4:$J$26,$K$4:$K$26),Lookup!$K$9:$K$24,Lookup!$M$9:$M$24),IF(E317="C",LOOKUP(LOOKUP(G317,$J$4:$J$26,$K$4:$K$26),Lookup!$K$9:$K$24,Lookup!$N$9:$N$24))))</f>
        <v>#N/A</v>
      </c>
      <c r="Q317" s="1024" t="e">
        <f t="shared" si="49"/>
        <v>#N/A</v>
      </c>
      <c r="R317" s="1024" t="e">
        <f t="shared" si="42"/>
        <v>#N/A</v>
      </c>
      <c r="S317" s="828">
        <f t="shared" si="50"/>
        <v>0</v>
      </c>
      <c r="T317" s="1675" t="str">
        <f t="shared" si="43"/>
        <v/>
      </c>
    </row>
    <row r="318" spans="1:20">
      <c r="A318" s="836"/>
      <c r="B318" s="529"/>
      <c r="C318" s="827"/>
      <c r="D318" s="827"/>
      <c r="E318" s="828" t="e">
        <f>LOOKUP(D318,Lookup!$C$9:$C$24,Lookup!$I$9:$I$24)</f>
        <v>#N/A</v>
      </c>
      <c r="F318" s="529"/>
      <c r="G318" s="529"/>
      <c r="H318" s="529"/>
      <c r="I318" s="828" t="e">
        <f t="shared" si="44"/>
        <v>#N/A</v>
      </c>
      <c r="J318" s="643"/>
      <c r="K318" s="829">
        <f t="shared" si="45"/>
        <v>0</v>
      </c>
      <c r="L318" s="830" t="e">
        <f t="shared" si="46"/>
        <v>#DIV/0!</v>
      </c>
      <c r="M318" s="830" t="str">
        <f t="shared" si="47"/>
        <v>N/A</v>
      </c>
      <c r="N318" s="831" t="e">
        <f t="shared" si="41"/>
        <v>#N/A</v>
      </c>
      <c r="O318" s="831">
        <f t="shared" si="48"/>
        <v>0</v>
      </c>
      <c r="P318" s="1024" t="e">
        <f>LOOKUP(G318,$J$4:$J$26,$M$4:$M$26)*LOOKUP(LOOKUP(G318,$J$4:$J$26,$K$4:$K$26),Lookup!$K$9:$K$24,Lookup!$O$9:$O$24)*IF(E318="A",LOOKUP(LOOKUP(G318,$J$4:$J$26,$K$4:$K$26),Lookup!$K$9:$K$24,Lookup!$L$9:$L$24),IF(E318="B",LOOKUP(LOOKUP(G318,$J$4:$J$26,$K$4:$K$26),Lookup!$K$9:$K$24,Lookup!$M$9:$M$24),IF(E318="C",LOOKUP(LOOKUP(G318,$J$4:$J$26,$K$4:$K$26),Lookup!$K$9:$K$24,Lookup!$N$9:$N$24))))</f>
        <v>#N/A</v>
      </c>
      <c r="Q318" s="1024" t="e">
        <f t="shared" si="49"/>
        <v>#N/A</v>
      </c>
      <c r="R318" s="1024" t="e">
        <f t="shared" si="42"/>
        <v>#N/A</v>
      </c>
      <c r="S318" s="828">
        <f t="shared" si="50"/>
        <v>0</v>
      </c>
      <c r="T318" s="1675" t="str">
        <f t="shared" si="43"/>
        <v/>
      </c>
    </row>
    <row r="319" spans="1:20">
      <c r="A319" s="836"/>
      <c r="B319" s="529"/>
      <c r="C319" s="837"/>
      <c r="D319" s="827"/>
      <c r="E319" s="828" t="e">
        <f>LOOKUP(D319,Lookup!$C$9:$C$24,Lookup!$I$9:$I$24)</f>
        <v>#N/A</v>
      </c>
      <c r="F319" s="529"/>
      <c r="G319" s="529"/>
      <c r="H319" s="529"/>
      <c r="I319" s="828" t="e">
        <f t="shared" si="44"/>
        <v>#N/A</v>
      </c>
      <c r="J319" s="643"/>
      <c r="K319" s="829">
        <f t="shared" si="45"/>
        <v>0</v>
      </c>
      <c r="L319" s="830" t="e">
        <f t="shared" si="46"/>
        <v>#DIV/0!</v>
      </c>
      <c r="M319" s="830" t="str">
        <f t="shared" si="47"/>
        <v>N/A</v>
      </c>
      <c r="N319" s="831" t="e">
        <f t="shared" si="41"/>
        <v>#N/A</v>
      </c>
      <c r="O319" s="831">
        <f t="shared" si="48"/>
        <v>0</v>
      </c>
      <c r="P319" s="1024" t="e">
        <f>LOOKUP(G319,$J$4:$J$26,$M$4:$M$26)*LOOKUP(LOOKUP(G319,$J$4:$J$26,$K$4:$K$26),Lookup!$K$9:$K$24,Lookup!$O$9:$O$24)*IF(E319="A",LOOKUP(LOOKUP(G319,$J$4:$J$26,$K$4:$K$26),Lookup!$K$9:$K$24,Lookup!$L$9:$L$24),IF(E319="B",LOOKUP(LOOKUP(G319,$J$4:$J$26,$K$4:$K$26),Lookup!$K$9:$K$24,Lookup!$M$9:$M$24),IF(E319="C",LOOKUP(LOOKUP(G319,$J$4:$J$26,$K$4:$K$26),Lookup!$K$9:$K$24,Lookup!$N$9:$N$24))))</f>
        <v>#N/A</v>
      </c>
      <c r="Q319" s="1024" t="e">
        <f t="shared" si="49"/>
        <v>#N/A</v>
      </c>
      <c r="R319" s="1024" t="e">
        <f t="shared" si="42"/>
        <v>#N/A</v>
      </c>
      <c r="S319" s="828">
        <f t="shared" si="50"/>
        <v>0</v>
      </c>
      <c r="T319" s="1675" t="str">
        <f t="shared" si="43"/>
        <v/>
      </c>
    </row>
    <row r="320" spans="1:20" ht="11.25" customHeight="1">
      <c r="A320" s="836"/>
      <c r="B320" s="529"/>
      <c r="C320" s="827"/>
      <c r="D320" s="827"/>
      <c r="E320" s="828" t="e">
        <f>LOOKUP(D320,Lookup!$C$9:$C$24,Lookup!$I$9:$I$24)</f>
        <v>#N/A</v>
      </c>
      <c r="F320" s="529"/>
      <c r="G320" s="529"/>
      <c r="H320" s="529"/>
      <c r="I320" s="828" t="e">
        <f t="shared" si="44"/>
        <v>#N/A</v>
      </c>
      <c r="J320" s="643"/>
      <c r="K320" s="829">
        <f t="shared" si="45"/>
        <v>0</v>
      </c>
      <c r="L320" s="830" t="e">
        <f t="shared" si="46"/>
        <v>#DIV/0!</v>
      </c>
      <c r="M320" s="830" t="str">
        <f t="shared" si="47"/>
        <v>N/A</v>
      </c>
      <c r="N320" s="831" t="e">
        <f t="shared" si="41"/>
        <v>#N/A</v>
      </c>
      <c r="O320" s="831">
        <f t="shared" si="48"/>
        <v>0</v>
      </c>
      <c r="P320" s="1024" t="e">
        <f>LOOKUP(G320,$J$4:$J$26,$M$4:$M$26)*LOOKUP(LOOKUP(G320,$J$4:$J$26,$K$4:$K$26),Lookup!$K$9:$K$24,Lookup!$O$9:$O$24)*IF(E320="A",LOOKUP(LOOKUP(G320,$J$4:$J$26,$K$4:$K$26),Lookup!$K$9:$K$24,Lookup!$L$9:$L$24),IF(E320="B",LOOKUP(LOOKUP(G320,$J$4:$J$26,$K$4:$K$26),Lookup!$K$9:$K$24,Lookup!$M$9:$M$24),IF(E320="C",LOOKUP(LOOKUP(G320,$J$4:$J$26,$K$4:$K$26),Lookup!$K$9:$K$24,Lookup!$N$9:$N$24))))</f>
        <v>#N/A</v>
      </c>
      <c r="Q320" s="1024" t="e">
        <f t="shared" si="49"/>
        <v>#N/A</v>
      </c>
      <c r="R320" s="1024" t="e">
        <f t="shared" si="42"/>
        <v>#N/A</v>
      </c>
      <c r="S320" s="828">
        <f t="shared" si="50"/>
        <v>0</v>
      </c>
      <c r="T320" s="1675" t="str">
        <f t="shared" si="43"/>
        <v/>
      </c>
    </row>
    <row r="321" spans="1:20">
      <c r="A321" s="836"/>
      <c r="B321" s="529"/>
      <c r="C321" s="827"/>
      <c r="D321" s="827"/>
      <c r="E321" s="828" t="e">
        <f>LOOKUP(D321,Lookup!$C$9:$C$24,Lookup!$I$9:$I$24)</f>
        <v>#N/A</v>
      </c>
      <c r="F321" s="529"/>
      <c r="G321" s="529"/>
      <c r="H321" s="529"/>
      <c r="I321" s="828" t="e">
        <f t="shared" si="44"/>
        <v>#N/A</v>
      </c>
      <c r="J321" s="643"/>
      <c r="K321" s="829">
        <f t="shared" si="45"/>
        <v>0</v>
      </c>
      <c r="L321" s="830" t="e">
        <f t="shared" si="46"/>
        <v>#DIV/0!</v>
      </c>
      <c r="M321" s="830" t="str">
        <f t="shared" si="47"/>
        <v>N/A</v>
      </c>
      <c r="N321" s="831" t="e">
        <f t="shared" si="41"/>
        <v>#N/A</v>
      </c>
      <c r="O321" s="831">
        <f t="shared" si="48"/>
        <v>0</v>
      </c>
      <c r="P321" s="1024" t="e">
        <f>LOOKUP(G321,$J$4:$J$26,$M$4:$M$26)*LOOKUP(LOOKUP(G321,$J$4:$J$26,$K$4:$K$26),Lookup!$K$9:$K$24,Lookup!$O$9:$O$24)*IF(E321="A",LOOKUP(LOOKUP(G321,$J$4:$J$26,$K$4:$K$26),Lookup!$K$9:$K$24,Lookup!$L$9:$L$24),IF(E321="B",LOOKUP(LOOKUP(G321,$J$4:$J$26,$K$4:$K$26),Lookup!$K$9:$K$24,Lookup!$M$9:$M$24),IF(E321="C",LOOKUP(LOOKUP(G321,$J$4:$J$26,$K$4:$K$26),Lookup!$K$9:$K$24,Lookup!$N$9:$N$24))))</f>
        <v>#N/A</v>
      </c>
      <c r="Q321" s="1024" t="e">
        <f t="shared" si="49"/>
        <v>#N/A</v>
      </c>
      <c r="R321" s="1024" t="e">
        <f t="shared" si="42"/>
        <v>#N/A</v>
      </c>
      <c r="S321" s="828">
        <f t="shared" si="50"/>
        <v>0</v>
      </c>
      <c r="T321" s="1675" t="str">
        <f t="shared" si="43"/>
        <v/>
      </c>
    </row>
    <row r="322" spans="1:20">
      <c r="A322" s="836"/>
      <c r="B322" s="529"/>
      <c r="C322" s="827"/>
      <c r="D322" s="827"/>
      <c r="E322" s="828" t="e">
        <f>LOOKUP(D322,Lookup!$C$9:$C$24,Lookup!$I$9:$I$24)</f>
        <v>#N/A</v>
      </c>
      <c r="F322" s="529"/>
      <c r="G322" s="529"/>
      <c r="H322" s="529"/>
      <c r="I322" s="828" t="e">
        <f t="shared" si="44"/>
        <v>#N/A</v>
      </c>
      <c r="J322" s="643"/>
      <c r="K322" s="829">
        <f t="shared" si="45"/>
        <v>0</v>
      </c>
      <c r="L322" s="830" t="e">
        <f t="shared" si="46"/>
        <v>#DIV/0!</v>
      </c>
      <c r="M322" s="830" t="str">
        <f t="shared" si="47"/>
        <v>N/A</v>
      </c>
      <c r="N322" s="831" t="e">
        <f t="shared" si="41"/>
        <v>#N/A</v>
      </c>
      <c r="O322" s="831">
        <f t="shared" si="48"/>
        <v>0</v>
      </c>
      <c r="P322" s="1024" t="e">
        <f>LOOKUP(G322,$J$4:$J$26,$M$4:$M$26)*LOOKUP(LOOKUP(G322,$J$4:$J$26,$K$4:$K$26),Lookup!$K$9:$K$24,Lookup!$O$9:$O$24)*IF(E322="A",LOOKUP(LOOKUP(G322,$J$4:$J$26,$K$4:$K$26),Lookup!$K$9:$K$24,Lookup!$L$9:$L$24),IF(E322="B",LOOKUP(LOOKUP(G322,$J$4:$J$26,$K$4:$K$26),Lookup!$K$9:$K$24,Lookup!$M$9:$M$24),IF(E322="C",LOOKUP(LOOKUP(G322,$J$4:$J$26,$K$4:$K$26),Lookup!$K$9:$K$24,Lookup!$N$9:$N$24))))</f>
        <v>#N/A</v>
      </c>
      <c r="Q322" s="1024" t="e">
        <f t="shared" si="49"/>
        <v>#N/A</v>
      </c>
      <c r="R322" s="1024" t="e">
        <f t="shared" si="42"/>
        <v>#N/A</v>
      </c>
      <c r="S322" s="828">
        <f t="shared" si="50"/>
        <v>0</v>
      </c>
      <c r="T322" s="1675" t="str">
        <f t="shared" si="43"/>
        <v/>
      </c>
    </row>
    <row r="323" spans="1:20">
      <c r="A323" s="836"/>
      <c r="B323" s="529"/>
      <c r="C323" s="827"/>
      <c r="D323" s="827"/>
      <c r="E323" s="828" t="e">
        <f>LOOKUP(D323,Lookup!$C$9:$C$24,Lookup!$I$9:$I$24)</f>
        <v>#N/A</v>
      </c>
      <c r="F323" s="529"/>
      <c r="G323" s="529"/>
      <c r="H323" s="529"/>
      <c r="I323" s="828" t="e">
        <f t="shared" si="44"/>
        <v>#N/A</v>
      </c>
      <c r="J323" s="643"/>
      <c r="K323" s="829">
        <f t="shared" si="45"/>
        <v>0</v>
      </c>
      <c r="L323" s="830" t="e">
        <f t="shared" si="46"/>
        <v>#DIV/0!</v>
      </c>
      <c r="M323" s="830" t="str">
        <f t="shared" si="47"/>
        <v>N/A</v>
      </c>
      <c r="N323" s="831" t="e">
        <f t="shared" si="41"/>
        <v>#N/A</v>
      </c>
      <c r="O323" s="831">
        <f t="shared" si="48"/>
        <v>0</v>
      </c>
      <c r="P323" s="1024" t="e">
        <f>LOOKUP(G323,$J$4:$J$26,$M$4:$M$26)*LOOKUP(LOOKUP(G323,$J$4:$J$26,$K$4:$K$26),Lookup!$K$9:$K$24,Lookup!$O$9:$O$24)*IF(E323="A",LOOKUP(LOOKUP(G323,$J$4:$J$26,$K$4:$K$26),Lookup!$K$9:$K$24,Lookup!$L$9:$L$24),IF(E323="B",LOOKUP(LOOKUP(G323,$J$4:$J$26,$K$4:$K$26),Lookup!$K$9:$K$24,Lookup!$M$9:$M$24),IF(E323="C",LOOKUP(LOOKUP(G323,$J$4:$J$26,$K$4:$K$26),Lookup!$K$9:$K$24,Lookup!$N$9:$N$24))))</f>
        <v>#N/A</v>
      </c>
      <c r="Q323" s="1024" t="e">
        <f t="shared" si="49"/>
        <v>#N/A</v>
      </c>
      <c r="R323" s="1024" t="e">
        <f t="shared" si="42"/>
        <v>#N/A</v>
      </c>
      <c r="S323" s="828">
        <f t="shared" si="50"/>
        <v>0</v>
      </c>
      <c r="T323" s="1675" t="str">
        <f t="shared" si="43"/>
        <v/>
      </c>
    </row>
    <row r="324" spans="1:20">
      <c r="A324" s="836"/>
      <c r="B324" s="529"/>
      <c r="C324" s="827"/>
      <c r="D324" s="827"/>
      <c r="E324" s="828" t="e">
        <f>LOOKUP(D324,Lookup!$C$9:$C$24,Lookup!$I$9:$I$24)</f>
        <v>#N/A</v>
      </c>
      <c r="F324" s="529"/>
      <c r="G324" s="529"/>
      <c r="H324" s="529"/>
      <c r="I324" s="828" t="e">
        <f t="shared" si="44"/>
        <v>#N/A</v>
      </c>
      <c r="J324" s="643"/>
      <c r="K324" s="829">
        <f t="shared" si="45"/>
        <v>0</v>
      </c>
      <c r="L324" s="830" t="e">
        <f t="shared" si="46"/>
        <v>#DIV/0!</v>
      </c>
      <c r="M324" s="830" t="str">
        <f t="shared" si="47"/>
        <v>N/A</v>
      </c>
      <c r="N324" s="831" t="e">
        <f t="shared" si="41"/>
        <v>#N/A</v>
      </c>
      <c r="O324" s="831">
        <f t="shared" si="48"/>
        <v>0</v>
      </c>
      <c r="P324" s="1024" t="e">
        <f>LOOKUP(G324,$J$4:$J$26,$M$4:$M$26)*LOOKUP(LOOKUP(G324,$J$4:$J$26,$K$4:$K$26),Lookup!$K$9:$K$24,Lookup!$O$9:$O$24)*IF(E324="A",LOOKUP(LOOKUP(G324,$J$4:$J$26,$K$4:$K$26),Lookup!$K$9:$K$24,Lookup!$L$9:$L$24),IF(E324="B",LOOKUP(LOOKUP(G324,$J$4:$J$26,$K$4:$K$26),Lookup!$K$9:$K$24,Lookup!$M$9:$M$24),IF(E324="C",LOOKUP(LOOKUP(G324,$J$4:$J$26,$K$4:$K$26),Lookup!$K$9:$K$24,Lookup!$N$9:$N$24))))</f>
        <v>#N/A</v>
      </c>
      <c r="Q324" s="1024" t="e">
        <f t="shared" si="49"/>
        <v>#N/A</v>
      </c>
      <c r="R324" s="1024" t="e">
        <f t="shared" si="42"/>
        <v>#N/A</v>
      </c>
      <c r="S324" s="828">
        <f t="shared" si="50"/>
        <v>0</v>
      </c>
      <c r="T324" s="1675" t="str">
        <f t="shared" si="43"/>
        <v/>
      </c>
    </row>
    <row r="325" spans="1:20">
      <c r="A325" s="836"/>
      <c r="B325" s="529"/>
      <c r="C325" s="837"/>
      <c r="D325" s="827"/>
      <c r="E325" s="828" t="e">
        <f>LOOKUP(D325,Lookup!$C$9:$C$24,Lookup!$I$9:$I$24)</f>
        <v>#N/A</v>
      </c>
      <c r="F325" s="529"/>
      <c r="G325" s="529"/>
      <c r="H325" s="529"/>
      <c r="I325" s="828" t="e">
        <f t="shared" si="44"/>
        <v>#N/A</v>
      </c>
      <c r="J325" s="643"/>
      <c r="K325" s="829">
        <f t="shared" si="45"/>
        <v>0</v>
      </c>
      <c r="L325" s="830" t="e">
        <f t="shared" si="46"/>
        <v>#DIV/0!</v>
      </c>
      <c r="M325" s="830" t="str">
        <f t="shared" si="47"/>
        <v>N/A</v>
      </c>
      <c r="N325" s="831" t="e">
        <f t="shared" si="41"/>
        <v>#N/A</v>
      </c>
      <c r="O325" s="831">
        <f t="shared" si="48"/>
        <v>0</v>
      </c>
      <c r="P325" s="1024" t="e">
        <f>LOOKUP(G325,$J$4:$J$26,$M$4:$M$26)*LOOKUP(LOOKUP(G325,$J$4:$J$26,$K$4:$K$26),Lookup!$K$9:$K$24,Lookup!$O$9:$O$24)*IF(E325="A",LOOKUP(LOOKUP(G325,$J$4:$J$26,$K$4:$K$26),Lookup!$K$9:$K$24,Lookup!$L$9:$L$24),IF(E325="B",LOOKUP(LOOKUP(G325,$J$4:$J$26,$K$4:$K$26),Lookup!$K$9:$K$24,Lookup!$M$9:$M$24),IF(E325="C",LOOKUP(LOOKUP(G325,$J$4:$J$26,$K$4:$K$26),Lookup!$K$9:$K$24,Lookup!$N$9:$N$24))))</f>
        <v>#N/A</v>
      </c>
      <c r="Q325" s="1024" t="e">
        <f t="shared" si="49"/>
        <v>#N/A</v>
      </c>
      <c r="R325" s="1024" t="e">
        <f t="shared" si="42"/>
        <v>#N/A</v>
      </c>
      <c r="S325" s="828">
        <f t="shared" si="50"/>
        <v>0</v>
      </c>
      <c r="T325" s="1675" t="str">
        <f t="shared" si="43"/>
        <v/>
      </c>
    </row>
    <row r="326" spans="1:20" ht="11.25" customHeight="1">
      <c r="A326" s="836"/>
      <c r="B326" s="529"/>
      <c r="C326" s="827"/>
      <c r="D326" s="827"/>
      <c r="E326" s="828" t="e">
        <f>LOOKUP(D326,Lookup!$C$9:$C$24,Lookup!$I$9:$I$24)</f>
        <v>#N/A</v>
      </c>
      <c r="F326" s="529"/>
      <c r="G326" s="529"/>
      <c r="H326" s="529"/>
      <c r="I326" s="828" t="e">
        <f t="shared" si="44"/>
        <v>#N/A</v>
      </c>
      <c r="J326" s="643"/>
      <c r="K326" s="829">
        <f t="shared" si="45"/>
        <v>0</v>
      </c>
      <c r="L326" s="830" t="e">
        <f t="shared" si="46"/>
        <v>#DIV/0!</v>
      </c>
      <c r="M326" s="830" t="str">
        <f t="shared" si="47"/>
        <v>N/A</v>
      </c>
      <c r="N326" s="831" t="e">
        <f t="shared" si="41"/>
        <v>#N/A</v>
      </c>
      <c r="O326" s="831">
        <f t="shared" si="48"/>
        <v>0</v>
      </c>
      <c r="P326" s="1024" t="e">
        <f>LOOKUP(G326,$J$4:$J$26,$M$4:$M$26)*LOOKUP(LOOKUP(G326,$J$4:$J$26,$K$4:$K$26),Lookup!$K$9:$K$24,Lookup!$O$9:$O$24)*IF(E326="A",LOOKUP(LOOKUP(G326,$J$4:$J$26,$K$4:$K$26),Lookup!$K$9:$K$24,Lookup!$L$9:$L$24),IF(E326="B",LOOKUP(LOOKUP(G326,$J$4:$J$26,$K$4:$K$26),Lookup!$K$9:$K$24,Lookup!$M$9:$M$24),IF(E326="C",LOOKUP(LOOKUP(G326,$J$4:$J$26,$K$4:$K$26),Lookup!$K$9:$K$24,Lookup!$N$9:$N$24))))</f>
        <v>#N/A</v>
      </c>
      <c r="Q326" s="1024" t="e">
        <f t="shared" si="49"/>
        <v>#N/A</v>
      </c>
      <c r="R326" s="1024" t="e">
        <f t="shared" si="42"/>
        <v>#N/A</v>
      </c>
      <c r="S326" s="828">
        <f t="shared" si="50"/>
        <v>0</v>
      </c>
      <c r="T326" s="1675" t="str">
        <f t="shared" si="43"/>
        <v/>
      </c>
    </row>
    <row r="327" spans="1:20">
      <c r="A327" s="836"/>
      <c r="B327" s="529"/>
      <c r="C327" s="827"/>
      <c r="D327" s="827"/>
      <c r="E327" s="828" t="e">
        <f>LOOKUP(D327,Lookup!$C$9:$C$24,Lookup!$I$9:$I$24)</f>
        <v>#N/A</v>
      </c>
      <c r="F327" s="529"/>
      <c r="G327" s="529"/>
      <c r="H327" s="529"/>
      <c r="I327" s="828" t="e">
        <f t="shared" si="44"/>
        <v>#N/A</v>
      </c>
      <c r="J327" s="643"/>
      <c r="K327" s="829">
        <f t="shared" si="45"/>
        <v>0</v>
      </c>
      <c r="L327" s="830" t="e">
        <f t="shared" si="46"/>
        <v>#DIV/0!</v>
      </c>
      <c r="M327" s="830" t="str">
        <f t="shared" si="47"/>
        <v>N/A</v>
      </c>
      <c r="N327" s="831" t="e">
        <f t="shared" si="41"/>
        <v>#N/A</v>
      </c>
      <c r="O327" s="831">
        <f t="shared" si="48"/>
        <v>0</v>
      </c>
      <c r="P327" s="1024" t="e">
        <f>LOOKUP(G327,$J$4:$J$26,$M$4:$M$26)*LOOKUP(LOOKUP(G327,$J$4:$J$26,$K$4:$K$26),Lookup!$K$9:$K$24,Lookup!$O$9:$O$24)*IF(E327="A",LOOKUP(LOOKUP(G327,$J$4:$J$26,$K$4:$K$26),Lookup!$K$9:$K$24,Lookup!$L$9:$L$24),IF(E327="B",LOOKUP(LOOKUP(G327,$J$4:$J$26,$K$4:$K$26),Lookup!$K$9:$K$24,Lookup!$M$9:$M$24),IF(E327="C",LOOKUP(LOOKUP(G327,$J$4:$J$26,$K$4:$K$26),Lookup!$K$9:$K$24,Lookup!$N$9:$N$24))))</f>
        <v>#N/A</v>
      </c>
      <c r="Q327" s="1024" t="e">
        <f t="shared" si="49"/>
        <v>#N/A</v>
      </c>
      <c r="R327" s="1024" t="e">
        <f t="shared" si="42"/>
        <v>#N/A</v>
      </c>
      <c r="S327" s="828">
        <f t="shared" si="50"/>
        <v>0</v>
      </c>
      <c r="T327" s="1675" t="str">
        <f t="shared" si="43"/>
        <v/>
      </c>
    </row>
    <row r="328" spans="1:20">
      <c r="A328" s="836"/>
      <c r="B328" s="529"/>
      <c r="C328" s="827"/>
      <c r="D328" s="827"/>
      <c r="E328" s="828" t="e">
        <f>LOOKUP(D328,Lookup!$C$9:$C$24,Lookup!$I$9:$I$24)</f>
        <v>#N/A</v>
      </c>
      <c r="F328" s="529"/>
      <c r="G328" s="529"/>
      <c r="H328" s="529"/>
      <c r="I328" s="828" t="e">
        <f t="shared" si="44"/>
        <v>#N/A</v>
      </c>
      <c r="J328" s="643"/>
      <c r="K328" s="829">
        <f t="shared" si="45"/>
        <v>0</v>
      </c>
      <c r="L328" s="830" t="e">
        <f t="shared" si="46"/>
        <v>#DIV/0!</v>
      </c>
      <c r="M328" s="830" t="str">
        <f t="shared" si="47"/>
        <v>N/A</v>
      </c>
      <c r="N328" s="831" t="e">
        <f t="shared" si="41"/>
        <v>#N/A</v>
      </c>
      <c r="O328" s="831">
        <f t="shared" si="48"/>
        <v>0</v>
      </c>
      <c r="P328" s="1024" t="e">
        <f>LOOKUP(G328,$J$4:$J$26,$M$4:$M$26)*LOOKUP(LOOKUP(G328,$J$4:$J$26,$K$4:$K$26),Lookup!$K$9:$K$24,Lookup!$O$9:$O$24)*IF(E328="A",LOOKUP(LOOKUP(G328,$J$4:$J$26,$K$4:$K$26),Lookup!$K$9:$K$24,Lookup!$L$9:$L$24),IF(E328="B",LOOKUP(LOOKUP(G328,$J$4:$J$26,$K$4:$K$26),Lookup!$K$9:$K$24,Lookup!$M$9:$M$24),IF(E328="C",LOOKUP(LOOKUP(G328,$J$4:$J$26,$K$4:$K$26),Lookup!$K$9:$K$24,Lookup!$N$9:$N$24))))</f>
        <v>#N/A</v>
      </c>
      <c r="Q328" s="1024" t="e">
        <f t="shared" si="49"/>
        <v>#N/A</v>
      </c>
      <c r="R328" s="1024" t="e">
        <f t="shared" si="42"/>
        <v>#N/A</v>
      </c>
      <c r="S328" s="828">
        <f t="shared" si="50"/>
        <v>0</v>
      </c>
      <c r="T328" s="1675" t="str">
        <f t="shared" si="43"/>
        <v/>
      </c>
    </row>
    <row r="329" spans="1:20">
      <c r="A329" s="836"/>
      <c r="B329" s="529"/>
      <c r="C329" s="827"/>
      <c r="D329" s="827"/>
      <c r="E329" s="828" t="e">
        <f>LOOKUP(D329,Lookup!$C$9:$C$24,Lookup!$I$9:$I$24)</f>
        <v>#N/A</v>
      </c>
      <c r="F329" s="529"/>
      <c r="G329" s="529"/>
      <c r="H329" s="529"/>
      <c r="I329" s="828" t="e">
        <f t="shared" si="44"/>
        <v>#N/A</v>
      </c>
      <c r="J329" s="643"/>
      <c r="K329" s="829">
        <f t="shared" si="45"/>
        <v>0</v>
      </c>
      <c r="L329" s="830" t="e">
        <f t="shared" si="46"/>
        <v>#DIV/0!</v>
      </c>
      <c r="M329" s="830" t="str">
        <f t="shared" si="47"/>
        <v>N/A</v>
      </c>
      <c r="N329" s="831" t="e">
        <f t="shared" si="41"/>
        <v>#N/A</v>
      </c>
      <c r="O329" s="831">
        <f t="shared" si="48"/>
        <v>0</v>
      </c>
      <c r="P329" s="1024" t="e">
        <f>LOOKUP(G329,$J$4:$J$26,$M$4:$M$26)*LOOKUP(LOOKUP(G329,$J$4:$J$26,$K$4:$K$26),Lookup!$K$9:$K$24,Lookup!$O$9:$O$24)*IF(E329="A",LOOKUP(LOOKUP(G329,$J$4:$J$26,$K$4:$K$26),Lookup!$K$9:$K$24,Lookup!$L$9:$L$24),IF(E329="B",LOOKUP(LOOKUP(G329,$J$4:$J$26,$K$4:$K$26),Lookup!$K$9:$K$24,Lookup!$M$9:$M$24),IF(E329="C",LOOKUP(LOOKUP(G329,$J$4:$J$26,$K$4:$K$26),Lookup!$K$9:$K$24,Lookup!$N$9:$N$24))))</f>
        <v>#N/A</v>
      </c>
      <c r="Q329" s="1024" t="e">
        <f t="shared" si="49"/>
        <v>#N/A</v>
      </c>
      <c r="R329" s="1024" t="e">
        <f t="shared" si="42"/>
        <v>#N/A</v>
      </c>
      <c r="S329" s="828">
        <f t="shared" si="50"/>
        <v>0</v>
      </c>
      <c r="T329" s="1675" t="str">
        <f t="shared" si="43"/>
        <v/>
      </c>
    </row>
    <row r="330" spans="1:20">
      <c r="A330" s="836"/>
      <c r="B330" s="529"/>
      <c r="C330" s="827"/>
      <c r="D330" s="827"/>
      <c r="E330" s="828" t="e">
        <f>LOOKUP(D330,Lookup!$C$9:$C$24,Lookup!$I$9:$I$24)</f>
        <v>#N/A</v>
      </c>
      <c r="F330" s="529"/>
      <c r="G330" s="529"/>
      <c r="H330" s="529"/>
      <c r="I330" s="828" t="e">
        <f t="shared" si="44"/>
        <v>#N/A</v>
      </c>
      <c r="J330" s="643"/>
      <c r="K330" s="829">
        <f t="shared" si="45"/>
        <v>0</v>
      </c>
      <c r="L330" s="830" t="e">
        <f t="shared" si="46"/>
        <v>#DIV/0!</v>
      </c>
      <c r="M330" s="830" t="str">
        <f t="shared" si="47"/>
        <v>N/A</v>
      </c>
      <c r="N330" s="831" t="e">
        <f t="shared" si="41"/>
        <v>#N/A</v>
      </c>
      <c r="O330" s="831">
        <f t="shared" si="48"/>
        <v>0</v>
      </c>
      <c r="P330" s="1024" t="e">
        <f>LOOKUP(G330,$J$4:$J$26,$M$4:$M$26)*LOOKUP(LOOKUP(G330,$J$4:$J$26,$K$4:$K$26),Lookup!$K$9:$K$24,Lookup!$O$9:$O$24)*IF(E330="A",LOOKUP(LOOKUP(G330,$J$4:$J$26,$K$4:$K$26),Lookup!$K$9:$K$24,Lookup!$L$9:$L$24),IF(E330="B",LOOKUP(LOOKUP(G330,$J$4:$J$26,$K$4:$K$26),Lookup!$K$9:$K$24,Lookup!$M$9:$M$24),IF(E330="C",LOOKUP(LOOKUP(G330,$J$4:$J$26,$K$4:$K$26),Lookup!$K$9:$K$24,Lookup!$N$9:$N$24))))</f>
        <v>#N/A</v>
      </c>
      <c r="Q330" s="1024" t="e">
        <f t="shared" si="49"/>
        <v>#N/A</v>
      </c>
      <c r="R330" s="1024" t="e">
        <f t="shared" si="42"/>
        <v>#N/A</v>
      </c>
      <c r="S330" s="828">
        <f t="shared" si="50"/>
        <v>0</v>
      </c>
      <c r="T330" s="1675" t="str">
        <f t="shared" si="43"/>
        <v/>
      </c>
    </row>
    <row r="331" spans="1:20">
      <c r="A331" s="836"/>
      <c r="B331" s="529"/>
      <c r="C331" s="837"/>
      <c r="D331" s="827"/>
      <c r="E331" s="828" t="e">
        <f>LOOKUP(D331,Lookup!$C$9:$C$24,Lookup!$I$9:$I$24)</f>
        <v>#N/A</v>
      </c>
      <c r="F331" s="529"/>
      <c r="G331" s="529"/>
      <c r="H331" s="529"/>
      <c r="I331" s="828" t="e">
        <f t="shared" si="44"/>
        <v>#N/A</v>
      </c>
      <c r="J331" s="643"/>
      <c r="K331" s="829">
        <f t="shared" si="45"/>
        <v>0</v>
      </c>
      <c r="L331" s="830" t="e">
        <f t="shared" si="46"/>
        <v>#DIV/0!</v>
      </c>
      <c r="M331" s="830" t="str">
        <f t="shared" si="47"/>
        <v>N/A</v>
      </c>
      <c r="N331" s="831" t="e">
        <f t="shared" si="41"/>
        <v>#N/A</v>
      </c>
      <c r="O331" s="831">
        <f t="shared" si="48"/>
        <v>0</v>
      </c>
      <c r="P331" s="1024" t="e">
        <f>LOOKUP(G331,$J$4:$J$26,$M$4:$M$26)*LOOKUP(LOOKUP(G331,$J$4:$J$26,$K$4:$K$26),Lookup!$K$9:$K$24,Lookup!$O$9:$O$24)*IF(E331="A",LOOKUP(LOOKUP(G331,$J$4:$J$26,$K$4:$K$26),Lookup!$K$9:$K$24,Lookup!$L$9:$L$24),IF(E331="B",LOOKUP(LOOKUP(G331,$J$4:$J$26,$K$4:$K$26),Lookup!$K$9:$K$24,Lookup!$M$9:$M$24),IF(E331="C",LOOKUP(LOOKUP(G331,$J$4:$J$26,$K$4:$K$26),Lookup!$K$9:$K$24,Lookup!$N$9:$N$24))))</f>
        <v>#N/A</v>
      </c>
      <c r="Q331" s="1024" t="e">
        <f t="shared" si="49"/>
        <v>#N/A</v>
      </c>
      <c r="R331" s="1024" t="e">
        <f t="shared" si="42"/>
        <v>#N/A</v>
      </c>
      <c r="S331" s="828">
        <f t="shared" si="50"/>
        <v>0</v>
      </c>
      <c r="T331" s="1675" t="str">
        <f t="shared" si="43"/>
        <v/>
      </c>
    </row>
    <row r="332" spans="1:20" ht="11.25" customHeight="1">
      <c r="A332" s="836"/>
      <c r="B332" s="529"/>
      <c r="C332" s="827"/>
      <c r="D332" s="827"/>
      <c r="E332" s="828" t="e">
        <f>LOOKUP(D332,Lookup!$C$9:$C$24,Lookup!$I$9:$I$24)</f>
        <v>#N/A</v>
      </c>
      <c r="F332" s="529"/>
      <c r="G332" s="529"/>
      <c r="H332" s="529"/>
      <c r="I332" s="828" t="e">
        <f t="shared" si="44"/>
        <v>#N/A</v>
      </c>
      <c r="J332" s="643"/>
      <c r="K332" s="829">
        <f t="shared" si="45"/>
        <v>0</v>
      </c>
      <c r="L332" s="830" t="e">
        <f t="shared" si="46"/>
        <v>#DIV/0!</v>
      </c>
      <c r="M332" s="830" t="str">
        <f t="shared" si="47"/>
        <v>N/A</v>
      </c>
      <c r="N332" s="831" t="e">
        <f t="shared" si="41"/>
        <v>#N/A</v>
      </c>
      <c r="O332" s="831">
        <f t="shared" si="48"/>
        <v>0</v>
      </c>
      <c r="P332" s="1024" t="e">
        <f>LOOKUP(G332,$J$4:$J$26,$M$4:$M$26)*LOOKUP(LOOKUP(G332,$J$4:$J$26,$K$4:$K$26),Lookup!$K$9:$K$24,Lookup!$O$9:$O$24)*IF(E332="A",LOOKUP(LOOKUP(G332,$J$4:$J$26,$K$4:$K$26),Lookup!$K$9:$K$24,Lookup!$L$9:$L$24),IF(E332="B",LOOKUP(LOOKUP(G332,$J$4:$J$26,$K$4:$K$26),Lookup!$K$9:$K$24,Lookup!$M$9:$M$24),IF(E332="C",LOOKUP(LOOKUP(G332,$J$4:$J$26,$K$4:$K$26),Lookup!$K$9:$K$24,Lookup!$N$9:$N$24))))</f>
        <v>#N/A</v>
      </c>
      <c r="Q332" s="1024" t="e">
        <f t="shared" si="49"/>
        <v>#N/A</v>
      </c>
      <c r="R332" s="1024" t="e">
        <f t="shared" si="42"/>
        <v>#N/A</v>
      </c>
      <c r="S332" s="828">
        <f t="shared" si="50"/>
        <v>0</v>
      </c>
      <c r="T332" s="1675" t="str">
        <f t="shared" si="43"/>
        <v/>
      </c>
    </row>
    <row r="333" spans="1:20">
      <c r="A333" s="836"/>
      <c r="B333" s="529"/>
      <c r="C333" s="827"/>
      <c r="D333" s="827"/>
      <c r="E333" s="828" t="e">
        <f>LOOKUP(D333,Lookup!$C$9:$C$24,Lookup!$I$9:$I$24)</f>
        <v>#N/A</v>
      </c>
      <c r="F333" s="529"/>
      <c r="G333" s="529"/>
      <c r="H333" s="529"/>
      <c r="I333" s="828" t="e">
        <f t="shared" si="44"/>
        <v>#N/A</v>
      </c>
      <c r="J333" s="643"/>
      <c r="K333" s="829">
        <f t="shared" si="45"/>
        <v>0</v>
      </c>
      <c r="L333" s="830" t="e">
        <f t="shared" si="46"/>
        <v>#DIV/0!</v>
      </c>
      <c r="M333" s="830" t="str">
        <f t="shared" si="47"/>
        <v>N/A</v>
      </c>
      <c r="N333" s="831" t="e">
        <f t="shared" si="41"/>
        <v>#N/A</v>
      </c>
      <c r="O333" s="831">
        <f t="shared" si="48"/>
        <v>0</v>
      </c>
      <c r="P333" s="1024" t="e">
        <f>LOOKUP(G333,$J$4:$J$26,$M$4:$M$26)*LOOKUP(LOOKUP(G333,$J$4:$J$26,$K$4:$K$26),Lookup!$K$9:$K$24,Lookup!$O$9:$O$24)*IF(E333="A",LOOKUP(LOOKUP(G333,$J$4:$J$26,$K$4:$K$26),Lookup!$K$9:$K$24,Lookup!$L$9:$L$24),IF(E333="B",LOOKUP(LOOKUP(G333,$J$4:$J$26,$K$4:$K$26),Lookup!$K$9:$K$24,Lookup!$M$9:$M$24),IF(E333="C",LOOKUP(LOOKUP(G333,$J$4:$J$26,$K$4:$K$26),Lookup!$K$9:$K$24,Lookup!$N$9:$N$24))))</f>
        <v>#N/A</v>
      </c>
      <c r="Q333" s="1024" t="e">
        <f t="shared" si="49"/>
        <v>#N/A</v>
      </c>
      <c r="R333" s="1024" t="e">
        <f t="shared" si="42"/>
        <v>#N/A</v>
      </c>
      <c r="S333" s="828">
        <f t="shared" si="50"/>
        <v>0</v>
      </c>
      <c r="T333" s="1675" t="str">
        <f t="shared" si="43"/>
        <v/>
      </c>
    </row>
    <row r="334" spans="1:20">
      <c r="A334" s="836"/>
      <c r="B334" s="529"/>
      <c r="C334" s="827"/>
      <c r="D334" s="827"/>
      <c r="E334" s="828" t="e">
        <f>LOOKUP(D334,Lookup!$C$9:$C$24,Lookup!$I$9:$I$24)</f>
        <v>#N/A</v>
      </c>
      <c r="F334" s="529"/>
      <c r="G334" s="529"/>
      <c r="H334" s="529"/>
      <c r="I334" s="828" t="e">
        <f t="shared" si="44"/>
        <v>#N/A</v>
      </c>
      <c r="J334" s="643"/>
      <c r="K334" s="829">
        <f t="shared" si="45"/>
        <v>0</v>
      </c>
      <c r="L334" s="830" t="e">
        <f t="shared" si="46"/>
        <v>#DIV/0!</v>
      </c>
      <c r="M334" s="830" t="str">
        <f t="shared" si="47"/>
        <v>N/A</v>
      </c>
      <c r="N334" s="831" t="e">
        <f t="shared" si="41"/>
        <v>#N/A</v>
      </c>
      <c r="O334" s="831">
        <f t="shared" si="48"/>
        <v>0</v>
      </c>
      <c r="P334" s="1024" t="e">
        <f>LOOKUP(G334,$J$4:$J$26,$M$4:$M$26)*LOOKUP(LOOKUP(G334,$J$4:$J$26,$K$4:$K$26),Lookup!$K$9:$K$24,Lookup!$O$9:$O$24)*IF(E334="A",LOOKUP(LOOKUP(G334,$J$4:$J$26,$K$4:$K$26),Lookup!$K$9:$K$24,Lookup!$L$9:$L$24),IF(E334="B",LOOKUP(LOOKUP(G334,$J$4:$J$26,$K$4:$K$26),Lookup!$K$9:$K$24,Lookup!$M$9:$M$24),IF(E334="C",LOOKUP(LOOKUP(G334,$J$4:$J$26,$K$4:$K$26),Lookup!$K$9:$K$24,Lookup!$N$9:$N$24))))</f>
        <v>#N/A</v>
      </c>
      <c r="Q334" s="1024" t="e">
        <f t="shared" si="49"/>
        <v>#N/A</v>
      </c>
      <c r="R334" s="1024" t="e">
        <f t="shared" si="42"/>
        <v>#N/A</v>
      </c>
      <c r="S334" s="828">
        <f t="shared" si="50"/>
        <v>0</v>
      </c>
      <c r="T334" s="1675" t="str">
        <f t="shared" si="43"/>
        <v/>
      </c>
    </row>
    <row r="335" spans="1:20">
      <c r="A335" s="836"/>
      <c r="B335" s="529"/>
      <c r="C335" s="827"/>
      <c r="D335" s="827"/>
      <c r="E335" s="828" t="e">
        <f>LOOKUP(D335,Lookup!$C$9:$C$24,Lookup!$I$9:$I$24)</f>
        <v>#N/A</v>
      </c>
      <c r="F335" s="529"/>
      <c r="G335" s="529"/>
      <c r="H335" s="529"/>
      <c r="I335" s="828" t="e">
        <f t="shared" si="44"/>
        <v>#N/A</v>
      </c>
      <c r="J335" s="643"/>
      <c r="K335" s="829">
        <f t="shared" si="45"/>
        <v>0</v>
      </c>
      <c r="L335" s="830" t="e">
        <f t="shared" si="46"/>
        <v>#DIV/0!</v>
      </c>
      <c r="M335" s="830" t="str">
        <f t="shared" si="47"/>
        <v>N/A</v>
      </c>
      <c r="N335" s="831" t="e">
        <f t="shared" si="41"/>
        <v>#N/A</v>
      </c>
      <c r="O335" s="831">
        <f t="shared" si="48"/>
        <v>0</v>
      </c>
      <c r="P335" s="1024" t="e">
        <f>LOOKUP(G335,$J$4:$J$26,$M$4:$M$26)*LOOKUP(LOOKUP(G335,$J$4:$J$26,$K$4:$K$26),Lookup!$K$9:$K$24,Lookup!$O$9:$O$24)*IF(E335="A",LOOKUP(LOOKUP(G335,$J$4:$J$26,$K$4:$K$26),Lookup!$K$9:$K$24,Lookup!$L$9:$L$24),IF(E335="B",LOOKUP(LOOKUP(G335,$J$4:$J$26,$K$4:$K$26),Lookup!$K$9:$K$24,Lookup!$M$9:$M$24),IF(E335="C",LOOKUP(LOOKUP(G335,$J$4:$J$26,$K$4:$K$26),Lookup!$K$9:$K$24,Lookup!$N$9:$N$24))))</f>
        <v>#N/A</v>
      </c>
      <c r="Q335" s="1024" t="e">
        <f t="shared" si="49"/>
        <v>#N/A</v>
      </c>
      <c r="R335" s="1024" t="e">
        <f t="shared" si="42"/>
        <v>#N/A</v>
      </c>
      <c r="S335" s="828">
        <f t="shared" si="50"/>
        <v>0</v>
      </c>
      <c r="T335" s="1675" t="str">
        <f t="shared" si="43"/>
        <v/>
      </c>
    </row>
    <row r="336" spans="1:20">
      <c r="A336" s="836"/>
      <c r="B336" s="529"/>
      <c r="C336" s="827"/>
      <c r="D336" s="827"/>
      <c r="E336" s="828" t="e">
        <f>LOOKUP(D336,Lookup!$C$9:$C$24,Lookup!$I$9:$I$24)</f>
        <v>#N/A</v>
      </c>
      <c r="F336" s="529"/>
      <c r="G336" s="529"/>
      <c r="H336" s="529"/>
      <c r="I336" s="828" t="e">
        <f t="shared" si="44"/>
        <v>#N/A</v>
      </c>
      <c r="J336" s="643"/>
      <c r="K336" s="829">
        <f t="shared" si="45"/>
        <v>0</v>
      </c>
      <c r="L336" s="830" t="e">
        <f t="shared" si="46"/>
        <v>#DIV/0!</v>
      </c>
      <c r="M336" s="830" t="str">
        <f t="shared" si="47"/>
        <v>N/A</v>
      </c>
      <c r="N336" s="831" t="e">
        <f t="shared" si="41"/>
        <v>#N/A</v>
      </c>
      <c r="O336" s="831">
        <f t="shared" si="48"/>
        <v>0</v>
      </c>
      <c r="P336" s="1024" t="e">
        <f>LOOKUP(G336,$J$4:$J$26,$M$4:$M$26)*LOOKUP(LOOKUP(G336,$J$4:$J$26,$K$4:$K$26),Lookup!$K$9:$K$24,Lookup!$O$9:$O$24)*IF(E336="A",LOOKUP(LOOKUP(G336,$J$4:$J$26,$K$4:$K$26),Lookup!$K$9:$K$24,Lookup!$L$9:$L$24),IF(E336="B",LOOKUP(LOOKUP(G336,$J$4:$J$26,$K$4:$K$26),Lookup!$K$9:$K$24,Lookup!$M$9:$M$24),IF(E336="C",LOOKUP(LOOKUP(G336,$J$4:$J$26,$K$4:$K$26),Lookup!$K$9:$K$24,Lookup!$N$9:$N$24))))</f>
        <v>#N/A</v>
      </c>
      <c r="Q336" s="1024" t="e">
        <f t="shared" si="49"/>
        <v>#N/A</v>
      </c>
      <c r="R336" s="1024" t="e">
        <f t="shared" si="42"/>
        <v>#N/A</v>
      </c>
      <c r="S336" s="828">
        <f t="shared" si="50"/>
        <v>0</v>
      </c>
      <c r="T336" s="1675" t="str">
        <f t="shared" si="43"/>
        <v/>
      </c>
    </row>
    <row r="337" spans="1:20">
      <c r="A337" s="836"/>
      <c r="B337" s="529"/>
      <c r="C337" s="837"/>
      <c r="D337" s="827"/>
      <c r="E337" s="828" t="e">
        <f>LOOKUP(D337,Lookup!$C$9:$C$24,Lookup!$I$9:$I$24)</f>
        <v>#N/A</v>
      </c>
      <c r="F337" s="529"/>
      <c r="G337" s="529"/>
      <c r="H337" s="529"/>
      <c r="I337" s="828" t="e">
        <f t="shared" si="44"/>
        <v>#N/A</v>
      </c>
      <c r="J337" s="643"/>
      <c r="K337" s="829">
        <f t="shared" si="45"/>
        <v>0</v>
      </c>
      <c r="L337" s="830" t="e">
        <f t="shared" si="46"/>
        <v>#DIV/0!</v>
      </c>
      <c r="M337" s="830" t="str">
        <f t="shared" si="47"/>
        <v>N/A</v>
      </c>
      <c r="N337" s="831" t="e">
        <f t="shared" si="41"/>
        <v>#N/A</v>
      </c>
      <c r="O337" s="831">
        <f t="shared" si="48"/>
        <v>0</v>
      </c>
      <c r="P337" s="1024" t="e">
        <f>LOOKUP(G337,$J$4:$J$26,$M$4:$M$26)*LOOKUP(LOOKUP(G337,$J$4:$J$26,$K$4:$K$26),Lookup!$K$9:$K$24,Lookup!$O$9:$O$24)*IF(E337="A",LOOKUP(LOOKUP(G337,$J$4:$J$26,$K$4:$K$26),Lookup!$K$9:$K$24,Lookup!$L$9:$L$24),IF(E337="B",LOOKUP(LOOKUP(G337,$J$4:$J$26,$K$4:$K$26),Lookup!$K$9:$K$24,Lookup!$M$9:$M$24),IF(E337="C",LOOKUP(LOOKUP(G337,$J$4:$J$26,$K$4:$K$26),Lookup!$K$9:$K$24,Lookup!$N$9:$N$24))))</f>
        <v>#N/A</v>
      </c>
      <c r="Q337" s="1024" t="e">
        <f t="shared" si="49"/>
        <v>#N/A</v>
      </c>
      <c r="R337" s="1024" t="e">
        <f t="shared" si="42"/>
        <v>#N/A</v>
      </c>
      <c r="S337" s="828">
        <f t="shared" si="50"/>
        <v>0</v>
      </c>
      <c r="T337" s="1675" t="str">
        <f t="shared" si="43"/>
        <v/>
      </c>
    </row>
    <row r="338" spans="1:20">
      <c r="A338" s="836"/>
      <c r="B338" s="529"/>
      <c r="C338" s="827"/>
      <c r="D338" s="827"/>
      <c r="E338" s="828" t="e">
        <f>LOOKUP(D338,Lookup!$C$9:$C$24,Lookup!$I$9:$I$24)</f>
        <v>#N/A</v>
      </c>
      <c r="F338" s="529"/>
      <c r="G338" s="529"/>
      <c r="H338" s="529"/>
      <c r="I338" s="828" t="e">
        <f t="shared" si="44"/>
        <v>#N/A</v>
      </c>
      <c r="J338" s="643"/>
      <c r="K338" s="829">
        <f t="shared" si="45"/>
        <v>0</v>
      </c>
      <c r="L338" s="830" t="e">
        <f t="shared" si="46"/>
        <v>#DIV/0!</v>
      </c>
      <c r="M338" s="830" t="str">
        <f t="shared" si="47"/>
        <v>N/A</v>
      </c>
      <c r="N338" s="831" t="e">
        <f t="shared" si="41"/>
        <v>#N/A</v>
      </c>
      <c r="O338" s="831">
        <f t="shared" si="48"/>
        <v>0</v>
      </c>
      <c r="P338" s="1024" t="e">
        <f>LOOKUP(G338,$J$4:$J$26,$M$4:$M$26)*LOOKUP(LOOKUP(G338,$J$4:$J$26,$K$4:$K$26),Lookup!$K$9:$K$24,Lookup!$O$9:$O$24)*IF(E338="A",LOOKUP(LOOKUP(G338,$J$4:$J$26,$K$4:$K$26),Lookup!$K$9:$K$24,Lookup!$L$9:$L$24),IF(E338="B",LOOKUP(LOOKUP(G338,$J$4:$J$26,$K$4:$K$26),Lookup!$K$9:$K$24,Lookup!$M$9:$M$24),IF(E338="C",LOOKUP(LOOKUP(G338,$J$4:$J$26,$K$4:$K$26),Lookup!$K$9:$K$24,Lookup!$N$9:$N$24))))</f>
        <v>#N/A</v>
      </c>
      <c r="Q338" s="1024" t="e">
        <f t="shared" si="49"/>
        <v>#N/A</v>
      </c>
      <c r="R338" s="1024" t="e">
        <f t="shared" si="42"/>
        <v>#N/A</v>
      </c>
      <c r="S338" s="828">
        <f t="shared" si="50"/>
        <v>0</v>
      </c>
      <c r="T338" s="1675" t="str">
        <f t="shared" si="43"/>
        <v/>
      </c>
    </row>
    <row r="339" spans="1:20">
      <c r="A339" s="836"/>
      <c r="B339" s="529"/>
      <c r="C339" s="827"/>
      <c r="D339" s="827"/>
      <c r="E339" s="828" t="e">
        <f>LOOKUP(D339,Lookup!$C$9:$C$24,Lookup!$I$9:$I$24)</f>
        <v>#N/A</v>
      </c>
      <c r="F339" s="529"/>
      <c r="G339" s="529"/>
      <c r="H339" s="529"/>
      <c r="I339" s="828" t="e">
        <f t="shared" si="44"/>
        <v>#N/A</v>
      </c>
      <c r="J339" s="643"/>
      <c r="K339" s="829">
        <f t="shared" si="45"/>
        <v>0</v>
      </c>
      <c r="L339" s="830" t="e">
        <f t="shared" si="46"/>
        <v>#DIV/0!</v>
      </c>
      <c r="M339" s="830" t="str">
        <f t="shared" si="47"/>
        <v>N/A</v>
      </c>
      <c r="N339" s="831" t="e">
        <f t="shared" si="41"/>
        <v>#N/A</v>
      </c>
      <c r="O339" s="831">
        <f t="shared" si="48"/>
        <v>0</v>
      </c>
      <c r="P339" s="1024" t="e">
        <f>LOOKUP(G339,$J$4:$J$26,$M$4:$M$26)*LOOKUP(LOOKUP(G339,$J$4:$J$26,$K$4:$K$26),Lookup!$K$9:$K$24,Lookup!$O$9:$O$24)*IF(E339="A",LOOKUP(LOOKUP(G339,$J$4:$J$26,$K$4:$K$26),Lookup!$K$9:$K$24,Lookup!$L$9:$L$24),IF(E339="B",LOOKUP(LOOKUP(G339,$J$4:$J$26,$K$4:$K$26),Lookup!$K$9:$K$24,Lookup!$M$9:$M$24),IF(E339="C",LOOKUP(LOOKUP(G339,$J$4:$J$26,$K$4:$K$26),Lookup!$K$9:$K$24,Lookup!$N$9:$N$24))))</f>
        <v>#N/A</v>
      </c>
      <c r="Q339" s="1024" t="e">
        <f t="shared" si="49"/>
        <v>#N/A</v>
      </c>
      <c r="R339" s="1024" t="e">
        <f t="shared" si="42"/>
        <v>#N/A</v>
      </c>
      <c r="S339" s="828">
        <f t="shared" si="50"/>
        <v>0</v>
      </c>
      <c r="T339" s="1675" t="str">
        <f t="shared" si="43"/>
        <v/>
      </c>
    </row>
    <row r="340" spans="1:20">
      <c r="A340" s="836"/>
      <c r="B340" s="529"/>
      <c r="C340" s="827"/>
      <c r="D340" s="827"/>
      <c r="E340" s="828" t="e">
        <f>LOOKUP(D340,Lookup!$C$9:$C$24,Lookup!$I$9:$I$24)</f>
        <v>#N/A</v>
      </c>
      <c r="F340" s="529"/>
      <c r="G340" s="529"/>
      <c r="H340" s="529"/>
      <c r="I340" s="828" t="e">
        <f t="shared" si="44"/>
        <v>#N/A</v>
      </c>
      <c r="J340" s="643"/>
      <c r="K340" s="829">
        <f t="shared" si="45"/>
        <v>0</v>
      </c>
      <c r="L340" s="830" t="e">
        <f t="shared" si="46"/>
        <v>#DIV/0!</v>
      </c>
      <c r="M340" s="830" t="str">
        <f t="shared" si="47"/>
        <v>N/A</v>
      </c>
      <c r="N340" s="831" t="e">
        <f t="shared" si="41"/>
        <v>#N/A</v>
      </c>
      <c r="O340" s="831">
        <f t="shared" si="48"/>
        <v>0</v>
      </c>
      <c r="P340" s="1024" t="e">
        <f>LOOKUP(G340,$J$4:$J$26,$M$4:$M$26)*LOOKUP(LOOKUP(G340,$J$4:$J$26,$K$4:$K$26),Lookup!$K$9:$K$24,Lookup!$O$9:$O$24)*IF(E340="A",LOOKUP(LOOKUP(G340,$J$4:$J$26,$K$4:$K$26),Lookup!$K$9:$K$24,Lookup!$L$9:$L$24),IF(E340="B",LOOKUP(LOOKUP(G340,$J$4:$J$26,$K$4:$K$26),Lookup!$K$9:$K$24,Lookup!$M$9:$M$24),IF(E340="C",LOOKUP(LOOKUP(G340,$J$4:$J$26,$K$4:$K$26),Lookup!$K$9:$K$24,Lookup!$N$9:$N$24))))</f>
        <v>#N/A</v>
      </c>
      <c r="Q340" s="1024" t="e">
        <f t="shared" si="49"/>
        <v>#N/A</v>
      </c>
      <c r="R340" s="1024" t="e">
        <f t="shared" si="42"/>
        <v>#N/A</v>
      </c>
      <c r="S340" s="828">
        <f t="shared" si="50"/>
        <v>0</v>
      </c>
      <c r="T340" s="1675" t="str">
        <f t="shared" si="43"/>
        <v/>
      </c>
    </row>
    <row r="341" spans="1:20">
      <c r="A341" s="836"/>
      <c r="B341" s="529"/>
      <c r="C341" s="827"/>
      <c r="D341" s="827"/>
      <c r="E341" s="828" t="e">
        <f>LOOKUP(D341,Lookup!$C$9:$C$24,Lookup!$I$9:$I$24)</f>
        <v>#N/A</v>
      </c>
      <c r="F341" s="529"/>
      <c r="G341" s="529"/>
      <c r="H341" s="529"/>
      <c r="I341" s="828" t="e">
        <f t="shared" si="44"/>
        <v>#N/A</v>
      </c>
      <c r="J341" s="643"/>
      <c r="K341" s="829">
        <f t="shared" si="45"/>
        <v>0</v>
      </c>
      <c r="L341" s="830" t="e">
        <f t="shared" si="46"/>
        <v>#DIV/0!</v>
      </c>
      <c r="M341" s="830" t="str">
        <f t="shared" si="47"/>
        <v>N/A</v>
      </c>
      <c r="N341" s="831" t="e">
        <f t="shared" si="41"/>
        <v>#N/A</v>
      </c>
      <c r="O341" s="831">
        <f t="shared" si="48"/>
        <v>0</v>
      </c>
      <c r="P341" s="1024" t="e">
        <f>LOOKUP(G341,$J$4:$J$26,$M$4:$M$26)*LOOKUP(LOOKUP(G341,$J$4:$J$26,$K$4:$K$26),Lookup!$K$9:$K$24,Lookup!$O$9:$O$24)*IF(E341="A",LOOKUP(LOOKUP(G341,$J$4:$J$26,$K$4:$K$26),Lookup!$K$9:$K$24,Lookup!$L$9:$L$24),IF(E341="B",LOOKUP(LOOKUP(G341,$J$4:$J$26,$K$4:$K$26),Lookup!$K$9:$K$24,Lookup!$M$9:$M$24),IF(E341="C",LOOKUP(LOOKUP(G341,$J$4:$J$26,$K$4:$K$26),Lookup!$K$9:$K$24,Lookup!$N$9:$N$24))))</f>
        <v>#N/A</v>
      </c>
      <c r="Q341" s="1024" t="e">
        <f t="shared" si="49"/>
        <v>#N/A</v>
      </c>
      <c r="R341" s="1024" t="e">
        <f t="shared" si="42"/>
        <v>#N/A</v>
      </c>
      <c r="S341" s="828">
        <f t="shared" si="50"/>
        <v>0</v>
      </c>
      <c r="T341" s="1675" t="str">
        <f t="shared" si="43"/>
        <v/>
      </c>
    </row>
    <row r="342" spans="1:20">
      <c r="A342" s="836"/>
      <c r="B342" s="529"/>
      <c r="C342" s="827"/>
      <c r="D342" s="827"/>
      <c r="E342" s="828" t="e">
        <f>LOOKUP(D342,Lookup!$C$9:$C$24,Lookup!$I$9:$I$24)</f>
        <v>#N/A</v>
      </c>
      <c r="F342" s="529"/>
      <c r="G342" s="529"/>
      <c r="H342" s="529"/>
      <c r="I342" s="828" t="e">
        <f t="shared" si="44"/>
        <v>#N/A</v>
      </c>
      <c r="J342" s="643"/>
      <c r="K342" s="829">
        <f t="shared" si="45"/>
        <v>0</v>
      </c>
      <c r="L342" s="830" t="e">
        <f t="shared" si="46"/>
        <v>#DIV/0!</v>
      </c>
      <c r="M342" s="830" t="str">
        <f t="shared" si="47"/>
        <v>N/A</v>
      </c>
      <c r="N342" s="831" t="e">
        <f t="shared" si="41"/>
        <v>#N/A</v>
      </c>
      <c r="O342" s="831">
        <f t="shared" si="48"/>
        <v>0</v>
      </c>
      <c r="P342" s="1024" t="e">
        <f>LOOKUP(G342,$J$4:$J$26,$M$4:$M$26)*LOOKUP(LOOKUP(G342,$J$4:$J$26,$K$4:$K$26),Lookup!$K$9:$K$24,Lookup!$O$9:$O$24)*IF(E342="A",LOOKUP(LOOKUP(G342,$J$4:$J$26,$K$4:$K$26),Lookup!$K$9:$K$24,Lookup!$L$9:$L$24),IF(E342="B",LOOKUP(LOOKUP(G342,$J$4:$J$26,$K$4:$K$26),Lookup!$K$9:$K$24,Lookup!$M$9:$M$24),IF(E342="C",LOOKUP(LOOKUP(G342,$J$4:$J$26,$K$4:$K$26),Lookup!$K$9:$K$24,Lookup!$N$9:$N$24))))</f>
        <v>#N/A</v>
      </c>
      <c r="Q342" s="1024" t="e">
        <f t="shared" si="49"/>
        <v>#N/A</v>
      </c>
      <c r="R342" s="1024" t="e">
        <f t="shared" si="42"/>
        <v>#N/A</v>
      </c>
      <c r="S342" s="828">
        <f t="shared" si="50"/>
        <v>0</v>
      </c>
      <c r="T342" s="1675" t="str">
        <f t="shared" si="43"/>
        <v/>
      </c>
    </row>
    <row r="343" spans="1:20">
      <c r="A343" s="836"/>
      <c r="B343" s="529"/>
      <c r="C343" s="837"/>
      <c r="D343" s="827"/>
      <c r="E343" s="828" t="e">
        <f>LOOKUP(D343,Lookup!$C$9:$C$24,Lookup!$I$9:$I$24)</f>
        <v>#N/A</v>
      </c>
      <c r="F343" s="529"/>
      <c r="G343" s="529"/>
      <c r="H343" s="529"/>
      <c r="I343" s="828" t="e">
        <f t="shared" si="44"/>
        <v>#N/A</v>
      </c>
      <c r="J343" s="643"/>
      <c r="K343" s="829">
        <f t="shared" si="45"/>
        <v>0</v>
      </c>
      <c r="L343" s="830" t="e">
        <f t="shared" si="46"/>
        <v>#DIV/0!</v>
      </c>
      <c r="M343" s="830" t="str">
        <f t="shared" si="47"/>
        <v>N/A</v>
      </c>
      <c r="N343" s="831" t="e">
        <f t="shared" si="41"/>
        <v>#N/A</v>
      </c>
      <c r="O343" s="831">
        <f t="shared" si="48"/>
        <v>0</v>
      </c>
      <c r="P343" s="1024" t="e">
        <f>LOOKUP(G343,$J$4:$J$26,$M$4:$M$26)*LOOKUP(LOOKUP(G343,$J$4:$J$26,$K$4:$K$26),Lookup!$K$9:$K$24,Lookup!$O$9:$O$24)*IF(E343="A",LOOKUP(LOOKUP(G343,$J$4:$J$26,$K$4:$K$26),Lookup!$K$9:$K$24,Lookup!$L$9:$L$24),IF(E343="B",LOOKUP(LOOKUP(G343,$J$4:$J$26,$K$4:$K$26),Lookup!$K$9:$K$24,Lookup!$M$9:$M$24),IF(E343="C",LOOKUP(LOOKUP(G343,$J$4:$J$26,$K$4:$K$26),Lookup!$K$9:$K$24,Lookup!$N$9:$N$24))))</f>
        <v>#N/A</v>
      </c>
      <c r="Q343" s="1024" t="e">
        <f t="shared" si="49"/>
        <v>#N/A</v>
      </c>
      <c r="R343" s="1024" t="e">
        <f t="shared" si="42"/>
        <v>#N/A</v>
      </c>
      <c r="S343" s="828">
        <f t="shared" si="50"/>
        <v>0</v>
      </c>
      <c r="T343" s="1675" t="str">
        <f t="shared" si="43"/>
        <v/>
      </c>
    </row>
    <row r="344" spans="1:20">
      <c r="A344" s="836"/>
      <c r="B344" s="529"/>
      <c r="C344" s="827"/>
      <c r="D344" s="827"/>
      <c r="E344" s="828" t="e">
        <f>LOOKUP(D344,Lookup!$C$9:$C$24,Lookup!$I$9:$I$24)</f>
        <v>#N/A</v>
      </c>
      <c r="F344" s="529"/>
      <c r="G344" s="529"/>
      <c r="H344" s="529"/>
      <c r="I344" s="828" t="e">
        <f t="shared" si="44"/>
        <v>#N/A</v>
      </c>
      <c r="J344" s="643"/>
      <c r="K344" s="829">
        <f t="shared" si="45"/>
        <v>0</v>
      </c>
      <c r="L344" s="830" t="e">
        <f t="shared" si="46"/>
        <v>#DIV/0!</v>
      </c>
      <c r="M344" s="830" t="str">
        <f t="shared" si="47"/>
        <v>N/A</v>
      </c>
      <c r="N344" s="831" t="e">
        <f t="shared" si="41"/>
        <v>#N/A</v>
      </c>
      <c r="O344" s="831">
        <f t="shared" si="48"/>
        <v>0</v>
      </c>
      <c r="P344" s="1024" t="e">
        <f>LOOKUP(G344,$J$4:$J$26,$M$4:$M$26)*LOOKUP(LOOKUP(G344,$J$4:$J$26,$K$4:$K$26),Lookup!$K$9:$K$24,Lookup!$O$9:$O$24)*IF(E344="A",LOOKUP(LOOKUP(G344,$J$4:$J$26,$K$4:$K$26),Lookup!$K$9:$K$24,Lookup!$L$9:$L$24),IF(E344="B",LOOKUP(LOOKUP(G344,$J$4:$J$26,$K$4:$K$26),Lookup!$K$9:$K$24,Lookup!$M$9:$M$24),IF(E344="C",LOOKUP(LOOKUP(G344,$J$4:$J$26,$K$4:$K$26),Lookup!$K$9:$K$24,Lookup!$N$9:$N$24))))</f>
        <v>#N/A</v>
      </c>
      <c r="Q344" s="1024" t="e">
        <f t="shared" si="49"/>
        <v>#N/A</v>
      </c>
      <c r="R344" s="1024" t="e">
        <f t="shared" si="42"/>
        <v>#N/A</v>
      </c>
      <c r="S344" s="828">
        <f t="shared" si="50"/>
        <v>0</v>
      </c>
      <c r="T344" s="1675" t="str">
        <f t="shared" si="43"/>
        <v/>
      </c>
    </row>
    <row r="345" spans="1:20">
      <c r="A345" s="836"/>
      <c r="B345" s="529"/>
      <c r="C345" s="827"/>
      <c r="D345" s="827"/>
      <c r="E345" s="828" t="e">
        <f>LOOKUP(D345,Lookup!$C$9:$C$24,Lookup!$I$9:$I$24)</f>
        <v>#N/A</v>
      </c>
      <c r="F345" s="529"/>
      <c r="G345" s="529"/>
      <c r="H345" s="529"/>
      <c r="I345" s="828" t="e">
        <f t="shared" si="44"/>
        <v>#N/A</v>
      </c>
      <c r="J345" s="643"/>
      <c r="K345" s="829">
        <f t="shared" si="45"/>
        <v>0</v>
      </c>
      <c r="L345" s="830" t="e">
        <f t="shared" si="46"/>
        <v>#DIV/0!</v>
      </c>
      <c r="M345" s="830" t="str">
        <f t="shared" si="47"/>
        <v>N/A</v>
      </c>
      <c r="N345" s="831" t="e">
        <f t="shared" si="41"/>
        <v>#N/A</v>
      </c>
      <c r="O345" s="831">
        <f t="shared" si="48"/>
        <v>0</v>
      </c>
      <c r="P345" s="1024" t="e">
        <f>LOOKUP(G345,$J$4:$J$26,$M$4:$M$26)*LOOKUP(LOOKUP(G345,$J$4:$J$26,$K$4:$K$26),Lookup!$K$9:$K$24,Lookup!$O$9:$O$24)*IF(E345="A",LOOKUP(LOOKUP(G345,$J$4:$J$26,$K$4:$K$26),Lookup!$K$9:$K$24,Lookup!$L$9:$L$24),IF(E345="B",LOOKUP(LOOKUP(G345,$J$4:$J$26,$K$4:$K$26),Lookup!$K$9:$K$24,Lookup!$M$9:$M$24),IF(E345="C",LOOKUP(LOOKUP(G345,$J$4:$J$26,$K$4:$K$26),Lookup!$K$9:$K$24,Lookup!$N$9:$N$24))))</f>
        <v>#N/A</v>
      </c>
      <c r="Q345" s="1024" t="e">
        <f t="shared" si="49"/>
        <v>#N/A</v>
      </c>
      <c r="R345" s="1024" t="e">
        <f t="shared" si="42"/>
        <v>#N/A</v>
      </c>
      <c r="S345" s="828">
        <f t="shared" si="50"/>
        <v>0</v>
      </c>
      <c r="T345" s="1675" t="str">
        <f t="shared" si="43"/>
        <v/>
      </c>
    </row>
    <row r="346" spans="1:20">
      <c r="A346" s="836"/>
      <c r="B346" s="529"/>
      <c r="C346" s="827"/>
      <c r="D346" s="827"/>
      <c r="E346" s="828" t="e">
        <f>LOOKUP(D346,Lookup!$C$9:$C$24,Lookup!$I$9:$I$24)</f>
        <v>#N/A</v>
      </c>
      <c r="F346" s="529"/>
      <c r="G346" s="529"/>
      <c r="H346" s="529"/>
      <c r="I346" s="828" t="e">
        <f t="shared" si="44"/>
        <v>#N/A</v>
      </c>
      <c r="J346" s="643"/>
      <c r="K346" s="829">
        <f t="shared" si="45"/>
        <v>0</v>
      </c>
      <c r="L346" s="830" t="e">
        <f t="shared" si="46"/>
        <v>#DIV/0!</v>
      </c>
      <c r="M346" s="830" t="str">
        <f t="shared" si="47"/>
        <v>N/A</v>
      </c>
      <c r="N346" s="831" t="e">
        <f t="shared" si="41"/>
        <v>#N/A</v>
      </c>
      <c r="O346" s="831">
        <f t="shared" si="48"/>
        <v>0</v>
      </c>
      <c r="P346" s="1024" t="e">
        <f>LOOKUP(G346,$J$4:$J$26,$M$4:$M$26)*LOOKUP(LOOKUP(G346,$J$4:$J$26,$K$4:$K$26),Lookup!$K$9:$K$24,Lookup!$O$9:$O$24)*IF(E346="A",LOOKUP(LOOKUP(G346,$J$4:$J$26,$K$4:$K$26),Lookup!$K$9:$K$24,Lookup!$L$9:$L$24),IF(E346="B",LOOKUP(LOOKUP(G346,$J$4:$J$26,$K$4:$K$26),Lookup!$K$9:$K$24,Lookup!$M$9:$M$24),IF(E346="C",LOOKUP(LOOKUP(G346,$J$4:$J$26,$K$4:$K$26),Lookup!$K$9:$K$24,Lookup!$N$9:$N$24))))</f>
        <v>#N/A</v>
      </c>
      <c r="Q346" s="1024" t="e">
        <f t="shared" si="49"/>
        <v>#N/A</v>
      </c>
      <c r="R346" s="1024" t="e">
        <f t="shared" si="42"/>
        <v>#N/A</v>
      </c>
      <c r="S346" s="828">
        <f t="shared" si="50"/>
        <v>0</v>
      </c>
      <c r="T346" s="1675" t="str">
        <f t="shared" si="43"/>
        <v/>
      </c>
    </row>
    <row r="347" spans="1:20">
      <c r="A347" s="836"/>
      <c r="B347" s="529"/>
      <c r="C347" s="827"/>
      <c r="D347" s="827"/>
      <c r="E347" s="828" t="e">
        <f>LOOKUP(D347,Lookup!$C$9:$C$24,Lookup!$I$9:$I$24)</f>
        <v>#N/A</v>
      </c>
      <c r="F347" s="529"/>
      <c r="G347" s="529"/>
      <c r="H347" s="529"/>
      <c r="I347" s="828" t="e">
        <f t="shared" si="44"/>
        <v>#N/A</v>
      </c>
      <c r="J347" s="643"/>
      <c r="K347" s="829">
        <f t="shared" si="45"/>
        <v>0</v>
      </c>
      <c r="L347" s="830" t="e">
        <f t="shared" si="46"/>
        <v>#DIV/0!</v>
      </c>
      <c r="M347" s="830" t="str">
        <f t="shared" si="47"/>
        <v>N/A</v>
      </c>
      <c r="N347" s="831" t="e">
        <f t="shared" si="41"/>
        <v>#N/A</v>
      </c>
      <c r="O347" s="831">
        <f t="shared" si="48"/>
        <v>0</v>
      </c>
      <c r="P347" s="1024" t="e">
        <f>LOOKUP(G347,$J$4:$J$26,$M$4:$M$26)*LOOKUP(LOOKUP(G347,$J$4:$J$26,$K$4:$K$26),Lookup!$K$9:$K$24,Lookup!$O$9:$O$24)*IF(E347="A",LOOKUP(LOOKUP(G347,$J$4:$J$26,$K$4:$K$26),Lookup!$K$9:$K$24,Lookup!$L$9:$L$24),IF(E347="B",LOOKUP(LOOKUP(G347,$J$4:$J$26,$K$4:$K$26),Lookup!$K$9:$K$24,Lookup!$M$9:$M$24),IF(E347="C",LOOKUP(LOOKUP(G347,$J$4:$J$26,$K$4:$K$26),Lookup!$K$9:$K$24,Lookup!$N$9:$N$24))))</f>
        <v>#N/A</v>
      </c>
      <c r="Q347" s="1024" t="e">
        <f t="shared" si="49"/>
        <v>#N/A</v>
      </c>
      <c r="R347" s="1024" t="e">
        <f t="shared" si="42"/>
        <v>#N/A</v>
      </c>
      <c r="S347" s="828">
        <f t="shared" si="50"/>
        <v>0</v>
      </c>
      <c r="T347" s="1675" t="str">
        <f t="shared" si="43"/>
        <v/>
      </c>
    </row>
    <row r="348" spans="1:20">
      <c r="A348" s="836"/>
      <c r="B348" s="529"/>
      <c r="C348" s="827"/>
      <c r="D348" s="827"/>
      <c r="E348" s="828" t="e">
        <f>LOOKUP(D348,Lookup!$C$9:$C$24,Lookup!$I$9:$I$24)</f>
        <v>#N/A</v>
      </c>
      <c r="F348" s="529"/>
      <c r="G348" s="529"/>
      <c r="H348" s="529"/>
      <c r="I348" s="828" t="e">
        <f t="shared" si="44"/>
        <v>#N/A</v>
      </c>
      <c r="J348" s="643"/>
      <c r="K348" s="829">
        <f t="shared" si="45"/>
        <v>0</v>
      </c>
      <c r="L348" s="830" t="e">
        <f t="shared" si="46"/>
        <v>#DIV/0!</v>
      </c>
      <c r="M348" s="830" t="str">
        <f t="shared" si="47"/>
        <v>N/A</v>
      </c>
      <c r="N348" s="831" t="e">
        <f t="shared" si="41"/>
        <v>#N/A</v>
      </c>
      <c r="O348" s="831">
        <f t="shared" si="48"/>
        <v>0</v>
      </c>
      <c r="P348" s="1024" t="e">
        <f>LOOKUP(G348,$J$4:$J$26,$M$4:$M$26)*LOOKUP(LOOKUP(G348,$J$4:$J$26,$K$4:$K$26),Lookup!$K$9:$K$24,Lookup!$O$9:$O$24)*IF(E348="A",LOOKUP(LOOKUP(G348,$J$4:$J$26,$K$4:$K$26),Lookup!$K$9:$K$24,Lookup!$L$9:$L$24),IF(E348="B",LOOKUP(LOOKUP(G348,$J$4:$J$26,$K$4:$K$26),Lookup!$K$9:$K$24,Lookup!$M$9:$M$24),IF(E348="C",LOOKUP(LOOKUP(G348,$J$4:$J$26,$K$4:$K$26),Lookup!$K$9:$K$24,Lookup!$N$9:$N$24))))</f>
        <v>#N/A</v>
      </c>
      <c r="Q348" s="1024" t="e">
        <f t="shared" si="49"/>
        <v>#N/A</v>
      </c>
      <c r="R348" s="1024" t="e">
        <f t="shared" si="42"/>
        <v>#N/A</v>
      </c>
      <c r="S348" s="828">
        <f t="shared" si="50"/>
        <v>0</v>
      </c>
      <c r="T348" s="1675" t="str">
        <f t="shared" si="43"/>
        <v/>
      </c>
    </row>
    <row r="349" spans="1:20">
      <c r="A349" s="836"/>
      <c r="B349" s="529"/>
      <c r="C349" s="837"/>
      <c r="D349" s="827"/>
      <c r="E349" s="828" t="e">
        <f>LOOKUP(D349,Lookup!$C$9:$C$24,Lookup!$I$9:$I$24)</f>
        <v>#N/A</v>
      </c>
      <c r="F349" s="529"/>
      <c r="G349" s="529"/>
      <c r="H349" s="529"/>
      <c r="I349" s="828" t="e">
        <f t="shared" si="44"/>
        <v>#N/A</v>
      </c>
      <c r="J349" s="643"/>
      <c r="K349" s="829">
        <f t="shared" si="45"/>
        <v>0</v>
      </c>
      <c r="L349" s="830" t="e">
        <f t="shared" si="46"/>
        <v>#DIV/0!</v>
      </c>
      <c r="M349" s="830" t="str">
        <f t="shared" si="47"/>
        <v>N/A</v>
      </c>
      <c r="N349" s="831" t="e">
        <f t="shared" ref="N349:N360" si="51">IF($D$17="Space-By-Space (90.1-2007)",LOOKUP(D349, LightingSpaceType, LPD2007SS),IF($D$17="Space-By-Space (90.1-2010)",LOOKUP(D349,LightingSpaceType, LPD2010SS), IF($D$17="Building Area (90.1-2007)",LOOKUP(D349,LightingSpaceType,LPD2007WB),IF($D$17="Building Area (90.1-2010)",LOOKUP(D349,LightingSpaceType,LPD2010WB),0))))</f>
        <v>#N/A</v>
      </c>
      <c r="O349" s="831">
        <f t="shared" si="48"/>
        <v>0</v>
      </c>
      <c r="P349" s="1024" t="e">
        <f>LOOKUP(G349,$J$4:$J$26,$M$4:$M$26)*LOOKUP(LOOKUP(G349,$J$4:$J$26,$K$4:$K$26),Lookup!$K$9:$K$24,Lookup!$O$9:$O$24)*IF(E349="A",LOOKUP(LOOKUP(G349,$J$4:$J$26,$K$4:$K$26),Lookup!$K$9:$K$24,Lookup!$L$9:$L$24),IF(E349="B",LOOKUP(LOOKUP(G349,$J$4:$J$26,$K$4:$K$26),Lookup!$K$9:$K$24,Lookup!$M$9:$M$24),IF(E349="C",LOOKUP(LOOKUP(G349,$J$4:$J$26,$K$4:$K$26),Lookup!$K$9:$K$24,Lookup!$N$9:$N$24))))</f>
        <v>#N/A</v>
      </c>
      <c r="Q349" s="1024" t="e">
        <f t="shared" si="49"/>
        <v>#N/A</v>
      </c>
      <c r="R349" s="1024" t="e">
        <f t="shared" ref="R349:R360" si="52">LOOKUP(D349, LightingSpaceType, Footcandles)</f>
        <v>#N/A</v>
      </c>
      <c r="S349" s="828">
        <f t="shared" si="50"/>
        <v>0</v>
      </c>
      <c r="T349" s="1675" t="str">
        <f t="shared" ref="T349:T360" si="53">IF(F349&gt;0, IF(Q349&lt;R349, "Insufficient lighting to meet IESNA footcandle recommendations.", ""), "")</f>
        <v/>
      </c>
    </row>
    <row r="350" spans="1:20">
      <c r="A350" s="836"/>
      <c r="B350" s="529"/>
      <c r="C350" s="827"/>
      <c r="D350" s="827"/>
      <c r="E350" s="828" t="e">
        <f>LOOKUP(D350,Lookup!$C$9:$C$24,Lookup!$I$9:$I$24)</f>
        <v>#N/A</v>
      </c>
      <c r="F350" s="529"/>
      <c r="G350" s="529"/>
      <c r="H350" s="529"/>
      <c r="I350" s="828" t="e">
        <f t="shared" ref="I350:I360" si="54">LOOKUP(G350, $J$4:$J$26, $L$4:$L$26)</f>
        <v>#N/A</v>
      </c>
      <c r="J350" s="643"/>
      <c r="K350" s="829">
        <f t="shared" ref="K350:K360" si="55">IF(F350&gt;0, F350*I350*J350, 0)</f>
        <v>0</v>
      </c>
      <c r="L350" s="830" t="e">
        <f t="shared" ref="L350:L360" si="56">IF(D350="Exit Signs","convert to kW", K350/B350)</f>
        <v>#DIV/0!</v>
      </c>
      <c r="M350" s="830" t="str">
        <f t="shared" ref="M350:M360" si="57">IF(H350="Yes",IF(D350="Stairs - Active",0.65*L350,IF(D350="Corridor/Transition",0.75*L350,IF(D350="Conference/meeting/multipurpose",1*L350,IF(D350="Community or Computer Room",1*L350,0.9*L350)))),"N/A")</f>
        <v>N/A</v>
      </c>
      <c r="N350" s="831" t="e">
        <f t="shared" si="51"/>
        <v>#N/A</v>
      </c>
      <c r="O350" s="831">
        <f t="shared" ref="O350:O360" si="58">IF(D350="Exit Signs", 5*F350, IF(B350&gt;0, N350*B350, 0))</f>
        <v>0</v>
      </c>
      <c r="P350" s="1024" t="e">
        <f>LOOKUP(G350,$J$4:$J$26,$M$4:$M$26)*LOOKUP(LOOKUP(G350,$J$4:$J$26,$K$4:$K$26),Lookup!$K$9:$K$24,Lookup!$O$9:$O$24)*IF(E350="A",LOOKUP(LOOKUP(G350,$J$4:$J$26,$K$4:$K$26),Lookup!$K$9:$K$24,Lookup!$L$9:$L$24),IF(E350="B",LOOKUP(LOOKUP(G350,$J$4:$J$26,$K$4:$K$26),Lookup!$K$9:$K$24,Lookup!$M$9:$M$24),IF(E350="C",LOOKUP(LOOKUP(G350,$J$4:$J$26,$K$4:$K$26),Lookup!$K$9:$K$24,Lookup!$N$9:$N$24))))</f>
        <v>#N/A</v>
      </c>
      <c r="Q350" s="1024" t="e">
        <f t="shared" ref="Q350:Q360" si="59">IF(D350="Exit Signs","NA", K350*P350/B350)</f>
        <v>#N/A</v>
      </c>
      <c r="R350" s="1024" t="e">
        <f t="shared" si="52"/>
        <v>#N/A</v>
      </c>
      <c r="S350" s="828">
        <f t="shared" ref="S350:S360" si="60">J350*B350</f>
        <v>0</v>
      </c>
      <c r="T350" s="1675" t="str">
        <f t="shared" si="53"/>
        <v/>
      </c>
    </row>
    <row r="351" spans="1:20">
      <c r="A351" s="836"/>
      <c r="B351" s="529"/>
      <c r="C351" s="827"/>
      <c r="D351" s="827"/>
      <c r="E351" s="828" t="e">
        <f>LOOKUP(D351,Lookup!$C$9:$C$24,Lookup!$I$9:$I$24)</f>
        <v>#N/A</v>
      </c>
      <c r="F351" s="529"/>
      <c r="G351" s="529"/>
      <c r="H351" s="529"/>
      <c r="I351" s="828" t="e">
        <f t="shared" si="54"/>
        <v>#N/A</v>
      </c>
      <c r="J351" s="643"/>
      <c r="K351" s="829">
        <f t="shared" si="55"/>
        <v>0</v>
      </c>
      <c r="L351" s="830" t="e">
        <f t="shared" si="56"/>
        <v>#DIV/0!</v>
      </c>
      <c r="M351" s="830" t="str">
        <f t="shared" si="57"/>
        <v>N/A</v>
      </c>
      <c r="N351" s="831" t="e">
        <f t="shared" si="51"/>
        <v>#N/A</v>
      </c>
      <c r="O351" s="831">
        <f t="shared" si="58"/>
        <v>0</v>
      </c>
      <c r="P351" s="1024" t="e">
        <f>LOOKUP(G351,$J$4:$J$26,$M$4:$M$26)*LOOKUP(LOOKUP(G351,$J$4:$J$26,$K$4:$K$26),Lookup!$K$9:$K$24,Lookup!$O$9:$O$24)*IF(E351="A",LOOKUP(LOOKUP(G351,$J$4:$J$26,$K$4:$K$26),Lookup!$K$9:$K$24,Lookup!$L$9:$L$24),IF(E351="B",LOOKUP(LOOKUP(G351,$J$4:$J$26,$K$4:$K$26),Lookup!$K$9:$K$24,Lookup!$M$9:$M$24),IF(E351="C",LOOKUP(LOOKUP(G351,$J$4:$J$26,$K$4:$K$26),Lookup!$K$9:$K$24,Lookup!$N$9:$N$24))))</f>
        <v>#N/A</v>
      </c>
      <c r="Q351" s="1024" t="e">
        <f t="shared" si="59"/>
        <v>#N/A</v>
      </c>
      <c r="R351" s="1024" t="e">
        <f t="shared" si="52"/>
        <v>#N/A</v>
      </c>
      <c r="S351" s="828">
        <f t="shared" si="60"/>
        <v>0</v>
      </c>
      <c r="T351" s="1675" t="str">
        <f t="shared" si="53"/>
        <v/>
      </c>
    </row>
    <row r="352" spans="1:20">
      <c r="A352" s="836"/>
      <c r="B352" s="529"/>
      <c r="C352" s="827"/>
      <c r="D352" s="827"/>
      <c r="E352" s="828" t="e">
        <f>LOOKUP(D352,Lookup!$C$9:$C$24,Lookup!$I$9:$I$24)</f>
        <v>#N/A</v>
      </c>
      <c r="F352" s="529"/>
      <c r="G352" s="529"/>
      <c r="H352" s="529"/>
      <c r="I352" s="828" t="e">
        <f t="shared" si="54"/>
        <v>#N/A</v>
      </c>
      <c r="J352" s="643"/>
      <c r="K352" s="829">
        <f t="shared" si="55"/>
        <v>0</v>
      </c>
      <c r="L352" s="830" t="e">
        <f t="shared" si="56"/>
        <v>#DIV/0!</v>
      </c>
      <c r="M352" s="830" t="str">
        <f t="shared" si="57"/>
        <v>N/A</v>
      </c>
      <c r="N352" s="831" t="e">
        <f t="shared" si="51"/>
        <v>#N/A</v>
      </c>
      <c r="O352" s="831">
        <f t="shared" si="58"/>
        <v>0</v>
      </c>
      <c r="P352" s="1024" t="e">
        <f>LOOKUP(G352,$J$4:$J$26,$M$4:$M$26)*LOOKUP(LOOKUP(G352,$J$4:$J$26,$K$4:$K$26),Lookup!$K$9:$K$24,Lookup!$O$9:$O$24)*IF(E352="A",LOOKUP(LOOKUP(G352,$J$4:$J$26,$K$4:$K$26),Lookup!$K$9:$K$24,Lookup!$L$9:$L$24),IF(E352="B",LOOKUP(LOOKUP(G352,$J$4:$J$26,$K$4:$K$26),Lookup!$K$9:$K$24,Lookup!$M$9:$M$24),IF(E352="C",LOOKUP(LOOKUP(G352,$J$4:$J$26,$K$4:$K$26),Lookup!$K$9:$K$24,Lookup!$N$9:$N$24))))</f>
        <v>#N/A</v>
      </c>
      <c r="Q352" s="1024" t="e">
        <f t="shared" si="59"/>
        <v>#N/A</v>
      </c>
      <c r="R352" s="1024" t="e">
        <f t="shared" si="52"/>
        <v>#N/A</v>
      </c>
      <c r="S352" s="828">
        <f t="shared" si="60"/>
        <v>0</v>
      </c>
      <c r="T352" s="1675" t="str">
        <f t="shared" si="53"/>
        <v/>
      </c>
    </row>
    <row r="353" spans="1:20">
      <c r="A353" s="836"/>
      <c r="B353" s="529"/>
      <c r="C353" s="827"/>
      <c r="D353" s="827"/>
      <c r="E353" s="828" t="e">
        <f>LOOKUP(D353,Lookup!$C$9:$C$24,Lookup!$I$9:$I$24)</f>
        <v>#N/A</v>
      </c>
      <c r="F353" s="529"/>
      <c r="G353" s="529"/>
      <c r="H353" s="529"/>
      <c r="I353" s="828" t="e">
        <f t="shared" si="54"/>
        <v>#N/A</v>
      </c>
      <c r="J353" s="643"/>
      <c r="K353" s="829">
        <f t="shared" si="55"/>
        <v>0</v>
      </c>
      <c r="L353" s="830" t="e">
        <f t="shared" si="56"/>
        <v>#DIV/0!</v>
      </c>
      <c r="M353" s="830" t="str">
        <f t="shared" si="57"/>
        <v>N/A</v>
      </c>
      <c r="N353" s="831" t="e">
        <f t="shared" si="51"/>
        <v>#N/A</v>
      </c>
      <c r="O353" s="831">
        <f t="shared" si="58"/>
        <v>0</v>
      </c>
      <c r="P353" s="1024" t="e">
        <f>LOOKUP(G353,$J$4:$J$26,$M$4:$M$26)*LOOKUP(LOOKUP(G353,$J$4:$J$26,$K$4:$K$26),Lookup!$K$9:$K$24,Lookup!$O$9:$O$24)*IF(E353="A",LOOKUP(LOOKUP(G353,$J$4:$J$26,$K$4:$K$26),Lookup!$K$9:$K$24,Lookup!$L$9:$L$24),IF(E353="B",LOOKUP(LOOKUP(G353,$J$4:$J$26,$K$4:$K$26),Lookup!$K$9:$K$24,Lookup!$M$9:$M$24),IF(E353="C",LOOKUP(LOOKUP(G353,$J$4:$J$26,$K$4:$K$26),Lookup!$K$9:$K$24,Lookup!$N$9:$N$24))))</f>
        <v>#N/A</v>
      </c>
      <c r="Q353" s="1024" t="e">
        <f t="shared" si="59"/>
        <v>#N/A</v>
      </c>
      <c r="R353" s="1024" t="e">
        <f t="shared" si="52"/>
        <v>#N/A</v>
      </c>
      <c r="S353" s="828">
        <f t="shared" si="60"/>
        <v>0</v>
      </c>
      <c r="T353" s="1675" t="str">
        <f t="shared" si="53"/>
        <v/>
      </c>
    </row>
    <row r="354" spans="1:20">
      <c r="A354" s="826"/>
      <c r="B354" s="529"/>
      <c r="C354" s="837"/>
      <c r="D354" s="827"/>
      <c r="E354" s="828" t="e">
        <f>LOOKUP(D354,Lookup!$C$9:$C$24,Lookup!$I$9:$I$24)</f>
        <v>#N/A</v>
      </c>
      <c r="F354" s="529"/>
      <c r="G354" s="529"/>
      <c r="H354" s="529"/>
      <c r="I354" s="828" t="e">
        <f t="shared" si="54"/>
        <v>#N/A</v>
      </c>
      <c r="J354" s="643"/>
      <c r="K354" s="829">
        <f t="shared" si="55"/>
        <v>0</v>
      </c>
      <c r="L354" s="830" t="e">
        <f t="shared" si="56"/>
        <v>#DIV/0!</v>
      </c>
      <c r="M354" s="830" t="str">
        <f t="shared" si="57"/>
        <v>N/A</v>
      </c>
      <c r="N354" s="831" t="e">
        <f t="shared" si="51"/>
        <v>#N/A</v>
      </c>
      <c r="O354" s="831">
        <f t="shared" si="58"/>
        <v>0</v>
      </c>
      <c r="P354" s="1024" t="e">
        <f>LOOKUP(G354,$J$4:$J$26,$M$4:$M$26)*LOOKUP(LOOKUP(G354,$J$4:$J$26,$K$4:$K$26),Lookup!$K$9:$K$24,Lookup!$O$9:$O$24)*IF(E354="A",LOOKUP(LOOKUP(G354,$J$4:$J$26,$K$4:$K$26),Lookup!$K$9:$K$24,Lookup!$L$9:$L$24),IF(E354="B",LOOKUP(LOOKUP(G354,$J$4:$J$26,$K$4:$K$26),Lookup!$K$9:$K$24,Lookup!$M$9:$M$24),IF(E354="C",LOOKUP(LOOKUP(G354,$J$4:$J$26,$K$4:$K$26),Lookup!$K$9:$K$24,Lookup!$N$9:$N$24))))</f>
        <v>#N/A</v>
      </c>
      <c r="Q354" s="1024" t="e">
        <f t="shared" si="59"/>
        <v>#N/A</v>
      </c>
      <c r="R354" s="1024" t="e">
        <f t="shared" si="52"/>
        <v>#N/A</v>
      </c>
      <c r="S354" s="828">
        <f t="shared" si="60"/>
        <v>0</v>
      </c>
      <c r="T354" s="1675" t="str">
        <f t="shared" si="53"/>
        <v/>
      </c>
    </row>
    <row r="355" spans="1:20">
      <c r="A355" s="826"/>
      <c r="B355" s="529"/>
      <c r="C355" s="827"/>
      <c r="D355" s="827"/>
      <c r="E355" s="828" t="e">
        <f>LOOKUP(D355,Lookup!$C$9:$C$24,Lookup!$I$9:$I$24)</f>
        <v>#N/A</v>
      </c>
      <c r="F355" s="529"/>
      <c r="G355" s="529"/>
      <c r="H355" s="529"/>
      <c r="I355" s="828" t="e">
        <f t="shared" si="54"/>
        <v>#N/A</v>
      </c>
      <c r="J355" s="643"/>
      <c r="K355" s="829">
        <f t="shared" si="55"/>
        <v>0</v>
      </c>
      <c r="L355" s="830" t="e">
        <f t="shared" si="56"/>
        <v>#DIV/0!</v>
      </c>
      <c r="M355" s="830" t="str">
        <f t="shared" si="57"/>
        <v>N/A</v>
      </c>
      <c r="N355" s="831" t="e">
        <f t="shared" si="51"/>
        <v>#N/A</v>
      </c>
      <c r="O355" s="831">
        <f t="shared" si="58"/>
        <v>0</v>
      </c>
      <c r="P355" s="1024" t="e">
        <f>LOOKUP(G355,$J$4:$J$26,$M$4:$M$26)*LOOKUP(LOOKUP(G355,$J$4:$J$26,$K$4:$K$26),Lookup!$K$9:$K$24,Lookup!$O$9:$O$24)*IF(E355="A",LOOKUP(LOOKUP(G355,$J$4:$J$26,$K$4:$K$26),Lookup!$K$9:$K$24,Lookup!$L$9:$L$24),IF(E355="B",LOOKUP(LOOKUP(G355,$J$4:$J$26,$K$4:$K$26),Lookup!$K$9:$K$24,Lookup!$M$9:$M$24),IF(E355="C",LOOKUP(LOOKUP(G355,$J$4:$J$26,$K$4:$K$26),Lookup!$K$9:$K$24,Lookup!$N$9:$N$24))))</f>
        <v>#N/A</v>
      </c>
      <c r="Q355" s="1024" t="e">
        <f t="shared" si="59"/>
        <v>#N/A</v>
      </c>
      <c r="R355" s="1024" t="e">
        <f t="shared" si="52"/>
        <v>#N/A</v>
      </c>
      <c r="S355" s="828">
        <f t="shared" si="60"/>
        <v>0</v>
      </c>
      <c r="T355" s="1675" t="str">
        <f t="shared" si="53"/>
        <v/>
      </c>
    </row>
    <row r="356" spans="1:20">
      <c r="A356" s="835"/>
      <c r="B356" s="529"/>
      <c r="C356" s="827"/>
      <c r="D356" s="827"/>
      <c r="E356" s="828" t="e">
        <f>LOOKUP(D356,Lookup!$C$9:$C$24,Lookup!$I$9:$I$24)</f>
        <v>#N/A</v>
      </c>
      <c r="F356" s="529"/>
      <c r="G356" s="529"/>
      <c r="H356" s="529"/>
      <c r="I356" s="828" t="e">
        <f t="shared" si="54"/>
        <v>#N/A</v>
      </c>
      <c r="J356" s="643"/>
      <c r="K356" s="829">
        <f t="shared" si="55"/>
        <v>0</v>
      </c>
      <c r="L356" s="830" t="e">
        <f t="shared" si="56"/>
        <v>#DIV/0!</v>
      </c>
      <c r="M356" s="830" t="str">
        <f t="shared" si="57"/>
        <v>N/A</v>
      </c>
      <c r="N356" s="831" t="e">
        <f t="shared" si="51"/>
        <v>#N/A</v>
      </c>
      <c r="O356" s="831">
        <f t="shared" si="58"/>
        <v>0</v>
      </c>
      <c r="P356" s="1024" t="e">
        <f>LOOKUP(G356,$J$4:$J$26,$M$4:$M$26)*LOOKUP(LOOKUP(G356,$J$4:$J$26,$K$4:$K$26),Lookup!$K$9:$K$24,Lookup!$O$9:$O$24)*IF(E356="A",LOOKUP(LOOKUP(G356,$J$4:$J$26,$K$4:$K$26),Lookup!$K$9:$K$24,Lookup!$L$9:$L$24),IF(E356="B",LOOKUP(LOOKUP(G356,$J$4:$J$26,$K$4:$K$26),Lookup!$K$9:$K$24,Lookup!$M$9:$M$24),IF(E356="C",LOOKUP(LOOKUP(G356,$J$4:$J$26,$K$4:$K$26),Lookup!$K$9:$K$24,Lookup!$N$9:$N$24))))</f>
        <v>#N/A</v>
      </c>
      <c r="Q356" s="1024" t="e">
        <f t="shared" si="59"/>
        <v>#N/A</v>
      </c>
      <c r="R356" s="1024" t="e">
        <f t="shared" si="52"/>
        <v>#N/A</v>
      </c>
      <c r="S356" s="828">
        <f t="shared" si="60"/>
        <v>0</v>
      </c>
      <c r="T356" s="1675" t="str">
        <f t="shared" si="53"/>
        <v/>
      </c>
    </row>
    <row r="357" spans="1:20">
      <c r="A357" s="835"/>
      <c r="B357" s="529"/>
      <c r="C357" s="827"/>
      <c r="D357" s="827"/>
      <c r="E357" s="828" t="e">
        <f>LOOKUP(D357,Lookup!$C$9:$C$24,Lookup!$I$9:$I$24)</f>
        <v>#N/A</v>
      </c>
      <c r="F357" s="529"/>
      <c r="G357" s="529"/>
      <c r="H357" s="529"/>
      <c r="I357" s="828" t="e">
        <f t="shared" si="54"/>
        <v>#N/A</v>
      </c>
      <c r="J357" s="643"/>
      <c r="K357" s="829">
        <f t="shared" si="55"/>
        <v>0</v>
      </c>
      <c r="L357" s="830" t="e">
        <f t="shared" si="56"/>
        <v>#DIV/0!</v>
      </c>
      <c r="M357" s="830" t="str">
        <f t="shared" si="57"/>
        <v>N/A</v>
      </c>
      <c r="N357" s="831" t="e">
        <f t="shared" si="51"/>
        <v>#N/A</v>
      </c>
      <c r="O357" s="831">
        <f t="shared" si="58"/>
        <v>0</v>
      </c>
      <c r="P357" s="1024" t="e">
        <f>LOOKUP(G357,$J$4:$J$26,$M$4:$M$26)*LOOKUP(LOOKUP(G357,$J$4:$J$26,$K$4:$K$26),Lookup!$K$9:$K$24,Lookup!$O$9:$O$24)*IF(E357="A",LOOKUP(LOOKUP(G357,$J$4:$J$26,$K$4:$K$26),Lookup!$K$9:$K$24,Lookup!$L$9:$L$24),IF(E357="B",LOOKUP(LOOKUP(G357,$J$4:$J$26,$K$4:$K$26),Lookup!$K$9:$K$24,Lookup!$M$9:$M$24),IF(E357="C",LOOKUP(LOOKUP(G357,$J$4:$J$26,$K$4:$K$26),Lookup!$K$9:$K$24,Lookup!$N$9:$N$24))))</f>
        <v>#N/A</v>
      </c>
      <c r="Q357" s="1024" t="e">
        <f t="shared" si="59"/>
        <v>#N/A</v>
      </c>
      <c r="R357" s="1024" t="e">
        <f t="shared" si="52"/>
        <v>#N/A</v>
      </c>
      <c r="S357" s="828">
        <f t="shared" si="60"/>
        <v>0</v>
      </c>
      <c r="T357" s="1675" t="str">
        <f t="shared" si="53"/>
        <v/>
      </c>
    </row>
    <row r="358" spans="1:20">
      <c r="A358" s="826"/>
      <c r="B358" s="529"/>
      <c r="C358" s="827"/>
      <c r="D358" s="827"/>
      <c r="E358" s="828" t="e">
        <f>LOOKUP(D358,Lookup!$C$9:$C$24,Lookup!$I$9:$I$24)</f>
        <v>#N/A</v>
      </c>
      <c r="F358" s="529"/>
      <c r="G358" s="529"/>
      <c r="H358" s="529"/>
      <c r="I358" s="828" t="e">
        <f t="shared" si="54"/>
        <v>#N/A</v>
      </c>
      <c r="J358" s="643"/>
      <c r="K358" s="829">
        <f t="shared" si="55"/>
        <v>0</v>
      </c>
      <c r="L358" s="830" t="e">
        <f t="shared" si="56"/>
        <v>#DIV/0!</v>
      </c>
      <c r="M358" s="830" t="str">
        <f t="shared" si="57"/>
        <v>N/A</v>
      </c>
      <c r="N358" s="831" t="e">
        <f t="shared" si="51"/>
        <v>#N/A</v>
      </c>
      <c r="O358" s="831">
        <f t="shared" si="58"/>
        <v>0</v>
      </c>
      <c r="P358" s="1024" t="e">
        <f>LOOKUP(G358,$J$4:$J$26,$M$4:$M$26)*LOOKUP(LOOKUP(G358,$J$4:$J$26,$K$4:$K$26),Lookup!$K$9:$K$24,Lookup!$O$9:$O$24)*IF(E358="A",LOOKUP(LOOKUP(G358,$J$4:$J$26,$K$4:$K$26),Lookup!$K$9:$K$24,Lookup!$L$9:$L$24),IF(E358="B",LOOKUP(LOOKUP(G358,$J$4:$J$26,$K$4:$K$26),Lookup!$K$9:$K$24,Lookup!$M$9:$M$24),IF(E358="C",LOOKUP(LOOKUP(G358,$J$4:$J$26,$K$4:$K$26),Lookup!$K$9:$K$24,Lookup!$N$9:$N$24))))</f>
        <v>#N/A</v>
      </c>
      <c r="Q358" s="1024" t="e">
        <f t="shared" si="59"/>
        <v>#N/A</v>
      </c>
      <c r="R358" s="1024" t="e">
        <f t="shared" si="52"/>
        <v>#N/A</v>
      </c>
      <c r="S358" s="828">
        <f t="shared" si="60"/>
        <v>0</v>
      </c>
      <c r="T358" s="1675" t="str">
        <f t="shared" si="53"/>
        <v/>
      </c>
    </row>
    <row r="359" spans="1:20">
      <c r="A359" s="826"/>
      <c r="B359" s="529"/>
      <c r="C359" s="827"/>
      <c r="D359" s="827"/>
      <c r="E359" s="828" t="e">
        <f>LOOKUP(D359,Lookup!$C$9:$C$24,Lookup!$I$9:$I$24)</f>
        <v>#N/A</v>
      </c>
      <c r="F359" s="529"/>
      <c r="G359" s="529"/>
      <c r="H359" s="529"/>
      <c r="I359" s="828" t="e">
        <f t="shared" si="54"/>
        <v>#N/A</v>
      </c>
      <c r="J359" s="643"/>
      <c r="K359" s="829">
        <f t="shared" si="55"/>
        <v>0</v>
      </c>
      <c r="L359" s="830" t="e">
        <f t="shared" si="56"/>
        <v>#DIV/0!</v>
      </c>
      <c r="M359" s="830" t="str">
        <f t="shared" si="57"/>
        <v>N/A</v>
      </c>
      <c r="N359" s="831" t="e">
        <f t="shared" si="51"/>
        <v>#N/A</v>
      </c>
      <c r="O359" s="831">
        <f t="shared" si="58"/>
        <v>0</v>
      </c>
      <c r="P359" s="1024" t="e">
        <f>LOOKUP(G359,$J$4:$J$26,$M$4:$M$26)*LOOKUP(LOOKUP(G359,$J$4:$J$26,$K$4:$K$26),Lookup!$K$9:$K$24,Lookup!$O$9:$O$24)*IF(E359="A",LOOKUP(LOOKUP(G359,$J$4:$J$26,$K$4:$K$26),Lookup!$K$9:$K$24,Lookup!$L$9:$L$24),IF(E359="B",LOOKUP(LOOKUP(G359,$J$4:$J$26,$K$4:$K$26),Lookup!$K$9:$K$24,Lookup!$M$9:$M$24),IF(E359="C",LOOKUP(LOOKUP(G359,$J$4:$J$26,$K$4:$K$26),Lookup!$K$9:$K$24,Lookup!$N$9:$N$24))))</f>
        <v>#N/A</v>
      </c>
      <c r="Q359" s="1024" t="e">
        <f t="shared" si="59"/>
        <v>#N/A</v>
      </c>
      <c r="R359" s="1024" t="e">
        <f t="shared" si="52"/>
        <v>#N/A</v>
      </c>
      <c r="S359" s="828">
        <f t="shared" si="60"/>
        <v>0</v>
      </c>
      <c r="T359" s="1675" t="str">
        <f t="shared" si="53"/>
        <v/>
      </c>
    </row>
    <row r="360" spans="1:20">
      <c r="A360" s="826"/>
      <c r="B360" s="529"/>
      <c r="C360" s="827"/>
      <c r="D360" s="827"/>
      <c r="E360" s="828" t="e">
        <f>LOOKUP(D360,Lookup!$C$9:$C$24,Lookup!$I$9:$I$24)</f>
        <v>#N/A</v>
      </c>
      <c r="F360" s="529"/>
      <c r="G360" s="529"/>
      <c r="H360" s="529"/>
      <c r="I360" s="828" t="e">
        <f t="shared" si="54"/>
        <v>#N/A</v>
      </c>
      <c r="J360" s="643"/>
      <c r="K360" s="829">
        <f t="shared" si="55"/>
        <v>0</v>
      </c>
      <c r="L360" s="830" t="e">
        <f t="shared" si="56"/>
        <v>#DIV/0!</v>
      </c>
      <c r="M360" s="830" t="str">
        <f t="shared" si="57"/>
        <v>N/A</v>
      </c>
      <c r="N360" s="831" t="e">
        <f t="shared" si="51"/>
        <v>#N/A</v>
      </c>
      <c r="O360" s="831">
        <f t="shared" si="58"/>
        <v>0</v>
      </c>
      <c r="P360" s="1024" t="e">
        <f>LOOKUP(G360,$J$4:$J$26,$M$4:$M$26)*LOOKUP(LOOKUP(G360,$J$4:$J$26,$K$4:$K$26),Lookup!$K$9:$K$24,Lookup!$O$9:$O$24)*IF(E360="A",LOOKUP(LOOKUP(G360,$J$4:$J$26,$K$4:$K$26),Lookup!$K$9:$K$24,Lookup!$L$9:$L$24),IF(E360="B",LOOKUP(LOOKUP(G360,$J$4:$J$26,$K$4:$K$26),Lookup!$K$9:$K$24,Lookup!$M$9:$M$24),IF(E360="C",LOOKUP(LOOKUP(G360,$J$4:$J$26,$K$4:$K$26),Lookup!$K$9:$K$24,Lookup!$N$9:$N$24))))</f>
        <v>#N/A</v>
      </c>
      <c r="Q360" s="1024" t="e">
        <f t="shared" si="59"/>
        <v>#N/A</v>
      </c>
      <c r="R360" s="1024" t="e">
        <f t="shared" si="52"/>
        <v>#N/A</v>
      </c>
      <c r="S360" s="828">
        <f t="shared" si="60"/>
        <v>0</v>
      </c>
      <c r="T360" s="1675" t="str">
        <f t="shared" si="53"/>
        <v/>
      </c>
    </row>
    <row r="361" spans="1:20">
      <c r="A361" s="834"/>
      <c r="C361" s="1633"/>
      <c r="D361" s="1633"/>
      <c r="M361" s="1628"/>
      <c r="N361" s="1033"/>
    </row>
    <row r="362" spans="1:20">
      <c r="A362" s="834"/>
      <c r="C362" s="1633"/>
      <c r="D362" s="1633"/>
      <c r="M362" s="1628"/>
      <c r="N362" s="1033"/>
    </row>
    <row r="363" spans="1:20">
      <c r="A363" s="834"/>
      <c r="C363" s="1633"/>
      <c r="D363" s="1633"/>
      <c r="M363" s="1628"/>
      <c r="N363" s="1033"/>
    </row>
    <row r="364" spans="1:20">
      <c r="A364" s="834"/>
      <c r="C364" s="1633"/>
      <c r="D364" s="1633"/>
      <c r="M364" s="1628"/>
      <c r="N364" s="1033"/>
    </row>
    <row r="365" spans="1:20">
      <c r="A365" s="834"/>
      <c r="B365" s="2250" t="s">
        <v>3845</v>
      </c>
      <c r="C365" s="2251"/>
      <c r="D365" s="2251"/>
      <c r="E365" s="2251"/>
      <c r="F365" s="2251"/>
      <c r="G365" s="2252"/>
      <c r="M365" s="1628"/>
      <c r="N365" s="1033"/>
    </row>
    <row r="366" spans="1:20">
      <c r="A366" s="834"/>
      <c r="B366" s="1040"/>
      <c r="C366" s="1041"/>
      <c r="D366" s="1041"/>
      <c r="E366" s="1041"/>
      <c r="F366" s="1041"/>
      <c r="G366" s="1042"/>
      <c r="M366" s="1628"/>
      <c r="N366" s="1033"/>
    </row>
    <row r="367" spans="1:20">
      <c r="A367" s="834"/>
      <c r="B367" s="1043"/>
      <c r="C367" s="1044"/>
      <c r="D367" s="1044"/>
      <c r="E367" s="1044"/>
      <c r="F367" s="1044"/>
      <c r="G367" s="1045"/>
      <c r="M367" s="1628"/>
      <c r="N367" s="1033"/>
    </row>
    <row r="368" spans="1:20">
      <c r="A368" s="834"/>
      <c r="B368" s="1046"/>
      <c r="C368" s="1044"/>
      <c r="D368" s="1044"/>
      <c r="E368" s="1044"/>
      <c r="F368" s="1044"/>
      <c r="G368" s="1045"/>
      <c r="M368" s="1628"/>
      <c r="N368" s="1033"/>
    </row>
    <row r="369" spans="1:14">
      <c r="A369" s="834"/>
      <c r="B369" s="1046"/>
      <c r="C369" s="1044"/>
      <c r="D369" s="1044"/>
      <c r="E369" s="1044"/>
      <c r="F369" s="1044"/>
      <c r="G369" s="1045"/>
      <c r="M369" s="1628"/>
      <c r="N369" s="1033"/>
    </row>
    <row r="370" spans="1:14">
      <c r="A370" s="834"/>
      <c r="B370" s="1047"/>
      <c r="C370" s="1048"/>
      <c r="D370" s="1048"/>
      <c r="E370" s="1048"/>
      <c r="F370" s="1048"/>
      <c r="G370" s="1049"/>
      <c r="M370" s="1628"/>
      <c r="N370" s="1033"/>
    </row>
    <row r="371" spans="1:14">
      <c r="A371" s="834"/>
      <c r="C371" s="1633"/>
      <c r="D371" s="1633"/>
      <c r="M371" s="1628"/>
      <c r="N371" s="1033"/>
    </row>
    <row r="372" spans="1:14">
      <c r="A372" s="834"/>
      <c r="C372" s="1633"/>
      <c r="D372" s="1633"/>
      <c r="M372" s="1628"/>
      <c r="N372" s="1033"/>
    </row>
    <row r="373" spans="1:14">
      <c r="A373" s="834"/>
      <c r="C373" s="1633"/>
      <c r="D373" s="1633"/>
      <c r="M373" s="1628"/>
      <c r="N373" s="1033"/>
    </row>
    <row r="374" spans="1:14">
      <c r="A374" s="834"/>
      <c r="C374" s="1633"/>
      <c r="D374" s="1633"/>
      <c r="M374" s="1628"/>
      <c r="N374" s="1033"/>
    </row>
    <row r="375" spans="1:14">
      <c r="A375" s="834"/>
      <c r="C375" s="1633"/>
      <c r="D375" s="1633"/>
      <c r="M375" s="1628"/>
      <c r="N375" s="1033"/>
    </row>
    <row r="376" spans="1:14">
      <c r="A376" s="834"/>
      <c r="C376" s="1633"/>
      <c r="D376" s="1633"/>
      <c r="M376" s="1628"/>
      <c r="N376" s="1033"/>
    </row>
    <row r="377" spans="1:14">
      <c r="A377" s="834"/>
      <c r="C377" s="1633"/>
      <c r="D377" s="1633"/>
      <c r="M377" s="1628"/>
      <c r="N377" s="1033"/>
    </row>
    <row r="378" spans="1:14">
      <c r="A378" s="834"/>
      <c r="C378" s="1633"/>
      <c r="D378" s="1633"/>
      <c r="M378" s="1628"/>
      <c r="N378" s="1033"/>
    </row>
    <row r="379" spans="1:14">
      <c r="A379" s="834"/>
      <c r="C379" s="1633"/>
      <c r="D379" s="1633"/>
      <c r="M379" s="1628"/>
      <c r="N379" s="1033"/>
    </row>
    <row r="380" spans="1:14">
      <c r="A380" s="834"/>
      <c r="C380" s="1633"/>
      <c r="D380" s="1633"/>
      <c r="M380" s="1628"/>
      <c r="N380" s="1033"/>
    </row>
    <row r="381" spans="1:14">
      <c r="A381" s="834"/>
      <c r="C381" s="1633"/>
      <c r="D381" s="1633"/>
      <c r="M381" s="1628"/>
      <c r="N381" s="1033"/>
    </row>
    <row r="382" spans="1:14">
      <c r="A382" s="834"/>
      <c r="C382" s="1633"/>
      <c r="D382" s="1633"/>
      <c r="M382" s="1628"/>
      <c r="N382" s="1033"/>
    </row>
    <row r="383" spans="1:14">
      <c r="A383" s="834"/>
      <c r="C383" s="1633"/>
      <c r="D383" s="1633"/>
      <c r="M383" s="1628"/>
      <c r="N383" s="1033"/>
    </row>
    <row r="384" spans="1:14">
      <c r="A384" s="834"/>
      <c r="C384" s="1633"/>
      <c r="D384" s="1633"/>
      <c r="M384" s="1628"/>
      <c r="N384" s="1033"/>
    </row>
    <row r="385" spans="1:14">
      <c r="A385" s="834"/>
      <c r="C385" s="1633"/>
      <c r="D385" s="1633"/>
      <c r="M385" s="1628"/>
      <c r="N385" s="1033"/>
    </row>
    <row r="386" spans="1:14">
      <c r="A386" s="834"/>
      <c r="C386" s="1633"/>
      <c r="D386" s="1633"/>
      <c r="M386" s="1628"/>
      <c r="N386" s="1033"/>
    </row>
    <row r="387" spans="1:14">
      <c r="A387" s="834"/>
      <c r="C387" s="1633"/>
      <c r="D387" s="1633"/>
      <c r="M387" s="1628"/>
      <c r="N387" s="1033"/>
    </row>
    <row r="388" spans="1:14">
      <c r="A388" s="834"/>
      <c r="C388" s="1633"/>
      <c r="D388" s="1633"/>
      <c r="M388" s="1628"/>
      <c r="N388" s="1033"/>
    </row>
    <row r="389" spans="1:14">
      <c r="A389" s="834"/>
      <c r="C389" s="1633"/>
      <c r="D389" s="1633"/>
      <c r="M389" s="1628"/>
      <c r="N389" s="1033"/>
    </row>
    <row r="390" spans="1:14">
      <c r="A390" s="834"/>
      <c r="C390" s="1633"/>
      <c r="D390" s="1633"/>
      <c r="M390" s="1628"/>
      <c r="N390" s="1033"/>
    </row>
    <row r="391" spans="1:14">
      <c r="A391" s="834"/>
      <c r="C391" s="1633"/>
      <c r="D391" s="1633"/>
      <c r="M391" s="1628"/>
      <c r="N391" s="1033"/>
    </row>
    <row r="392" spans="1:14">
      <c r="A392" s="834"/>
      <c r="C392" s="1633"/>
      <c r="D392" s="1633"/>
      <c r="M392" s="1628"/>
      <c r="N392" s="1033"/>
    </row>
    <row r="393" spans="1:14">
      <c r="A393" s="834"/>
      <c r="C393" s="1633"/>
      <c r="D393" s="1633"/>
      <c r="M393" s="1628"/>
      <c r="N393" s="1033"/>
    </row>
    <row r="394" spans="1:14">
      <c r="A394" s="834"/>
      <c r="C394" s="1633"/>
      <c r="D394" s="1633"/>
      <c r="M394" s="1628"/>
      <c r="N394" s="1033"/>
    </row>
    <row r="395" spans="1:14">
      <c r="A395" s="834"/>
      <c r="C395" s="1633"/>
      <c r="D395" s="1633"/>
      <c r="M395" s="1628"/>
      <c r="N395" s="1033"/>
    </row>
    <row r="396" spans="1:14">
      <c r="A396" s="834"/>
      <c r="C396" s="1633"/>
      <c r="D396" s="1633"/>
      <c r="M396" s="1628"/>
      <c r="N396" s="1033"/>
    </row>
    <row r="397" spans="1:14">
      <c r="A397" s="834"/>
      <c r="C397" s="1633"/>
      <c r="D397" s="1633"/>
      <c r="M397" s="1628"/>
      <c r="N397" s="1033"/>
    </row>
    <row r="398" spans="1:14">
      <c r="A398" s="834"/>
      <c r="C398" s="1633"/>
      <c r="D398" s="1633"/>
      <c r="M398" s="1628"/>
      <c r="N398" s="1033"/>
    </row>
    <row r="399" spans="1:14">
      <c r="A399" s="834"/>
      <c r="C399" s="1633"/>
      <c r="D399" s="1633"/>
      <c r="M399" s="1628"/>
      <c r="N399" s="1033"/>
    </row>
    <row r="400" spans="1:14">
      <c r="A400" s="834"/>
      <c r="C400" s="1633"/>
      <c r="D400" s="1633"/>
      <c r="M400" s="1628"/>
      <c r="N400" s="1033"/>
    </row>
    <row r="401" spans="1:14">
      <c r="A401" s="834"/>
      <c r="C401" s="1633"/>
      <c r="D401" s="1633"/>
      <c r="M401" s="1628"/>
      <c r="N401" s="1033"/>
    </row>
    <row r="402" spans="1:14">
      <c r="A402" s="834"/>
      <c r="D402" s="1666"/>
      <c r="M402" s="1628"/>
      <c r="N402" s="1033"/>
    </row>
    <row r="403" spans="1:14">
      <c r="A403" s="834"/>
      <c r="D403" s="1666"/>
      <c r="M403" s="1628"/>
      <c r="N403" s="1033"/>
    </row>
    <row r="404" spans="1:14">
      <c r="A404" s="834"/>
      <c r="D404" s="1666"/>
      <c r="M404" s="1628"/>
      <c r="N404" s="1033"/>
    </row>
    <row r="405" spans="1:14">
      <c r="A405" s="834"/>
      <c r="D405" s="1666"/>
      <c r="M405" s="1628"/>
      <c r="N405" s="1033"/>
    </row>
    <row r="406" spans="1:14">
      <c r="A406" s="834"/>
      <c r="D406" s="1666"/>
      <c r="M406" s="1628"/>
      <c r="N406" s="1033"/>
    </row>
    <row r="407" spans="1:14">
      <c r="D407" s="1666"/>
      <c r="M407" s="1628"/>
      <c r="N407" s="1033"/>
    </row>
    <row r="408" spans="1:14">
      <c r="D408" s="1666"/>
      <c r="M408" s="1628"/>
      <c r="N408" s="1033"/>
    </row>
    <row r="409" spans="1:14">
      <c r="D409" s="1666"/>
      <c r="M409" s="1628"/>
      <c r="N409" s="1033"/>
    </row>
    <row r="410" spans="1:14">
      <c r="D410" s="1666"/>
      <c r="M410" s="1628"/>
      <c r="N410" s="1033"/>
    </row>
    <row r="411" spans="1:14">
      <c r="D411" s="1666"/>
      <c r="M411" s="1628"/>
      <c r="N411" s="1033"/>
    </row>
    <row r="412" spans="1:14">
      <c r="D412" s="1666"/>
      <c r="M412" s="1628"/>
      <c r="N412" s="1033"/>
    </row>
    <row r="413" spans="1:14">
      <c r="D413" s="1666"/>
      <c r="M413" s="1628"/>
      <c r="N413" s="1033"/>
    </row>
    <row r="414" spans="1:14">
      <c r="D414" s="1666"/>
      <c r="M414" s="1628"/>
      <c r="N414" s="1033"/>
    </row>
    <row r="415" spans="1:14">
      <c r="D415" s="1666"/>
      <c r="M415" s="1628"/>
      <c r="N415" s="1033"/>
    </row>
    <row r="416" spans="1:14">
      <c r="D416" s="1666"/>
      <c r="M416" s="1628"/>
      <c r="N416" s="1033"/>
    </row>
    <row r="417" spans="4:14">
      <c r="D417" s="1666"/>
      <c r="M417" s="1628"/>
      <c r="N417" s="1033"/>
    </row>
    <row r="418" spans="4:14">
      <c r="D418" s="1666"/>
      <c r="M418" s="1628"/>
      <c r="N418" s="1033"/>
    </row>
    <row r="419" spans="4:14">
      <c r="D419" s="1666"/>
      <c r="M419" s="1628"/>
      <c r="N419" s="1033"/>
    </row>
    <row r="420" spans="4:14">
      <c r="D420" s="1666"/>
      <c r="M420" s="1628"/>
      <c r="N420" s="1033"/>
    </row>
    <row r="421" spans="4:14">
      <c r="D421" s="1666"/>
      <c r="M421" s="1628"/>
    </row>
    <row r="422" spans="4:14">
      <c r="D422" s="1666"/>
      <c r="M422" s="1628"/>
    </row>
    <row r="423" spans="4:14">
      <c r="D423" s="1666"/>
      <c r="M423" s="1628"/>
    </row>
    <row r="424" spans="4:14">
      <c r="D424" s="1666"/>
      <c r="M424" s="1628"/>
    </row>
    <row r="425" spans="4:14">
      <c r="D425" s="1666"/>
      <c r="M425" s="1628"/>
    </row>
    <row r="426" spans="4:14">
      <c r="D426" s="1666"/>
      <c r="M426" s="1628"/>
    </row>
    <row r="427" spans="4:14">
      <c r="D427" s="1666"/>
      <c r="M427" s="1628"/>
    </row>
    <row r="428" spans="4:14">
      <c r="D428" s="1666"/>
      <c r="M428" s="1628"/>
    </row>
    <row r="429" spans="4:14">
      <c r="D429" s="1666"/>
      <c r="M429" s="1628"/>
    </row>
    <row r="430" spans="4:14">
      <c r="D430" s="1666"/>
      <c r="M430" s="1628"/>
    </row>
    <row r="431" spans="4:14">
      <c r="D431" s="1666"/>
      <c r="M431" s="1628"/>
    </row>
    <row r="432" spans="4:14">
      <c r="D432" s="1666"/>
      <c r="M432" s="1628"/>
    </row>
    <row r="433" spans="4:13">
      <c r="D433" s="1666"/>
      <c r="M433" s="1628"/>
    </row>
    <row r="434" spans="4:13">
      <c r="D434" s="1666"/>
      <c r="M434" s="1628"/>
    </row>
    <row r="435" spans="4:13">
      <c r="D435" s="1666"/>
      <c r="M435" s="1628"/>
    </row>
    <row r="436" spans="4:13">
      <c r="D436" s="1666"/>
      <c r="M436" s="1628"/>
    </row>
    <row r="437" spans="4:13">
      <c r="D437" s="1666"/>
      <c r="M437" s="1628"/>
    </row>
    <row r="438" spans="4:13">
      <c r="D438" s="1666"/>
      <c r="M438" s="1628"/>
    </row>
    <row r="439" spans="4:13">
      <c r="D439" s="1666"/>
      <c r="M439" s="1628"/>
    </row>
    <row r="440" spans="4:13">
      <c r="D440" s="1666"/>
      <c r="M440" s="1628"/>
    </row>
    <row r="441" spans="4:13">
      <c r="D441" s="1666"/>
      <c r="M441" s="1628"/>
    </row>
    <row r="442" spans="4:13">
      <c r="D442" s="1666"/>
      <c r="M442" s="1628"/>
    </row>
    <row r="443" spans="4:13">
      <c r="D443" s="1666"/>
      <c r="M443" s="1628"/>
    </row>
    <row r="444" spans="4:13">
      <c r="D444" s="1666"/>
      <c r="M444" s="1628"/>
    </row>
    <row r="445" spans="4:13">
      <c r="D445" s="1666"/>
      <c r="M445" s="1628"/>
    </row>
    <row r="446" spans="4:13">
      <c r="D446" s="1666"/>
      <c r="M446" s="1628"/>
    </row>
    <row r="447" spans="4:13">
      <c r="D447" s="1666"/>
      <c r="M447" s="1628"/>
    </row>
    <row r="448" spans="4:13">
      <c r="D448" s="1666"/>
      <c r="M448" s="1628"/>
    </row>
    <row r="449" spans="4:13">
      <c r="D449" s="1666"/>
      <c r="M449" s="1628"/>
    </row>
    <row r="450" spans="4:13">
      <c r="D450" s="1666"/>
      <c r="M450" s="1628"/>
    </row>
    <row r="451" spans="4:13">
      <c r="D451" s="1666"/>
      <c r="M451" s="1628"/>
    </row>
    <row r="452" spans="4:13">
      <c r="D452" s="1666"/>
      <c r="M452" s="1628"/>
    </row>
    <row r="453" spans="4:13">
      <c r="D453" s="1666"/>
      <c r="M453" s="1628"/>
    </row>
    <row r="454" spans="4:13">
      <c r="M454" s="1628"/>
    </row>
    <row r="455" spans="4:13">
      <c r="M455" s="1628"/>
    </row>
    <row r="456" spans="4:13">
      <c r="M456" s="1628"/>
    </row>
    <row r="457" spans="4:13">
      <c r="M457" s="1628"/>
    </row>
    <row r="458" spans="4:13">
      <c r="M458" s="1628"/>
    </row>
    <row r="459" spans="4:13">
      <c r="M459" s="1628"/>
    </row>
    <row r="460" spans="4:13">
      <c r="M460" s="1628"/>
    </row>
    <row r="461" spans="4:13">
      <c r="M461" s="1628"/>
    </row>
    <row r="462" spans="4:13">
      <c r="M462" s="1628"/>
    </row>
    <row r="463" spans="4:13">
      <c r="M463" s="1628"/>
    </row>
    <row r="464" spans="4:13">
      <c r="M464" s="1628"/>
    </row>
    <row r="465" spans="13:13">
      <c r="M465" s="1628"/>
    </row>
    <row r="466" spans="13:13">
      <c r="M466" s="1628"/>
    </row>
    <row r="467" spans="13:13">
      <c r="M467" s="1628"/>
    </row>
    <row r="468" spans="13:13">
      <c r="M468" s="1628"/>
    </row>
    <row r="469" spans="13:13">
      <c r="M469" s="1628"/>
    </row>
    <row r="470" spans="13:13">
      <c r="M470" s="1628"/>
    </row>
    <row r="471" spans="13:13">
      <c r="M471" s="1628"/>
    </row>
    <row r="472" spans="13:13">
      <c r="M472" s="1628"/>
    </row>
    <row r="473" spans="13:13">
      <c r="M473" s="1628"/>
    </row>
    <row r="474" spans="13:13">
      <c r="M474" s="1628"/>
    </row>
    <row r="475" spans="13:13">
      <c r="M475" s="1628"/>
    </row>
    <row r="476" spans="13:13">
      <c r="M476" s="1628"/>
    </row>
    <row r="477" spans="13:13">
      <c r="M477" s="1628"/>
    </row>
    <row r="478" spans="13:13">
      <c r="M478" s="1628"/>
    </row>
    <row r="479" spans="13:13">
      <c r="M479" s="1628"/>
    </row>
    <row r="480" spans="13:13">
      <c r="M480" s="1628"/>
    </row>
    <row r="481" spans="13:13">
      <c r="M481" s="1628"/>
    </row>
    <row r="482" spans="13:13">
      <c r="M482" s="1628"/>
    </row>
    <row r="483" spans="13:13">
      <c r="M483" s="1628"/>
    </row>
    <row r="484" spans="13:13">
      <c r="M484" s="1628"/>
    </row>
    <row r="485" spans="13:13">
      <c r="M485" s="1628"/>
    </row>
    <row r="486" spans="13:13">
      <c r="M486" s="1628"/>
    </row>
    <row r="487" spans="13:13">
      <c r="M487" s="1628"/>
    </row>
    <row r="488" spans="13:13">
      <c r="M488" s="1628"/>
    </row>
    <row r="489" spans="13:13">
      <c r="M489" s="1628"/>
    </row>
    <row r="490" spans="13:13">
      <c r="M490" s="1628"/>
    </row>
    <row r="491" spans="13:13">
      <c r="M491" s="1628"/>
    </row>
    <row r="492" spans="13:13">
      <c r="M492" s="1628"/>
    </row>
    <row r="493" spans="13:13">
      <c r="M493" s="1628"/>
    </row>
    <row r="494" spans="13:13">
      <c r="M494" s="1628"/>
    </row>
    <row r="495" spans="13:13">
      <c r="M495" s="1628"/>
    </row>
    <row r="496" spans="13:13">
      <c r="M496" s="1628"/>
    </row>
    <row r="497" spans="13:13">
      <c r="M497" s="1628"/>
    </row>
    <row r="498" spans="13:13">
      <c r="M498" s="1628"/>
    </row>
    <row r="499" spans="13:13">
      <c r="M499" s="1628"/>
    </row>
    <row r="500" spans="13:13">
      <c r="M500" s="1628"/>
    </row>
    <row r="501" spans="13:13">
      <c r="M501" s="1628"/>
    </row>
    <row r="502" spans="13:13">
      <c r="M502" s="1628"/>
    </row>
    <row r="503" spans="13:13">
      <c r="M503" s="1628"/>
    </row>
    <row r="504" spans="13:13">
      <c r="M504" s="1628"/>
    </row>
    <row r="505" spans="13:13">
      <c r="M505" s="1628"/>
    </row>
    <row r="506" spans="13:13">
      <c r="M506" s="1628"/>
    </row>
    <row r="507" spans="13:13">
      <c r="M507" s="1033"/>
    </row>
    <row r="508" spans="13:13">
      <c r="M508" s="1033"/>
    </row>
    <row r="509" spans="13:13">
      <c r="M509" s="1033"/>
    </row>
    <row r="510" spans="13:13">
      <c r="M510" s="1033"/>
    </row>
    <row r="511" spans="13:13">
      <c r="M511" s="1033"/>
    </row>
    <row r="512" spans="13:13">
      <c r="M512" s="1033"/>
    </row>
    <row r="513" spans="13:13">
      <c r="M513" s="1033"/>
    </row>
    <row r="514" spans="13:13">
      <c r="M514" s="1033"/>
    </row>
    <row r="515" spans="13:13">
      <c r="M515" s="1033"/>
    </row>
    <row r="516" spans="13:13">
      <c r="M516" s="1033"/>
    </row>
    <row r="517" spans="13:13">
      <c r="M517" s="1033"/>
    </row>
    <row r="518" spans="13:13">
      <c r="M518" s="1033"/>
    </row>
    <row r="519" spans="13:13">
      <c r="M519" s="1033"/>
    </row>
    <row r="520" spans="13:13">
      <c r="M520" s="1033"/>
    </row>
    <row r="521" spans="13:13">
      <c r="M521" s="1033"/>
    </row>
    <row r="522" spans="13:13">
      <c r="M522" s="1033"/>
    </row>
    <row r="523" spans="13:13">
      <c r="M523" s="1033"/>
    </row>
    <row r="524" spans="13:13">
      <c r="M524" s="1033"/>
    </row>
    <row r="525" spans="13:13">
      <c r="M525" s="1033"/>
    </row>
    <row r="526" spans="13:13">
      <c r="M526" s="1033"/>
    </row>
    <row r="527" spans="13:13">
      <c r="M527" s="1033"/>
    </row>
    <row r="528" spans="13:13">
      <c r="M528" s="1033"/>
    </row>
    <row r="529" spans="13:13">
      <c r="M529" s="1033"/>
    </row>
    <row r="530" spans="13:13">
      <c r="M530" s="1033"/>
    </row>
    <row r="531" spans="13:13">
      <c r="M531" s="1033"/>
    </row>
    <row r="532" spans="13:13">
      <c r="M532" s="1033"/>
    </row>
    <row r="533" spans="13:13">
      <c r="M533" s="1033"/>
    </row>
    <row r="534" spans="13:13">
      <c r="M534" s="1033"/>
    </row>
    <row r="535" spans="13:13">
      <c r="M535" s="1033"/>
    </row>
    <row r="536" spans="13:13">
      <c r="M536" s="1033"/>
    </row>
    <row r="537" spans="13:13">
      <c r="M537" s="1033"/>
    </row>
    <row r="538" spans="13:13">
      <c r="M538" s="1033"/>
    </row>
    <row r="539" spans="13:13">
      <c r="M539" s="1033"/>
    </row>
    <row r="540" spans="13:13">
      <c r="M540" s="1033"/>
    </row>
    <row r="541" spans="13:13">
      <c r="M541" s="1033"/>
    </row>
    <row r="542" spans="13:13">
      <c r="M542" s="1033"/>
    </row>
    <row r="543" spans="13:13">
      <c r="M543" s="1033"/>
    </row>
    <row r="544" spans="13:13">
      <c r="M544" s="1033"/>
    </row>
    <row r="545" spans="13:13">
      <c r="M545" s="1033"/>
    </row>
    <row r="546" spans="13:13">
      <c r="M546" s="1033"/>
    </row>
    <row r="547" spans="13:13">
      <c r="M547" s="1033"/>
    </row>
    <row r="548" spans="13:13">
      <c r="M548" s="1033"/>
    </row>
    <row r="549" spans="13:13">
      <c r="M549" s="1033"/>
    </row>
    <row r="550" spans="13:13">
      <c r="M550" s="1033"/>
    </row>
    <row r="551" spans="13:13">
      <c r="M551" s="1033"/>
    </row>
    <row r="552" spans="13:13">
      <c r="M552" s="1033"/>
    </row>
    <row r="553" spans="13:13">
      <c r="M553" s="1033"/>
    </row>
    <row r="554" spans="13:13">
      <c r="M554" s="1033"/>
    </row>
    <row r="555" spans="13:13">
      <c r="M555" s="1033"/>
    </row>
    <row r="556" spans="13:13">
      <c r="M556" s="1033"/>
    </row>
    <row r="557" spans="13:13">
      <c r="M557" s="1033"/>
    </row>
    <row r="558" spans="13:13">
      <c r="M558" s="1033"/>
    </row>
    <row r="559" spans="13:13">
      <c r="M559" s="1033"/>
    </row>
    <row r="560" spans="13:13">
      <c r="M560" s="1033"/>
    </row>
    <row r="561" spans="13:13">
      <c r="M561" s="1033"/>
    </row>
    <row r="562" spans="13:13">
      <c r="M562" s="1033"/>
    </row>
    <row r="563" spans="13:13">
      <c r="M563" s="1033"/>
    </row>
    <row r="564" spans="13:13">
      <c r="M564" s="1033"/>
    </row>
    <row r="565" spans="13:13">
      <c r="M565" s="1033"/>
    </row>
    <row r="566" spans="13:13">
      <c r="M566" s="1033"/>
    </row>
    <row r="567" spans="13:13">
      <c r="M567" s="1033"/>
    </row>
    <row r="568" spans="13:13">
      <c r="M568" s="1033"/>
    </row>
    <row r="569" spans="13:13">
      <c r="M569" s="1033"/>
    </row>
    <row r="570" spans="13:13">
      <c r="M570" s="1033"/>
    </row>
    <row r="571" spans="13:13">
      <c r="M571" s="1033"/>
    </row>
    <row r="572" spans="13:13">
      <c r="M572" s="1033"/>
    </row>
    <row r="573" spans="13:13">
      <c r="M573" s="1033"/>
    </row>
    <row r="574" spans="13:13">
      <c r="M574" s="1033"/>
    </row>
    <row r="575" spans="13:13">
      <c r="M575" s="1033"/>
    </row>
    <row r="576" spans="13:13">
      <c r="M576" s="1033"/>
    </row>
    <row r="577" spans="13:13">
      <c r="M577" s="1033"/>
    </row>
    <row r="578" spans="13:13">
      <c r="M578" s="1033"/>
    </row>
    <row r="579" spans="13:13">
      <c r="M579" s="1033"/>
    </row>
    <row r="580" spans="13:13">
      <c r="M580" s="1033"/>
    </row>
    <row r="581" spans="13:13">
      <c r="M581" s="1033"/>
    </row>
    <row r="582" spans="13:13">
      <c r="M582" s="1033"/>
    </row>
    <row r="583" spans="13:13">
      <c r="M583" s="1033"/>
    </row>
    <row r="584" spans="13:13">
      <c r="M584" s="1033"/>
    </row>
    <row r="585" spans="13:13">
      <c r="M585" s="1033"/>
    </row>
    <row r="586" spans="13:13">
      <c r="M586" s="1033"/>
    </row>
    <row r="587" spans="13:13">
      <c r="M587" s="1033"/>
    </row>
    <row r="588" spans="13:13">
      <c r="M588" s="1033"/>
    </row>
    <row r="589" spans="13:13">
      <c r="M589" s="1033"/>
    </row>
    <row r="590" spans="13:13">
      <c r="M590" s="1033"/>
    </row>
    <row r="591" spans="13:13">
      <c r="M591" s="1033"/>
    </row>
    <row r="592" spans="13:13">
      <c r="M592" s="1033"/>
    </row>
    <row r="593" spans="13:13">
      <c r="M593" s="1033"/>
    </row>
    <row r="594" spans="13:13">
      <c r="M594" s="1033"/>
    </row>
    <row r="595" spans="13:13">
      <c r="M595" s="1033"/>
    </row>
    <row r="596" spans="13:13">
      <c r="M596" s="1033"/>
    </row>
    <row r="597" spans="13:13">
      <c r="M597" s="1033"/>
    </row>
    <row r="598" spans="13:13">
      <c r="M598" s="1033"/>
    </row>
    <row r="599" spans="13:13">
      <c r="M599" s="1033"/>
    </row>
    <row r="600" spans="13:13">
      <c r="M600" s="1033"/>
    </row>
    <row r="601" spans="13:13">
      <c r="M601" s="1033"/>
    </row>
    <row r="602" spans="13:13">
      <c r="M602" s="1033"/>
    </row>
    <row r="603" spans="13:13">
      <c r="M603" s="1033"/>
    </row>
    <row r="604" spans="13:13">
      <c r="M604" s="1033"/>
    </row>
    <row r="605" spans="13:13">
      <c r="M605" s="1033"/>
    </row>
    <row r="606" spans="13:13">
      <c r="M606" s="1033"/>
    </row>
    <row r="607" spans="13:13">
      <c r="M607" s="1033"/>
    </row>
    <row r="608" spans="13:13">
      <c r="M608" s="1033"/>
    </row>
    <row r="609" spans="13:13">
      <c r="M609" s="1033"/>
    </row>
    <row r="610" spans="13:13">
      <c r="M610" s="1033"/>
    </row>
    <row r="611" spans="13:13">
      <c r="M611" s="1033"/>
    </row>
    <row r="612" spans="13:13">
      <c r="M612" s="1033"/>
    </row>
    <row r="613" spans="13:13">
      <c r="M613" s="1033"/>
    </row>
    <row r="614" spans="13:13">
      <c r="M614" s="1033"/>
    </row>
    <row r="615" spans="13:13">
      <c r="M615" s="1033"/>
    </row>
    <row r="616" spans="13:13">
      <c r="M616" s="1033"/>
    </row>
    <row r="617" spans="13:13">
      <c r="M617" s="1033"/>
    </row>
    <row r="618" spans="13:13">
      <c r="M618" s="1033"/>
    </row>
    <row r="619" spans="13:13">
      <c r="M619" s="1033"/>
    </row>
    <row r="620" spans="13:13">
      <c r="M620" s="1033"/>
    </row>
    <row r="621" spans="13:13">
      <c r="M621" s="1033"/>
    </row>
    <row r="622" spans="13:13">
      <c r="M622" s="1033"/>
    </row>
    <row r="623" spans="13:13">
      <c r="M623" s="1033"/>
    </row>
    <row r="624" spans="13:13">
      <c r="M624" s="1033"/>
    </row>
    <row r="625" spans="13:13">
      <c r="M625" s="1033"/>
    </row>
    <row r="626" spans="13:13">
      <c r="M626" s="1033"/>
    </row>
    <row r="627" spans="13:13">
      <c r="M627" s="1033"/>
    </row>
    <row r="628" spans="13:13">
      <c r="M628" s="1033"/>
    </row>
    <row r="629" spans="13:13">
      <c r="M629" s="1033"/>
    </row>
    <row r="630" spans="13:13">
      <c r="M630" s="1033"/>
    </row>
    <row r="631" spans="13:13">
      <c r="M631" s="1033"/>
    </row>
    <row r="632" spans="13:13">
      <c r="M632" s="1033"/>
    </row>
    <row r="633" spans="13:13">
      <c r="M633" s="1033"/>
    </row>
    <row r="634" spans="13:13">
      <c r="M634" s="1033"/>
    </row>
    <row r="635" spans="13:13">
      <c r="M635" s="1033"/>
    </row>
    <row r="636" spans="13:13">
      <c r="M636" s="1033"/>
    </row>
    <row r="637" spans="13:13">
      <c r="M637" s="1033"/>
    </row>
    <row r="638" spans="13:13">
      <c r="M638" s="1033"/>
    </row>
    <row r="639" spans="13:13">
      <c r="M639" s="1033"/>
    </row>
    <row r="640" spans="13:13">
      <c r="M640" s="1033"/>
    </row>
    <row r="641" spans="13:13">
      <c r="M641" s="1033"/>
    </row>
    <row r="642" spans="13:13">
      <c r="M642" s="1033"/>
    </row>
    <row r="643" spans="13:13">
      <c r="M643" s="1033"/>
    </row>
    <row r="644" spans="13:13">
      <c r="M644" s="1033"/>
    </row>
    <row r="645" spans="13:13">
      <c r="M645" s="1033"/>
    </row>
    <row r="646" spans="13:13">
      <c r="M646" s="1033"/>
    </row>
    <row r="647" spans="13:13">
      <c r="M647" s="1033"/>
    </row>
    <row r="648" spans="13:13">
      <c r="M648" s="1033"/>
    </row>
    <row r="649" spans="13:13">
      <c r="M649" s="1033"/>
    </row>
    <row r="650" spans="13:13">
      <c r="M650" s="1033"/>
    </row>
    <row r="651" spans="13:13">
      <c r="M651" s="1033"/>
    </row>
    <row r="652" spans="13:13">
      <c r="M652" s="1033"/>
    </row>
    <row r="653" spans="13:13">
      <c r="M653" s="1033"/>
    </row>
    <row r="654" spans="13:13">
      <c r="M654" s="1033"/>
    </row>
    <row r="655" spans="13:13">
      <c r="M655" s="1033"/>
    </row>
    <row r="656" spans="13:13">
      <c r="M656" s="1033"/>
    </row>
    <row r="657" spans="13:13">
      <c r="M657" s="1033"/>
    </row>
    <row r="658" spans="13:13">
      <c r="M658" s="1033"/>
    </row>
    <row r="659" spans="13:13">
      <c r="M659" s="1033"/>
    </row>
    <row r="660" spans="13:13">
      <c r="M660" s="1033"/>
    </row>
    <row r="661" spans="13:13">
      <c r="M661" s="1033"/>
    </row>
    <row r="662" spans="13:13">
      <c r="M662" s="1033"/>
    </row>
    <row r="663" spans="13:13">
      <c r="M663" s="1033"/>
    </row>
    <row r="664" spans="13:13">
      <c r="M664" s="1033"/>
    </row>
    <row r="665" spans="13:13">
      <c r="M665" s="1033"/>
    </row>
    <row r="666" spans="13:13">
      <c r="M666" s="1033"/>
    </row>
    <row r="667" spans="13:13">
      <c r="M667" s="1033"/>
    </row>
    <row r="668" spans="13:13">
      <c r="M668" s="1033"/>
    </row>
    <row r="669" spans="13:13">
      <c r="M669" s="1033"/>
    </row>
    <row r="670" spans="13:13">
      <c r="M670" s="1033"/>
    </row>
    <row r="671" spans="13:13">
      <c r="M671" s="1033"/>
    </row>
    <row r="672" spans="13:13">
      <c r="M672" s="1033"/>
    </row>
    <row r="673" spans="13:13">
      <c r="M673" s="1033"/>
    </row>
    <row r="674" spans="13:13">
      <c r="M674" s="1033"/>
    </row>
    <row r="675" spans="13:13">
      <c r="M675" s="1033"/>
    </row>
    <row r="676" spans="13:13">
      <c r="M676" s="1033"/>
    </row>
    <row r="677" spans="13:13">
      <c r="M677" s="1033"/>
    </row>
    <row r="678" spans="13:13">
      <c r="M678" s="1033"/>
    </row>
    <row r="679" spans="13:13">
      <c r="M679" s="1033"/>
    </row>
    <row r="680" spans="13:13">
      <c r="M680" s="1033"/>
    </row>
    <row r="681" spans="13:13">
      <c r="M681" s="1033"/>
    </row>
    <row r="682" spans="13:13">
      <c r="M682" s="1033"/>
    </row>
    <row r="683" spans="13:13">
      <c r="M683" s="1033"/>
    </row>
    <row r="684" spans="13:13">
      <c r="M684" s="1033"/>
    </row>
    <row r="685" spans="13:13">
      <c r="M685" s="1033"/>
    </row>
    <row r="686" spans="13:13">
      <c r="M686" s="1033"/>
    </row>
    <row r="687" spans="13:13">
      <c r="M687" s="1033"/>
    </row>
    <row r="688" spans="13:13">
      <c r="M688" s="1033"/>
    </row>
    <row r="689" spans="13:13">
      <c r="M689" s="1033"/>
    </row>
    <row r="690" spans="13:13">
      <c r="M690" s="1033"/>
    </row>
    <row r="691" spans="13:13">
      <c r="M691" s="1033"/>
    </row>
    <row r="692" spans="13:13">
      <c r="M692" s="1033"/>
    </row>
    <row r="693" spans="13:13">
      <c r="M693" s="1033"/>
    </row>
    <row r="694" spans="13:13">
      <c r="M694" s="1033"/>
    </row>
    <row r="695" spans="13:13">
      <c r="M695" s="1033"/>
    </row>
    <row r="696" spans="13:13">
      <c r="M696" s="1033"/>
    </row>
    <row r="697" spans="13:13">
      <c r="M697" s="1033"/>
    </row>
    <row r="698" spans="13:13">
      <c r="M698" s="1033"/>
    </row>
    <row r="699" spans="13:13">
      <c r="M699" s="1033"/>
    </row>
    <row r="700" spans="13:13">
      <c r="M700" s="1033"/>
    </row>
    <row r="701" spans="13:13">
      <c r="M701" s="1033"/>
    </row>
    <row r="702" spans="13:13">
      <c r="M702" s="1033"/>
    </row>
    <row r="703" spans="13:13">
      <c r="M703" s="1033"/>
    </row>
    <row r="704" spans="13:13">
      <c r="M704" s="1033"/>
    </row>
    <row r="705" spans="13:13">
      <c r="M705" s="1033"/>
    </row>
    <row r="706" spans="13:13">
      <c r="M706" s="1033"/>
    </row>
    <row r="707" spans="13:13">
      <c r="M707" s="1033"/>
    </row>
    <row r="708" spans="13:13">
      <c r="M708" s="1033"/>
    </row>
    <row r="709" spans="13:13">
      <c r="M709" s="1033"/>
    </row>
    <row r="710" spans="13:13">
      <c r="M710" s="1033"/>
    </row>
    <row r="711" spans="13:13">
      <c r="M711" s="1033"/>
    </row>
    <row r="712" spans="13:13">
      <c r="M712" s="1033"/>
    </row>
    <row r="713" spans="13:13">
      <c r="M713" s="1033"/>
    </row>
    <row r="714" spans="13:13">
      <c r="M714" s="1033"/>
    </row>
    <row r="715" spans="13:13">
      <c r="M715" s="1033"/>
    </row>
    <row r="716" spans="13:13">
      <c r="M716" s="1033"/>
    </row>
    <row r="717" spans="13:13">
      <c r="M717" s="1033"/>
    </row>
    <row r="718" spans="13:13">
      <c r="M718" s="1033"/>
    </row>
    <row r="719" spans="13:13">
      <c r="M719" s="1033"/>
    </row>
    <row r="720" spans="13:13">
      <c r="M720" s="1033"/>
    </row>
    <row r="721" spans="13:13">
      <c r="M721" s="1033"/>
    </row>
    <row r="722" spans="13:13">
      <c r="M722" s="1033"/>
    </row>
    <row r="723" spans="13:13">
      <c r="M723" s="1033"/>
    </row>
    <row r="724" spans="13:13">
      <c r="M724" s="1033"/>
    </row>
    <row r="725" spans="13:13">
      <c r="M725" s="1033"/>
    </row>
    <row r="726" spans="13:13">
      <c r="M726" s="1033"/>
    </row>
    <row r="727" spans="13:13">
      <c r="M727" s="1033"/>
    </row>
    <row r="728" spans="13:13">
      <c r="M728" s="1033"/>
    </row>
    <row r="729" spans="13:13">
      <c r="M729" s="1033"/>
    </row>
    <row r="730" spans="13:13">
      <c r="M730" s="1033"/>
    </row>
    <row r="731" spans="13:13">
      <c r="M731" s="1033"/>
    </row>
    <row r="732" spans="13:13">
      <c r="M732" s="1033"/>
    </row>
    <row r="733" spans="13:13">
      <c r="M733" s="1033"/>
    </row>
    <row r="734" spans="13:13">
      <c r="M734" s="1033"/>
    </row>
    <row r="735" spans="13:13">
      <c r="M735" s="1033"/>
    </row>
    <row r="736" spans="13:13">
      <c r="M736" s="1033"/>
    </row>
    <row r="737" spans="13:13">
      <c r="M737" s="1033"/>
    </row>
    <row r="738" spans="13:13">
      <c r="M738" s="1033"/>
    </row>
    <row r="739" spans="13:13">
      <c r="M739" s="1033"/>
    </row>
    <row r="740" spans="13:13">
      <c r="M740" s="1033"/>
    </row>
    <row r="741" spans="13:13">
      <c r="M741" s="1033"/>
    </row>
    <row r="742" spans="13:13">
      <c r="M742" s="1033"/>
    </row>
    <row r="743" spans="13:13">
      <c r="M743" s="1033"/>
    </row>
    <row r="744" spans="13:13">
      <c r="M744" s="1033"/>
    </row>
    <row r="745" spans="13:13">
      <c r="M745" s="1033"/>
    </row>
    <row r="746" spans="13:13">
      <c r="M746" s="1033"/>
    </row>
    <row r="747" spans="13:13">
      <c r="M747" s="1033"/>
    </row>
    <row r="748" spans="13:13">
      <c r="M748" s="1033"/>
    </row>
    <row r="749" spans="13:13">
      <c r="M749" s="1033"/>
    </row>
    <row r="750" spans="13:13">
      <c r="M750" s="1033"/>
    </row>
    <row r="751" spans="13:13">
      <c r="M751" s="1033"/>
    </row>
    <row r="752" spans="13:13">
      <c r="M752" s="1033"/>
    </row>
    <row r="753" spans="13:13">
      <c r="M753" s="1033"/>
    </row>
    <row r="754" spans="13:13">
      <c r="M754" s="1033"/>
    </row>
    <row r="755" spans="13:13">
      <c r="M755" s="1033"/>
    </row>
    <row r="756" spans="13:13">
      <c r="M756" s="1033"/>
    </row>
    <row r="757" spans="13:13">
      <c r="M757" s="1033"/>
    </row>
    <row r="758" spans="13:13">
      <c r="M758" s="1033"/>
    </row>
    <row r="759" spans="13:13">
      <c r="M759" s="1033"/>
    </row>
    <row r="760" spans="13:13">
      <c r="M760" s="1033"/>
    </row>
    <row r="761" spans="13:13">
      <c r="M761" s="1033"/>
    </row>
    <row r="762" spans="13:13">
      <c r="M762" s="1033"/>
    </row>
    <row r="763" spans="13:13">
      <c r="M763" s="1033"/>
    </row>
    <row r="764" spans="13:13">
      <c r="M764" s="1033"/>
    </row>
    <row r="765" spans="13:13">
      <c r="M765" s="1033"/>
    </row>
    <row r="766" spans="13:13">
      <c r="M766" s="1033"/>
    </row>
    <row r="767" spans="13:13">
      <c r="M767" s="1033"/>
    </row>
    <row r="768" spans="13:13">
      <c r="M768" s="1033"/>
    </row>
    <row r="769" spans="13:13">
      <c r="M769" s="1033"/>
    </row>
    <row r="770" spans="13:13">
      <c r="M770" s="1033"/>
    </row>
    <row r="771" spans="13:13">
      <c r="M771" s="1033"/>
    </row>
    <row r="772" spans="13:13">
      <c r="M772" s="1033"/>
    </row>
    <row r="773" spans="13:13">
      <c r="M773" s="1033"/>
    </row>
    <row r="774" spans="13:13">
      <c r="M774" s="1033"/>
    </row>
    <row r="775" spans="13:13">
      <c r="M775" s="1033"/>
    </row>
    <row r="776" spans="13:13">
      <c r="M776" s="1033"/>
    </row>
    <row r="777" spans="13:13">
      <c r="M777" s="1033"/>
    </row>
    <row r="778" spans="13:13">
      <c r="M778" s="1033"/>
    </row>
    <row r="779" spans="13:13">
      <c r="M779" s="1033"/>
    </row>
    <row r="780" spans="13:13">
      <c r="M780" s="1033"/>
    </row>
    <row r="781" spans="13:13">
      <c r="M781" s="1033"/>
    </row>
    <row r="782" spans="13:13">
      <c r="M782" s="1033"/>
    </row>
    <row r="783" spans="13:13">
      <c r="M783" s="1033"/>
    </row>
    <row r="784" spans="13:13">
      <c r="M784" s="1033"/>
    </row>
    <row r="785" spans="13:13">
      <c r="M785" s="1033"/>
    </row>
    <row r="786" spans="13:13">
      <c r="M786" s="1033"/>
    </row>
    <row r="787" spans="13:13">
      <c r="M787" s="1033"/>
    </row>
    <row r="788" spans="13:13">
      <c r="M788" s="1033"/>
    </row>
    <row r="789" spans="13:13">
      <c r="M789" s="1033"/>
    </row>
    <row r="790" spans="13:13">
      <c r="M790" s="1033"/>
    </row>
    <row r="791" spans="13:13">
      <c r="M791" s="1033"/>
    </row>
    <row r="792" spans="13:13">
      <c r="M792" s="1033"/>
    </row>
    <row r="793" spans="13:13">
      <c r="M793" s="1033"/>
    </row>
    <row r="794" spans="13:13">
      <c r="M794" s="1033"/>
    </row>
    <row r="795" spans="13:13">
      <c r="M795" s="1033"/>
    </row>
    <row r="796" spans="13:13">
      <c r="M796" s="1033"/>
    </row>
    <row r="797" spans="13:13">
      <c r="M797" s="1033"/>
    </row>
    <row r="798" spans="13:13">
      <c r="M798" s="1033"/>
    </row>
    <row r="799" spans="13:13">
      <c r="M799" s="1033"/>
    </row>
    <row r="800" spans="13:13">
      <c r="M800" s="1033"/>
    </row>
    <row r="801" spans="13:13">
      <c r="M801" s="1033"/>
    </row>
    <row r="802" spans="13:13">
      <c r="M802" s="1033"/>
    </row>
    <row r="803" spans="13:13">
      <c r="M803" s="1033"/>
    </row>
    <row r="804" spans="13:13">
      <c r="M804" s="1033"/>
    </row>
    <row r="805" spans="13:13">
      <c r="M805" s="1033"/>
    </row>
    <row r="806" spans="13:13">
      <c r="M806" s="1033"/>
    </row>
    <row r="807" spans="13:13">
      <c r="M807" s="1033"/>
    </row>
    <row r="808" spans="13:13">
      <c r="M808" s="1033"/>
    </row>
    <row r="809" spans="13:13">
      <c r="M809" s="1033"/>
    </row>
    <row r="810" spans="13:13">
      <c r="M810" s="1033"/>
    </row>
    <row r="811" spans="13:13">
      <c r="M811" s="1033"/>
    </row>
    <row r="812" spans="13:13">
      <c r="M812" s="1033"/>
    </row>
    <row r="813" spans="13:13">
      <c r="M813" s="1033"/>
    </row>
    <row r="814" spans="13:13">
      <c r="M814" s="1033"/>
    </row>
    <row r="815" spans="13:13">
      <c r="M815" s="1033"/>
    </row>
    <row r="816" spans="13:13">
      <c r="M816" s="1033"/>
    </row>
    <row r="817" spans="13:13">
      <c r="M817" s="1033"/>
    </row>
    <row r="818" spans="13:13">
      <c r="M818" s="1033"/>
    </row>
    <row r="819" spans="13:13">
      <c r="M819" s="1033"/>
    </row>
    <row r="820" spans="13:13">
      <c r="M820" s="1033"/>
    </row>
    <row r="821" spans="13:13">
      <c r="M821" s="1033"/>
    </row>
    <row r="822" spans="13:13">
      <c r="M822" s="1033"/>
    </row>
    <row r="823" spans="13:13">
      <c r="M823" s="1033"/>
    </row>
    <row r="824" spans="13:13">
      <c r="M824" s="1033"/>
    </row>
    <row r="825" spans="13:13">
      <c r="M825" s="1033"/>
    </row>
    <row r="826" spans="13:13">
      <c r="M826" s="1033"/>
    </row>
    <row r="827" spans="13:13">
      <c r="M827" s="1033"/>
    </row>
    <row r="828" spans="13:13">
      <c r="M828" s="1033"/>
    </row>
    <row r="829" spans="13:13">
      <c r="M829" s="1033"/>
    </row>
    <row r="830" spans="13:13">
      <c r="M830" s="1033"/>
    </row>
    <row r="831" spans="13:13">
      <c r="M831" s="1033"/>
    </row>
    <row r="832" spans="13:13">
      <c r="M832" s="1033"/>
    </row>
    <row r="833" spans="13:13">
      <c r="M833" s="1033"/>
    </row>
    <row r="834" spans="13:13">
      <c r="M834" s="1033"/>
    </row>
    <row r="835" spans="13:13">
      <c r="M835" s="1033"/>
    </row>
    <row r="836" spans="13:13">
      <c r="M836" s="1033"/>
    </row>
    <row r="837" spans="13:13">
      <c r="M837" s="1033"/>
    </row>
    <row r="838" spans="13:13">
      <c r="M838" s="1033"/>
    </row>
    <row r="839" spans="13:13">
      <c r="M839" s="1033"/>
    </row>
    <row r="840" spans="13:13">
      <c r="M840" s="1033"/>
    </row>
    <row r="841" spans="13:13">
      <c r="M841" s="1033"/>
    </row>
    <row r="842" spans="13:13">
      <c r="M842" s="1033"/>
    </row>
    <row r="843" spans="13:13">
      <c r="M843" s="1033"/>
    </row>
    <row r="844" spans="13:13">
      <c r="M844" s="1033"/>
    </row>
  </sheetData>
  <sheetProtection sheet="1" objects="1" scenarios="1" formatCells="0" formatRows="0" insertRows="0" deleteRows="0"/>
  <mergeCells count="2">
    <mergeCell ref="H4:I4"/>
    <mergeCell ref="B365:G365"/>
  </mergeCells>
  <conditionalFormatting sqref="K361:K502">
    <cfRule type="cellIs" dxfId="13" priority="2" stopIfTrue="1" operator="greaterThan">
      <formula>L361*1.2</formula>
    </cfRule>
  </conditionalFormatting>
  <conditionalFormatting sqref="L29:L360">
    <cfRule type="cellIs" dxfId="12" priority="1" operator="greaterThan">
      <formula>N29*1.2</formula>
    </cfRule>
  </conditionalFormatting>
  <dataValidations count="5">
    <dataValidation type="list" allowBlank="1" showInputMessage="1" showErrorMessage="1" sqref="D29:D360">
      <formula1>SpaceType</formula1>
    </dataValidation>
    <dataValidation type="list" allowBlank="1" showInputMessage="1" showErrorMessage="1" sqref="P4:P26">
      <formula1>YesNo</formula1>
    </dataValidation>
    <dataValidation type="list" allowBlank="1" showInputMessage="1" showErrorMessage="1" sqref="WVQ4:WVQ26 WLU4:WLU26 WBY4:WBY26 VSC4:VSC26 VIG4:VIG26 UYK4:UYK26 UOO4:UOO26 UES4:UES26 TUW4:TUW26 TLA4:TLA26 TBE4:TBE26 SRI4:SRI26 SHM4:SHM26 RXQ4:RXQ26 RNU4:RNU26 RDY4:RDY26 QUC4:QUC26 QKG4:QKG26 QAK4:QAK26 PQO4:PQO26 PGS4:PGS26 OWW4:OWW26 ONA4:ONA26 ODE4:ODE26 NTI4:NTI26 NJM4:NJM26 MZQ4:MZQ26 MPU4:MPU26 MFY4:MFY26 LWC4:LWC26 LMG4:LMG26 LCK4:LCK26 KSO4:KSO26 KIS4:KIS26 JYW4:JYW26 JPA4:JPA26 JFE4:JFE26 IVI4:IVI26 ILM4:ILM26 IBQ4:IBQ26 HRU4:HRU26 HHY4:HHY26 GYC4:GYC26 GOG4:GOG26 GEK4:GEK26 FUO4:FUO26 FKS4:FKS26 FAW4:FAW26 ERA4:ERA26 EHE4:EHE26 DXI4:DXI26 DNM4:DNM26 DDQ4:DDQ26 CTU4:CTU26 CJY4:CJY26 CAC4:CAC26 BQG4:BQG26 BGK4:BGK26 AWO4:AWO26 AMS4:AMS26 ACW4:ACW26 TA4:TA26 JE4:JE26 D65565:D65896 IT65565:IT65896 SP65565:SP65896 ACL65565:ACL65896 AMH65565:AMH65896 AWD65565:AWD65896 BFZ65565:BFZ65896 BPV65565:BPV65896 BZR65565:BZR65896 CJN65565:CJN65896 CTJ65565:CTJ65896 DDF65565:DDF65896 DNB65565:DNB65896 DWX65565:DWX65896 EGT65565:EGT65896 EQP65565:EQP65896 FAL65565:FAL65896 FKH65565:FKH65896 FUD65565:FUD65896 GDZ65565:GDZ65896 GNV65565:GNV65896 GXR65565:GXR65896 HHN65565:HHN65896 HRJ65565:HRJ65896 IBF65565:IBF65896 ILB65565:ILB65896 IUX65565:IUX65896 JET65565:JET65896 JOP65565:JOP65896 JYL65565:JYL65896 KIH65565:KIH65896 KSD65565:KSD65896 LBZ65565:LBZ65896 LLV65565:LLV65896 LVR65565:LVR65896 MFN65565:MFN65896 MPJ65565:MPJ65896 MZF65565:MZF65896 NJB65565:NJB65896 NSX65565:NSX65896 OCT65565:OCT65896 OMP65565:OMP65896 OWL65565:OWL65896 PGH65565:PGH65896 PQD65565:PQD65896 PZZ65565:PZZ65896 QJV65565:QJV65896 QTR65565:QTR65896 RDN65565:RDN65896 RNJ65565:RNJ65896 RXF65565:RXF65896 SHB65565:SHB65896 SQX65565:SQX65896 TAT65565:TAT65896 TKP65565:TKP65896 TUL65565:TUL65896 UEH65565:UEH65896 UOD65565:UOD65896 UXZ65565:UXZ65896 VHV65565:VHV65896 VRR65565:VRR65896 WBN65565:WBN65896 WLJ65565:WLJ65896 WVF65565:WVF65896 D131101:D131432 IT131101:IT131432 SP131101:SP131432 ACL131101:ACL131432 AMH131101:AMH131432 AWD131101:AWD131432 BFZ131101:BFZ131432 BPV131101:BPV131432 BZR131101:BZR131432 CJN131101:CJN131432 CTJ131101:CTJ131432 DDF131101:DDF131432 DNB131101:DNB131432 DWX131101:DWX131432 EGT131101:EGT131432 EQP131101:EQP131432 FAL131101:FAL131432 FKH131101:FKH131432 FUD131101:FUD131432 GDZ131101:GDZ131432 GNV131101:GNV131432 GXR131101:GXR131432 HHN131101:HHN131432 HRJ131101:HRJ131432 IBF131101:IBF131432 ILB131101:ILB131432 IUX131101:IUX131432 JET131101:JET131432 JOP131101:JOP131432 JYL131101:JYL131432 KIH131101:KIH131432 KSD131101:KSD131432 LBZ131101:LBZ131432 LLV131101:LLV131432 LVR131101:LVR131432 MFN131101:MFN131432 MPJ131101:MPJ131432 MZF131101:MZF131432 NJB131101:NJB131432 NSX131101:NSX131432 OCT131101:OCT131432 OMP131101:OMP131432 OWL131101:OWL131432 PGH131101:PGH131432 PQD131101:PQD131432 PZZ131101:PZZ131432 QJV131101:QJV131432 QTR131101:QTR131432 RDN131101:RDN131432 RNJ131101:RNJ131432 RXF131101:RXF131432 SHB131101:SHB131432 SQX131101:SQX131432 TAT131101:TAT131432 TKP131101:TKP131432 TUL131101:TUL131432 UEH131101:UEH131432 UOD131101:UOD131432 UXZ131101:UXZ131432 VHV131101:VHV131432 VRR131101:VRR131432 WBN131101:WBN131432 WLJ131101:WLJ131432 WVF131101:WVF131432 D196637:D196968 IT196637:IT196968 SP196637:SP196968 ACL196637:ACL196968 AMH196637:AMH196968 AWD196637:AWD196968 BFZ196637:BFZ196968 BPV196637:BPV196968 BZR196637:BZR196968 CJN196637:CJN196968 CTJ196637:CTJ196968 DDF196637:DDF196968 DNB196637:DNB196968 DWX196637:DWX196968 EGT196637:EGT196968 EQP196637:EQP196968 FAL196637:FAL196968 FKH196637:FKH196968 FUD196637:FUD196968 GDZ196637:GDZ196968 GNV196637:GNV196968 GXR196637:GXR196968 HHN196637:HHN196968 HRJ196637:HRJ196968 IBF196637:IBF196968 ILB196637:ILB196968 IUX196637:IUX196968 JET196637:JET196968 JOP196637:JOP196968 JYL196637:JYL196968 KIH196637:KIH196968 KSD196637:KSD196968 LBZ196637:LBZ196968 LLV196637:LLV196968 LVR196637:LVR196968 MFN196637:MFN196968 MPJ196637:MPJ196968 MZF196637:MZF196968 NJB196637:NJB196968 NSX196637:NSX196968 OCT196637:OCT196968 OMP196637:OMP196968 OWL196637:OWL196968 PGH196637:PGH196968 PQD196637:PQD196968 PZZ196637:PZZ196968 QJV196637:QJV196968 QTR196637:QTR196968 RDN196637:RDN196968 RNJ196637:RNJ196968 RXF196637:RXF196968 SHB196637:SHB196968 SQX196637:SQX196968 TAT196637:TAT196968 TKP196637:TKP196968 TUL196637:TUL196968 UEH196637:UEH196968 UOD196637:UOD196968 UXZ196637:UXZ196968 VHV196637:VHV196968 VRR196637:VRR196968 WBN196637:WBN196968 WLJ196637:WLJ196968 WVF196637:WVF196968 D262173:D262504 IT262173:IT262504 SP262173:SP262504 ACL262173:ACL262504 AMH262173:AMH262504 AWD262173:AWD262504 BFZ262173:BFZ262504 BPV262173:BPV262504 BZR262173:BZR262504 CJN262173:CJN262504 CTJ262173:CTJ262504 DDF262173:DDF262504 DNB262173:DNB262504 DWX262173:DWX262504 EGT262173:EGT262504 EQP262173:EQP262504 FAL262173:FAL262504 FKH262173:FKH262504 FUD262173:FUD262504 GDZ262173:GDZ262504 GNV262173:GNV262504 GXR262173:GXR262504 HHN262173:HHN262504 HRJ262173:HRJ262504 IBF262173:IBF262504 ILB262173:ILB262504 IUX262173:IUX262504 JET262173:JET262504 JOP262173:JOP262504 JYL262173:JYL262504 KIH262173:KIH262504 KSD262173:KSD262504 LBZ262173:LBZ262504 LLV262173:LLV262504 LVR262173:LVR262504 MFN262173:MFN262504 MPJ262173:MPJ262504 MZF262173:MZF262504 NJB262173:NJB262504 NSX262173:NSX262504 OCT262173:OCT262504 OMP262173:OMP262504 OWL262173:OWL262504 PGH262173:PGH262504 PQD262173:PQD262504 PZZ262173:PZZ262504 QJV262173:QJV262504 QTR262173:QTR262504 RDN262173:RDN262504 RNJ262173:RNJ262504 RXF262173:RXF262504 SHB262173:SHB262504 SQX262173:SQX262504 TAT262173:TAT262504 TKP262173:TKP262504 TUL262173:TUL262504 UEH262173:UEH262504 UOD262173:UOD262504 UXZ262173:UXZ262504 VHV262173:VHV262504 VRR262173:VRR262504 WBN262173:WBN262504 WLJ262173:WLJ262504 WVF262173:WVF262504 D327709:D328040 IT327709:IT328040 SP327709:SP328040 ACL327709:ACL328040 AMH327709:AMH328040 AWD327709:AWD328040 BFZ327709:BFZ328040 BPV327709:BPV328040 BZR327709:BZR328040 CJN327709:CJN328040 CTJ327709:CTJ328040 DDF327709:DDF328040 DNB327709:DNB328040 DWX327709:DWX328040 EGT327709:EGT328040 EQP327709:EQP328040 FAL327709:FAL328040 FKH327709:FKH328040 FUD327709:FUD328040 GDZ327709:GDZ328040 GNV327709:GNV328040 GXR327709:GXR328040 HHN327709:HHN328040 HRJ327709:HRJ328040 IBF327709:IBF328040 ILB327709:ILB328040 IUX327709:IUX328040 JET327709:JET328040 JOP327709:JOP328040 JYL327709:JYL328040 KIH327709:KIH328040 KSD327709:KSD328040 LBZ327709:LBZ328040 LLV327709:LLV328040 LVR327709:LVR328040 MFN327709:MFN328040 MPJ327709:MPJ328040 MZF327709:MZF328040 NJB327709:NJB328040 NSX327709:NSX328040 OCT327709:OCT328040 OMP327709:OMP328040 OWL327709:OWL328040 PGH327709:PGH328040 PQD327709:PQD328040 PZZ327709:PZZ328040 QJV327709:QJV328040 QTR327709:QTR328040 RDN327709:RDN328040 RNJ327709:RNJ328040 RXF327709:RXF328040 SHB327709:SHB328040 SQX327709:SQX328040 TAT327709:TAT328040 TKP327709:TKP328040 TUL327709:TUL328040 UEH327709:UEH328040 UOD327709:UOD328040 UXZ327709:UXZ328040 VHV327709:VHV328040 VRR327709:VRR328040 WBN327709:WBN328040 WLJ327709:WLJ328040 WVF327709:WVF328040 D393245:D393576 IT393245:IT393576 SP393245:SP393576 ACL393245:ACL393576 AMH393245:AMH393576 AWD393245:AWD393576 BFZ393245:BFZ393576 BPV393245:BPV393576 BZR393245:BZR393576 CJN393245:CJN393576 CTJ393245:CTJ393576 DDF393245:DDF393576 DNB393245:DNB393576 DWX393245:DWX393576 EGT393245:EGT393576 EQP393245:EQP393576 FAL393245:FAL393576 FKH393245:FKH393576 FUD393245:FUD393576 GDZ393245:GDZ393576 GNV393245:GNV393576 GXR393245:GXR393576 HHN393245:HHN393576 HRJ393245:HRJ393576 IBF393245:IBF393576 ILB393245:ILB393576 IUX393245:IUX393576 JET393245:JET393576 JOP393245:JOP393576 JYL393245:JYL393576 KIH393245:KIH393576 KSD393245:KSD393576 LBZ393245:LBZ393576 LLV393245:LLV393576 LVR393245:LVR393576 MFN393245:MFN393576 MPJ393245:MPJ393576 MZF393245:MZF393576 NJB393245:NJB393576 NSX393245:NSX393576 OCT393245:OCT393576 OMP393245:OMP393576 OWL393245:OWL393576 PGH393245:PGH393576 PQD393245:PQD393576 PZZ393245:PZZ393576 QJV393245:QJV393576 QTR393245:QTR393576 RDN393245:RDN393576 RNJ393245:RNJ393576 RXF393245:RXF393576 SHB393245:SHB393576 SQX393245:SQX393576 TAT393245:TAT393576 TKP393245:TKP393576 TUL393245:TUL393576 UEH393245:UEH393576 UOD393245:UOD393576 UXZ393245:UXZ393576 VHV393245:VHV393576 VRR393245:VRR393576 WBN393245:WBN393576 WLJ393245:WLJ393576 WVF393245:WVF393576 D458781:D459112 IT458781:IT459112 SP458781:SP459112 ACL458781:ACL459112 AMH458781:AMH459112 AWD458781:AWD459112 BFZ458781:BFZ459112 BPV458781:BPV459112 BZR458781:BZR459112 CJN458781:CJN459112 CTJ458781:CTJ459112 DDF458781:DDF459112 DNB458781:DNB459112 DWX458781:DWX459112 EGT458781:EGT459112 EQP458781:EQP459112 FAL458781:FAL459112 FKH458781:FKH459112 FUD458781:FUD459112 GDZ458781:GDZ459112 GNV458781:GNV459112 GXR458781:GXR459112 HHN458781:HHN459112 HRJ458781:HRJ459112 IBF458781:IBF459112 ILB458781:ILB459112 IUX458781:IUX459112 JET458781:JET459112 JOP458781:JOP459112 JYL458781:JYL459112 KIH458781:KIH459112 KSD458781:KSD459112 LBZ458781:LBZ459112 LLV458781:LLV459112 LVR458781:LVR459112 MFN458781:MFN459112 MPJ458781:MPJ459112 MZF458781:MZF459112 NJB458781:NJB459112 NSX458781:NSX459112 OCT458781:OCT459112 OMP458781:OMP459112 OWL458781:OWL459112 PGH458781:PGH459112 PQD458781:PQD459112 PZZ458781:PZZ459112 QJV458781:QJV459112 QTR458781:QTR459112 RDN458781:RDN459112 RNJ458781:RNJ459112 RXF458781:RXF459112 SHB458781:SHB459112 SQX458781:SQX459112 TAT458781:TAT459112 TKP458781:TKP459112 TUL458781:TUL459112 UEH458781:UEH459112 UOD458781:UOD459112 UXZ458781:UXZ459112 VHV458781:VHV459112 VRR458781:VRR459112 WBN458781:WBN459112 WLJ458781:WLJ459112 WVF458781:WVF459112 D524317:D524648 IT524317:IT524648 SP524317:SP524648 ACL524317:ACL524648 AMH524317:AMH524648 AWD524317:AWD524648 BFZ524317:BFZ524648 BPV524317:BPV524648 BZR524317:BZR524648 CJN524317:CJN524648 CTJ524317:CTJ524648 DDF524317:DDF524648 DNB524317:DNB524648 DWX524317:DWX524648 EGT524317:EGT524648 EQP524317:EQP524648 FAL524317:FAL524648 FKH524317:FKH524648 FUD524317:FUD524648 GDZ524317:GDZ524648 GNV524317:GNV524648 GXR524317:GXR524648 HHN524317:HHN524648 HRJ524317:HRJ524648 IBF524317:IBF524648 ILB524317:ILB524648 IUX524317:IUX524648 JET524317:JET524648 JOP524317:JOP524648 JYL524317:JYL524648 KIH524317:KIH524648 KSD524317:KSD524648 LBZ524317:LBZ524648 LLV524317:LLV524648 LVR524317:LVR524648 MFN524317:MFN524648 MPJ524317:MPJ524648 MZF524317:MZF524648 NJB524317:NJB524648 NSX524317:NSX524648 OCT524317:OCT524648 OMP524317:OMP524648 OWL524317:OWL524648 PGH524317:PGH524648 PQD524317:PQD524648 PZZ524317:PZZ524648 QJV524317:QJV524648 QTR524317:QTR524648 RDN524317:RDN524648 RNJ524317:RNJ524648 RXF524317:RXF524648 SHB524317:SHB524648 SQX524317:SQX524648 TAT524317:TAT524648 TKP524317:TKP524648 TUL524317:TUL524648 UEH524317:UEH524648 UOD524317:UOD524648 UXZ524317:UXZ524648 VHV524317:VHV524648 VRR524317:VRR524648 WBN524317:WBN524648 WLJ524317:WLJ524648 WVF524317:WVF524648 D589853:D590184 IT589853:IT590184 SP589853:SP590184 ACL589853:ACL590184 AMH589853:AMH590184 AWD589853:AWD590184 BFZ589853:BFZ590184 BPV589853:BPV590184 BZR589853:BZR590184 CJN589853:CJN590184 CTJ589853:CTJ590184 DDF589853:DDF590184 DNB589853:DNB590184 DWX589853:DWX590184 EGT589853:EGT590184 EQP589853:EQP590184 FAL589853:FAL590184 FKH589853:FKH590184 FUD589853:FUD590184 GDZ589853:GDZ590184 GNV589853:GNV590184 GXR589853:GXR590184 HHN589853:HHN590184 HRJ589853:HRJ590184 IBF589853:IBF590184 ILB589853:ILB590184 IUX589853:IUX590184 JET589853:JET590184 JOP589853:JOP590184 JYL589853:JYL590184 KIH589853:KIH590184 KSD589853:KSD590184 LBZ589853:LBZ590184 LLV589853:LLV590184 LVR589853:LVR590184 MFN589853:MFN590184 MPJ589853:MPJ590184 MZF589853:MZF590184 NJB589853:NJB590184 NSX589853:NSX590184 OCT589853:OCT590184 OMP589853:OMP590184 OWL589853:OWL590184 PGH589853:PGH590184 PQD589853:PQD590184 PZZ589853:PZZ590184 QJV589853:QJV590184 QTR589853:QTR590184 RDN589853:RDN590184 RNJ589853:RNJ590184 RXF589853:RXF590184 SHB589853:SHB590184 SQX589853:SQX590184 TAT589853:TAT590184 TKP589853:TKP590184 TUL589853:TUL590184 UEH589853:UEH590184 UOD589853:UOD590184 UXZ589853:UXZ590184 VHV589853:VHV590184 VRR589853:VRR590184 WBN589853:WBN590184 WLJ589853:WLJ590184 WVF589853:WVF590184 D655389:D655720 IT655389:IT655720 SP655389:SP655720 ACL655389:ACL655720 AMH655389:AMH655720 AWD655389:AWD655720 BFZ655389:BFZ655720 BPV655389:BPV655720 BZR655389:BZR655720 CJN655389:CJN655720 CTJ655389:CTJ655720 DDF655389:DDF655720 DNB655389:DNB655720 DWX655389:DWX655720 EGT655389:EGT655720 EQP655389:EQP655720 FAL655389:FAL655720 FKH655389:FKH655720 FUD655389:FUD655720 GDZ655389:GDZ655720 GNV655389:GNV655720 GXR655389:GXR655720 HHN655389:HHN655720 HRJ655389:HRJ655720 IBF655389:IBF655720 ILB655389:ILB655720 IUX655389:IUX655720 JET655389:JET655720 JOP655389:JOP655720 JYL655389:JYL655720 KIH655389:KIH655720 KSD655389:KSD655720 LBZ655389:LBZ655720 LLV655389:LLV655720 LVR655389:LVR655720 MFN655389:MFN655720 MPJ655389:MPJ655720 MZF655389:MZF655720 NJB655389:NJB655720 NSX655389:NSX655720 OCT655389:OCT655720 OMP655389:OMP655720 OWL655389:OWL655720 PGH655389:PGH655720 PQD655389:PQD655720 PZZ655389:PZZ655720 QJV655389:QJV655720 QTR655389:QTR655720 RDN655389:RDN655720 RNJ655389:RNJ655720 RXF655389:RXF655720 SHB655389:SHB655720 SQX655389:SQX655720 TAT655389:TAT655720 TKP655389:TKP655720 TUL655389:TUL655720 UEH655389:UEH655720 UOD655389:UOD655720 UXZ655389:UXZ655720 VHV655389:VHV655720 VRR655389:VRR655720 WBN655389:WBN655720 WLJ655389:WLJ655720 WVF655389:WVF655720 D720925:D721256 IT720925:IT721256 SP720925:SP721256 ACL720925:ACL721256 AMH720925:AMH721256 AWD720925:AWD721256 BFZ720925:BFZ721256 BPV720925:BPV721256 BZR720925:BZR721256 CJN720925:CJN721256 CTJ720925:CTJ721256 DDF720925:DDF721256 DNB720925:DNB721256 DWX720925:DWX721256 EGT720925:EGT721256 EQP720925:EQP721256 FAL720925:FAL721256 FKH720925:FKH721256 FUD720925:FUD721256 GDZ720925:GDZ721256 GNV720925:GNV721256 GXR720925:GXR721256 HHN720925:HHN721256 HRJ720925:HRJ721256 IBF720925:IBF721256 ILB720925:ILB721256 IUX720925:IUX721256 JET720925:JET721256 JOP720925:JOP721256 JYL720925:JYL721256 KIH720925:KIH721256 KSD720925:KSD721256 LBZ720925:LBZ721256 LLV720925:LLV721256 LVR720925:LVR721256 MFN720925:MFN721256 MPJ720925:MPJ721256 MZF720925:MZF721256 NJB720925:NJB721256 NSX720925:NSX721256 OCT720925:OCT721256 OMP720925:OMP721256 OWL720925:OWL721256 PGH720925:PGH721256 PQD720925:PQD721256 PZZ720925:PZZ721256 QJV720925:QJV721256 QTR720925:QTR721256 RDN720925:RDN721256 RNJ720925:RNJ721256 RXF720925:RXF721256 SHB720925:SHB721256 SQX720925:SQX721256 TAT720925:TAT721256 TKP720925:TKP721256 TUL720925:TUL721256 UEH720925:UEH721256 UOD720925:UOD721256 UXZ720925:UXZ721256 VHV720925:VHV721256 VRR720925:VRR721256 WBN720925:WBN721256 WLJ720925:WLJ721256 WVF720925:WVF721256 D786461:D786792 IT786461:IT786792 SP786461:SP786792 ACL786461:ACL786792 AMH786461:AMH786792 AWD786461:AWD786792 BFZ786461:BFZ786792 BPV786461:BPV786792 BZR786461:BZR786792 CJN786461:CJN786792 CTJ786461:CTJ786792 DDF786461:DDF786792 DNB786461:DNB786792 DWX786461:DWX786792 EGT786461:EGT786792 EQP786461:EQP786792 FAL786461:FAL786792 FKH786461:FKH786792 FUD786461:FUD786792 GDZ786461:GDZ786792 GNV786461:GNV786792 GXR786461:GXR786792 HHN786461:HHN786792 HRJ786461:HRJ786792 IBF786461:IBF786792 ILB786461:ILB786792 IUX786461:IUX786792 JET786461:JET786792 JOP786461:JOP786792 JYL786461:JYL786792 KIH786461:KIH786792 KSD786461:KSD786792 LBZ786461:LBZ786792 LLV786461:LLV786792 LVR786461:LVR786792 MFN786461:MFN786792 MPJ786461:MPJ786792 MZF786461:MZF786792 NJB786461:NJB786792 NSX786461:NSX786792 OCT786461:OCT786792 OMP786461:OMP786792 OWL786461:OWL786792 PGH786461:PGH786792 PQD786461:PQD786792 PZZ786461:PZZ786792 QJV786461:QJV786792 QTR786461:QTR786792 RDN786461:RDN786792 RNJ786461:RNJ786792 RXF786461:RXF786792 SHB786461:SHB786792 SQX786461:SQX786792 TAT786461:TAT786792 TKP786461:TKP786792 TUL786461:TUL786792 UEH786461:UEH786792 UOD786461:UOD786792 UXZ786461:UXZ786792 VHV786461:VHV786792 VRR786461:VRR786792 WBN786461:WBN786792 WLJ786461:WLJ786792 WVF786461:WVF786792 D851997:D852328 IT851997:IT852328 SP851997:SP852328 ACL851997:ACL852328 AMH851997:AMH852328 AWD851997:AWD852328 BFZ851997:BFZ852328 BPV851997:BPV852328 BZR851997:BZR852328 CJN851997:CJN852328 CTJ851997:CTJ852328 DDF851997:DDF852328 DNB851997:DNB852328 DWX851997:DWX852328 EGT851997:EGT852328 EQP851997:EQP852328 FAL851997:FAL852328 FKH851997:FKH852328 FUD851997:FUD852328 GDZ851997:GDZ852328 GNV851997:GNV852328 GXR851997:GXR852328 HHN851997:HHN852328 HRJ851997:HRJ852328 IBF851997:IBF852328 ILB851997:ILB852328 IUX851997:IUX852328 JET851997:JET852328 JOP851997:JOP852328 JYL851997:JYL852328 KIH851997:KIH852328 KSD851997:KSD852328 LBZ851997:LBZ852328 LLV851997:LLV852328 LVR851997:LVR852328 MFN851997:MFN852328 MPJ851997:MPJ852328 MZF851997:MZF852328 NJB851997:NJB852328 NSX851997:NSX852328 OCT851997:OCT852328 OMP851997:OMP852328 OWL851997:OWL852328 PGH851997:PGH852328 PQD851997:PQD852328 PZZ851997:PZZ852328 QJV851997:QJV852328 QTR851997:QTR852328 RDN851997:RDN852328 RNJ851997:RNJ852328 RXF851997:RXF852328 SHB851997:SHB852328 SQX851997:SQX852328 TAT851997:TAT852328 TKP851997:TKP852328 TUL851997:TUL852328 UEH851997:UEH852328 UOD851997:UOD852328 UXZ851997:UXZ852328 VHV851997:VHV852328 VRR851997:VRR852328 WBN851997:WBN852328 WLJ851997:WLJ852328 WVF851997:WVF852328 D917533:D917864 IT917533:IT917864 SP917533:SP917864 ACL917533:ACL917864 AMH917533:AMH917864 AWD917533:AWD917864 BFZ917533:BFZ917864 BPV917533:BPV917864 BZR917533:BZR917864 CJN917533:CJN917864 CTJ917533:CTJ917864 DDF917533:DDF917864 DNB917533:DNB917864 DWX917533:DWX917864 EGT917533:EGT917864 EQP917533:EQP917864 FAL917533:FAL917864 FKH917533:FKH917864 FUD917533:FUD917864 GDZ917533:GDZ917864 GNV917533:GNV917864 GXR917533:GXR917864 HHN917533:HHN917864 HRJ917533:HRJ917864 IBF917533:IBF917864 ILB917533:ILB917864 IUX917533:IUX917864 JET917533:JET917864 JOP917533:JOP917864 JYL917533:JYL917864 KIH917533:KIH917864 KSD917533:KSD917864 LBZ917533:LBZ917864 LLV917533:LLV917864 LVR917533:LVR917864 MFN917533:MFN917864 MPJ917533:MPJ917864 MZF917533:MZF917864 NJB917533:NJB917864 NSX917533:NSX917864 OCT917533:OCT917864 OMP917533:OMP917864 OWL917533:OWL917864 PGH917533:PGH917864 PQD917533:PQD917864 PZZ917533:PZZ917864 QJV917533:QJV917864 QTR917533:QTR917864 RDN917533:RDN917864 RNJ917533:RNJ917864 RXF917533:RXF917864 SHB917533:SHB917864 SQX917533:SQX917864 TAT917533:TAT917864 TKP917533:TKP917864 TUL917533:TUL917864 UEH917533:UEH917864 UOD917533:UOD917864 UXZ917533:UXZ917864 VHV917533:VHV917864 VRR917533:VRR917864 WBN917533:WBN917864 WLJ917533:WLJ917864 WVF917533:WVF917864 D983069:D983400 IT983069:IT983400 SP983069:SP983400 ACL983069:ACL983400 AMH983069:AMH983400 AWD983069:AWD983400 BFZ983069:BFZ983400 BPV983069:BPV983400 BZR983069:BZR983400 CJN983069:CJN983400 CTJ983069:CTJ983400 DDF983069:DDF983400 DNB983069:DNB983400 DWX983069:DWX983400 EGT983069:EGT983400 EQP983069:EQP983400 FAL983069:FAL983400 FKH983069:FKH983400 FUD983069:FUD983400 GDZ983069:GDZ983400 GNV983069:GNV983400 GXR983069:GXR983400 HHN983069:HHN983400 HRJ983069:HRJ983400 IBF983069:IBF983400 ILB983069:ILB983400 IUX983069:IUX983400 JET983069:JET983400 JOP983069:JOP983400 JYL983069:JYL983400 KIH983069:KIH983400 KSD983069:KSD983400 LBZ983069:LBZ983400 LLV983069:LLV983400 LVR983069:LVR983400 MFN983069:MFN983400 MPJ983069:MPJ983400 MZF983069:MZF983400 NJB983069:NJB983400 NSX983069:NSX983400 OCT983069:OCT983400 OMP983069:OMP983400 OWL983069:OWL983400 PGH983069:PGH983400 PQD983069:PQD983400 PZZ983069:PZZ983400 QJV983069:QJV983400 QTR983069:QTR983400 RDN983069:RDN983400 RNJ983069:RNJ983400 RXF983069:RXF983400 SHB983069:SHB983400 SQX983069:SQX983400 TAT983069:TAT983400 TKP983069:TKP983400 TUL983069:TUL983400 UEH983069:UEH983400 UOD983069:UOD983400 UXZ983069:UXZ983400 VHV983069:VHV983400 VRR983069:VRR983400 WBN983069:WBN983400 WLJ983069:WLJ983400 WVF983069:WVF983400 O65540:O65562 JD65540:JD65562 SZ65540:SZ65562 ACV65540:ACV65562 AMR65540:AMR65562 AWN65540:AWN65562 BGJ65540:BGJ65562 BQF65540:BQF65562 CAB65540:CAB65562 CJX65540:CJX65562 CTT65540:CTT65562 DDP65540:DDP65562 DNL65540:DNL65562 DXH65540:DXH65562 EHD65540:EHD65562 EQZ65540:EQZ65562 FAV65540:FAV65562 FKR65540:FKR65562 FUN65540:FUN65562 GEJ65540:GEJ65562 GOF65540:GOF65562 GYB65540:GYB65562 HHX65540:HHX65562 HRT65540:HRT65562 IBP65540:IBP65562 ILL65540:ILL65562 IVH65540:IVH65562 JFD65540:JFD65562 JOZ65540:JOZ65562 JYV65540:JYV65562 KIR65540:KIR65562 KSN65540:KSN65562 LCJ65540:LCJ65562 LMF65540:LMF65562 LWB65540:LWB65562 MFX65540:MFX65562 MPT65540:MPT65562 MZP65540:MZP65562 NJL65540:NJL65562 NTH65540:NTH65562 ODD65540:ODD65562 OMZ65540:OMZ65562 OWV65540:OWV65562 PGR65540:PGR65562 PQN65540:PQN65562 QAJ65540:QAJ65562 QKF65540:QKF65562 QUB65540:QUB65562 RDX65540:RDX65562 RNT65540:RNT65562 RXP65540:RXP65562 SHL65540:SHL65562 SRH65540:SRH65562 TBD65540:TBD65562 TKZ65540:TKZ65562 TUV65540:TUV65562 UER65540:UER65562 UON65540:UON65562 UYJ65540:UYJ65562 VIF65540:VIF65562 VSB65540:VSB65562 WBX65540:WBX65562 WLT65540:WLT65562 WVP65540:WVP65562 O131076:O131098 JD131076:JD131098 SZ131076:SZ131098 ACV131076:ACV131098 AMR131076:AMR131098 AWN131076:AWN131098 BGJ131076:BGJ131098 BQF131076:BQF131098 CAB131076:CAB131098 CJX131076:CJX131098 CTT131076:CTT131098 DDP131076:DDP131098 DNL131076:DNL131098 DXH131076:DXH131098 EHD131076:EHD131098 EQZ131076:EQZ131098 FAV131076:FAV131098 FKR131076:FKR131098 FUN131076:FUN131098 GEJ131076:GEJ131098 GOF131076:GOF131098 GYB131076:GYB131098 HHX131076:HHX131098 HRT131076:HRT131098 IBP131076:IBP131098 ILL131076:ILL131098 IVH131076:IVH131098 JFD131076:JFD131098 JOZ131076:JOZ131098 JYV131076:JYV131098 KIR131076:KIR131098 KSN131076:KSN131098 LCJ131076:LCJ131098 LMF131076:LMF131098 LWB131076:LWB131098 MFX131076:MFX131098 MPT131076:MPT131098 MZP131076:MZP131098 NJL131076:NJL131098 NTH131076:NTH131098 ODD131076:ODD131098 OMZ131076:OMZ131098 OWV131076:OWV131098 PGR131076:PGR131098 PQN131076:PQN131098 QAJ131076:QAJ131098 QKF131076:QKF131098 QUB131076:QUB131098 RDX131076:RDX131098 RNT131076:RNT131098 RXP131076:RXP131098 SHL131076:SHL131098 SRH131076:SRH131098 TBD131076:TBD131098 TKZ131076:TKZ131098 TUV131076:TUV131098 UER131076:UER131098 UON131076:UON131098 UYJ131076:UYJ131098 VIF131076:VIF131098 VSB131076:VSB131098 WBX131076:WBX131098 WLT131076:WLT131098 WVP131076:WVP131098 O196612:O196634 JD196612:JD196634 SZ196612:SZ196634 ACV196612:ACV196634 AMR196612:AMR196634 AWN196612:AWN196634 BGJ196612:BGJ196634 BQF196612:BQF196634 CAB196612:CAB196634 CJX196612:CJX196634 CTT196612:CTT196634 DDP196612:DDP196634 DNL196612:DNL196634 DXH196612:DXH196634 EHD196612:EHD196634 EQZ196612:EQZ196634 FAV196612:FAV196634 FKR196612:FKR196634 FUN196612:FUN196634 GEJ196612:GEJ196634 GOF196612:GOF196634 GYB196612:GYB196634 HHX196612:HHX196634 HRT196612:HRT196634 IBP196612:IBP196634 ILL196612:ILL196634 IVH196612:IVH196634 JFD196612:JFD196634 JOZ196612:JOZ196634 JYV196612:JYV196634 KIR196612:KIR196634 KSN196612:KSN196634 LCJ196612:LCJ196634 LMF196612:LMF196634 LWB196612:LWB196634 MFX196612:MFX196634 MPT196612:MPT196634 MZP196612:MZP196634 NJL196612:NJL196634 NTH196612:NTH196634 ODD196612:ODD196634 OMZ196612:OMZ196634 OWV196612:OWV196634 PGR196612:PGR196634 PQN196612:PQN196634 QAJ196612:QAJ196634 QKF196612:QKF196634 QUB196612:QUB196634 RDX196612:RDX196634 RNT196612:RNT196634 RXP196612:RXP196634 SHL196612:SHL196634 SRH196612:SRH196634 TBD196612:TBD196634 TKZ196612:TKZ196634 TUV196612:TUV196634 UER196612:UER196634 UON196612:UON196634 UYJ196612:UYJ196634 VIF196612:VIF196634 VSB196612:VSB196634 WBX196612:WBX196634 WLT196612:WLT196634 WVP196612:WVP196634 O262148:O262170 JD262148:JD262170 SZ262148:SZ262170 ACV262148:ACV262170 AMR262148:AMR262170 AWN262148:AWN262170 BGJ262148:BGJ262170 BQF262148:BQF262170 CAB262148:CAB262170 CJX262148:CJX262170 CTT262148:CTT262170 DDP262148:DDP262170 DNL262148:DNL262170 DXH262148:DXH262170 EHD262148:EHD262170 EQZ262148:EQZ262170 FAV262148:FAV262170 FKR262148:FKR262170 FUN262148:FUN262170 GEJ262148:GEJ262170 GOF262148:GOF262170 GYB262148:GYB262170 HHX262148:HHX262170 HRT262148:HRT262170 IBP262148:IBP262170 ILL262148:ILL262170 IVH262148:IVH262170 JFD262148:JFD262170 JOZ262148:JOZ262170 JYV262148:JYV262170 KIR262148:KIR262170 KSN262148:KSN262170 LCJ262148:LCJ262170 LMF262148:LMF262170 LWB262148:LWB262170 MFX262148:MFX262170 MPT262148:MPT262170 MZP262148:MZP262170 NJL262148:NJL262170 NTH262148:NTH262170 ODD262148:ODD262170 OMZ262148:OMZ262170 OWV262148:OWV262170 PGR262148:PGR262170 PQN262148:PQN262170 QAJ262148:QAJ262170 QKF262148:QKF262170 QUB262148:QUB262170 RDX262148:RDX262170 RNT262148:RNT262170 RXP262148:RXP262170 SHL262148:SHL262170 SRH262148:SRH262170 TBD262148:TBD262170 TKZ262148:TKZ262170 TUV262148:TUV262170 UER262148:UER262170 UON262148:UON262170 UYJ262148:UYJ262170 VIF262148:VIF262170 VSB262148:VSB262170 WBX262148:WBX262170 WLT262148:WLT262170 WVP262148:WVP262170 O327684:O327706 JD327684:JD327706 SZ327684:SZ327706 ACV327684:ACV327706 AMR327684:AMR327706 AWN327684:AWN327706 BGJ327684:BGJ327706 BQF327684:BQF327706 CAB327684:CAB327706 CJX327684:CJX327706 CTT327684:CTT327706 DDP327684:DDP327706 DNL327684:DNL327706 DXH327684:DXH327706 EHD327684:EHD327706 EQZ327684:EQZ327706 FAV327684:FAV327706 FKR327684:FKR327706 FUN327684:FUN327706 GEJ327684:GEJ327706 GOF327684:GOF327706 GYB327684:GYB327706 HHX327684:HHX327706 HRT327684:HRT327706 IBP327684:IBP327706 ILL327684:ILL327706 IVH327684:IVH327706 JFD327684:JFD327706 JOZ327684:JOZ327706 JYV327684:JYV327706 KIR327684:KIR327706 KSN327684:KSN327706 LCJ327684:LCJ327706 LMF327684:LMF327706 LWB327684:LWB327706 MFX327684:MFX327706 MPT327684:MPT327706 MZP327684:MZP327706 NJL327684:NJL327706 NTH327684:NTH327706 ODD327684:ODD327706 OMZ327684:OMZ327706 OWV327684:OWV327706 PGR327684:PGR327706 PQN327684:PQN327706 QAJ327684:QAJ327706 QKF327684:QKF327706 QUB327684:QUB327706 RDX327684:RDX327706 RNT327684:RNT327706 RXP327684:RXP327706 SHL327684:SHL327706 SRH327684:SRH327706 TBD327684:TBD327706 TKZ327684:TKZ327706 TUV327684:TUV327706 UER327684:UER327706 UON327684:UON327706 UYJ327684:UYJ327706 VIF327684:VIF327706 VSB327684:VSB327706 WBX327684:WBX327706 WLT327684:WLT327706 WVP327684:WVP327706 O393220:O393242 JD393220:JD393242 SZ393220:SZ393242 ACV393220:ACV393242 AMR393220:AMR393242 AWN393220:AWN393242 BGJ393220:BGJ393242 BQF393220:BQF393242 CAB393220:CAB393242 CJX393220:CJX393242 CTT393220:CTT393242 DDP393220:DDP393242 DNL393220:DNL393242 DXH393220:DXH393242 EHD393220:EHD393242 EQZ393220:EQZ393242 FAV393220:FAV393242 FKR393220:FKR393242 FUN393220:FUN393242 GEJ393220:GEJ393242 GOF393220:GOF393242 GYB393220:GYB393242 HHX393220:HHX393242 HRT393220:HRT393242 IBP393220:IBP393242 ILL393220:ILL393242 IVH393220:IVH393242 JFD393220:JFD393242 JOZ393220:JOZ393242 JYV393220:JYV393242 KIR393220:KIR393242 KSN393220:KSN393242 LCJ393220:LCJ393242 LMF393220:LMF393242 LWB393220:LWB393242 MFX393220:MFX393242 MPT393220:MPT393242 MZP393220:MZP393242 NJL393220:NJL393242 NTH393220:NTH393242 ODD393220:ODD393242 OMZ393220:OMZ393242 OWV393220:OWV393242 PGR393220:PGR393242 PQN393220:PQN393242 QAJ393220:QAJ393242 QKF393220:QKF393242 QUB393220:QUB393242 RDX393220:RDX393242 RNT393220:RNT393242 RXP393220:RXP393242 SHL393220:SHL393242 SRH393220:SRH393242 TBD393220:TBD393242 TKZ393220:TKZ393242 TUV393220:TUV393242 UER393220:UER393242 UON393220:UON393242 UYJ393220:UYJ393242 VIF393220:VIF393242 VSB393220:VSB393242 WBX393220:WBX393242 WLT393220:WLT393242 WVP393220:WVP393242 O458756:O458778 JD458756:JD458778 SZ458756:SZ458778 ACV458756:ACV458778 AMR458756:AMR458778 AWN458756:AWN458778 BGJ458756:BGJ458778 BQF458756:BQF458778 CAB458756:CAB458778 CJX458756:CJX458778 CTT458756:CTT458778 DDP458756:DDP458778 DNL458756:DNL458778 DXH458756:DXH458778 EHD458756:EHD458778 EQZ458756:EQZ458778 FAV458756:FAV458778 FKR458756:FKR458778 FUN458756:FUN458778 GEJ458756:GEJ458778 GOF458756:GOF458778 GYB458756:GYB458778 HHX458756:HHX458778 HRT458756:HRT458778 IBP458756:IBP458778 ILL458756:ILL458778 IVH458756:IVH458778 JFD458756:JFD458778 JOZ458756:JOZ458778 JYV458756:JYV458778 KIR458756:KIR458778 KSN458756:KSN458778 LCJ458756:LCJ458778 LMF458756:LMF458778 LWB458756:LWB458778 MFX458756:MFX458778 MPT458756:MPT458778 MZP458756:MZP458778 NJL458756:NJL458778 NTH458756:NTH458778 ODD458756:ODD458778 OMZ458756:OMZ458778 OWV458756:OWV458778 PGR458756:PGR458778 PQN458756:PQN458778 QAJ458756:QAJ458778 QKF458756:QKF458778 QUB458756:QUB458778 RDX458756:RDX458778 RNT458756:RNT458778 RXP458756:RXP458778 SHL458756:SHL458778 SRH458756:SRH458778 TBD458756:TBD458778 TKZ458756:TKZ458778 TUV458756:TUV458778 UER458756:UER458778 UON458756:UON458778 UYJ458756:UYJ458778 VIF458756:VIF458778 VSB458756:VSB458778 WBX458756:WBX458778 WLT458756:WLT458778 WVP458756:WVP458778 O524292:O524314 JD524292:JD524314 SZ524292:SZ524314 ACV524292:ACV524314 AMR524292:AMR524314 AWN524292:AWN524314 BGJ524292:BGJ524314 BQF524292:BQF524314 CAB524292:CAB524314 CJX524292:CJX524314 CTT524292:CTT524314 DDP524292:DDP524314 DNL524292:DNL524314 DXH524292:DXH524314 EHD524292:EHD524314 EQZ524292:EQZ524314 FAV524292:FAV524314 FKR524292:FKR524314 FUN524292:FUN524314 GEJ524292:GEJ524314 GOF524292:GOF524314 GYB524292:GYB524314 HHX524292:HHX524314 HRT524292:HRT524314 IBP524292:IBP524314 ILL524292:ILL524314 IVH524292:IVH524314 JFD524292:JFD524314 JOZ524292:JOZ524314 JYV524292:JYV524314 KIR524292:KIR524314 KSN524292:KSN524314 LCJ524292:LCJ524314 LMF524292:LMF524314 LWB524292:LWB524314 MFX524292:MFX524314 MPT524292:MPT524314 MZP524292:MZP524314 NJL524292:NJL524314 NTH524292:NTH524314 ODD524292:ODD524314 OMZ524292:OMZ524314 OWV524292:OWV524314 PGR524292:PGR524314 PQN524292:PQN524314 QAJ524292:QAJ524314 QKF524292:QKF524314 QUB524292:QUB524314 RDX524292:RDX524314 RNT524292:RNT524314 RXP524292:RXP524314 SHL524292:SHL524314 SRH524292:SRH524314 TBD524292:TBD524314 TKZ524292:TKZ524314 TUV524292:TUV524314 UER524292:UER524314 UON524292:UON524314 UYJ524292:UYJ524314 VIF524292:VIF524314 VSB524292:VSB524314 WBX524292:WBX524314 WLT524292:WLT524314 WVP524292:WVP524314 O589828:O589850 JD589828:JD589850 SZ589828:SZ589850 ACV589828:ACV589850 AMR589828:AMR589850 AWN589828:AWN589850 BGJ589828:BGJ589850 BQF589828:BQF589850 CAB589828:CAB589850 CJX589828:CJX589850 CTT589828:CTT589850 DDP589828:DDP589850 DNL589828:DNL589850 DXH589828:DXH589850 EHD589828:EHD589850 EQZ589828:EQZ589850 FAV589828:FAV589850 FKR589828:FKR589850 FUN589828:FUN589850 GEJ589828:GEJ589850 GOF589828:GOF589850 GYB589828:GYB589850 HHX589828:HHX589850 HRT589828:HRT589850 IBP589828:IBP589850 ILL589828:ILL589850 IVH589828:IVH589850 JFD589828:JFD589850 JOZ589828:JOZ589850 JYV589828:JYV589850 KIR589828:KIR589850 KSN589828:KSN589850 LCJ589828:LCJ589850 LMF589828:LMF589850 LWB589828:LWB589850 MFX589828:MFX589850 MPT589828:MPT589850 MZP589828:MZP589850 NJL589828:NJL589850 NTH589828:NTH589850 ODD589828:ODD589850 OMZ589828:OMZ589850 OWV589828:OWV589850 PGR589828:PGR589850 PQN589828:PQN589850 QAJ589828:QAJ589850 QKF589828:QKF589850 QUB589828:QUB589850 RDX589828:RDX589850 RNT589828:RNT589850 RXP589828:RXP589850 SHL589828:SHL589850 SRH589828:SRH589850 TBD589828:TBD589850 TKZ589828:TKZ589850 TUV589828:TUV589850 UER589828:UER589850 UON589828:UON589850 UYJ589828:UYJ589850 VIF589828:VIF589850 VSB589828:VSB589850 WBX589828:WBX589850 WLT589828:WLT589850 WVP589828:WVP589850 O655364:O655386 JD655364:JD655386 SZ655364:SZ655386 ACV655364:ACV655386 AMR655364:AMR655386 AWN655364:AWN655386 BGJ655364:BGJ655386 BQF655364:BQF655386 CAB655364:CAB655386 CJX655364:CJX655386 CTT655364:CTT655386 DDP655364:DDP655386 DNL655364:DNL655386 DXH655364:DXH655386 EHD655364:EHD655386 EQZ655364:EQZ655386 FAV655364:FAV655386 FKR655364:FKR655386 FUN655364:FUN655386 GEJ655364:GEJ655386 GOF655364:GOF655386 GYB655364:GYB655386 HHX655364:HHX655386 HRT655364:HRT655386 IBP655364:IBP655386 ILL655364:ILL655386 IVH655364:IVH655386 JFD655364:JFD655386 JOZ655364:JOZ655386 JYV655364:JYV655386 KIR655364:KIR655386 KSN655364:KSN655386 LCJ655364:LCJ655386 LMF655364:LMF655386 LWB655364:LWB655386 MFX655364:MFX655386 MPT655364:MPT655386 MZP655364:MZP655386 NJL655364:NJL655386 NTH655364:NTH655386 ODD655364:ODD655386 OMZ655364:OMZ655386 OWV655364:OWV655386 PGR655364:PGR655386 PQN655364:PQN655386 QAJ655364:QAJ655386 QKF655364:QKF655386 QUB655364:QUB655386 RDX655364:RDX655386 RNT655364:RNT655386 RXP655364:RXP655386 SHL655364:SHL655386 SRH655364:SRH655386 TBD655364:TBD655386 TKZ655364:TKZ655386 TUV655364:TUV655386 UER655364:UER655386 UON655364:UON655386 UYJ655364:UYJ655386 VIF655364:VIF655386 VSB655364:VSB655386 WBX655364:WBX655386 WLT655364:WLT655386 WVP655364:WVP655386 O720900:O720922 JD720900:JD720922 SZ720900:SZ720922 ACV720900:ACV720922 AMR720900:AMR720922 AWN720900:AWN720922 BGJ720900:BGJ720922 BQF720900:BQF720922 CAB720900:CAB720922 CJX720900:CJX720922 CTT720900:CTT720922 DDP720900:DDP720922 DNL720900:DNL720922 DXH720900:DXH720922 EHD720900:EHD720922 EQZ720900:EQZ720922 FAV720900:FAV720922 FKR720900:FKR720922 FUN720900:FUN720922 GEJ720900:GEJ720922 GOF720900:GOF720922 GYB720900:GYB720922 HHX720900:HHX720922 HRT720900:HRT720922 IBP720900:IBP720922 ILL720900:ILL720922 IVH720900:IVH720922 JFD720900:JFD720922 JOZ720900:JOZ720922 JYV720900:JYV720922 KIR720900:KIR720922 KSN720900:KSN720922 LCJ720900:LCJ720922 LMF720900:LMF720922 LWB720900:LWB720922 MFX720900:MFX720922 MPT720900:MPT720922 MZP720900:MZP720922 NJL720900:NJL720922 NTH720900:NTH720922 ODD720900:ODD720922 OMZ720900:OMZ720922 OWV720900:OWV720922 PGR720900:PGR720922 PQN720900:PQN720922 QAJ720900:QAJ720922 QKF720900:QKF720922 QUB720900:QUB720922 RDX720900:RDX720922 RNT720900:RNT720922 RXP720900:RXP720922 SHL720900:SHL720922 SRH720900:SRH720922 TBD720900:TBD720922 TKZ720900:TKZ720922 TUV720900:TUV720922 UER720900:UER720922 UON720900:UON720922 UYJ720900:UYJ720922 VIF720900:VIF720922 VSB720900:VSB720922 WBX720900:WBX720922 WLT720900:WLT720922 WVP720900:WVP720922 O786436:O786458 JD786436:JD786458 SZ786436:SZ786458 ACV786436:ACV786458 AMR786436:AMR786458 AWN786436:AWN786458 BGJ786436:BGJ786458 BQF786436:BQF786458 CAB786436:CAB786458 CJX786436:CJX786458 CTT786436:CTT786458 DDP786436:DDP786458 DNL786436:DNL786458 DXH786436:DXH786458 EHD786436:EHD786458 EQZ786436:EQZ786458 FAV786436:FAV786458 FKR786436:FKR786458 FUN786436:FUN786458 GEJ786436:GEJ786458 GOF786436:GOF786458 GYB786436:GYB786458 HHX786436:HHX786458 HRT786436:HRT786458 IBP786436:IBP786458 ILL786436:ILL786458 IVH786436:IVH786458 JFD786436:JFD786458 JOZ786436:JOZ786458 JYV786436:JYV786458 KIR786436:KIR786458 KSN786436:KSN786458 LCJ786436:LCJ786458 LMF786436:LMF786458 LWB786436:LWB786458 MFX786436:MFX786458 MPT786436:MPT786458 MZP786436:MZP786458 NJL786436:NJL786458 NTH786436:NTH786458 ODD786436:ODD786458 OMZ786436:OMZ786458 OWV786436:OWV786458 PGR786436:PGR786458 PQN786436:PQN786458 QAJ786436:QAJ786458 QKF786436:QKF786458 QUB786436:QUB786458 RDX786436:RDX786458 RNT786436:RNT786458 RXP786436:RXP786458 SHL786436:SHL786458 SRH786436:SRH786458 TBD786436:TBD786458 TKZ786436:TKZ786458 TUV786436:TUV786458 UER786436:UER786458 UON786436:UON786458 UYJ786436:UYJ786458 VIF786436:VIF786458 VSB786436:VSB786458 WBX786436:WBX786458 WLT786436:WLT786458 WVP786436:WVP786458 O851972:O851994 JD851972:JD851994 SZ851972:SZ851994 ACV851972:ACV851994 AMR851972:AMR851994 AWN851972:AWN851994 BGJ851972:BGJ851994 BQF851972:BQF851994 CAB851972:CAB851994 CJX851972:CJX851994 CTT851972:CTT851994 DDP851972:DDP851994 DNL851972:DNL851994 DXH851972:DXH851994 EHD851972:EHD851994 EQZ851972:EQZ851994 FAV851972:FAV851994 FKR851972:FKR851994 FUN851972:FUN851994 GEJ851972:GEJ851994 GOF851972:GOF851994 GYB851972:GYB851994 HHX851972:HHX851994 HRT851972:HRT851994 IBP851972:IBP851994 ILL851972:ILL851994 IVH851972:IVH851994 JFD851972:JFD851994 JOZ851972:JOZ851994 JYV851972:JYV851994 KIR851972:KIR851994 KSN851972:KSN851994 LCJ851972:LCJ851994 LMF851972:LMF851994 LWB851972:LWB851994 MFX851972:MFX851994 MPT851972:MPT851994 MZP851972:MZP851994 NJL851972:NJL851994 NTH851972:NTH851994 ODD851972:ODD851994 OMZ851972:OMZ851994 OWV851972:OWV851994 PGR851972:PGR851994 PQN851972:PQN851994 QAJ851972:QAJ851994 QKF851972:QKF851994 QUB851972:QUB851994 RDX851972:RDX851994 RNT851972:RNT851994 RXP851972:RXP851994 SHL851972:SHL851994 SRH851972:SRH851994 TBD851972:TBD851994 TKZ851972:TKZ851994 TUV851972:TUV851994 UER851972:UER851994 UON851972:UON851994 UYJ851972:UYJ851994 VIF851972:VIF851994 VSB851972:VSB851994 WBX851972:WBX851994 WLT851972:WLT851994 WVP851972:WVP851994 O917508:O917530 JD917508:JD917530 SZ917508:SZ917530 ACV917508:ACV917530 AMR917508:AMR917530 AWN917508:AWN917530 BGJ917508:BGJ917530 BQF917508:BQF917530 CAB917508:CAB917530 CJX917508:CJX917530 CTT917508:CTT917530 DDP917508:DDP917530 DNL917508:DNL917530 DXH917508:DXH917530 EHD917508:EHD917530 EQZ917508:EQZ917530 FAV917508:FAV917530 FKR917508:FKR917530 FUN917508:FUN917530 GEJ917508:GEJ917530 GOF917508:GOF917530 GYB917508:GYB917530 HHX917508:HHX917530 HRT917508:HRT917530 IBP917508:IBP917530 ILL917508:ILL917530 IVH917508:IVH917530 JFD917508:JFD917530 JOZ917508:JOZ917530 JYV917508:JYV917530 KIR917508:KIR917530 KSN917508:KSN917530 LCJ917508:LCJ917530 LMF917508:LMF917530 LWB917508:LWB917530 MFX917508:MFX917530 MPT917508:MPT917530 MZP917508:MZP917530 NJL917508:NJL917530 NTH917508:NTH917530 ODD917508:ODD917530 OMZ917508:OMZ917530 OWV917508:OWV917530 PGR917508:PGR917530 PQN917508:PQN917530 QAJ917508:QAJ917530 QKF917508:QKF917530 QUB917508:QUB917530 RDX917508:RDX917530 RNT917508:RNT917530 RXP917508:RXP917530 SHL917508:SHL917530 SRH917508:SRH917530 TBD917508:TBD917530 TKZ917508:TKZ917530 TUV917508:TUV917530 UER917508:UER917530 UON917508:UON917530 UYJ917508:UYJ917530 VIF917508:VIF917530 VSB917508:VSB917530 WBX917508:WBX917530 WLT917508:WLT917530 WVP917508:WVP917530 O983044:O983066 JD983044:JD983066 SZ983044:SZ983066 ACV983044:ACV983066 AMR983044:AMR983066 AWN983044:AWN983066 BGJ983044:BGJ983066 BQF983044:BQF983066 CAB983044:CAB983066 CJX983044:CJX983066 CTT983044:CTT983066 DDP983044:DDP983066 DNL983044:DNL983066 DXH983044:DXH983066 EHD983044:EHD983066 EQZ983044:EQZ983066 FAV983044:FAV983066 FKR983044:FKR983066 FUN983044:FUN983066 GEJ983044:GEJ983066 GOF983044:GOF983066 GYB983044:GYB983066 HHX983044:HHX983066 HRT983044:HRT983066 IBP983044:IBP983066 ILL983044:ILL983066 IVH983044:IVH983066 JFD983044:JFD983066 JOZ983044:JOZ983066 JYV983044:JYV983066 KIR983044:KIR983066 KSN983044:KSN983066 LCJ983044:LCJ983066 LMF983044:LMF983066 LWB983044:LWB983066 MFX983044:MFX983066 MPT983044:MPT983066 MZP983044:MZP983066 NJL983044:NJL983066 NTH983044:NTH983066 ODD983044:ODD983066 OMZ983044:OMZ983066 OWV983044:OWV983066 PGR983044:PGR983066 PQN983044:PQN983066 QAJ983044:QAJ983066 QKF983044:QKF983066 QUB983044:QUB983066 RDX983044:RDX983066 RNT983044:RNT983066 RXP983044:RXP983066 SHL983044:SHL983066 SRH983044:SRH983066 TBD983044:TBD983066 TKZ983044:TKZ983066 TUV983044:TUV983066 UER983044:UER983066 UON983044:UON983066 UYJ983044:UYJ983066 VIF983044:VIF983066 VSB983044:VSB983066 WBX983044:WBX983066 WLT983044:WLT983066 WVP983044:WVP983066 WVI29:WVI360 WLM29:WLM360 WBQ29:WBQ360 VRU29:VRU360 VHY29:VHY360 UYC29:UYC360 UOG29:UOG360 UEK29:UEK360 TUO29:TUO360 TKS29:TKS360 TAW29:TAW360 SRA29:SRA360 SHE29:SHE360 RXI29:RXI360 RNM29:RNM360 RDQ29:RDQ360 QTU29:QTU360 QJY29:QJY360 QAC29:QAC360 PQG29:PQG360 PGK29:PGK360 OWO29:OWO360 OMS29:OMS360 OCW29:OCW360 NTA29:NTA360 NJE29:NJE360 MZI29:MZI360 MPM29:MPM360 MFQ29:MFQ360 LVU29:LVU360 LLY29:LLY360 LCC29:LCC360 KSG29:KSG360 KIK29:KIK360 JYO29:JYO360 JOS29:JOS360 JEW29:JEW360 IVA29:IVA360 ILE29:ILE360 IBI29:IBI360 HRM29:HRM360 HHQ29:HHQ360 GXU29:GXU360 GNY29:GNY360 GEC29:GEC360 FUG29:FUG360 FKK29:FKK360 FAO29:FAO360 EQS29:EQS360 EGW29:EGW360 DXA29:DXA360 DNE29:DNE360 DDI29:DDI360 CTM29:CTM360 CJQ29:CJQ360 BZU29:BZU360 BPY29:BPY360 BGC29:BGC360 AWG29:AWG360 AMK29:AMK360 ACO29:ACO360 SS29:SS360 IW29:IW360">
      <formula1>#REF!</formula1>
    </dataValidation>
    <dataValidation type="list" allowBlank="1" showInputMessage="1" showErrorMessage="1" sqref="D17">
      <formula1>LightCalcMethod</formula1>
    </dataValidation>
    <dataValidation type="list" allowBlank="1" showInputMessage="1" showErrorMessage="1" sqref="H29:H360">
      <formula1>"Yes, No"</formula1>
    </dataValidation>
  </dataValidations>
  <printOptions gridLines="1"/>
  <pageMargins left="0.25" right="0.25" top="0.57999999999999996" bottom="1" header="0.5" footer="0.5"/>
  <pageSetup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Lookup!$B$9:$B$11</xm:f>
          </x14:formula1>
          <xm:sqref>O4:O26</xm:sqref>
        </x14:dataValidation>
        <x14:dataValidation type="list" allowBlank="1" showInputMessage="1" showErrorMessage="1">
          <x14:formula1>
            <xm:f>Lookup!$K$9:$K$24</xm:f>
          </x14:formula1>
          <xm:sqref>K4:K26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6" tint="0.39997558519241921"/>
  </sheetPr>
  <dimension ref="A1:S75"/>
  <sheetViews>
    <sheetView showGridLines="0" workbookViewId="0">
      <selection activeCell="B1" sqref="B1"/>
    </sheetView>
  </sheetViews>
  <sheetFormatPr defaultRowHeight="12"/>
  <cols>
    <col min="1" max="1" width="2" style="1028" bestFit="1" customWidth="1"/>
    <col min="2" max="2" width="18.7109375" style="1028" customWidth="1"/>
    <col min="3" max="3" width="8.28515625" style="1028" customWidth="1"/>
    <col min="4" max="4" width="11.140625" style="1028" customWidth="1"/>
    <col min="5" max="5" width="12.140625" style="1028" customWidth="1"/>
    <col min="6" max="6" width="24.5703125" style="1028" customWidth="1"/>
    <col min="7" max="10" width="9.140625" style="1028"/>
    <col min="11" max="11" width="15" style="1028" customWidth="1"/>
    <col min="12" max="12" width="12" style="1028" customWidth="1"/>
    <col min="13" max="13" width="11.140625" style="1028" customWidth="1"/>
    <col min="14" max="18" width="9.140625" style="1028"/>
    <col min="19" max="19" width="9.140625" style="1028" hidden="1" customWidth="1"/>
    <col min="20" max="16384" width="9.140625" style="1028"/>
  </cols>
  <sheetData>
    <row r="1" spans="1:19" ht="18.75">
      <c r="B1" s="1053" t="s">
        <v>3587</v>
      </c>
    </row>
    <row r="3" spans="1:19" ht="12.75">
      <c r="B3" s="1012" t="s">
        <v>1023</v>
      </c>
      <c r="C3" s="813"/>
      <c r="D3" s="813"/>
      <c r="E3" s="813"/>
      <c r="F3" s="813"/>
      <c r="G3" s="813"/>
      <c r="H3" s="813"/>
      <c r="I3" s="813"/>
      <c r="J3" s="813"/>
      <c r="K3" s="813"/>
      <c r="L3" s="813"/>
    </row>
    <row r="4" spans="1:19" ht="12.75" customHeight="1">
      <c r="A4" s="1662">
        <v>1</v>
      </c>
      <c r="B4" s="839" t="s">
        <v>3687</v>
      </c>
      <c r="C4" s="839"/>
      <c r="D4" s="839"/>
      <c r="E4" s="839"/>
      <c r="F4" s="839"/>
      <c r="G4" s="839"/>
      <c r="H4" s="839"/>
      <c r="I4" s="839"/>
      <c r="J4" s="839"/>
      <c r="K4" s="839"/>
      <c r="L4" s="839"/>
    </row>
    <row r="5" spans="1:19" ht="26.25" customHeight="1">
      <c r="A5" s="1662">
        <v>2</v>
      </c>
      <c r="B5" s="2256" t="s">
        <v>3688</v>
      </c>
      <c r="C5" s="2256"/>
      <c r="D5" s="2256"/>
      <c r="E5" s="2256"/>
      <c r="F5" s="2256"/>
      <c r="G5" s="2256"/>
      <c r="H5" s="2256"/>
      <c r="I5" s="2256"/>
      <c r="J5" s="2256"/>
      <c r="K5" s="2256"/>
      <c r="L5" s="2256"/>
    </row>
    <row r="6" spans="1:19">
      <c r="A6" s="1662">
        <v>3</v>
      </c>
      <c r="B6" s="813" t="s">
        <v>3588</v>
      </c>
      <c r="C6" s="813"/>
      <c r="D6" s="813"/>
      <c r="E6" s="813"/>
      <c r="F6" s="813"/>
      <c r="G6" s="813"/>
      <c r="H6" s="813"/>
      <c r="I6" s="813"/>
      <c r="J6" s="813"/>
      <c r="K6" s="813"/>
      <c r="L6" s="813"/>
    </row>
    <row r="7" spans="1:19" s="1593" customFormat="1" ht="37.5" customHeight="1">
      <c r="A7" s="1684">
        <v>4</v>
      </c>
      <c r="B7" s="2257" t="s">
        <v>3589</v>
      </c>
      <c r="C7" s="2257"/>
      <c r="D7" s="2257"/>
      <c r="E7" s="2257"/>
      <c r="F7" s="2257"/>
      <c r="G7" s="2257"/>
      <c r="H7" s="2257"/>
      <c r="I7" s="2257"/>
      <c r="J7" s="2257"/>
      <c r="K7" s="2257"/>
      <c r="L7" s="2257"/>
    </row>
    <row r="8" spans="1:19">
      <c r="A8" s="1662">
        <v>5</v>
      </c>
      <c r="B8" s="817" t="s">
        <v>3590</v>
      </c>
      <c r="C8" s="817"/>
      <c r="D8" s="817"/>
      <c r="E8" s="840"/>
      <c r="F8" s="841"/>
      <c r="G8" s="841"/>
      <c r="H8" s="813"/>
      <c r="I8" s="813"/>
      <c r="J8" s="813"/>
      <c r="K8" s="813"/>
      <c r="L8" s="813"/>
    </row>
    <row r="9" spans="1:19">
      <c r="A9" s="1662">
        <v>6</v>
      </c>
      <c r="B9" s="841" t="s">
        <v>3591</v>
      </c>
      <c r="C9" s="841"/>
      <c r="D9" s="841"/>
      <c r="E9" s="841"/>
      <c r="F9" s="841"/>
      <c r="G9" s="841"/>
      <c r="H9" s="841"/>
      <c r="I9" s="841"/>
      <c r="J9" s="841"/>
      <c r="K9" s="841"/>
      <c r="L9" s="841"/>
    </row>
    <row r="10" spans="1:19">
      <c r="A10" s="1662">
        <v>7</v>
      </c>
      <c r="B10" s="842" t="s">
        <v>3592</v>
      </c>
      <c r="C10" s="842"/>
      <c r="D10" s="842"/>
      <c r="E10" s="842"/>
      <c r="F10" s="842"/>
      <c r="G10" s="842"/>
      <c r="H10" s="842"/>
      <c r="I10" s="842"/>
      <c r="J10" s="840"/>
      <c r="K10" s="840"/>
      <c r="L10" s="813"/>
    </row>
    <row r="11" spans="1:19">
      <c r="A11" s="1662">
        <v>8</v>
      </c>
      <c r="B11" s="843" t="s">
        <v>3896</v>
      </c>
      <c r="C11" s="843"/>
      <c r="D11" s="843"/>
      <c r="E11" s="843"/>
      <c r="F11" s="843"/>
      <c r="G11" s="843"/>
      <c r="H11" s="843"/>
      <c r="I11" s="843"/>
      <c r="J11" s="843"/>
      <c r="K11" s="843"/>
      <c r="L11" s="844"/>
    </row>
    <row r="12" spans="1:19">
      <c r="A12" s="1658"/>
      <c r="B12" s="1577"/>
      <c r="C12" s="1577"/>
      <c r="D12" s="1577"/>
      <c r="E12" s="1577"/>
      <c r="F12" s="1577"/>
      <c r="G12" s="1577"/>
      <c r="H12" s="1577"/>
      <c r="I12" s="1577"/>
      <c r="J12" s="1577"/>
      <c r="K12" s="1577"/>
      <c r="L12" s="1676"/>
    </row>
    <row r="13" spans="1:19">
      <c r="B13" s="1593"/>
      <c r="C13" s="1593"/>
      <c r="D13" s="1593"/>
      <c r="E13" s="1593"/>
      <c r="F13" s="1593"/>
      <c r="G13" s="1593"/>
    </row>
    <row r="14" spans="1:19">
      <c r="B14" s="1685" t="s">
        <v>3593</v>
      </c>
    </row>
    <row r="15" spans="1:19" ht="48">
      <c r="B15" s="845" t="s">
        <v>3494</v>
      </c>
      <c r="C15" s="845" t="s">
        <v>3594</v>
      </c>
      <c r="D15" s="845" t="s">
        <v>2717</v>
      </c>
      <c r="E15" s="845" t="s">
        <v>3595</v>
      </c>
      <c r="F15" s="845" t="s">
        <v>3596</v>
      </c>
      <c r="G15" s="845" t="s">
        <v>3894</v>
      </c>
      <c r="H15" s="845" t="s">
        <v>3597</v>
      </c>
      <c r="I15" s="845" t="s">
        <v>3598</v>
      </c>
      <c r="J15" s="845" t="s">
        <v>3599</v>
      </c>
      <c r="K15" s="845" t="s">
        <v>3600</v>
      </c>
      <c r="L15" s="845" t="s">
        <v>3895</v>
      </c>
      <c r="N15" s="1677"/>
    </row>
    <row r="16" spans="1:19" ht="12.75">
      <c r="B16" s="846"/>
      <c r="C16" s="847"/>
      <c r="D16" s="847"/>
      <c r="E16" s="847"/>
      <c r="F16" s="1308">
        <f>IF(E16="",0, LOOKUP('In-Unit Lighting'!E16,'Interior Lighting'!$J$4:$J$26,'Interior Lighting'!$L$4:$L$26))</f>
        <v>0</v>
      </c>
      <c r="G16" s="1308" t="e">
        <f>LOOKUP(E16,'Interior Lighting'!$J$4:$J$26,'Interior Lighting'!$M$4:$M$26)*LOOKUP(LOOKUP(E16,'Interior Lighting'!$J$4:$J$26,'Interior Lighting'!$K$4:$K$26),Lookup!$K$9:$K$24,Lookup!$O$9:$O$24)*LOOKUP(LOOKUP(E16,'Interior Lighting'!$J$4:$J$26,'Interior Lighting'!$K$4:$K$26),Lookup!$K$9:$K$24,Lookup!$M$9:$M$24)</f>
        <v>#N/A</v>
      </c>
      <c r="H16" s="847"/>
      <c r="I16" s="848">
        <f>C16*H16</f>
        <v>0</v>
      </c>
      <c r="J16" s="848">
        <f>D16*F16*H16</f>
        <v>0</v>
      </c>
      <c r="K16" s="849" t="e">
        <f>IF(G16&gt;0, D16*F16*G16/C16, "0.0")</f>
        <v>#N/A</v>
      </c>
      <c r="L16" s="849" t="e">
        <f>F16*D16/C16</f>
        <v>#DIV/0!</v>
      </c>
      <c r="M16" s="1009" t="str">
        <f>IF(C16&gt;0, IF(C16&gt;3*D16*F16, " Confirm that instruction 4 above has been followed.", ""), "")</f>
        <v/>
      </c>
      <c r="N16" s="1677"/>
      <c r="S16" s="1028" t="e">
        <f>K16*C16*H16</f>
        <v>#N/A</v>
      </c>
    </row>
    <row r="17" spans="2:19" ht="12.75">
      <c r="B17" s="846"/>
      <c r="C17" s="847"/>
      <c r="D17" s="847"/>
      <c r="E17" s="847"/>
      <c r="F17" s="1308">
        <f>IF(E17="",0, LOOKUP('In-Unit Lighting'!E17,'Interior Lighting'!$J$4:$J$26,'Interior Lighting'!$L$4:$L$26))</f>
        <v>0</v>
      </c>
      <c r="G17" s="1308" t="e">
        <f>LOOKUP(E17,'Interior Lighting'!$J$4:$J$26,'Interior Lighting'!$M$4:$M$26)*LOOKUP(LOOKUP(E17,'Interior Lighting'!$J$4:$J$26,'Interior Lighting'!$K$4:$K$26),Lookup!$K$9:$K$24,Lookup!$O$9:$O$24)*LOOKUP(LOOKUP(E17,'Interior Lighting'!$J$4:$J$26,'Interior Lighting'!$K$4:$K$26),Lookup!$K$9:$K$24,Lookup!$M$9:$M$24)</f>
        <v>#N/A</v>
      </c>
      <c r="H17" s="847"/>
      <c r="I17" s="848">
        <f t="shared" ref="I17:I44" si="0">C17*H17</f>
        <v>0</v>
      </c>
      <c r="J17" s="848">
        <f t="shared" ref="J17:J44" si="1">D17*F17*H17</f>
        <v>0</v>
      </c>
      <c r="K17" s="849" t="e">
        <f t="shared" ref="K17:K44" si="2">IF(G17&gt;0, D17*F17*G17/C17, "0.0")</f>
        <v>#N/A</v>
      </c>
      <c r="L17" s="849" t="e">
        <f t="shared" ref="L17:L44" si="3">F17*D17/C17</f>
        <v>#DIV/0!</v>
      </c>
      <c r="M17" s="1007" t="str">
        <f t="shared" ref="M17:M44" si="4">IF(C17&gt;0, IF(C17&gt;3*D17*F17, " Confirm that instruction 4 above has been followed.", ""), "")</f>
        <v/>
      </c>
      <c r="N17" s="1677"/>
      <c r="S17" s="1028" t="e">
        <f t="shared" ref="S17:S44" si="5">K17*C17*H17</f>
        <v>#N/A</v>
      </c>
    </row>
    <row r="18" spans="2:19" ht="12.75">
      <c r="B18" s="846"/>
      <c r="C18" s="847"/>
      <c r="D18" s="847"/>
      <c r="E18" s="847"/>
      <c r="F18" s="1308">
        <f>IF(E18="",0, LOOKUP('In-Unit Lighting'!E18,'Interior Lighting'!$J$4:$J$26,'Interior Lighting'!$L$4:$L$26))</f>
        <v>0</v>
      </c>
      <c r="G18" s="1308" t="e">
        <f>LOOKUP(E18,'Interior Lighting'!$J$4:$J$26,'Interior Lighting'!$M$4:$M$26)*LOOKUP(LOOKUP(E18,'Interior Lighting'!$J$4:$J$26,'Interior Lighting'!$K$4:$K$26),Lookup!$K$9:$K$24,Lookup!$O$9:$O$24)*LOOKUP(LOOKUP(E18,'Interior Lighting'!$J$4:$J$26,'Interior Lighting'!$K$4:$K$26),Lookup!$K$9:$K$24,Lookup!$M$9:$M$24)</f>
        <v>#N/A</v>
      </c>
      <c r="H18" s="847"/>
      <c r="I18" s="848">
        <f t="shared" si="0"/>
        <v>0</v>
      </c>
      <c r="J18" s="848">
        <f t="shared" si="1"/>
        <v>0</v>
      </c>
      <c r="K18" s="849" t="e">
        <f t="shared" si="2"/>
        <v>#N/A</v>
      </c>
      <c r="L18" s="849" t="e">
        <f t="shared" si="3"/>
        <v>#DIV/0!</v>
      </c>
      <c r="M18" s="1007" t="str">
        <f t="shared" si="4"/>
        <v/>
      </c>
      <c r="N18" s="1677"/>
      <c r="S18" s="1028" t="e">
        <f t="shared" si="5"/>
        <v>#N/A</v>
      </c>
    </row>
    <row r="19" spans="2:19" ht="12.75">
      <c r="B19" s="846"/>
      <c r="C19" s="847"/>
      <c r="D19" s="847"/>
      <c r="E19" s="847"/>
      <c r="F19" s="1308">
        <f>IF(E19="",0, LOOKUP('In-Unit Lighting'!E19,'Interior Lighting'!$J$4:$J$26,'Interior Lighting'!$L$4:$L$26))</f>
        <v>0</v>
      </c>
      <c r="G19" s="1308" t="e">
        <f>LOOKUP(E19,'Interior Lighting'!$J$4:$J$26,'Interior Lighting'!$M$4:$M$26)*LOOKUP(LOOKUP(E19,'Interior Lighting'!$J$4:$J$26,'Interior Lighting'!$K$4:$K$26),Lookup!$K$9:$K$24,Lookup!$O$9:$O$24)*LOOKUP(LOOKUP(E19,'Interior Lighting'!$J$4:$J$26,'Interior Lighting'!$K$4:$K$26),Lookup!$K$9:$K$24,Lookup!$M$9:$M$24)</f>
        <v>#N/A</v>
      </c>
      <c r="H19" s="847"/>
      <c r="I19" s="848">
        <f t="shared" si="0"/>
        <v>0</v>
      </c>
      <c r="J19" s="848">
        <f t="shared" si="1"/>
        <v>0</v>
      </c>
      <c r="K19" s="849" t="e">
        <f t="shared" si="2"/>
        <v>#N/A</v>
      </c>
      <c r="L19" s="849" t="e">
        <f t="shared" si="3"/>
        <v>#DIV/0!</v>
      </c>
      <c r="M19" s="1007" t="str">
        <f t="shared" si="4"/>
        <v/>
      </c>
      <c r="N19" s="1677"/>
      <c r="S19" s="1028" t="e">
        <f t="shared" si="5"/>
        <v>#N/A</v>
      </c>
    </row>
    <row r="20" spans="2:19" ht="12.75">
      <c r="B20" s="846"/>
      <c r="C20" s="847"/>
      <c r="D20" s="847"/>
      <c r="E20" s="847"/>
      <c r="F20" s="1308">
        <f>IF(E20="",0, LOOKUP('In-Unit Lighting'!E20,'Interior Lighting'!$J$4:$J$26,'Interior Lighting'!$L$4:$L$26))</f>
        <v>0</v>
      </c>
      <c r="G20" s="1308" t="e">
        <f>LOOKUP(E20,'Interior Lighting'!$J$4:$J$26,'Interior Lighting'!$M$4:$M$26)*LOOKUP(LOOKUP(E20,'Interior Lighting'!$J$4:$J$26,'Interior Lighting'!$K$4:$K$26),Lookup!$K$9:$K$24,Lookup!$O$9:$O$24)*LOOKUP(LOOKUP(E20,'Interior Lighting'!$J$4:$J$26,'Interior Lighting'!$K$4:$K$26),Lookup!$K$9:$K$24,Lookup!$M$9:$M$24)</f>
        <v>#N/A</v>
      </c>
      <c r="H20" s="847"/>
      <c r="I20" s="848">
        <f t="shared" si="0"/>
        <v>0</v>
      </c>
      <c r="J20" s="848">
        <f t="shared" si="1"/>
        <v>0</v>
      </c>
      <c r="K20" s="849" t="e">
        <f t="shared" si="2"/>
        <v>#N/A</v>
      </c>
      <c r="L20" s="849" t="e">
        <f t="shared" si="3"/>
        <v>#DIV/0!</v>
      </c>
      <c r="M20" s="1007" t="str">
        <f t="shared" si="4"/>
        <v/>
      </c>
      <c r="N20" s="1677"/>
      <c r="S20" s="1028" t="e">
        <f t="shared" si="5"/>
        <v>#N/A</v>
      </c>
    </row>
    <row r="21" spans="2:19" ht="12.75">
      <c r="B21" s="846"/>
      <c r="C21" s="847"/>
      <c r="D21" s="847"/>
      <c r="E21" s="847"/>
      <c r="F21" s="1308">
        <f>IF(E21="",0, LOOKUP('In-Unit Lighting'!E21,'Interior Lighting'!$J$4:$J$26,'Interior Lighting'!$L$4:$L$26))</f>
        <v>0</v>
      </c>
      <c r="G21" s="1308" t="e">
        <f>LOOKUP(E21,'Interior Lighting'!$J$4:$J$26,'Interior Lighting'!$M$4:$M$26)*LOOKUP(LOOKUP(E21,'Interior Lighting'!$J$4:$J$26,'Interior Lighting'!$K$4:$K$26),Lookup!$K$9:$K$24,Lookup!$O$9:$O$24)*LOOKUP(LOOKUP(E21,'Interior Lighting'!$J$4:$J$26,'Interior Lighting'!$K$4:$K$26),Lookup!$K$9:$K$24,Lookup!$M$9:$M$24)</f>
        <v>#N/A</v>
      </c>
      <c r="H21" s="847"/>
      <c r="I21" s="848">
        <f t="shared" si="0"/>
        <v>0</v>
      </c>
      <c r="J21" s="848">
        <f t="shared" si="1"/>
        <v>0</v>
      </c>
      <c r="K21" s="849" t="e">
        <f t="shared" si="2"/>
        <v>#N/A</v>
      </c>
      <c r="L21" s="849" t="e">
        <f t="shared" si="3"/>
        <v>#DIV/0!</v>
      </c>
      <c r="M21" s="1007" t="str">
        <f t="shared" si="4"/>
        <v/>
      </c>
      <c r="S21" s="1028" t="e">
        <f t="shared" si="5"/>
        <v>#N/A</v>
      </c>
    </row>
    <row r="22" spans="2:19" ht="12.75">
      <c r="B22" s="846"/>
      <c r="C22" s="847"/>
      <c r="D22" s="847"/>
      <c r="E22" s="847"/>
      <c r="F22" s="1308">
        <f>IF(E22="",0, LOOKUP('In-Unit Lighting'!E22,'Interior Lighting'!$J$4:$J$26,'Interior Lighting'!$L$4:$L$26))</f>
        <v>0</v>
      </c>
      <c r="G22" s="1308" t="e">
        <f>LOOKUP(E22,'Interior Lighting'!$J$4:$J$26,'Interior Lighting'!$M$4:$M$26)*LOOKUP(LOOKUP(E22,'Interior Lighting'!$J$4:$J$26,'Interior Lighting'!$K$4:$K$26),Lookup!$K$9:$K$24,Lookup!$O$9:$O$24)*LOOKUP(LOOKUP(E22,'Interior Lighting'!$J$4:$J$26,'Interior Lighting'!$K$4:$K$26),Lookup!$K$9:$K$24,Lookup!$M$9:$M$24)</f>
        <v>#N/A</v>
      </c>
      <c r="H22" s="847"/>
      <c r="I22" s="848">
        <f t="shared" si="0"/>
        <v>0</v>
      </c>
      <c r="J22" s="848">
        <f t="shared" si="1"/>
        <v>0</v>
      </c>
      <c r="K22" s="849" t="e">
        <f t="shared" si="2"/>
        <v>#N/A</v>
      </c>
      <c r="L22" s="849" t="e">
        <f t="shared" si="3"/>
        <v>#DIV/0!</v>
      </c>
      <c r="M22" s="1007" t="str">
        <f t="shared" si="4"/>
        <v/>
      </c>
      <c r="S22" s="1028" t="e">
        <f t="shared" si="5"/>
        <v>#N/A</v>
      </c>
    </row>
    <row r="23" spans="2:19" ht="12.75">
      <c r="B23" s="846"/>
      <c r="C23" s="847"/>
      <c r="D23" s="847"/>
      <c r="E23" s="847"/>
      <c r="F23" s="1308">
        <f>IF(E23="",0, LOOKUP('In-Unit Lighting'!E23,'Interior Lighting'!$J$4:$J$26,'Interior Lighting'!$L$4:$L$26))</f>
        <v>0</v>
      </c>
      <c r="G23" s="1308" t="e">
        <f>LOOKUP(E23,'Interior Lighting'!$J$4:$J$26,'Interior Lighting'!$M$4:$M$26)*LOOKUP(LOOKUP(E23,'Interior Lighting'!$J$4:$J$26,'Interior Lighting'!$K$4:$K$26),Lookup!$K$9:$K$24,Lookup!$O$9:$O$24)*LOOKUP(LOOKUP(E23,'Interior Lighting'!$J$4:$J$26,'Interior Lighting'!$K$4:$K$26),Lookup!$K$9:$K$24,Lookup!$M$9:$M$24)</f>
        <v>#N/A</v>
      </c>
      <c r="H23" s="847"/>
      <c r="I23" s="848">
        <f t="shared" si="0"/>
        <v>0</v>
      </c>
      <c r="J23" s="848">
        <f t="shared" si="1"/>
        <v>0</v>
      </c>
      <c r="K23" s="849" t="e">
        <f t="shared" si="2"/>
        <v>#N/A</v>
      </c>
      <c r="L23" s="849" t="e">
        <f t="shared" si="3"/>
        <v>#DIV/0!</v>
      </c>
      <c r="M23" s="1007" t="str">
        <f t="shared" si="4"/>
        <v/>
      </c>
      <c r="S23" s="1028" t="e">
        <f t="shared" si="5"/>
        <v>#N/A</v>
      </c>
    </row>
    <row r="24" spans="2:19" ht="12.75">
      <c r="B24" s="846"/>
      <c r="C24" s="847"/>
      <c r="D24" s="847"/>
      <c r="E24" s="847"/>
      <c r="F24" s="1308">
        <f>IF(E24="",0, LOOKUP('In-Unit Lighting'!E24,'Interior Lighting'!$J$4:$J$26,'Interior Lighting'!$L$4:$L$26))</f>
        <v>0</v>
      </c>
      <c r="G24" s="1308" t="e">
        <f>LOOKUP(E24,'Interior Lighting'!$J$4:$J$26,'Interior Lighting'!$M$4:$M$26)*LOOKUP(LOOKUP(E24,'Interior Lighting'!$J$4:$J$26,'Interior Lighting'!$K$4:$K$26),Lookup!$K$9:$K$24,Lookup!$O$9:$O$24)*LOOKUP(LOOKUP(E24,'Interior Lighting'!$J$4:$J$26,'Interior Lighting'!$K$4:$K$26),Lookup!$K$9:$K$24,Lookup!$M$9:$M$24)</f>
        <v>#N/A</v>
      </c>
      <c r="H24" s="847"/>
      <c r="I24" s="848">
        <f t="shared" si="0"/>
        <v>0</v>
      </c>
      <c r="J24" s="848">
        <f t="shared" si="1"/>
        <v>0</v>
      </c>
      <c r="K24" s="849" t="e">
        <f t="shared" si="2"/>
        <v>#N/A</v>
      </c>
      <c r="L24" s="849" t="e">
        <f t="shared" si="3"/>
        <v>#DIV/0!</v>
      </c>
      <c r="M24" s="1007" t="str">
        <f t="shared" si="4"/>
        <v/>
      </c>
      <c r="S24" s="1028" t="e">
        <f t="shared" si="5"/>
        <v>#N/A</v>
      </c>
    </row>
    <row r="25" spans="2:19" ht="12.75">
      <c r="B25" s="846"/>
      <c r="C25" s="847"/>
      <c r="D25" s="847"/>
      <c r="E25" s="847"/>
      <c r="F25" s="1308">
        <f>IF(E25="",0, LOOKUP('In-Unit Lighting'!E25,'Interior Lighting'!$J$4:$J$26,'Interior Lighting'!$L$4:$L$26))</f>
        <v>0</v>
      </c>
      <c r="G25" s="1308" t="e">
        <f>LOOKUP(E25,'Interior Lighting'!$J$4:$J$26,'Interior Lighting'!$M$4:$M$26)*LOOKUP(LOOKUP(E25,'Interior Lighting'!$J$4:$J$26,'Interior Lighting'!$K$4:$K$26),Lookup!$K$9:$K$24,Lookup!$O$9:$O$24)*LOOKUP(LOOKUP(E25,'Interior Lighting'!$J$4:$J$26,'Interior Lighting'!$K$4:$K$26),Lookup!$K$9:$K$24,Lookup!$M$9:$M$24)</f>
        <v>#N/A</v>
      </c>
      <c r="H25" s="847"/>
      <c r="I25" s="848">
        <f t="shared" si="0"/>
        <v>0</v>
      </c>
      <c r="J25" s="848">
        <f t="shared" si="1"/>
        <v>0</v>
      </c>
      <c r="K25" s="849" t="e">
        <f t="shared" si="2"/>
        <v>#N/A</v>
      </c>
      <c r="L25" s="849" t="e">
        <f t="shared" si="3"/>
        <v>#DIV/0!</v>
      </c>
      <c r="M25" s="1007" t="str">
        <f t="shared" si="4"/>
        <v/>
      </c>
      <c r="S25" s="1028" t="e">
        <f t="shared" si="5"/>
        <v>#N/A</v>
      </c>
    </row>
    <row r="26" spans="2:19" ht="12.75">
      <c r="B26" s="846"/>
      <c r="C26" s="847"/>
      <c r="D26" s="847"/>
      <c r="E26" s="847"/>
      <c r="F26" s="1308">
        <f>IF(E26="",0, LOOKUP('In-Unit Lighting'!E26,'Interior Lighting'!$J$4:$J$26,'Interior Lighting'!$L$4:$L$26))</f>
        <v>0</v>
      </c>
      <c r="G26" s="1308" t="e">
        <f>LOOKUP(E26,'Interior Lighting'!$J$4:$J$26,'Interior Lighting'!$M$4:$M$26)*LOOKUP(LOOKUP(E26,'Interior Lighting'!$J$4:$J$26,'Interior Lighting'!$K$4:$K$26),Lookup!$K$9:$K$24,Lookup!$O$9:$O$24)*LOOKUP(LOOKUP(E26,'Interior Lighting'!$J$4:$J$26,'Interior Lighting'!$K$4:$K$26),Lookup!$K$9:$K$24,Lookup!$M$9:$M$24)</f>
        <v>#N/A</v>
      </c>
      <c r="H26" s="847"/>
      <c r="I26" s="848">
        <f t="shared" si="0"/>
        <v>0</v>
      </c>
      <c r="J26" s="848">
        <f t="shared" si="1"/>
        <v>0</v>
      </c>
      <c r="K26" s="849" t="e">
        <f t="shared" si="2"/>
        <v>#N/A</v>
      </c>
      <c r="L26" s="849" t="e">
        <f t="shared" si="3"/>
        <v>#DIV/0!</v>
      </c>
      <c r="M26" s="1007" t="str">
        <f t="shared" si="4"/>
        <v/>
      </c>
      <c r="S26" s="1028" t="e">
        <f t="shared" si="5"/>
        <v>#N/A</v>
      </c>
    </row>
    <row r="27" spans="2:19" ht="12.75">
      <c r="B27" s="846"/>
      <c r="C27" s="847"/>
      <c r="D27" s="847"/>
      <c r="E27" s="847"/>
      <c r="F27" s="1308">
        <f>IF(E27="",0, LOOKUP('In-Unit Lighting'!E27,'Interior Lighting'!$J$4:$J$26,'Interior Lighting'!$L$4:$L$26))</f>
        <v>0</v>
      </c>
      <c r="G27" s="1308" t="e">
        <f>LOOKUP(E27,'Interior Lighting'!$J$4:$J$26,'Interior Lighting'!$M$4:$M$26)*LOOKUP(LOOKUP(E27,'Interior Lighting'!$J$4:$J$26,'Interior Lighting'!$K$4:$K$26),Lookup!$K$9:$K$24,Lookup!$O$9:$O$24)*LOOKUP(LOOKUP(E27,'Interior Lighting'!$J$4:$J$26,'Interior Lighting'!$K$4:$K$26),Lookup!$K$9:$K$24,Lookup!$M$9:$M$24)</f>
        <v>#N/A</v>
      </c>
      <c r="H27" s="847"/>
      <c r="I27" s="848">
        <f t="shared" si="0"/>
        <v>0</v>
      </c>
      <c r="J27" s="848">
        <f t="shared" si="1"/>
        <v>0</v>
      </c>
      <c r="K27" s="849" t="e">
        <f t="shared" si="2"/>
        <v>#N/A</v>
      </c>
      <c r="L27" s="849" t="e">
        <f t="shared" si="3"/>
        <v>#DIV/0!</v>
      </c>
      <c r="M27" s="1007" t="str">
        <f t="shared" si="4"/>
        <v/>
      </c>
      <c r="S27" s="1028" t="e">
        <f t="shared" si="5"/>
        <v>#N/A</v>
      </c>
    </row>
    <row r="28" spans="2:19" ht="12.75">
      <c r="B28" s="846"/>
      <c r="C28" s="847"/>
      <c r="D28" s="847"/>
      <c r="E28" s="847"/>
      <c r="F28" s="1308">
        <f>IF(E28="",0, LOOKUP('In-Unit Lighting'!E28,'Interior Lighting'!$J$4:$J$26,'Interior Lighting'!$L$4:$L$26))</f>
        <v>0</v>
      </c>
      <c r="G28" s="1308" t="e">
        <f>LOOKUP(E28,'Interior Lighting'!$J$4:$J$26,'Interior Lighting'!$M$4:$M$26)*LOOKUP(LOOKUP(E28,'Interior Lighting'!$J$4:$J$26,'Interior Lighting'!$K$4:$K$26),Lookup!$K$9:$K$24,Lookup!$O$9:$O$24)*LOOKUP(LOOKUP(E28,'Interior Lighting'!$J$4:$J$26,'Interior Lighting'!$K$4:$K$26),Lookup!$K$9:$K$24,Lookup!$M$9:$M$24)</f>
        <v>#N/A</v>
      </c>
      <c r="H28" s="847"/>
      <c r="I28" s="848">
        <f t="shared" si="0"/>
        <v>0</v>
      </c>
      <c r="J28" s="848">
        <f t="shared" si="1"/>
        <v>0</v>
      </c>
      <c r="K28" s="849" t="e">
        <f t="shared" si="2"/>
        <v>#N/A</v>
      </c>
      <c r="L28" s="849" t="e">
        <f t="shared" si="3"/>
        <v>#DIV/0!</v>
      </c>
      <c r="M28" s="1007" t="str">
        <f t="shared" si="4"/>
        <v/>
      </c>
      <c r="S28" s="1028" t="e">
        <f t="shared" si="5"/>
        <v>#N/A</v>
      </c>
    </row>
    <row r="29" spans="2:19" ht="12.75">
      <c r="B29" s="846"/>
      <c r="C29" s="847"/>
      <c r="D29" s="847"/>
      <c r="E29" s="847"/>
      <c r="F29" s="1308">
        <f>IF(E29="",0, LOOKUP('In-Unit Lighting'!E29,'Interior Lighting'!$J$4:$J$26,'Interior Lighting'!$L$4:$L$26))</f>
        <v>0</v>
      </c>
      <c r="G29" s="1308" t="e">
        <f>LOOKUP(E29,'Interior Lighting'!$J$4:$J$26,'Interior Lighting'!$M$4:$M$26)*LOOKUP(LOOKUP(E29,'Interior Lighting'!$J$4:$J$26,'Interior Lighting'!$K$4:$K$26),Lookup!$K$9:$K$24,Lookup!$O$9:$O$24)*LOOKUP(LOOKUP(E29,'Interior Lighting'!$J$4:$J$26,'Interior Lighting'!$K$4:$K$26),Lookup!$K$9:$K$24,Lookup!$M$9:$M$24)</f>
        <v>#N/A</v>
      </c>
      <c r="H29" s="847"/>
      <c r="I29" s="848">
        <f t="shared" si="0"/>
        <v>0</v>
      </c>
      <c r="J29" s="848">
        <f t="shared" si="1"/>
        <v>0</v>
      </c>
      <c r="K29" s="849" t="e">
        <f t="shared" si="2"/>
        <v>#N/A</v>
      </c>
      <c r="L29" s="849" t="e">
        <f t="shared" si="3"/>
        <v>#DIV/0!</v>
      </c>
      <c r="M29" s="1007" t="str">
        <f t="shared" si="4"/>
        <v/>
      </c>
      <c r="S29" s="1028" t="e">
        <f t="shared" si="5"/>
        <v>#N/A</v>
      </c>
    </row>
    <row r="30" spans="2:19" ht="12.75">
      <c r="B30" s="846"/>
      <c r="C30" s="847"/>
      <c r="D30" s="847"/>
      <c r="E30" s="847"/>
      <c r="F30" s="1308">
        <f>IF(E30="",0, LOOKUP('In-Unit Lighting'!E30,'Interior Lighting'!$J$4:$J$26,'Interior Lighting'!$L$4:$L$26))</f>
        <v>0</v>
      </c>
      <c r="G30" s="1308" t="e">
        <f>LOOKUP(E30,'Interior Lighting'!$J$4:$J$26,'Interior Lighting'!$M$4:$M$26)*LOOKUP(LOOKUP(E30,'Interior Lighting'!$J$4:$J$26,'Interior Lighting'!$K$4:$K$26),Lookup!$K$9:$K$24,Lookup!$O$9:$O$24)*LOOKUP(LOOKUP(E30,'Interior Lighting'!$J$4:$J$26,'Interior Lighting'!$K$4:$K$26),Lookup!$K$9:$K$24,Lookup!$M$9:$M$24)</f>
        <v>#N/A</v>
      </c>
      <c r="H30" s="847"/>
      <c r="I30" s="848">
        <f t="shared" si="0"/>
        <v>0</v>
      </c>
      <c r="J30" s="848">
        <f t="shared" si="1"/>
        <v>0</v>
      </c>
      <c r="K30" s="849" t="e">
        <f t="shared" si="2"/>
        <v>#N/A</v>
      </c>
      <c r="L30" s="849" t="e">
        <f t="shared" si="3"/>
        <v>#DIV/0!</v>
      </c>
      <c r="M30" s="1007" t="str">
        <f t="shared" si="4"/>
        <v/>
      </c>
      <c r="S30" s="1028" t="e">
        <f t="shared" si="5"/>
        <v>#N/A</v>
      </c>
    </row>
    <row r="31" spans="2:19" ht="12.75">
      <c r="B31" s="846"/>
      <c r="C31" s="847"/>
      <c r="D31" s="847"/>
      <c r="E31" s="847"/>
      <c r="F31" s="1308">
        <f>IF(E31="",0, LOOKUP('In-Unit Lighting'!E31,'Interior Lighting'!$J$4:$J$26,'Interior Lighting'!$L$4:$L$26))</f>
        <v>0</v>
      </c>
      <c r="G31" s="1308" t="e">
        <f>LOOKUP(E31,'Interior Lighting'!$J$4:$J$26,'Interior Lighting'!$M$4:$M$26)*LOOKUP(LOOKUP(E31,'Interior Lighting'!$J$4:$J$26,'Interior Lighting'!$K$4:$K$26),Lookup!$K$9:$K$24,Lookup!$O$9:$O$24)*LOOKUP(LOOKUP(E31,'Interior Lighting'!$J$4:$J$26,'Interior Lighting'!$K$4:$K$26),Lookup!$K$9:$K$24,Lookup!$M$9:$M$24)</f>
        <v>#N/A</v>
      </c>
      <c r="H31" s="847"/>
      <c r="I31" s="848">
        <f t="shared" si="0"/>
        <v>0</v>
      </c>
      <c r="J31" s="848">
        <f t="shared" si="1"/>
        <v>0</v>
      </c>
      <c r="K31" s="849" t="e">
        <f t="shared" si="2"/>
        <v>#N/A</v>
      </c>
      <c r="L31" s="849" t="e">
        <f t="shared" si="3"/>
        <v>#DIV/0!</v>
      </c>
      <c r="M31" s="1007" t="str">
        <f t="shared" si="4"/>
        <v/>
      </c>
      <c r="S31" s="1028" t="e">
        <f t="shared" si="5"/>
        <v>#N/A</v>
      </c>
    </row>
    <row r="32" spans="2:19" ht="12.75">
      <c r="B32" s="846"/>
      <c r="C32" s="847"/>
      <c r="D32" s="847"/>
      <c r="E32" s="847"/>
      <c r="F32" s="1308">
        <f>IF(E32="",0, LOOKUP('In-Unit Lighting'!E32,'Interior Lighting'!$J$4:$J$26,'Interior Lighting'!$L$4:$L$26))</f>
        <v>0</v>
      </c>
      <c r="G32" s="1308" t="e">
        <f>LOOKUP(E32,'Interior Lighting'!$J$4:$J$26,'Interior Lighting'!$M$4:$M$26)*LOOKUP(LOOKUP(E32,'Interior Lighting'!$J$4:$J$26,'Interior Lighting'!$K$4:$K$26),Lookup!$K$9:$K$24,Lookup!$O$9:$O$24)*LOOKUP(LOOKUP(E32,'Interior Lighting'!$J$4:$J$26,'Interior Lighting'!$K$4:$K$26),Lookup!$K$9:$K$24,Lookup!$M$9:$M$24)</f>
        <v>#N/A</v>
      </c>
      <c r="H32" s="847"/>
      <c r="I32" s="848">
        <f t="shared" si="0"/>
        <v>0</v>
      </c>
      <c r="J32" s="848">
        <f t="shared" si="1"/>
        <v>0</v>
      </c>
      <c r="K32" s="849" t="e">
        <f t="shared" si="2"/>
        <v>#N/A</v>
      </c>
      <c r="L32" s="849" t="e">
        <f t="shared" si="3"/>
        <v>#DIV/0!</v>
      </c>
      <c r="M32" s="1007" t="str">
        <f t="shared" si="4"/>
        <v/>
      </c>
      <c r="S32" s="1028" t="e">
        <f t="shared" si="5"/>
        <v>#N/A</v>
      </c>
    </row>
    <row r="33" spans="2:19" ht="12.75">
      <c r="B33" s="846"/>
      <c r="C33" s="847"/>
      <c r="D33" s="847"/>
      <c r="E33" s="847"/>
      <c r="F33" s="1308">
        <f>IF(E33="",0, LOOKUP('In-Unit Lighting'!E33,'Interior Lighting'!$J$4:$J$26,'Interior Lighting'!$L$4:$L$26))</f>
        <v>0</v>
      </c>
      <c r="G33" s="1308" t="e">
        <f>LOOKUP(E33,'Interior Lighting'!$J$4:$J$26,'Interior Lighting'!$M$4:$M$26)*LOOKUP(LOOKUP(E33,'Interior Lighting'!$J$4:$J$26,'Interior Lighting'!$K$4:$K$26),Lookup!$K$9:$K$24,Lookup!$O$9:$O$24)*LOOKUP(LOOKUP(E33,'Interior Lighting'!$J$4:$J$26,'Interior Lighting'!$K$4:$K$26),Lookup!$K$9:$K$24,Lookup!$M$9:$M$24)</f>
        <v>#N/A</v>
      </c>
      <c r="H33" s="847"/>
      <c r="I33" s="848">
        <f t="shared" si="0"/>
        <v>0</v>
      </c>
      <c r="J33" s="848">
        <f t="shared" si="1"/>
        <v>0</v>
      </c>
      <c r="K33" s="849" t="e">
        <f t="shared" si="2"/>
        <v>#N/A</v>
      </c>
      <c r="L33" s="849" t="e">
        <f t="shared" si="3"/>
        <v>#DIV/0!</v>
      </c>
      <c r="M33" s="1007" t="str">
        <f t="shared" si="4"/>
        <v/>
      </c>
      <c r="S33" s="1028" t="e">
        <f t="shared" si="5"/>
        <v>#N/A</v>
      </c>
    </row>
    <row r="34" spans="2:19" ht="12.75">
      <c r="B34" s="846"/>
      <c r="C34" s="847"/>
      <c r="D34" s="847"/>
      <c r="E34" s="847"/>
      <c r="F34" s="1308">
        <f>IF(E34="",0, LOOKUP('In-Unit Lighting'!E34,'Interior Lighting'!$J$4:$J$26,'Interior Lighting'!$L$4:$L$26))</f>
        <v>0</v>
      </c>
      <c r="G34" s="1308" t="e">
        <f>LOOKUP(E34,'Interior Lighting'!$J$4:$J$26,'Interior Lighting'!$M$4:$M$26)*LOOKUP(LOOKUP(E34,'Interior Lighting'!$J$4:$J$26,'Interior Lighting'!$K$4:$K$26),Lookup!$K$9:$K$24,Lookup!$O$9:$O$24)*LOOKUP(LOOKUP(E34,'Interior Lighting'!$J$4:$J$26,'Interior Lighting'!$K$4:$K$26),Lookup!$K$9:$K$24,Lookup!$M$9:$M$24)</f>
        <v>#N/A</v>
      </c>
      <c r="H34" s="847"/>
      <c r="I34" s="848">
        <f t="shared" si="0"/>
        <v>0</v>
      </c>
      <c r="J34" s="848">
        <f t="shared" si="1"/>
        <v>0</v>
      </c>
      <c r="K34" s="849" t="e">
        <f t="shared" si="2"/>
        <v>#N/A</v>
      </c>
      <c r="L34" s="849" t="e">
        <f t="shared" si="3"/>
        <v>#DIV/0!</v>
      </c>
      <c r="M34" s="1007" t="str">
        <f t="shared" si="4"/>
        <v/>
      </c>
      <c r="S34" s="1028" t="e">
        <f t="shared" si="5"/>
        <v>#N/A</v>
      </c>
    </row>
    <row r="35" spans="2:19" ht="12.75">
      <c r="B35" s="846"/>
      <c r="C35" s="847"/>
      <c r="D35" s="847"/>
      <c r="E35" s="847"/>
      <c r="F35" s="1308">
        <f>IF(E35="",0, LOOKUP('In-Unit Lighting'!E35,'Interior Lighting'!$J$4:$J$26,'Interior Lighting'!$L$4:$L$26))</f>
        <v>0</v>
      </c>
      <c r="G35" s="1308" t="e">
        <f>LOOKUP(E35,'Interior Lighting'!$J$4:$J$26,'Interior Lighting'!$M$4:$M$26)*LOOKUP(LOOKUP(E35,'Interior Lighting'!$J$4:$J$26,'Interior Lighting'!$K$4:$K$26),Lookup!$K$9:$K$24,Lookup!$O$9:$O$24)*LOOKUP(LOOKUP(E35,'Interior Lighting'!$J$4:$J$26,'Interior Lighting'!$K$4:$K$26),Lookup!$K$9:$K$24,Lookup!$M$9:$M$24)</f>
        <v>#N/A</v>
      </c>
      <c r="H35" s="847"/>
      <c r="I35" s="848">
        <f t="shared" si="0"/>
        <v>0</v>
      </c>
      <c r="J35" s="848">
        <f t="shared" si="1"/>
        <v>0</v>
      </c>
      <c r="K35" s="849" t="e">
        <f t="shared" si="2"/>
        <v>#N/A</v>
      </c>
      <c r="L35" s="849" t="e">
        <f t="shared" si="3"/>
        <v>#DIV/0!</v>
      </c>
      <c r="M35" s="1007" t="str">
        <f t="shared" si="4"/>
        <v/>
      </c>
      <c r="N35" s="1678"/>
      <c r="S35" s="1028" t="e">
        <f t="shared" si="5"/>
        <v>#N/A</v>
      </c>
    </row>
    <row r="36" spans="2:19" ht="12.75">
      <c r="B36" s="846"/>
      <c r="C36" s="847"/>
      <c r="D36" s="847"/>
      <c r="E36" s="847"/>
      <c r="F36" s="1308">
        <f>IF(E36="",0, LOOKUP('In-Unit Lighting'!E36,'Interior Lighting'!$J$4:$J$26,'Interior Lighting'!$L$4:$L$26))</f>
        <v>0</v>
      </c>
      <c r="G36" s="1308" t="e">
        <f>LOOKUP(E36,'Interior Lighting'!$J$4:$J$26,'Interior Lighting'!$M$4:$M$26)*LOOKUP(LOOKUP(E36,'Interior Lighting'!$J$4:$J$26,'Interior Lighting'!$K$4:$K$26),Lookup!$K$9:$K$24,Lookup!$O$9:$O$24)*LOOKUP(LOOKUP(E36,'Interior Lighting'!$J$4:$J$26,'Interior Lighting'!$K$4:$K$26),Lookup!$K$9:$K$24,Lookup!$M$9:$M$24)</f>
        <v>#N/A</v>
      </c>
      <c r="H36" s="847"/>
      <c r="I36" s="848">
        <f t="shared" si="0"/>
        <v>0</v>
      </c>
      <c r="J36" s="848">
        <f t="shared" si="1"/>
        <v>0</v>
      </c>
      <c r="K36" s="849" t="e">
        <f t="shared" si="2"/>
        <v>#N/A</v>
      </c>
      <c r="L36" s="849" t="e">
        <f t="shared" si="3"/>
        <v>#DIV/0!</v>
      </c>
      <c r="M36" s="1007" t="str">
        <f t="shared" si="4"/>
        <v/>
      </c>
      <c r="S36" s="1028" t="e">
        <f t="shared" si="5"/>
        <v>#N/A</v>
      </c>
    </row>
    <row r="37" spans="2:19" ht="12.75">
      <c r="B37" s="846"/>
      <c r="C37" s="847"/>
      <c r="D37" s="847"/>
      <c r="E37" s="847"/>
      <c r="F37" s="1308">
        <f>IF(E37="",0, LOOKUP('In-Unit Lighting'!E37,'Interior Lighting'!$J$4:$J$26,'Interior Lighting'!$L$4:$L$26))</f>
        <v>0</v>
      </c>
      <c r="G37" s="1308" t="e">
        <f>LOOKUP(E37,'Interior Lighting'!$J$4:$J$26,'Interior Lighting'!$M$4:$M$26)*LOOKUP(LOOKUP(E37,'Interior Lighting'!$J$4:$J$26,'Interior Lighting'!$K$4:$K$26),Lookup!$K$9:$K$24,Lookup!$O$9:$O$24)*LOOKUP(LOOKUP(E37,'Interior Lighting'!$J$4:$J$26,'Interior Lighting'!$K$4:$K$26),Lookup!$K$9:$K$24,Lookup!$M$9:$M$24)</f>
        <v>#N/A</v>
      </c>
      <c r="H37" s="847"/>
      <c r="I37" s="848">
        <f t="shared" si="0"/>
        <v>0</v>
      </c>
      <c r="J37" s="848">
        <f t="shared" si="1"/>
        <v>0</v>
      </c>
      <c r="K37" s="849" t="e">
        <f t="shared" si="2"/>
        <v>#N/A</v>
      </c>
      <c r="L37" s="849" t="e">
        <f t="shared" si="3"/>
        <v>#DIV/0!</v>
      </c>
      <c r="M37" s="1007" t="str">
        <f t="shared" si="4"/>
        <v/>
      </c>
      <c r="S37" s="1028" t="e">
        <f t="shared" si="5"/>
        <v>#N/A</v>
      </c>
    </row>
    <row r="38" spans="2:19" ht="12.75">
      <c r="B38" s="846"/>
      <c r="C38" s="847"/>
      <c r="D38" s="847"/>
      <c r="E38" s="847"/>
      <c r="F38" s="1308">
        <f>IF(E38="",0, LOOKUP('In-Unit Lighting'!E38,'Interior Lighting'!$J$4:$J$26,'Interior Lighting'!$L$4:$L$26))</f>
        <v>0</v>
      </c>
      <c r="G38" s="1308" t="e">
        <f>LOOKUP(E38,'Interior Lighting'!$J$4:$J$26,'Interior Lighting'!$M$4:$M$26)*LOOKUP(LOOKUP(E38,'Interior Lighting'!$J$4:$J$26,'Interior Lighting'!$K$4:$K$26),Lookup!$K$9:$K$24,Lookup!$O$9:$O$24)*LOOKUP(LOOKUP(E38,'Interior Lighting'!$J$4:$J$26,'Interior Lighting'!$K$4:$K$26),Lookup!$K$9:$K$24,Lookup!$M$9:$M$24)</f>
        <v>#N/A</v>
      </c>
      <c r="H38" s="847"/>
      <c r="I38" s="848">
        <f t="shared" si="0"/>
        <v>0</v>
      </c>
      <c r="J38" s="848">
        <f t="shared" si="1"/>
        <v>0</v>
      </c>
      <c r="K38" s="849" t="e">
        <f t="shared" si="2"/>
        <v>#N/A</v>
      </c>
      <c r="L38" s="849" t="e">
        <f t="shared" si="3"/>
        <v>#DIV/0!</v>
      </c>
      <c r="M38" s="1007" t="str">
        <f t="shared" si="4"/>
        <v/>
      </c>
      <c r="S38" s="1028" t="e">
        <f t="shared" si="5"/>
        <v>#N/A</v>
      </c>
    </row>
    <row r="39" spans="2:19" ht="12.75">
      <c r="B39" s="846"/>
      <c r="C39" s="847"/>
      <c r="D39" s="847"/>
      <c r="E39" s="847"/>
      <c r="F39" s="1308">
        <f>IF(E39="",0, LOOKUP('In-Unit Lighting'!E39,'Interior Lighting'!$J$4:$J$26,'Interior Lighting'!$L$4:$L$26))</f>
        <v>0</v>
      </c>
      <c r="G39" s="1308" t="e">
        <f>LOOKUP(E39,'Interior Lighting'!$J$4:$J$26,'Interior Lighting'!$M$4:$M$26)*LOOKUP(LOOKUP(E39,'Interior Lighting'!$J$4:$J$26,'Interior Lighting'!$K$4:$K$26),Lookup!$K$9:$K$24,Lookup!$O$9:$O$24)*LOOKUP(LOOKUP(E39,'Interior Lighting'!$J$4:$J$26,'Interior Lighting'!$K$4:$K$26),Lookup!$K$9:$K$24,Lookup!$M$9:$M$24)</f>
        <v>#N/A</v>
      </c>
      <c r="H39" s="847"/>
      <c r="I39" s="848">
        <f t="shared" si="0"/>
        <v>0</v>
      </c>
      <c r="J39" s="848">
        <f t="shared" si="1"/>
        <v>0</v>
      </c>
      <c r="K39" s="849" t="e">
        <f t="shared" si="2"/>
        <v>#N/A</v>
      </c>
      <c r="L39" s="849" t="e">
        <f t="shared" si="3"/>
        <v>#DIV/0!</v>
      </c>
      <c r="M39" s="1007" t="str">
        <f t="shared" si="4"/>
        <v/>
      </c>
      <c r="N39" s="1033"/>
      <c r="S39" s="1028" t="e">
        <f t="shared" si="5"/>
        <v>#N/A</v>
      </c>
    </row>
    <row r="40" spans="2:19" ht="12.75">
      <c r="B40" s="846"/>
      <c r="C40" s="847"/>
      <c r="D40" s="847"/>
      <c r="E40" s="847"/>
      <c r="F40" s="1308">
        <f>IF(E40="",0, LOOKUP('In-Unit Lighting'!E40,'Interior Lighting'!$J$4:$J$26,'Interior Lighting'!$L$4:$L$26))</f>
        <v>0</v>
      </c>
      <c r="G40" s="1308" t="e">
        <f>LOOKUP(E40,'Interior Lighting'!$J$4:$J$26,'Interior Lighting'!$M$4:$M$26)*LOOKUP(LOOKUP(E40,'Interior Lighting'!$J$4:$J$26,'Interior Lighting'!$K$4:$K$26),Lookup!$K$9:$K$24,Lookup!$O$9:$O$24)*LOOKUP(LOOKUP(E40,'Interior Lighting'!$J$4:$J$26,'Interior Lighting'!$K$4:$K$26),Lookup!$K$9:$K$24,Lookup!$M$9:$M$24)</f>
        <v>#N/A</v>
      </c>
      <c r="H40" s="847"/>
      <c r="I40" s="848">
        <f t="shared" si="0"/>
        <v>0</v>
      </c>
      <c r="J40" s="848">
        <f t="shared" si="1"/>
        <v>0</v>
      </c>
      <c r="K40" s="849" t="e">
        <f t="shared" si="2"/>
        <v>#N/A</v>
      </c>
      <c r="L40" s="849" t="e">
        <f t="shared" si="3"/>
        <v>#DIV/0!</v>
      </c>
      <c r="M40" s="1007" t="str">
        <f t="shared" si="4"/>
        <v/>
      </c>
      <c r="S40" s="1028" t="e">
        <f t="shared" si="5"/>
        <v>#N/A</v>
      </c>
    </row>
    <row r="41" spans="2:19" ht="12.75">
      <c r="B41" s="846"/>
      <c r="C41" s="847"/>
      <c r="D41" s="847"/>
      <c r="E41" s="847"/>
      <c r="F41" s="1308">
        <f>IF(E41="",0, LOOKUP('In-Unit Lighting'!E41,'Interior Lighting'!$J$4:$J$26,'Interior Lighting'!$L$4:$L$26))</f>
        <v>0</v>
      </c>
      <c r="G41" s="1308" t="e">
        <f>LOOKUP(E41,'Interior Lighting'!$J$4:$J$26,'Interior Lighting'!$M$4:$M$26)*LOOKUP(LOOKUP(E41,'Interior Lighting'!$J$4:$J$26,'Interior Lighting'!$K$4:$K$26),Lookup!$K$9:$K$24,Lookup!$O$9:$O$24)*LOOKUP(LOOKUP(E41,'Interior Lighting'!$J$4:$J$26,'Interior Lighting'!$K$4:$K$26),Lookup!$K$9:$K$24,Lookup!$M$9:$M$24)</f>
        <v>#N/A</v>
      </c>
      <c r="H41" s="847"/>
      <c r="I41" s="848">
        <f t="shared" si="0"/>
        <v>0</v>
      </c>
      <c r="J41" s="848">
        <f t="shared" si="1"/>
        <v>0</v>
      </c>
      <c r="K41" s="849" t="e">
        <f t="shared" si="2"/>
        <v>#N/A</v>
      </c>
      <c r="L41" s="849" t="e">
        <f t="shared" si="3"/>
        <v>#DIV/0!</v>
      </c>
      <c r="M41" s="1007" t="str">
        <f t="shared" si="4"/>
        <v/>
      </c>
      <c r="S41" s="1028" t="e">
        <f t="shared" si="5"/>
        <v>#N/A</v>
      </c>
    </row>
    <row r="42" spans="2:19" ht="12.75">
      <c r="B42" s="846"/>
      <c r="C42" s="847"/>
      <c r="D42" s="847"/>
      <c r="E42" s="847"/>
      <c r="F42" s="1308">
        <f>IF(E42="",0, LOOKUP('In-Unit Lighting'!E42,'Interior Lighting'!$J$4:$J$26,'Interior Lighting'!$L$4:$L$26))</f>
        <v>0</v>
      </c>
      <c r="G42" s="1308" t="e">
        <f>LOOKUP(E42,'Interior Lighting'!$J$4:$J$26,'Interior Lighting'!$M$4:$M$26)*LOOKUP(LOOKUP(E42,'Interior Lighting'!$J$4:$J$26,'Interior Lighting'!$K$4:$K$26),Lookup!$K$9:$K$24,Lookup!$O$9:$O$24)*LOOKUP(LOOKUP(E42,'Interior Lighting'!$J$4:$J$26,'Interior Lighting'!$K$4:$K$26),Lookup!$K$9:$K$24,Lookup!$M$9:$M$24)</f>
        <v>#N/A</v>
      </c>
      <c r="H42" s="847"/>
      <c r="I42" s="848">
        <f t="shared" si="0"/>
        <v>0</v>
      </c>
      <c r="J42" s="848">
        <f t="shared" si="1"/>
        <v>0</v>
      </c>
      <c r="K42" s="849" t="e">
        <f t="shared" si="2"/>
        <v>#N/A</v>
      </c>
      <c r="L42" s="849" t="e">
        <f t="shared" si="3"/>
        <v>#DIV/0!</v>
      </c>
      <c r="M42" s="1007" t="str">
        <f t="shared" si="4"/>
        <v/>
      </c>
      <c r="S42" s="1028" t="e">
        <f t="shared" si="5"/>
        <v>#N/A</v>
      </c>
    </row>
    <row r="43" spans="2:19" ht="12.75">
      <c r="B43" s="846"/>
      <c r="C43" s="847"/>
      <c r="D43" s="847"/>
      <c r="E43" s="847"/>
      <c r="F43" s="1308">
        <f>IF(E43="",0, LOOKUP('In-Unit Lighting'!E43,'Interior Lighting'!$J$4:$J$26,'Interior Lighting'!$L$4:$L$26))</f>
        <v>0</v>
      </c>
      <c r="G43" s="1308" t="e">
        <f>LOOKUP(E43,'Interior Lighting'!$J$4:$J$26,'Interior Lighting'!$M$4:$M$26)*LOOKUP(LOOKUP(E43,'Interior Lighting'!$J$4:$J$26,'Interior Lighting'!$K$4:$K$26),Lookup!$K$9:$K$24,Lookup!$O$9:$O$24)*LOOKUP(LOOKUP(E43,'Interior Lighting'!$J$4:$J$26,'Interior Lighting'!$K$4:$K$26),Lookup!$K$9:$K$24,Lookup!$M$9:$M$24)</f>
        <v>#N/A</v>
      </c>
      <c r="H43" s="847"/>
      <c r="I43" s="848">
        <f t="shared" si="0"/>
        <v>0</v>
      </c>
      <c r="J43" s="848">
        <f t="shared" si="1"/>
        <v>0</v>
      </c>
      <c r="K43" s="849" t="e">
        <f t="shared" si="2"/>
        <v>#N/A</v>
      </c>
      <c r="L43" s="849" t="e">
        <f t="shared" si="3"/>
        <v>#DIV/0!</v>
      </c>
      <c r="M43" s="1007" t="str">
        <f t="shared" si="4"/>
        <v/>
      </c>
      <c r="S43" s="1028" t="e">
        <f t="shared" si="5"/>
        <v>#N/A</v>
      </c>
    </row>
    <row r="44" spans="2:19" ht="12.75">
      <c r="B44" s="846"/>
      <c r="C44" s="847"/>
      <c r="D44" s="847"/>
      <c r="E44" s="847"/>
      <c r="F44" s="1308">
        <f>IF(E44="",0, LOOKUP('In-Unit Lighting'!E44,'Interior Lighting'!$J$4:$J$26,'Interior Lighting'!$L$4:$L$26))</f>
        <v>0</v>
      </c>
      <c r="G44" s="1308" t="e">
        <f>LOOKUP(E44,'Interior Lighting'!$J$4:$J$26,'Interior Lighting'!$M$4:$M$26)*LOOKUP(LOOKUP(E44,'Interior Lighting'!$J$4:$J$26,'Interior Lighting'!$K$4:$K$26),Lookup!$K$9:$K$24,Lookup!$O$9:$O$24)*LOOKUP(LOOKUP(E44,'Interior Lighting'!$J$4:$J$26,'Interior Lighting'!$K$4:$K$26),Lookup!$K$9:$K$24,Lookup!$M$9:$M$24)</f>
        <v>#N/A</v>
      </c>
      <c r="H44" s="847"/>
      <c r="I44" s="848">
        <f t="shared" si="0"/>
        <v>0</v>
      </c>
      <c r="J44" s="848">
        <f t="shared" si="1"/>
        <v>0</v>
      </c>
      <c r="K44" s="849" t="e">
        <f t="shared" si="2"/>
        <v>#N/A</v>
      </c>
      <c r="L44" s="849" t="e">
        <f t="shared" si="3"/>
        <v>#DIV/0!</v>
      </c>
      <c r="M44" s="1007" t="str">
        <f t="shared" si="4"/>
        <v/>
      </c>
      <c r="N44" s="1033"/>
      <c r="S44" s="1028" t="e">
        <f t="shared" si="5"/>
        <v>#N/A</v>
      </c>
    </row>
    <row r="45" spans="2:19">
      <c r="H45" s="1033"/>
      <c r="I45" s="1033"/>
      <c r="J45" s="1033"/>
      <c r="K45" s="1033"/>
      <c r="L45" s="1033"/>
      <c r="M45" s="1033"/>
      <c r="N45" s="1033"/>
    </row>
    <row r="46" spans="2:19">
      <c r="H46" s="1033"/>
      <c r="I46" s="1033"/>
      <c r="J46" s="1033"/>
      <c r="K46" s="1033"/>
      <c r="L46" s="1033"/>
      <c r="M46" s="1033"/>
      <c r="N46" s="1033"/>
    </row>
    <row r="47" spans="2:19">
      <c r="B47" s="2258" t="s">
        <v>3099</v>
      </c>
      <c r="C47" s="1822"/>
      <c r="D47" s="1822"/>
      <c r="E47" s="1822"/>
      <c r="F47" s="1823"/>
      <c r="G47" s="1679"/>
      <c r="H47" s="1680"/>
      <c r="I47" s="1055" t="e">
        <f>SUM(S16:S44)/F48</f>
        <v>#N/A</v>
      </c>
      <c r="J47" s="1408" t="s">
        <v>3958</v>
      </c>
      <c r="K47" s="484"/>
      <c r="L47" s="484"/>
      <c r="M47" s="1033"/>
      <c r="N47" s="1033"/>
    </row>
    <row r="48" spans="2:19">
      <c r="B48" s="2259" t="s">
        <v>3601</v>
      </c>
      <c r="C48" s="2259"/>
      <c r="D48" s="2259"/>
      <c r="E48" s="2260"/>
      <c r="F48" s="848">
        <f>SUM(I16:I44)</f>
        <v>0</v>
      </c>
      <c r="G48" s="1681"/>
      <c r="H48" s="1628"/>
      <c r="I48" s="1033"/>
      <c r="J48" s="1033"/>
      <c r="K48" s="1033"/>
      <c r="L48" s="1033"/>
      <c r="M48" s="1033"/>
      <c r="N48" s="1033"/>
    </row>
    <row r="49" spans="2:14">
      <c r="B49" s="2259" t="s">
        <v>3602</v>
      </c>
      <c r="C49" s="2259"/>
      <c r="D49" s="2259"/>
      <c r="E49" s="2260"/>
      <c r="F49" s="848">
        <f>SUM(J16:J44)</f>
        <v>0</v>
      </c>
      <c r="G49" s="1593"/>
      <c r="H49" s="1628"/>
      <c r="I49" s="1033"/>
      <c r="J49" s="1033"/>
      <c r="K49" s="1033"/>
      <c r="L49" s="1033"/>
      <c r="M49" s="1033"/>
      <c r="N49" s="1033"/>
    </row>
    <row r="50" spans="2:14">
      <c r="B50" s="2259" t="s">
        <v>3603</v>
      </c>
      <c r="C50" s="2259"/>
      <c r="D50" s="2259"/>
      <c r="E50" s="2259"/>
      <c r="F50" s="1686" t="str">
        <f>IF(F48=0,"NA",F49/F48)</f>
        <v>NA</v>
      </c>
      <c r="I50" s="1033"/>
      <c r="J50" s="1033"/>
      <c r="K50" s="1033"/>
      <c r="L50" s="1033"/>
    </row>
    <row r="51" spans="2:14">
      <c r="B51" s="2255" t="s">
        <v>3604</v>
      </c>
      <c r="C51" s="2255"/>
      <c r="D51" s="2255"/>
      <c r="E51" s="2255"/>
      <c r="F51" s="1687" t="e">
        <f>(F49+F52*('Project Size'!C11-F48))/('Project Size'!C11)</f>
        <v>#DIV/0!</v>
      </c>
    </row>
    <row r="52" spans="2:14">
      <c r="B52" s="2255" t="s">
        <v>3605</v>
      </c>
      <c r="C52" s="2255"/>
      <c r="D52" s="2255"/>
      <c r="E52" s="2255"/>
      <c r="F52" s="1651">
        <v>0.7</v>
      </c>
    </row>
    <row r="54" spans="2:14">
      <c r="B54" s="1628"/>
      <c r="C54" s="1628"/>
      <c r="D54" s="1628"/>
    </row>
    <row r="55" spans="2:14">
      <c r="B55" s="1821" t="s">
        <v>3845</v>
      </c>
      <c r="C55" s="1822"/>
      <c r="D55" s="1822"/>
      <c r="E55" s="1822"/>
      <c r="F55" s="1822"/>
      <c r="G55" s="1823"/>
    </row>
    <row r="56" spans="2:14">
      <c r="B56" s="1040"/>
      <c r="C56" s="1041"/>
      <c r="D56" s="1041"/>
      <c r="E56" s="1041"/>
      <c r="F56" s="1041"/>
      <c r="G56" s="1042"/>
    </row>
    <row r="57" spans="2:14">
      <c r="B57" s="1043"/>
      <c r="C57" s="1044"/>
      <c r="D57" s="1044"/>
      <c r="E57" s="1044"/>
      <c r="F57" s="1044"/>
      <c r="G57" s="1045"/>
    </row>
    <row r="58" spans="2:14">
      <c r="B58" s="1046"/>
      <c r="C58" s="1044"/>
      <c r="D58" s="1044"/>
      <c r="E58" s="1044"/>
      <c r="F58" s="1044"/>
      <c r="G58" s="1045"/>
    </row>
    <row r="59" spans="2:14">
      <c r="B59" s="1046"/>
      <c r="C59" s="1044"/>
      <c r="D59" s="1044"/>
      <c r="E59" s="1044"/>
      <c r="F59" s="1044"/>
      <c r="G59" s="1045"/>
    </row>
    <row r="60" spans="2:14">
      <c r="B60" s="1047"/>
      <c r="C60" s="1048"/>
      <c r="D60" s="1048"/>
      <c r="E60" s="1048"/>
      <c r="F60" s="1048"/>
      <c r="G60" s="1049"/>
    </row>
    <row r="63" spans="2:14" hidden="1"/>
    <row r="64" spans="2:14" hidden="1">
      <c r="B64" s="1682" t="s">
        <v>3606</v>
      </c>
    </row>
    <row r="65" spans="2:2" hidden="1">
      <c r="B65" s="1683" t="s">
        <v>3607</v>
      </c>
    </row>
    <row r="66" spans="2:2" hidden="1">
      <c r="B66" s="1683" t="s">
        <v>3608</v>
      </c>
    </row>
    <row r="67" spans="2:2" hidden="1">
      <c r="B67" s="1683" t="s">
        <v>3609</v>
      </c>
    </row>
    <row r="68" spans="2:2" hidden="1">
      <c r="B68" s="1683" t="s">
        <v>3610</v>
      </c>
    </row>
    <row r="69" spans="2:2" hidden="1">
      <c r="B69" s="1683" t="s">
        <v>3611</v>
      </c>
    </row>
    <row r="70" spans="2:2" hidden="1">
      <c r="B70" s="1683" t="s">
        <v>3612</v>
      </c>
    </row>
    <row r="71" spans="2:2" hidden="1">
      <c r="B71" s="1683" t="s">
        <v>3613</v>
      </c>
    </row>
    <row r="72" spans="2:2" hidden="1">
      <c r="B72" s="1683" t="s">
        <v>3614</v>
      </c>
    </row>
    <row r="73" spans="2:2" hidden="1">
      <c r="B73" s="1683" t="s">
        <v>1196</v>
      </c>
    </row>
    <row r="74" spans="2:2" hidden="1">
      <c r="B74" s="1683" t="s">
        <v>3615</v>
      </c>
    </row>
    <row r="75" spans="2:2" hidden="1">
      <c r="B75" s="1683" t="s">
        <v>1262</v>
      </c>
    </row>
  </sheetData>
  <sheetProtection sheet="1" objects="1" scenarios="1" formatCells="0" insertRows="0" deleteRows="0"/>
  <mergeCells count="9">
    <mergeCell ref="B55:G55"/>
    <mergeCell ref="B51:E51"/>
    <mergeCell ref="B52:E52"/>
    <mergeCell ref="B5:L5"/>
    <mergeCell ref="B7:L7"/>
    <mergeCell ref="B47:F47"/>
    <mergeCell ref="B48:E48"/>
    <mergeCell ref="B49:E49"/>
    <mergeCell ref="B50:E50"/>
  </mergeCells>
  <conditionalFormatting sqref="K16:K44">
    <cfRule type="cellIs" dxfId="11" priority="3" stopIfTrue="1" operator="lessThan">
      <formula>10</formula>
    </cfRule>
  </conditionalFormatting>
  <conditionalFormatting sqref="L16:L44">
    <cfRule type="cellIs" dxfId="10" priority="2" stopIfTrue="1" operator="lessThan">
      <formula>16</formula>
    </cfRule>
  </conditionalFormatting>
  <conditionalFormatting sqref="I47">
    <cfRule type="cellIs" dxfId="9" priority="1" operator="greaterThan">
      <formula>10</formula>
    </cfRule>
  </conditionalFormatting>
  <dataValidations count="2">
    <dataValidation type="list" allowBlank="1" showInputMessage="1" showErrorMessage="1" sqref="B16:B44">
      <formula1>$B$64:$B$74</formula1>
    </dataValidation>
    <dataValidation type="list" allowBlank="1" showInputMessage="1" showErrorMessage="1" sqref="B76">
      <formula1>$B$65:$B$75</formula1>
    </dataValidation>
  </dataValidations>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6" tint="0.39997558519241921"/>
  </sheetPr>
  <dimension ref="A1:O44"/>
  <sheetViews>
    <sheetView showGridLines="0" topLeftCell="A19" workbookViewId="0">
      <selection activeCell="B39" sqref="B39:G44"/>
    </sheetView>
  </sheetViews>
  <sheetFormatPr defaultRowHeight="12"/>
  <cols>
    <col min="1" max="1" width="2.5703125" style="1028" customWidth="1"/>
    <col min="2" max="2" width="29.42578125" style="1028" customWidth="1"/>
    <col min="3" max="4" width="9.140625" style="1028"/>
    <col min="5" max="5" width="10.85546875" style="1028" customWidth="1"/>
    <col min="6" max="6" width="10.5703125" style="1028" customWidth="1"/>
    <col min="7" max="7" width="39.85546875" style="1028" customWidth="1"/>
    <col min="8" max="8" width="6.85546875" style="1028" customWidth="1"/>
    <col min="9" max="13" width="9.140625" style="1028"/>
    <col min="14" max="14" width="5.28515625" style="1028" customWidth="1"/>
    <col min="15" max="15" width="5.7109375" style="1028" customWidth="1"/>
    <col min="16" max="16384" width="9.140625" style="1028"/>
  </cols>
  <sheetData>
    <row r="1" spans="1:13" ht="18.75">
      <c r="B1" s="1053" t="s">
        <v>3506</v>
      </c>
    </row>
    <row r="3" spans="1:13" ht="18" customHeight="1">
      <c r="B3" s="1391" t="s">
        <v>1023</v>
      </c>
    </row>
    <row r="4" spans="1:13">
      <c r="A4" s="813">
        <v>1</v>
      </c>
      <c r="B4" s="817" t="s">
        <v>3507</v>
      </c>
      <c r="C4" s="1576"/>
      <c r="D4" s="1576"/>
      <c r="E4" s="1576"/>
      <c r="F4" s="1576"/>
      <c r="G4" s="1593"/>
      <c r="H4" s="1593"/>
      <c r="I4" s="1593"/>
      <c r="J4" s="1593"/>
      <c r="K4" s="1593"/>
      <c r="L4" s="1593"/>
      <c r="M4" s="1593"/>
    </row>
    <row r="5" spans="1:13">
      <c r="A5" s="813">
        <v>2</v>
      </c>
      <c r="B5" s="1598" t="s">
        <v>3508</v>
      </c>
      <c r="C5" s="1579"/>
      <c r="D5" s="1579"/>
      <c r="E5" s="1579"/>
      <c r="F5" s="1579"/>
      <c r="G5" s="1593"/>
      <c r="H5" s="1593"/>
      <c r="I5" s="1593"/>
      <c r="J5" s="1593"/>
      <c r="K5" s="1593"/>
      <c r="L5" s="1593"/>
      <c r="M5" s="1593"/>
    </row>
    <row r="6" spans="1:13">
      <c r="A6" s="813">
        <v>3</v>
      </c>
      <c r="B6" s="840" t="s">
        <v>3747</v>
      </c>
      <c r="C6" s="1577"/>
      <c r="D6" s="1577"/>
      <c r="E6" s="1577"/>
      <c r="F6" s="1577"/>
      <c r="G6" s="1577"/>
      <c r="H6" s="1577"/>
      <c r="I6" s="1577"/>
      <c r="J6" s="1577"/>
      <c r="K6" s="1577"/>
      <c r="L6" s="1593"/>
      <c r="M6" s="1593"/>
    </row>
    <row r="7" spans="1:13">
      <c r="A7" s="813">
        <v>4</v>
      </c>
      <c r="B7" s="840" t="s">
        <v>3509</v>
      </c>
      <c r="C7" s="1577"/>
      <c r="D7" s="1577"/>
      <c r="E7" s="1577"/>
      <c r="F7" s="1577"/>
      <c r="G7" s="1577"/>
      <c r="H7" s="1577"/>
      <c r="I7" s="1577"/>
      <c r="J7" s="1577"/>
      <c r="K7" s="1577"/>
    </row>
    <row r="8" spans="1:13">
      <c r="A8" s="813">
        <v>5</v>
      </c>
      <c r="B8" s="840" t="s">
        <v>3902</v>
      </c>
      <c r="C8" s="1577"/>
      <c r="D8" s="1577"/>
      <c r="E8" s="1577"/>
      <c r="F8" s="1577"/>
      <c r="G8" s="1577"/>
      <c r="H8" s="1577"/>
      <c r="I8" s="1577"/>
      <c r="J8" s="1577"/>
      <c r="K8" s="1577"/>
    </row>
    <row r="9" spans="1:13">
      <c r="B9" s="1577"/>
      <c r="C9" s="1577"/>
      <c r="D9" s="1577"/>
      <c r="E9" s="1577"/>
      <c r="F9" s="1577"/>
      <c r="G9" s="1577"/>
      <c r="H9" s="1577"/>
      <c r="I9" s="1577"/>
      <c r="J9" s="1577"/>
      <c r="K9" s="1577"/>
    </row>
    <row r="10" spans="1:13">
      <c r="B10" s="1688" t="s">
        <v>3510</v>
      </c>
      <c r="C10" s="1577"/>
      <c r="D10" s="1577"/>
      <c r="E10" s="1577"/>
      <c r="F10" s="1577"/>
      <c r="G10" s="1577"/>
      <c r="H10" s="1577"/>
      <c r="I10" s="1577"/>
      <c r="J10" s="1577"/>
      <c r="K10" s="1577"/>
    </row>
    <row r="12" spans="1:13" ht="36">
      <c r="B12" s="2261" t="s">
        <v>3511</v>
      </c>
      <c r="C12" s="1689" t="s">
        <v>3512</v>
      </c>
      <c r="D12" s="1689" t="s">
        <v>3513</v>
      </c>
      <c r="E12" s="1689" t="s">
        <v>3514</v>
      </c>
      <c r="F12" s="1689" t="s">
        <v>3515</v>
      </c>
      <c r="G12" s="1689" t="s">
        <v>3516</v>
      </c>
    </row>
    <row r="13" spans="1:13">
      <c r="B13" s="2261"/>
      <c r="C13" s="1689" t="s">
        <v>3517</v>
      </c>
      <c r="D13" s="1689" t="s">
        <v>886</v>
      </c>
      <c r="E13" s="1689" t="s">
        <v>887</v>
      </c>
      <c r="F13" s="1689" t="s">
        <v>887</v>
      </c>
      <c r="G13" s="1689"/>
    </row>
    <row r="14" spans="1:13">
      <c r="B14" s="1056" t="s">
        <v>3518</v>
      </c>
      <c r="C14" s="1299">
        <v>0.15</v>
      </c>
      <c r="D14" s="1108"/>
      <c r="E14" s="1061">
        <f>D14*C14</f>
        <v>0</v>
      </c>
      <c r="F14" s="1108"/>
      <c r="G14" s="1695"/>
    </row>
    <row r="15" spans="1:13">
      <c r="B15" s="1056" t="s">
        <v>3519</v>
      </c>
      <c r="C15" s="1299">
        <v>0.2</v>
      </c>
      <c r="D15" s="1108"/>
      <c r="E15" s="1061">
        <f>D15*C15</f>
        <v>0</v>
      </c>
      <c r="F15" s="1108"/>
      <c r="G15" s="1695"/>
    </row>
    <row r="16" spans="1:13">
      <c r="B16" s="1056" t="s">
        <v>3520</v>
      </c>
      <c r="C16" s="1299">
        <v>1</v>
      </c>
      <c r="D16" s="1108"/>
      <c r="E16" s="1061">
        <f>D16*C16</f>
        <v>0</v>
      </c>
      <c r="F16" s="1108"/>
      <c r="G16" s="1695"/>
    </row>
    <row r="17" spans="2:15">
      <c r="B17" s="1056" t="s">
        <v>3521</v>
      </c>
      <c r="C17" s="1299">
        <v>1.25</v>
      </c>
      <c r="D17" s="1108"/>
      <c r="E17" s="1061">
        <f>D17*C17</f>
        <v>0</v>
      </c>
      <c r="F17" s="1108"/>
      <c r="G17" s="1695"/>
    </row>
    <row r="18" spans="2:15" ht="12.75">
      <c r="B18" s="1056" t="s">
        <v>3522</v>
      </c>
      <c r="C18" s="1299">
        <v>0.2</v>
      </c>
      <c r="D18" s="1108"/>
      <c r="E18" s="1061">
        <f>D18*C18</f>
        <v>0</v>
      </c>
      <c r="F18" s="1108"/>
      <c r="G18" s="1695"/>
      <c r="H18" s="2262" t="str">
        <f>IF(C31&lt;F18,"Proposed façade lighting cannot exceed Baseline allowance.","")</f>
        <v/>
      </c>
      <c r="I18" s="2262"/>
      <c r="J18" s="2262"/>
      <c r="K18" s="2262"/>
      <c r="L18" s="2262"/>
    </row>
    <row r="19" spans="2:15">
      <c r="B19" s="1593"/>
      <c r="C19" s="1593"/>
      <c r="D19" s="1065"/>
      <c r="E19" s="1065"/>
    </row>
    <row r="20" spans="2:15" ht="36">
      <c r="B20" s="1690" t="s">
        <v>3511</v>
      </c>
      <c r="C20" s="1689" t="s">
        <v>3523</v>
      </c>
      <c r="D20" s="1689" t="s">
        <v>3524</v>
      </c>
      <c r="E20" s="1689" t="s">
        <v>3514</v>
      </c>
      <c r="F20" s="1689" t="s">
        <v>3515</v>
      </c>
      <c r="G20" s="1689" t="s">
        <v>3516</v>
      </c>
    </row>
    <row r="21" spans="2:15" ht="26.25" customHeight="1">
      <c r="B21" s="1691"/>
      <c r="C21" s="1689" t="s">
        <v>3525</v>
      </c>
      <c r="D21" s="1689" t="s">
        <v>3526</v>
      </c>
      <c r="E21" s="1689" t="s">
        <v>887</v>
      </c>
      <c r="F21" s="1689" t="s">
        <v>887</v>
      </c>
      <c r="G21" s="1689"/>
    </row>
    <row r="22" spans="2:15">
      <c r="B22" s="1056" t="s">
        <v>3527</v>
      </c>
      <c r="C22" s="1299">
        <v>1</v>
      </c>
      <c r="D22" s="1108"/>
      <c r="E22" s="1061">
        <f>D22*C22</f>
        <v>0</v>
      </c>
      <c r="F22" s="1108"/>
      <c r="G22" s="1695"/>
    </row>
    <row r="23" spans="2:15">
      <c r="B23" s="1056" t="s">
        <v>3528</v>
      </c>
      <c r="C23" s="1299">
        <v>30</v>
      </c>
      <c r="D23" s="1108"/>
      <c r="E23" s="1061">
        <f>D23*C23</f>
        <v>0</v>
      </c>
      <c r="F23" s="1108"/>
      <c r="G23" s="1695"/>
    </row>
    <row r="24" spans="2:15">
      <c r="B24" s="1056" t="s">
        <v>3529</v>
      </c>
      <c r="C24" s="1299">
        <v>20</v>
      </c>
      <c r="D24" s="1108"/>
      <c r="E24" s="1061">
        <f>D24*C24</f>
        <v>0</v>
      </c>
      <c r="F24" s="1108"/>
      <c r="G24" s="1695"/>
    </row>
    <row r="25" spans="2:15">
      <c r="B25" s="1058" t="s">
        <v>3903</v>
      </c>
      <c r="C25" s="1299">
        <v>20</v>
      </c>
      <c r="D25" s="1108"/>
      <c r="E25" s="1061">
        <f>D25*C25</f>
        <v>0</v>
      </c>
      <c r="F25" s="1108"/>
      <c r="G25" s="1695"/>
    </row>
    <row r="26" spans="2:15">
      <c r="B26" s="1056" t="s">
        <v>3530</v>
      </c>
      <c r="C26" s="1299">
        <v>5</v>
      </c>
      <c r="D26" s="1108"/>
      <c r="E26" s="1061">
        <f>D26*C26</f>
        <v>0</v>
      </c>
    </row>
    <row r="27" spans="2:15">
      <c r="C27" s="1586"/>
    </row>
    <row r="28" spans="2:15">
      <c r="B28" s="1391" t="s">
        <v>3531</v>
      </c>
    </row>
    <row r="29" spans="2:15">
      <c r="B29" s="1696"/>
      <c r="C29" s="815" t="s">
        <v>980</v>
      </c>
      <c r="D29" s="813" t="s">
        <v>981</v>
      </c>
    </row>
    <row r="30" spans="2:15">
      <c r="B30" s="1056" t="s">
        <v>3532</v>
      </c>
      <c r="C30" s="1692">
        <f>1.05*(SUM(E14:E17)+SUM(E22:E25))</f>
        <v>0</v>
      </c>
      <c r="D30" s="1055">
        <f>SUM(F14:F17)+SUM(F22:F25)</f>
        <v>0</v>
      </c>
      <c r="E30" s="813" t="s">
        <v>3533</v>
      </c>
    </row>
    <row r="31" spans="2:15" ht="12.75">
      <c r="B31" s="1056" t="s">
        <v>3534</v>
      </c>
      <c r="C31" s="1692">
        <f>1.05*MAX(E18,E26)</f>
        <v>0</v>
      </c>
      <c r="D31" s="1055">
        <f>IF(F18&gt;C31, F18, C31)</f>
        <v>0</v>
      </c>
      <c r="E31" s="813" t="s">
        <v>3533</v>
      </c>
      <c r="F31" s="1013" t="s">
        <v>3893</v>
      </c>
      <c r="H31" s="1697"/>
      <c r="O31" s="1698"/>
    </row>
    <row r="32" spans="2:15">
      <c r="C32" s="1693">
        <f>SUM(C30:C31)</f>
        <v>0</v>
      </c>
      <c r="D32" s="1693">
        <f>SUM(D30:D31)</f>
        <v>0</v>
      </c>
      <c r="E32" s="813" t="s">
        <v>3533</v>
      </c>
    </row>
    <row r="33" spans="2:7">
      <c r="B33" s="1694" t="s">
        <v>3252</v>
      </c>
    </row>
    <row r="34" spans="2:7">
      <c r="B34" s="813" t="s">
        <v>3535</v>
      </c>
    </row>
    <row r="35" spans="2:7">
      <c r="B35" s="813" t="s">
        <v>3536</v>
      </c>
    </row>
    <row r="36" spans="2:7">
      <c r="B36" s="813" t="s">
        <v>3537</v>
      </c>
    </row>
    <row r="37" spans="2:7">
      <c r="B37" s="813" t="s">
        <v>3538</v>
      </c>
    </row>
    <row r="39" spans="2:7">
      <c r="B39" s="1821" t="s">
        <v>3845</v>
      </c>
      <c r="C39" s="1822"/>
      <c r="D39" s="1822"/>
      <c r="E39" s="1822"/>
      <c r="F39" s="1822"/>
      <c r="G39" s="1823"/>
    </row>
    <row r="40" spans="2:7">
      <c r="B40" s="1040"/>
      <c r="C40" s="1041"/>
      <c r="D40" s="1041"/>
      <c r="E40" s="1041"/>
      <c r="F40" s="1041"/>
      <c r="G40" s="1042"/>
    </row>
    <row r="41" spans="2:7">
      <c r="B41" s="1043"/>
      <c r="C41" s="1044"/>
      <c r="D41" s="1044"/>
      <c r="E41" s="1044"/>
      <c r="F41" s="1044"/>
      <c r="G41" s="1045"/>
    </row>
    <row r="42" spans="2:7">
      <c r="B42" s="1046"/>
      <c r="C42" s="1044"/>
      <c r="D42" s="1044"/>
      <c r="E42" s="1044"/>
      <c r="F42" s="1044"/>
      <c r="G42" s="1045"/>
    </row>
    <row r="43" spans="2:7">
      <c r="B43" s="1046"/>
      <c r="C43" s="1044"/>
      <c r="D43" s="1044"/>
      <c r="E43" s="1044"/>
      <c r="F43" s="1044"/>
      <c r="G43" s="1045"/>
    </row>
    <row r="44" spans="2:7">
      <c r="B44" s="1047"/>
      <c r="C44" s="1048"/>
      <c r="D44" s="1048"/>
      <c r="E44" s="1048"/>
      <c r="F44" s="1048"/>
      <c r="G44" s="1049"/>
    </row>
  </sheetData>
  <sheetProtection sheet="1" objects="1" scenarios="1" formatCells="0"/>
  <mergeCells count="3">
    <mergeCell ref="B12:B13"/>
    <mergeCell ref="B39:G39"/>
    <mergeCell ref="H18:L18"/>
  </mergeCells>
  <pageMargins left="0.75" right="0.75" top="1" bottom="1" header="0.5" footer="0.5"/>
  <pageSetup orientation="portrait" horizontalDpi="4294967293" r:id="rId1"/>
  <headerFooter alignWithMargins="0">
    <oddHeader>&amp;REMP Simulation Spreadsheet
October 5, 2005</oddHeader>
    <oddFooter>&amp;CTaitem Engineering
Page &amp;P of &amp;N</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theme="6" tint="0.39997558519241921"/>
  </sheetPr>
  <dimension ref="A1:J97"/>
  <sheetViews>
    <sheetView showGridLines="0" topLeftCell="B55" workbookViewId="0">
      <selection activeCell="B77" sqref="B77"/>
    </sheetView>
  </sheetViews>
  <sheetFormatPr defaultRowHeight="12"/>
  <cols>
    <col min="1" max="1" width="2" style="1028" bestFit="1" customWidth="1"/>
    <col min="2" max="2" width="69" style="1028" customWidth="1"/>
    <col min="3" max="3" width="20" style="1028" customWidth="1"/>
    <col min="4" max="4" width="19.7109375" style="1028" customWidth="1"/>
    <col min="5" max="6" width="18.140625" style="1028" customWidth="1"/>
    <col min="7" max="8" width="18" style="1028" customWidth="1"/>
    <col min="9" max="9" width="17.85546875" style="1028" customWidth="1"/>
    <col min="10" max="10" width="19.140625" style="1028" customWidth="1"/>
    <col min="11" max="15" width="9.140625" style="1028"/>
    <col min="16" max="17" width="9.140625" style="1028" customWidth="1"/>
    <col min="18" max="16384" width="9.140625" style="1028"/>
  </cols>
  <sheetData>
    <row r="1" spans="1:6" ht="18.75">
      <c r="B1" s="1053" t="s">
        <v>3616</v>
      </c>
    </row>
    <row r="3" spans="1:6">
      <c r="A3" s="1339"/>
      <c r="B3" s="1391" t="s">
        <v>3363</v>
      </c>
      <c r="C3" s="1593"/>
      <c r="D3" s="1593"/>
    </row>
    <row r="4" spans="1:6">
      <c r="A4" s="813">
        <v>1</v>
      </c>
      <c r="B4" s="817" t="s">
        <v>2252</v>
      </c>
      <c r="C4" s="1593"/>
      <c r="D4" s="1593"/>
    </row>
    <row r="5" spans="1:6">
      <c r="A5" s="813">
        <v>2</v>
      </c>
      <c r="B5" s="1598" t="s">
        <v>3617</v>
      </c>
      <c r="C5" s="1593"/>
      <c r="D5" s="1593"/>
    </row>
    <row r="6" spans="1:6">
      <c r="A6" s="813">
        <v>3</v>
      </c>
      <c r="B6" s="813" t="s">
        <v>3988</v>
      </c>
      <c r="C6" s="1593"/>
      <c r="D6" s="1593"/>
    </row>
    <row r="7" spans="1:6">
      <c r="A7" s="1710">
        <v>5</v>
      </c>
      <c r="B7" s="850" t="s">
        <v>3989</v>
      </c>
      <c r="C7" s="1700"/>
    </row>
    <row r="8" spans="1:6" ht="13.5" customHeight="1">
      <c r="A8" s="1636"/>
      <c r="B8" s="1593"/>
      <c r="C8" s="1701"/>
    </row>
    <row r="9" spans="1:6" ht="13.5" hidden="1" customHeight="1">
      <c r="A9" s="1636"/>
      <c r="B9" s="1014" t="s">
        <v>3990</v>
      </c>
      <c r="C9" s="1014">
        <v>2.7</v>
      </c>
    </row>
    <row r="10" spans="1:6" ht="13.5" hidden="1" customHeight="1">
      <c r="A10" s="1636"/>
      <c r="B10" s="1014" t="s">
        <v>3991</v>
      </c>
      <c r="C10" s="1711">
        <f>SQRT(33740/C9)</f>
        <v>111.78683418138424</v>
      </c>
    </row>
    <row r="11" spans="1:6" ht="13.5" hidden="1" customHeight="1">
      <c r="A11" s="1636"/>
      <c r="B11" s="1014" t="s">
        <v>3992</v>
      </c>
      <c r="C11" s="1014">
        <v>9</v>
      </c>
    </row>
    <row r="12" spans="1:6" ht="13.5" hidden="1" customHeight="1">
      <c r="A12" s="1636"/>
      <c r="B12" s="1014" t="s">
        <v>3993</v>
      </c>
      <c r="C12" s="1712">
        <f>'Reporting Summary'!I22</f>
        <v>0</v>
      </c>
    </row>
    <row r="13" spans="1:6" ht="13.5" hidden="1" customHeight="1">
      <c r="A13" s="1636"/>
      <c r="B13" s="1014" t="s">
        <v>3994</v>
      </c>
      <c r="C13" s="1713">
        <f>IF(C12=0,0,(C12/C10+C10)*2*C11)</f>
        <v>0</v>
      </c>
      <c r="F13" s="1352"/>
    </row>
    <row r="14" spans="1:6" ht="12.75" hidden="1">
      <c r="A14" s="1636"/>
      <c r="B14" s="1014" t="s">
        <v>3995</v>
      </c>
      <c r="C14" s="1014">
        <f>IF('Reporting Summary'!E32=0,0,C12/'Reporting Summary'!E32)</f>
        <v>0</v>
      </c>
      <c r="F14" s="1352"/>
    </row>
    <row r="15" spans="1:6" ht="12.75" hidden="1">
      <c r="A15" s="1636"/>
      <c r="B15" s="1014" t="s">
        <v>3996</v>
      </c>
      <c r="C15" s="1014">
        <f>C12*C11</f>
        <v>0</v>
      </c>
      <c r="F15" s="1352"/>
    </row>
    <row r="16" spans="1:6" s="1033" customFormat="1" ht="12.75" hidden="1">
      <c r="A16" s="1702"/>
      <c r="B16" s="1654"/>
      <c r="C16" s="1654"/>
      <c r="D16" s="1703"/>
      <c r="F16" s="1592"/>
    </row>
    <row r="17" spans="1:6" ht="13.5" hidden="1" customHeight="1">
      <c r="A17" s="1636"/>
      <c r="B17" s="1014"/>
      <c r="C17" s="1014"/>
      <c r="D17" s="1014" t="s">
        <v>980</v>
      </c>
      <c r="E17" s="1014" t="s">
        <v>3997</v>
      </c>
    </row>
    <row r="18" spans="1:6" ht="13.5" hidden="1" customHeight="1">
      <c r="A18" s="1636"/>
      <c r="B18" s="1014" t="s">
        <v>3998</v>
      </c>
      <c r="C18" s="1714"/>
      <c r="D18" s="1014">
        <v>0.16170000000000001</v>
      </c>
      <c r="E18" s="1014">
        <v>0.16170000000000001</v>
      </c>
    </row>
    <row r="19" spans="1:6" ht="13.5" hidden="1" customHeight="1">
      <c r="A19" s="1636"/>
      <c r="B19" s="1014" t="s">
        <v>3486</v>
      </c>
      <c r="C19" s="1714" t="s">
        <v>3999</v>
      </c>
      <c r="D19" s="1014">
        <v>1.18</v>
      </c>
      <c r="E19" s="1014">
        <v>1.18</v>
      </c>
    </row>
    <row r="20" spans="1:6" ht="13.5" hidden="1" customHeight="1">
      <c r="A20" s="1636"/>
      <c r="B20" s="1014" t="s">
        <v>4000</v>
      </c>
      <c r="C20" s="1714" t="s">
        <v>4001</v>
      </c>
      <c r="D20" s="1014">
        <v>4.47</v>
      </c>
      <c r="E20" s="1014">
        <v>4.47</v>
      </c>
    </row>
    <row r="21" spans="1:6" ht="13.5" hidden="1" customHeight="1">
      <c r="A21" s="1636"/>
      <c r="B21" s="1014" t="s">
        <v>4002</v>
      </c>
      <c r="C21" s="1714"/>
      <c r="D21" s="1014">
        <v>0.65</v>
      </c>
      <c r="E21" s="1014">
        <v>0.65</v>
      </c>
    </row>
    <row r="22" spans="1:6" ht="13.5" hidden="1" customHeight="1">
      <c r="A22" s="1636"/>
      <c r="B22" s="1014" t="s">
        <v>4003</v>
      </c>
      <c r="C22" s="1014"/>
      <c r="D22" s="1014">
        <v>0.22</v>
      </c>
      <c r="E22" s="1014">
        <v>0.22</v>
      </c>
    </row>
    <row r="23" spans="1:6" hidden="1">
      <c r="A23" s="1636"/>
      <c r="B23" s="1014" t="s">
        <v>4004</v>
      </c>
      <c r="C23" s="1014"/>
      <c r="D23" s="1714">
        <f>IF(B63="Infiltration CFM/SF envelope area @ 75 pa",75,50)</f>
        <v>50</v>
      </c>
      <c r="E23" s="1714">
        <f>D23</f>
        <v>50</v>
      </c>
    </row>
    <row r="24" spans="1:6" ht="13.5" hidden="1" customHeight="1">
      <c r="A24" s="1636"/>
      <c r="B24" s="1014" t="s">
        <v>4005</v>
      </c>
      <c r="C24" s="1715" t="s">
        <v>4006</v>
      </c>
      <c r="D24" s="1014">
        <f>(D22+1)*C63*(0.5*D18*D19*D20^2/D23)^D21</f>
        <v>4.3778984472446568E-2</v>
      </c>
      <c r="E24" s="1014">
        <f>(E22+1)*D63*(0.5*E18*E19*E20^2/E23)^E21</f>
        <v>4.3778984472446568E-2</v>
      </c>
    </row>
    <row r="25" spans="1:6">
      <c r="A25" s="1636"/>
      <c r="B25" s="1593"/>
      <c r="C25" s="1701"/>
    </row>
    <row r="26" spans="1:6" ht="12.75" thickBot="1"/>
    <row r="27" spans="1:6">
      <c r="B27" s="858" t="s">
        <v>3619</v>
      </c>
      <c r="C27" s="1588"/>
      <c r="D27" s="1588"/>
      <c r="E27" s="1588"/>
      <c r="F27" s="1589"/>
    </row>
    <row r="28" spans="1:6">
      <c r="B28" s="1704"/>
      <c r="C28" s="816" t="s">
        <v>4007</v>
      </c>
      <c r="D28" s="816" t="s">
        <v>4008</v>
      </c>
      <c r="E28" s="816" t="s">
        <v>4009</v>
      </c>
      <c r="F28" s="1705"/>
    </row>
    <row r="29" spans="1:6">
      <c r="B29" s="852" t="s">
        <v>4010</v>
      </c>
      <c r="C29" s="828">
        <f>1.5*C33</f>
        <v>0</v>
      </c>
      <c r="D29" s="828">
        <f>1.5*D33</f>
        <v>30</v>
      </c>
      <c r="E29" s="828">
        <f>C29*'DHW Demand'!$L$27+D29*'DHW Demand'!$L$28</f>
        <v>0</v>
      </c>
      <c r="F29" s="1705"/>
    </row>
    <row r="30" spans="1:6">
      <c r="B30" s="852" t="s">
        <v>4011</v>
      </c>
      <c r="C30" s="828">
        <f>1.5*C34</f>
        <v>150</v>
      </c>
      <c r="D30" s="828">
        <f>1.5*D34</f>
        <v>75</v>
      </c>
      <c r="E30" s="828">
        <f>C30*'DHW Demand'!$L$27+D30*'DHW Demand'!$L$28</f>
        <v>0</v>
      </c>
      <c r="F30" s="1591"/>
    </row>
    <row r="31" spans="1:6">
      <c r="B31" s="1590"/>
      <c r="C31" s="1033"/>
      <c r="D31" s="1033"/>
      <c r="E31" s="1033"/>
      <c r="F31" s="1591"/>
    </row>
    <row r="32" spans="1:6">
      <c r="B32" s="584"/>
      <c r="C32" s="816" t="s">
        <v>4012</v>
      </c>
      <c r="D32" s="816" t="s">
        <v>4013</v>
      </c>
      <c r="E32" s="816" t="s">
        <v>4014</v>
      </c>
      <c r="F32" s="1591"/>
    </row>
    <row r="33" spans="2:6">
      <c r="B33" s="852" t="s">
        <v>3620</v>
      </c>
      <c r="C33" s="832">
        <f>C38</f>
        <v>0</v>
      </c>
      <c r="D33" s="828">
        <v>20</v>
      </c>
      <c r="E33" s="832">
        <f>C33*'DHW Demand'!$L$27+D33*'DHW Demand'!$L$28</f>
        <v>0</v>
      </c>
      <c r="F33" s="1591"/>
    </row>
    <row r="34" spans="2:6">
      <c r="B34" s="852" t="s">
        <v>3621</v>
      </c>
      <c r="C34" s="828">
        <v>100</v>
      </c>
      <c r="D34" s="828">
        <v>50</v>
      </c>
      <c r="E34" s="828">
        <f>C34*'DHW Demand'!$L$27+D34*'DHW Demand'!$L$28</f>
        <v>0</v>
      </c>
      <c r="F34" s="1591"/>
    </row>
    <row r="35" spans="2:6">
      <c r="B35" s="1590"/>
      <c r="C35" s="1033"/>
      <c r="D35" s="1033"/>
      <c r="E35" s="1033"/>
      <c r="F35" s="1591"/>
    </row>
    <row r="36" spans="2:6">
      <c r="B36" s="854" t="s">
        <v>3622</v>
      </c>
      <c r="C36" s="529"/>
      <c r="D36" s="1033"/>
      <c r="E36" s="1033"/>
      <c r="F36" s="1591"/>
    </row>
    <row r="37" spans="2:6">
      <c r="B37" s="854" t="s">
        <v>3623</v>
      </c>
      <c r="C37" s="529"/>
      <c r="D37" s="1033"/>
      <c r="E37" s="1033"/>
      <c r="F37" s="1591"/>
    </row>
    <row r="38" spans="2:6">
      <c r="B38" s="854" t="s">
        <v>3624</v>
      </c>
      <c r="C38" s="832">
        <f>5*C36*C37/60</f>
        <v>0</v>
      </c>
      <c r="D38" s="1033"/>
      <c r="E38" s="1033"/>
      <c r="F38" s="1591"/>
    </row>
    <row r="39" spans="2:6">
      <c r="B39" s="1706"/>
      <c r="C39" s="1707"/>
      <c r="D39" s="1033"/>
      <c r="E39" s="1033"/>
      <c r="F39" s="1591"/>
    </row>
    <row r="40" spans="2:6">
      <c r="B40" s="1590"/>
      <c r="C40" s="816" t="s">
        <v>3613</v>
      </c>
      <c r="D40" s="816" t="s">
        <v>3607</v>
      </c>
      <c r="E40" s="1033"/>
      <c r="F40" s="1591"/>
    </row>
    <row r="41" spans="2:6" ht="12.75">
      <c r="B41" s="854" t="s">
        <v>3627</v>
      </c>
      <c r="C41" s="529"/>
      <c r="D41" s="529"/>
      <c r="E41" s="1033"/>
      <c r="F41" s="1716" t="str">
        <f>IF(D41="Continuous",IF(D43&lt;F33,"Insufficient Ventilation",""),IF(D43&lt;F34,"Insufficient Ventilation",""))</f>
        <v/>
      </c>
    </row>
    <row r="42" spans="2:6" ht="12.75">
      <c r="B42" s="854" t="s">
        <v>4015</v>
      </c>
      <c r="C42" s="529"/>
      <c r="D42" s="529"/>
      <c r="E42" s="1033"/>
      <c r="F42" s="1708"/>
    </row>
    <row r="43" spans="2:6">
      <c r="B43" s="854" t="s">
        <v>4016</v>
      </c>
      <c r="C43" s="529"/>
      <c r="D43" s="529"/>
      <c r="E43" s="1033"/>
      <c r="F43" s="1591"/>
    </row>
    <row r="44" spans="2:6">
      <c r="B44" s="854" t="s">
        <v>4017</v>
      </c>
      <c r="C44" s="828">
        <f>IF(C41="Intermittent",IF(C43&gt;C30,C30,C43),IF(C43&gt;C29,C29,C43))</f>
        <v>0</v>
      </c>
      <c r="D44" s="828">
        <f>IF(D41="Intermittent",IF(D43&gt;D30,D30,D43),IF(D43&gt;D29,D29,D43))</f>
        <v>0</v>
      </c>
      <c r="E44" s="1033"/>
      <c r="F44" s="1591"/>
    </row>
    <row r="45" spans="2:6" ht="12.75">
      <c r="B45" s="854" t="s">
        <v>4018</v>
      </c>
      <c r="C45" s="828">
        <f>IF(C41="Continuous",C29*'DHW Demand'!$L$27,C30*'DHW Demand'!$L$27)</f>
        <v>0</v>
      </c>
      <c r="D45" s="828">
        <f>IF(D41="Continuous",D29*'DHW Demand'!$L$28,D30*'DHW Demand'!$L$28)</f>
        <v>0</v>
      </c>
      <c r="E45" s="1033"/>
      <c r="F45" s="1708"/>
    </row>
    <row r="46" spans="2:6" ht="12.75">
      <c r="B46" s="854" t="s">
        <v>4019</v>
      </c>
      <c r="C46" s="832">
        <f>IF(C41="Continuous",C33*'DHW Demand'!$L$27,C34*'DHW Demand'!$L$27)</f>
        <v>0</v>
      </c>
      <c r="D46" s="828">
        <f>IF(D41="Continuous",D33*'DHW Demand'!$L$28,D34*'DHW Demand'!$L$28)</f>
        <v>0</v>
      </c>
      <c r="E46" s="1033"/>
      <c r="F46" s="1708"/>
    </row>
    <row r="47" spans="2:6" ht="12.75">
      <c r="B47" s="854" t="s">
        <v>4020</v>
      </c>
      <c r="C47" s="832">
        <f>C43*'DHW Demand'!$L$27</f>
        <v>0</v>
      </c>
      <c r="D47" s="828">
        <f>D43*'DHW Demand'!$L$28</f>
        <v>0</v>
      </c>
      <c r="E47" s="1033"/>
      <c r="F47" s="1708"/>
    </row>
    <row r="48" spans="2:6" ht="13.5" thickBot="1">
      <c r="B48" s="1706"/>
      <c r="C48" s="857"/>
      <c r="D48" s="857"/>
      <c r="E48" s="1033"/>
      <c r="F48" s="1708"/>
    </row>
    <row r="49" spans="1:10">
      <c r="B49" s="858" t="s">
        <v>3628</v>
      </c>
      <c r="C49" s="1588"/>
      <c r="D49" s="1588"/>
      <c r="E49" s="1588"/>
      <c r="F49" s="1588"/>
      <c r="G49" s="1588"/>
      <c r="H49" s="1589"/>
    </row>
    <row r="50" spans="1:10">
      <c r="B50" s="1704"/>
      <c r="C50" s="816" t="s">
        <v>3629</v>
      </c>
      <c r="D50" s="816" t="s">
        <v>3630</v>
      </c>
      <c r="E50" s="816" t="s">
        <v>3631</v>
      </c>
      <c r="F50" s="816" t="s">
        <v>3632</v>
      </c>
      <c r="G50" s="816" t="s">
        <v>3633</v>
      </c>
      <c r="H50" s="1591"/>
    </row>
    <row r="51" spans="1:10">
      <c r="B51" s="854" t="s">
        <v>3634</v>
      </c>
      <c r="C51" s="529"/>
      <c r="D51" s="529"/>
      <c r="E51" s="529"/>
      <c r="F51" s="529"/>
      <c r="G51" s="529"/>
      <c r="H51" s="1591"/>
    </row>
    <row r="52" spans="1:10">
      <c r="B52" s="854" t="s">
        <v>3635</v>
      </c>
      <c r="C52" s="832">
        <f>0.01*C51+7.5*(2)</f>
        <v>15</v>
      </c>
      <c r="D52" s="832">
        <f>0.01*D51+7.5*(2)</f>
        <v>15</v>
      </c>
      <c r="E52" s="832">
        <f>0.01*E51+7.5*(3)</f>
        <v>22.5</v>
      </c>
      <c r="F52" s="832">
        <f>0.01*F51+7.5*(4)</f>
        <v>30</v>
      </c>
      <c r="G52" s="832">
        <f>0.01*G51+7.5*(5)</f>
        <v>37.5</v>
      </c>
      <c r="H52" s="1591"/>
    </row>
    <row r="53" spans="1:10">
      <c r="B53" s="854" t="s">
        <v>3625</v>
      </c>
      <c r="C53" s="832">
        <f>IF(C54&gt;C52*1.5, C52*1.5, C54)</f>
        <v>0</v>
      </c>
      <c r="D53" s="832">
        <f>IF(D54&gt;D52*1.5, D52*1.5, D54)</f>
        <v>0</v>
      </c>
      <c r="E53" s="832">
        <f>IF(E54&gt;E52*1.5, E52*1.5, E54)</f>
        <v>0</v>
      </c>
      <c r="F53" s="832">
        <f>IF(F54&gt;F52*1.5, F52*1.5, F54)</f>
        <v>0</v>
      </c>
      <c r="G53" s="832">
        <f>IF(G54&gt;G52*1.5, G52*1.5, G54)</f>
        <v>0</v>
      </c>
      <c r="H53" s="1591"/>
    </row>
    <row r="54" spans="1:10">
      <c r="B54" s="854" t="s">
        <v>3626</v>
      </c>
      <c r="C54" s="529">
        <v>0</v>
      </c>
      <c r="D54" s="529">
        <v>0</v>
      </c>
      <c r="E54" s="529">
        <v>0</v>
      </c>
      <c r="F54" s="529">
        <v>0</v>
      </c>
      <c r="G54" s="529">
        <v>0</v>
      </c>
      <c r="H54" s="1591"/>
    </row>
    <row r="55" spans="1:10">
      <c r="B55" s="854" t="s">
        <v>4021</v>
      </c>
      <c r="C55" s="529"/>
      <c r="D55" s="529"/>
      <c r="E55" s="529"/>
      <c r="F55" s="529"/>
      <c r="G55" s="529"/>
      <c r="H55" s="1591"/>
    </row>
    <row r="56" spans="1:10">
      <c r="B56" s="854" t="s">
        <v>3015</v>
      </c>
      <c r="C56" s="1717">
        <f>'Basic Info'!C4</f>
        <v>0</v>
      </c>
      <c r="D56" s="1717">
        <f>'Basic Info'!C5</f>
        <v>0</v>
      </c>
      <c r="E56" s="1717">
        <f>'Basic Info'!C6</f>
        <v>0</v>
      </c>
      <c r="F56" s="1717">
        <f>'Basic Info'!C7</f>
        <v>0</v>
      </c>
      <c r="G56" s="1717">
        <f>'Basic Info'!C8</f>
        <v>0</v>
      </c>
      <c r="H56" s="1591"/>
    </row>
    <row r="57" spans="1:10">
      <c r="B57" s="854" t="s">
        <v>4022</v>
      </c>
      <c r="C57" s="1717">
        <f>C53*C56</f>
        <v>0</v>
      </c>
      <c r="D57" s="1717">
        <f t="shared" ref="D57:G57" si="0">D53*D56</f>
        <v>0</v>
      </c>
      <c r="E57" s="1717">
        <f t="shared" si="0"/>
        <v>0</v>
      </c>
      <c r="F57" s="1717">
        <f t="shared" si="0"/>
        <v>0</v>
      </c>
      <c r="G57" s="1717">
        <f t="shared" si="0"/>
        <v>0</v>
      </c>
      <c r="H57" s="1591"/>
    </row>
    <row r="58" spans="1:10">
      <c r="B58" s="854" t="s">
        <v>4023</v>
      </c>
      <c r="C58" s="1282">
        <f>C54*C56</f>
        <v>0</v>
      </c>
      <c r="D58" s="1282">
        <f t="shared" ref="D58:G58" si="1">D54*D56</f>
        <v>0</v>
      </c>
      <c r="E58" s="1282">
        <f t="shared" si="1"/>
        <v>0</v>
      </c>
      <c r="F58" s="1282">
        <f t="shared" si="1"/>
        <v>0</v>
      </c>
      <c r="G58" s="1282">
        <f t="shared" si="1"/>
        <v>0</v>
      </c>
      <c r="H58" s="1591"/>
    </row>
    <row r="59" spans="1:10" ht="13.5" thickBot="1">
      <c r="B59" s="1594"/>
      <c r="C59" s="1718" t="str">
        <f>IF(C54="","",IF(C54&gt;C52*1.5, "Exceeds Baseline", IF(MAX(C54,IF($C$41="Continuous",$C$43,0)+IF($D$41="Continuous",$D$43,0))&lt;C52, "Insufficient Ventilation", "")))</f>
        <v>Insufficient Ventilation</v>
      </c>
      <c r="D59" s="1718" t="str">
        <f>IF(D54="","",IF(D54&gt;D52*1.5, "Exceeds Baseline", IF(MAX(D54,IF($C$41="Continuous",$C$43,0)+IF($D$41="Continuous",$D$43,0))&lt;D52, "Insufficient Ventilation", "")))</f>
        <v>Insufficient Ventilation</v>
      </c>
      <c r="E59" s="1718" t="str">
        <f>IF(E54="","",IF(E54&gt;E52*1.5, "Exceeds Baseline", IF(MAX(E54,IF($C$41="Continuous",$C$43,0)+IF($D$41="Continuous",$D$43,0))&lt;E52, "Insufficient Ventilation", "")))</f>
        <v>Insufficient Ventilation</v>
      </c>
      <c r="F59" s="1718" t="str">
        <f>IF(F54="","",IF(F54&gt;F52*1.5, "Exceeds Baseline", IF(MAX(F54,IF($C$41="Continuous",$C$43,0)+IF($D$41="Continuous",$D$43,0))&lt;F52, "Insufficient Ventilation", "")))</f>
        <v>Insufficient Ventilation</v>
      </c>
      <c r="G59" s="1718" t="str">
        <f>IF(G54="","",IF(G54&gt;G52*1.5, "Exceeds Baseline", IF(MAX(G54,IF($C$41="Continuous",$C$43,0)+IF($D$41="Continuous",$D$43,0))&lt;G52, "Insufficient Ventilation", "")))</f>
        <v>Insufficient Ventilation</v>
      </c>
      <c r="H59" s="1596"/>
    </row>
    <row r="61" spans="1:10">
      <c r="A61" s="1636"/>
      <c r="B61" s="1014"/>
      <c r="C61" s="1719" t="s">
        <v>980</v>
      </c>
      <c r="D61" s="1719" t="s">
        <v>981</v>
      </c>
      <c r="E61" s="1719" t="s">
        <v>980</v>
      </c>
      <c r="F61" s="1719" t="s">
        <v>981</v>
      </c>
      <c r="G61" s="1719" t="s">
        <v>980</v>
      </c>
      <c r="H61" s="1719" t="s">
        <v>981</v>
      </c>
      <c r="I61" s="1719" t="s">
        <v>980</v>
      </c>
      <c r="J61" s="1719" t="s">
        <v>981</v>
      </c>
    </row>
    <row r="62" spans="1:10">
      <c r="A62" s="1699"/>
      <c r="B62" s="1015" t="s">
        <v>2255</v>
      </c>
      <c r="C62" s="1871" t="s">
        <v>3454</v>
      </c>
      <c r="D62" s="1871"/>
      <c r="E62" s="1871" t="s">
        <v>4024</v>
      </c>
      <c r="F62" s="1871"/>
      <c r="G62" s="1871" t="s">
        <v>3618</v>
      </c>
      <c r="H62" s="1871"/>
      <c r="I62" s="2269"/>
      <c r="J62" s="2269"/>
    </row>
    <row r="63" spans="1:10">
      <c r="A63" s="1709"/>
      <c r="B63" s="1720" t="s">
        <v>4025</v>
      </c>
      <c r="C63" s="1056">
        <f>IF(B63="Infiltration CFM/SF envelope area @ 75 pa",0.4,0.3)</f>
        <v>0.3</v>
      </c>
      <c r="D63" s="1056">
        <f>C63</f>
        <v>0.3</v>
      </c>
      <c r="E63" s="2270">
        <f>C63</f>
        <v>0.3</v>
      </c>
      <c r="F63" s="2271"/>
      <c r="G63" s="2270">
        <f>C63</f>
        <v>0.3</v>
      </c>
      <c r="H63" s="2271"/>
      <c r="I63" s="2270">
        <f>C63</f>
        <v>0.3</v>
      </c>
      <c r="J63" s="2271"/>
    </row>
    <row r="64" spans="1:10">
      <c r="B64" s="1015" t="s">
        <v>4026</v>
      </c>
      <c r="C64" s="1056">
        <f>MIN(IF(C41="Continuous",C44*'DHW Demand'!$L$27,0)+IF(D41="Continuous",D44*'DHW Demand'!$L$28,0),D64)</f>
        <v>0</v>
      </c>
      <c r="D64" s="1056">
        <f>IF(C41="Continuous",C43*'DHW Demand'!L27,0)+IF('Infiltration&amp;Ventilation'!D41="Continuous",'Infiltration&amp;Ventilation'!D43*'DHW Demand'!L28,0)</f>
        <v>0</v>
      </c>
      <c r="E64" s="846"/>
      <c r="F64" s="846"/>
      <c r="G64" s="846"/>
      <c r="H64" s="846"/>
      <c r="I64" s="846"/>
      <c r="J64" s="846"/>
    </row>
    <row r="65" spans="1:10">
      <c r="B65" s="1015" t="s">
        <v>4027</v>
      </c>
      <c r="C65" s="846"/>
      <c r="D65" s="846"/>
      <c r="E65" s="846"/>
      <c r="F65" s="846"/>
      <c r="G65" s="846"/>
      <c r="H65" s="846"/>
      <c r="I65" s="846"/>
      <c r="J65" s="846"/>
    </row>
    <row r="66" spans="1:10">
      <c r="B66" s="1015" t="s">
        <v>4028</v>
      </c>
      <c r="C66" s="1056" t="s">
        <v>4029</v>
      </c>
      <c r="D66" s="846"/>
      <c r="E66" s="1056">
        <v>0</v>
      </c>
      <c r="F66" s="846"/>
      <c r="G66" s="846"/>
      <c r="H66" s="846"/>
      <c r="I66" s="846"/>
      <c r="J66" s="846"/>
    </row>
    <row r="67" spans="1:10">
      <c r="B67" s="1015" t="s">
        <v>4030</v>
      </c>
      <c r="C67" s="1056">
        <f>MIN(IF(C41="Intermittent",C44*'DHW Demand'!$L$27,0)+IF(D41="Intermittent",D44*'DHW Demand'!$L$28,0),D67)</f>
        <v>0</v>
      </c>
      <c r="D67" s="1056">
        <f>IF(C41="Continuous",0,C43*'DHW Demand'!L27)+IF('Infiltration&amp;Ventilation'!D41="Continuous",0,'Infiltration&amp;Ventilation'!D43*'DHW Demand'!L28)</f>
        <v>0</v>
      </c>
      <c r="E67" s="1056">
        <v>0</v>
      </c>
      <c r="F67" s="846"/>
      <c r="G67" s="846"/>
      <c r="H67" s="846"/>
      <c r="I67" s="846"/>
      <c r="J67" s="846"/>
    </row>
    <row r="68" spans="1:10" ht="12.75" customHeight="1">
      <c r="B68" s="1015" t="s">
        <v>4031</v>
      </c>
      <c r="C68" s="846"/>
      <c r="D68" s="846"/>
      <c r="E68" s="1056">
        <v>0</v>
      </c>
      <c r="F68" s="846"/>
      <c r="G68" s="846"/>
      <c r="H68" s="846"/>
      <c r="I68" s="846"/>
      <c r="J68" s="846"/>
    </row>
    <row r="69" spans="1:10">
      <c r="B69" s="1015" t="s">
        <v>4032</v>
      </c>
      <c r="C69" s="1056" t="s">
        <v>4029</v>
      </c>
      <c r="D69" s="1056">
        <f>SUM(C58:G58)</f>
        <v>0</v>
      </c>
      <c r="E69" s="1056" t="s">
        <v>4029</v>
      </c>
      <c r="F69" s="846"/>
      <c r="G69" s="846"/>
      <c r="H69" s="846"/>
      <c r="I69" s="846"/>
      <c r="J69" s="846"/>
    </row>
    <row r="70" spans="1:10">
      <c r="A70" s="1709"/>
      <c r="B70" s="1056" t="s">
        <v>4033</v>
      </c>
      <c r="C70" s="1609" t="str">
        <f>IF(C15=0,"",D24*(C13+C14)*60/C15)</f>
        <v/>
      </c>
      <c r="D70" s="1609" t="str">
        <f>IF(C15=0,"",E24*(C13+C14)*60/C15)</f>
        <v/>
      </c>
      <c r="E70" s="2267" t="s">
        <v>4034</v>
      </c>
      <c r="F70" s="2268"/>
      <c r="G70" s="2267" t="s">
        <v>4034</v>
      </c>
      <c r="H70" s="2268"/>
      <c r="I70" s="2267" t="s">
        <v>4034</v>
      </c>
      <c r="J70" s="2268"/>
    </row>
    <row r="71" spans="1:10">
      <c r="A71" s="1709"/>
      <c r="B71" s="1056" t="s">
        <v>4035</v>
      </c>
      <c r="C71" s="2263" t="s">
        <v>4036</v>
      </c>
      <c r="D71" s="2264"/>
      <c r="E71" s="2267" t="s">
        <v>4034</v>
      </c>
      <c r="F71" s="2268"/>
      <c r="G71" s="2267" t="s">
        <v>4034</v>
      </c>
      <c r="H71" s="2268"/>
      <c r="I71" s="2267" t="s">
        <v>4034</v>
      </c>
      <c r="J71" s="2268"/>
    </row>
    <row r="72" spans="1:10">
      <c r="B72" s="1056" t="s">
        <v>4037</v>
      </c>
      <c r="C72" s="1722">
        <f>C64+C65+C67*2/24</f>
        <v>0</v>
      </c>
      <c r="D72" s="1722">
        <f>D64+D65+D67*2/24</f>
        <v>0</v>
      </c>
      <c r="E72" s="1723">
        <f t="shared" ref="E72:J72" si="2">E64</f>
        <v>0</v>
      </c>
      <c r="F72" s="1723">
        <f t="shared" si="2"/>
        <v>0</v>
      </c>
      <c r="G72" s="1723">
        <f t="shared" si="2"/>
        <v>0</v>
      </c>
      <c r="H72" s="1723">
        <f t="shared" si="2"/>
        <v>0</v>
      </c>
      <c r="I72" s="1723">
        <f t="shared" si="2"/>
        <v>0</v>
      </c>
      <c r="J72" s="1723">
        <f t="shared" si="2"/>
        <v>0</v>
      </c>
    </row>
    <row r="73" spans="1:10">
      <c r="B73" s="1721" t="s">
        <v>4038</v>
      </c>
      <c r="C73" s="2263" t="s">
        <v>4039</v>
      </c>
      <c r="D73" s="2264"/>
      <c r="E73" s="2263" t="s">
        <v>4039</v>
      </c>
      <c r="F73" s="2264"/>
      <c r="G73" s="2263" t="s">
        <v>4039</v>
      </c>
      <c r="H73" s="2264"/>
      <c r="I73" s="2263" t="s">
        <v>4039</v>
      </c>
      <c r="J73" s="2264"/>
    </row>
    <row r="74" spans="1:10">
      <c r="B74" s="1056" t="s">
        <v>4040</v>
      </c>
      <c r="C74" s="1724">
        <v>0</v>
      </c>
      <c r="D74" s="1725">
        <f>IF(D72=0,0,(D66+D68*2/24)/D72)</f>
        <v>0</v>
      </c>
      <c r="E74" s="1724">
        <v>0</v>
      </c>
      <c r="F74" s="1606">
        <f>F66</f>
        <v>0</v>
      </c>
      <c r="G74" s="1724">
        <v>0</v>
      </c>
      <c r="H74" s="1606">
        <f>H66</f>
        <v>0</v>
      </c>
      <c r="I74" s="1724">
        <v>0</v>
      </c>
      <c r="J74" s="1606">
        <f>J66</f>
        <v>0</v>
      </c>
    </row>
    <row r="75" spans="1:10">
      <c r="B75" s="1056" t="s">
        <v>4041</v>
      </c>
      <c r="C75" s="1724">
        <f>C68</f>
        <v>0</v>
      </c>
      <c r="D75" s="1724">
        <f t="shared" ref="D75:J75" si="3">D68</f>
        <v>0</v>
      </c>
      <c r="E75" s="1724">
        <f t="shared" si="3"/>
        <v>0</v>
      </c>
      <c r="F75" s="1724">
        <f t="shared" si="3"/>
        <v>0</v>
      </c>
      <c r="G75" s="1724">
        <f t="shared" si="3"/>
        <v>0</v>
      </c>
      <c r="H75" s="1724">
        <f t="shared" si="3"/>
        <v>0</v>
      </c>
      <c r="I75" s="1724">
        <f t="shared" si="3"/>
        <v>0</v>
      </c>
      <c r="J75" s="1724">
        <f t="shared" si="3"/>
        <v>0</v>
      </c>
    </row>
    <row r="76" spans="1:10">
      <c r="B76" s="1056" t="s">
        <v>4042</v>
      </c>
      <c r="C76" s="2265" t="s">
        <v>206</v>
      </c>
      <c r="D76" s="2266"/>
      <c r="E76" s="2267" t="s">
        <v>4034</v>
      </c>
      <c r="F76" s="2268"/>
      <c r="G76" s="2267" t="s">
        <v>4034</v>
      </c>
      <c r="H76" s="2268"/>
      <c r="I76" s="2267" t="s">
        <v>4034</v>
      </c>
      <c r="J76" s="2268"/>
    </row>
    <row r="77" spans="1:10">
      <c r="B77" s="1056" t="s">
        <v>4043</v>
      </c>
      <c r="C77" s="1693">
        <f>MIN(SUM(C57:G57),D77)</f>
        <v>0</v>
      </c>
      <c r="D77" s="1693">
        <f>D69</f>
        <v>0</v>
      </c>
      <c r="E77" s="1609">
        <f>MIN(F77,1.5*'Basic Info'!C15*0.06)</f>
        <v>0</v>
      </c>
      <c r="F77" s="1609">
        <f>F69</f>
        <v>0</v>
      </c>
      <c r="G77" s="1609">
        <f>G69</f>
        <v>0</v>
      </c>
      <c r="H77" s="1609">
        <f>H69</f>
        <v>0</v>
      </c>
      <c r="I77" s="1609">
        <f>I69</f>
        <v>0</v>
      </c>
      <c r="J77" s="1609">
        <f>J69</f>
        <v>0</v>
      </c>
    </row>
    <row r="78" spans="1:10">
      <c r="B78" s="1709"/>
    </row>
    <row r="79" spans="1:10">
      <c r="B79" s="1391" t="s">
        <v>1205</v>
      </c>
    </row>
    <row r="80" spans="1:10">
      <c r="A80" s="813">
        <v>1</v>
      </c>
      <c r="B80" s="813" t="s">
        <v>4044</v>
      </c>
    </row>
    <row r="81" spans="1:7">
      <c r="A81" s="813">
        <v>2</v>
      </c>
      <c r="B81" s="813" t="s">
        <v>4045</v>
      </c>
    </row>
    <row r="82" spans="1:7">
      <c r="A82" s="813">
        <v>3</v>
      </c>
      <c r="B82" s="813" t="s">
        <v>4046</v>
      </c>
    </row>
    <row r="83" spans="1:7">
      <c r="A83" s="813"/>
      <c r="B83" s="1710" t="s">
        <v>4047</v>
      </c>
    </row>
    <row r="84" spans="1:7">
      <c r="A84" s="813"/>
      <c r="B84" s="1710" t="s">
        <v>4048</v>
      </c>
    </row>
    <row r="85" spans="1:7">
      <c r="A85" s="813"/>
      <c r="B85" s="1710" t="s">
        <v>4049</v>
      </c>
    </row>
    <row r="86" spans="1:7">
      <c r="A86" s="813"/>
      <c r="B86" s="1710" t="s">
        <v>4050</v>
      </c>
    </row>
    <row r="87" spans="1:7">
      <c r="A87" s="813"/>
      <c r="B87" s="1710" t="s">
        <v>4051</v>
      </c>
    </row>
    <row r="88" spans="1:7">
      <c r="A88" s="813"/>
      <c r="B88" s="1710" t="s">
        <v>4052</v>
      </c>
    </row>
    <row r="89" spans="1:7">
      <c r="A89" s="813">
        <v>4</v>
      </c>
      <c r="B89" s="813" t="s">
        <v>4053</v>
      </c>
    </row>
    <row r="90" spans="1:7">
      <c r="A90" s="813">
        <v>5</v>
      </c>
      <c r="B90" s="813" t="s">
        <v>4054</v>
      </c>
    </row>
    <row r="92" spans="1:7">
      <c r="B92" s="1821" t="s">
        <v>3845</v>
      </c>
      <c r="C92" s="1822"/>
      <c r="D92" s="1822"/>
      <c r="E92" s="1822"/>
      <c r="F92" s="1822"/>
      <c r="G92" s="1823"/>
    </row>
    <row r="93" spans="1:7">
      <c r="B93" s="1040"/>
      <c r="C93" s="1041"/>
      <c r="D93" s="1041"/>
      <c r="E93" s="1041"/>
      <c r="F93" s="1041"/>
      <c r="G93" s="1042"/>
    </row>
    <row r="94" spans="1:7">
      <c r="B94" s="1043"/>
      <c r="C94" s="1044"/>
      <c r="D94" s="1044"/>
      <c r="E94" s="1044"/>
      <c r="F94" s="1044"/>
      <c r="G94" s="1045"/>
    </row>
    <row r="95" spans="1:7">
      <c r="B95" s="1046"/>
      <c r="C95" s="1044"/>
      <c r="D95" s="1044"/>
      <c r="E95" s="1044"/>
      <c r="F95" s="1044"/>
      <c r="G95" s="1045"/>
    </row>
    <row r="96" spans="1:7">
      <c r="B96" s="1046"/>
      <c r="C96" s="1044"/>
      <c r="D96" s="1044"/>
      <c r="E96" s="1044"/>
      <c r="F96" s="1044"/>
      <c r="G96" s="1045"/>
    </row>
    <row r="97" spans="2:7">
      <c r="B97" s="1047"/>
      <c r="C97" s="1048"/>
      <c r="D97" s="1048"/>
      <c r="E97" s="1048"/>
      <c r="F97" s="1048"/>
      <c r="G97" s="1049"/>
    </row>
  </sheetData>
  <sheetProtection formatCells="0" insertColumns="0" deleteColumns="0"/>
  <mergeCells count="23">
    <mergeCell ref="B92:G92"/>
    <mergeCell ref="C62:D62"/>
    <mergeCell ref="E62:F62"/>
    <mergeCell ref="G62:H62"/>
    <mergeCell ref="I62:J62"/>
    <mergeCell ref="E63:F63"/>
    <mergeCell ref="G63:H63"/>
    <mergeCell ref="I63:J63"/>
    <mergeCell ref="E70:F70"/>
    <mergeCell ref="G70:H70"/>
    <mergeCell ref="I70:J70"/>
    <mergeCell ref="C71:D71"/>
    <mergeCell ref="E71:F71"/>
    <mergeCell ref="G71:H71"/>
    <mergeCell ref="I71:J71"/>
    <mergeCell ref="C73:D73"/>
    <mergeCell ref="E73:F73"/>
    <mergeCell ref="G73:H73"/>
    <mergeCell ref="I73:J73"/>
    <mergeCell ref="C76:D76"/>
    <mergeCell ref="E76:F76"/>
    <mergeCell ref="G76:H76"/>
    <mergeCell ref="I76:J76"/>
  </mergeCells>
  <conditionalFormatting sqref="C74">
    <cfRule type="cellIs" dxfId="8" priority="12" operator="notEqual">
      <formula>0</formula>
    </cfRule>
    <cfRule type="cellIs" priority="13" operator="notEqual">
      <formula>0</formula>
    </cfRule>
  </conditionalFormatting>
  <conditionalFormatting sqref="E77">
    <cfRule type="cellIs" dxfId="7" priority="11" operator="lessThan">
      <formula>#REF!*0.06</formula>
    </cfRule>
  </conditionalFormatting>
  <conditionalFormatting sqref="G74">
    <cfRule type="cellIs" dxfId="6" priority="9" operator="notEqual">
      <formula>0</formula>
    </cfRule>
    <cfRule type="cellIs" priority="10" operator="notEqual">
      <formula>0</formula>
    </cfRule>
  </conditionalFormatting>
  <conditionalFormatting sqref="E74">
    <cfRule type="cellIs" dxfId="5" priority="7" operator="notEqual">
      <formula>0</formula>
    </cfRule>
    <cfRule type="cellIs" priority="8" operator="notEqual">
      <formula>0</formula>
    </cfRule>
  </conditionalFormatting>
  <conditionalFormatting sqref="I74">
    <cfRule type="cellIs" dxfId="4" priority="5" operator="notEqual">
      <formula>0</formula>
    </cfRule>
    <cfRule type="cellIs" priority="6" operator="notEqual">
      <formula>0</formula>
    </cfRule>
  </conditionalFormatting>
  <conditionalFormatting sqref="D47">
    <cfRule type="cellIs" dxfId="3" priority="2" operator="notBetween">
      <formula>$D$45</formula>
      <formula>$D$46</formula>
    </cfRule>
  </conditionalFormatting>
  <conditionalFormatting sqref="C47">
    <cfRule type="cellIs" dxfId="2" priority="1" operator="notBetween">
      <formula>$C$45</formula>
      <formula>$C$46</formula>
    </cfRule>
  </conditionalFormatting>
  <dataValidations count="4">
    <dataValidation type="list" allowBlank="1" showInputMessage="1" showErrorMessage="1" sqref="B63">
      <formula1>"Infiltration CFM/SF envelope area @ 75 pa,Infiltration CFM/SF envelope area @ 50 pa"</formula1>
    </dataValidation>
    <dataValidation type="list" allowBlank="1" showInputMessage="1" showErrorMessage="1" sqref="C55:G55">
      <formula1>"Yes, No"</formula1>
    </dataValidation>
    <dataValidation type="list" allowBlank="1" showInputMessage="1" showErrorMessage="1" sqref="C42:D42">
      <formula1>"Rooftop, Range Hood &lt;500CFM, Bathroom &amp; Utility 90-500 CFM, In-line, Other"</formula1>
    </dataValidation>
    <dataValidation type="list" allowBlank="1" showInputMessage="1" showErrorMessage="1" sqref="C41:D41">
      <formula1>"Intermittent, Continuous"</formula1>
    </dataValidation>
  </dataValidations>
  <pageMargins left="0.7" right="0.7" top="0.75" bottom="0.75" header="0.3" footer="0.3"/>
  <pageSetup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3" operator="lessThan" id="{F61AC955-97C1-4861-9D8B-86EEAB38B366}">
            <xm:f>$D$46/'DHW Demand'!$L$28</xm:f>
            <x14:dxf>
              <font>
                <color auto="1"/>
              </font>
              <fill>
                <patternFill>
                  <bgColor rgb="FFFF0000"/>
                </patternFill>
              </fill>
            </x14:dxf>
          </x14:cfRule>
          <xm:sqref>D43</xm:sqref>
        </x14:conditionalFormatting>
        <x14:conditionalFormatting xmlns:xm="http://schemas.microsoft.com/office/excel/2006/main">
          <x14:cfRule type="cellIs" priority="4" operator="lessThan" id="{1C8213EB-F8EA-4DF4-A359-84BA719E6CF2}">
            <xm:f>$C$46/'DHW Demand'!$L$27</xm:f>
            <x14:dxf>
              <font>
                <color auto="1"/>
              </font>
              <fill>
                <patternFill>
                  <bgColor rgb="FFFF0000"/>
                </patternFill>
              </fill>
            </x14:dxf>
          </x14:cfRule>
          <xm:sqref>C43</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6" tint="0.39997558519241921"/>
  </sheetPr>
  <dimension ref="A1:O44"/>
  <sheetViews>
    <sheetView showGridLines="0" workbookViewId="0"/>
  </sheetViews>
  <sheetFormatPr defaultRowHeight="12"/>
  <cols>
    <col min="1" max="1" width="2" style="1028" bestFit="1" customWidth="1"/>
    <col min="2" max="2" width="33.7109375" style="1028" customWidth="1"/>
    <col min="3" max="3" width="14.28515625" style="1028" customWidth="1"/>
    <col min="4" max="4" width="12.42578125" style="1028" customWidth="1"/>
    <col min="5" max="5" width="11.42578125" style="1028" customWidth="1"/>
    <col min="6" max="11" width="10" style="1028" customWidth="1"/>
    <col min="12" max="12" width="9.140625" style="1028"/>
    <col min="13" max="13" width="28.140625" style="1028" bestFit="1" customWidth="1"/>
    <col min="14" max="16384" width="9.140625" style="1028"/>
  </cols>
  <sheetData>
    <row r="1" spans="1:15" ht="18.75">
      <c r="B1" s="1053" t="s">
        <v>3636</v>
      </c>
    </row>
    <row r="3" spans="1:15">
      <c r="A3" s="1339"/>
      <c r="B3" s="1391" t="s">
        <v>3363</v>
      </c>
    </row>
    <row r="4" spans="1:15">
      <c r="A4" s="813">
        <v>1</v>
      </c>
      <c r="B4" s="841" t="s">
        <v>3637</v>
      </c>
      <c r="C4" s="1593"/>
      <c r="D4" s="1593"/>
      <c r="E4" s="1593"/>
    </row>
    <row r="5" spans="1:15">
      <c r="A5" s="813">
        <v>2</v>
      </c>
      <c r="B5" s="841" t="s">
        <v>3638</v>
      </c>
      <c r="C5" s="1593"/>
      <c r="D5" s="1593"/>
      <c r="E5" s="1593"/>
    </row>
    <row r="6" spans="1:15">
      <c r="A6" s="813">
        <v>3</v>
      </c>
      <c r="B6" s="813" t="s">
        <v>3639</v>
      </c>
      <c r="C6" s="1593"/>
      <c r="D6" s="1593"/>
    </row>
    <row r="7" spans="1:15">
      <c r="A7" s="813">
        <v>4</v>
      </c>
      <c r="B7" s="817" t="s">
        <v>2252</v>
      </c>
      <c r="C7" s="1593"/>
      <c r="D7" s="1593"/>
    </row>
    <row r="8" spans="1:15">
      <c r="A8" s="813">
        <v>5</v>
      </c>
      <c r="B8" s="842" t="s">
        <v>3640</v>
      </c>
      <c r="C8" s="1593"/>
    </row>
    <row r="9" spans="1:15">
      <c r="A9" s="813">
        <v>6</v>
      </c>
      <c r="B9" s="1740" t="s">
        <v>3641</v>
      </c>
      <c r="C9" s="1726"/>
      <c r="D9" s="1726"/>
    </row>
    <row r="10" spans="1:15">
      <c r="B10" s="1727"/>
      <c r="C10" s="1727"/>
      <c r="D10" s="1727"/>
    </row>
    <row r="11" spans="1:15">
      <c r="C11" s="2278" t="s">
        <v>812</v>
      </c>
      <c r="D11" s="2274"/>
      <c r="E11" s="2278" t="s">
        <v>2300</v>
      </c>
      <c r="F11" s="2273"/>
      <c r="G11" s="2273"/>
      <c r="H11" s="2273"/>
      <c r="I11" s="2273"/>
      <c r="J11" s="2273"/>
      <c r="K11" s="2274"/>
    </row>
    <row r="12" spans="1:15" ht="36">
      <c r="B12" s="1741"/>
      <c r="C12" s="1742" t="s">
        <v>3642</v>
      </c>
      <c r="D12" s="1742" t="s">
        <v>3643</v>
      </c>
      <c r="E12" s="1742" t="s">
        <v>3643</v>
      </c>
      <c r="F12" s="1742" t="s">
        <v>3644</v>
      </c>
      <c r="G12" s="1742" t="s">
        <v>3645</v>
      </c>
      <c r="H12" s="1742" t="s">
        <v>3646</v>
      </c>
      <c r="I12" s="1742" t="s">
        <v>3647</v>
      </c>
      <c r="J12" s="1742" t="s">
        <v>3648</v>
      </c>
      <c r="K12" s="1742" t="s">
        <v>3649</v>
      </c>
      <c r="M12" s="2272" t="s">
        <v>3977</v>
      </c>
      <c r="N12" s="2273"/>
      <c r="O12" s="2274"/>
    </row>
    <row r="13" spans="1:15">
      <c r="B13" s="1743" t="s">
        <v>3650</v>
      </c>
      <c r="C13" s="1751" t="s">
        <v>3651</v>
      </c>
      <c r="D13" s="1751" t="s">
        <v>3651</v>
      </c>
      <c r="E13" s="1728"/>
      <c r="F13" s="1729"/>
      <c r="G13" s="1729"/>
      <c r="H13" s="1729"/>
      <c r="I13" s="1729"/>
      <c r="J13" s="1729"/>
      <c r="K13" s="1729"/>
      <c r="M13" s="1743" t="s">
        <v>3978</v>
      </c>
      <c r="N13" s="1017" t="s">
        <v>2585</v>
      </c>
      <c r="O13" s="1018" t="s">
        <v>1118</v>
      </c>
    </row>
    <row r="14" spans="1:15">
      <c r="B14" s="1743" t="s">
        <v>1118</v>
      </c>
      <c r="C14" s="1752">
        <f>IF(C15&gt;15000,9.305,IF(C15&lt;7000,11.009,12.5-(0.213*C15/1000)))</f>
        <v>11.009</v>
      </c>
      <c r="D14" s="1753">
        <f>IF(D15&gt;15000,9.305,IF(D15&lt;7000,11.009,12.5-(0.213*D15/1000)))</f>
        <v>11.009</v>
      </c>
      <c r="E14" s="1728"/>
      <c r="F14" s="1729"/>
      <c r="G14" s="1729"/>
      <c r="H14" s="1729"/>
      <c r="I14" s="1729"/>
      <c r="J14" s="1729"/>
      <c r="K14" s="1729"/>
      <c r="M14" s="1743"/>
      <c r="N14" s="1728"/>
      <c r="O14" s="1019">
        <f>-0.02*N14^2+1.12*N14</f>
        <v>0</v>
      </c>
    </row>
    <row r="15" spans="1:15">
      <c r="B15" s="1744" t="s">
        <v>3652</v>
      </c>
      <c r="C15" s="1730"/>
      <c r="D15" s="1730"/>
      <c r="E15" s="1730"/>
      <c r="F15" s="1730"/>
      <c r="G15" s="1730"/>
      <c r="H15" s="1730"/>
      <c r="I15" s="1730"/>
      <c r="J15" s="1730"/>
      <c r="K15" s="1730"/>
      <c r="M15" s="2275"/>
      <c r="N15" s="2276"/>
      <c r="O15" s="2277"/>
    </row>
    <row r="16" spans="1:15">
      <c r="B16" s="1745" t="s">
        <v>3653</v>
      </c>
      <c r="C16" s="1624" t="s">
        <v>206</v>
      </c>
      <c r="D16" s="1746" t="s">
        <v>206</v>
      </c>
      <c r="E16" s="1729"/>
      <c r="F16" s="1729"/>
      <c r="G16" s="1729"/>
      <c r="H16" s="1729"/>
      <c r="I16" s="1729"/>
      <c r="J16" s="1729"/>
      <c r="K16" s="1729"/>
      <c r="M16" s="1743" t="s">
        <v>3979</v>
      </c>
      <c r="N16" s="1017" t="s">
        <v>2584</v>
      </c>
      <c r="O16" s="1018" t="s">
        <v>2587</v>
      </c>
    </row>
    <row r="17" spans="2:15">
      <c r="B17" s="1745" t="s">
        <v>3654</v>
      </c>
      <c r="C17" s="1624" t="s">
        <v>206</v>
      </c>
      <c r="D17" s="1746" t="s">
        <v>206</v>
      </c>
      <c r="E17" s="1731"/>
      <c r="F17" s="1732"/>
      <c r="G17" s="1732"/>
      <c r="H17" s="1732"/>
      <c r="I17" s="1732"/>
      <c r="J17" s="1732"/>
      <c r="K17" s="1732"/>
      <c r="M17" s="1743" t="s">
        <v>3980</v>
      </c>
      <c r="N17" s="1728"/>
      <c r="O17" s="1019">
        <f>0.2778*N17+0.9667</f>
        <v>0.9667</v>
      </c>
    </row>
    <row r="18" spans="2:15">
      <c r="B18" s="1745" t="s">
        <v>3655</v>
      </c>
      <c r="C18" s="1747" t="s">
        <v>206</v>
      </c>
      <c r="D18" s="1747" t="s">
        <v>206</v>
      </c>
      <c r="E18" s="1733"/>
      <c r="F18" s="1734"/>
      <c r="G18" s="1734"/>
      <c r="H18" s="1734"/>
      <c r="I18" s="1734"/>
      <c r="J18" s="1734"/>
      <c r="K18" s="1734"/>
      <c r="M18" s="1743" t="s">
        <v>3981</v>
      </c>
      <c r="N18" s="1728"/>
      <c r="O18" s="1754">
        <f>-0.0255*N18^2+0.6239*N18</f>
        <v>0</v>
      </c>
    </row>
    <row r="19" spans="2:15" ht="12.75" thickBot="1">
      <c r="B19" s="1745" t="s">
        <v>3656</v>
      </c>
      <c r="C19" s="1748">
        <v>2.9999999999999997E-4</v>
      </c>
      <c r="D19" s="1748">
        <v>2.9999999999999997E-4</v>
      </c>
      <c r="E19" s="1750">
        <f>IF(E18+E17=0,0,E16*0.746/E18/E17)</f>
        <v>0</v>
      </c>
      <c r="F19" s="1750">
        <f t="shared" ref="F19:K19" si="0">IF(F18+F17=0,0,F16*0.746/F18/F17)</f>
        <v>0</v>
      </c>
      <c r="G19" s="1750">
        <f t="shared" si="0"/>
        <v>0</v>
      </c>
      <c r="H19" s="1750">
        <f t="shared" si="0"/>
        <v>0</v>
      </c>
      <c r="I19" s="1750">
        <f t="shared" si="0"/>
        <v>0</v>
      </c>
      <c r="J19" s="1750">
        <f t="shared" si="0"/>
        <v>0</v>
      </c>
      <c r="K19" s="1750">
        <f t="shared" si="0"/>
        <v>0</v>
      </c>
      <c r="M19" s="1743" t="s">
        <v>3982</v>
      </c>
      <c r="N19" s="1728"/>
      <c r="O19" s="1755">
        <f>0.4813*N19-0.2606</f>
        <v>-0.2606</v>
      </c>
    </row>
    <row r="20" spans="2:15">
      <c r="B20" s="1745" t="s">
        <v>3657</v>
      </c>
      <c r="C20" s="1749">
        <f>(1/C14-0.365*400/12000)/((1/3.413)+0.365*400/12000)</f>
        <v>0.2577895729181931</v>
      </c>
      <c r="D20" s="1749">
        <f>(1/D14-0.365*400/12000)/((1/3.413)+0.365*400/12000)</f>
        <v>0.2577895729181931</v>
      </c>
      <c r="E20" s="1749">
        <f>IF(E14=0,0,(1/E14-0.365*400/12000)/((1/3.413)+0.365*400/12000))</f>
        <v>0</v>
      </c>
      <c r="F20" s="1749">
        <f t="shared" ref="F20:K20" si="1">IF(F14=0,0,(1/F14-0.365*400/12000)/((1/3.413)+0.365*400/12000))</f>
        <v>0</v>
      </c>
      <c r="G20" s="1749">
        <f t="shared" si="1"/>
        <v>0</v>
      </c>
      <c r="H20" s="1749">
        <f t="shared" si="1"/>
        <v>0</v>
      </c>
      <c r="I20" s="1749">
        <f t="shared" si="1"/>
        <v>0</v>
      </c>
      <c r="J20" s="1749">
        <f t="shared" si="1"/>
        <v>0</v>
      </c>
      <c r="K20" s="1749">
        <f t="shared" si="1"/>
        <v>0</v>
      </c>
    </row>
    <row r="24" spans="2:15">
      <c r="C24" s="2278" t="s">
        <v>812</v>
      </c>
      <c r="D24" s="2274"/>
      <c r="E24" s="2278" t="s">
        <v>2300</v>
      </c>
      <c r="F24" s="2273"/>
      <c r="G24" s="2273"/>
      <c r="H24" s="2273"/>
      <c r="I24" s="2273"/>
      <c r="J24" s="2273"/>
      <c r="K24" s="2274"/>
    </row>
    <row r="25" spans="2:15" ht="36">
      <c r="B25" s="1741"/>
      <c r="C25" s="1742" t="s">
        <v>3642</v>
      </c>
      <c r="D25" s="1742" t="s">
        <v>3643</v>
      </c>
      <c r="E25" s="1742" t="s">
        <v>3643</v>
      </c>
      <c r="F25" s="1742" t="s">
        <v>3644</v>
      </c>
      <c r="G25" s="1742" t="s">
        <v>3645</v>
      </c>
      <c r="H25" s="1742" t="s">
        <v>3646</v>
      </c>
      <c r="I25" s="1742" t="s">
        <v>3647</v>
      </c>
      <c r="J25" s="1742" t="s">
        <v>3648</v>
      </c>
      <c r="K25" s="1742" t="s">
        <v>3649</v>
      </c>
    </row>
    <row r="26" spans="2:15">
      <c r="B26" s="1743" t="s">
        <v>3650</v>
      </c>
      <c r="C26" s="1751" t="s">
        <v>3658</v>
      </c>
      <c r="D26" s="1751" t="s">
        <v>3658</v>
      </c>
      <c r="E26" s="1728"/>
      <c r="F26" s="1729"/>
      <c r="G26" s="1729"/>
      <c r="H26" s="1729"/>
      <c r="I26" s="1729"/>
      <c r="J26" s="1729"/>
      <c r="K26" s="1729"/>
    </row>
    <row r="27" spans="2:15">
      <c r="B27" s="1743" t="s">
        <v>1118</v>
      </c>
      <c r="C27" s="1752">
        <f>IF(C28&gt;15000,9.105,IF(C28&lt;7000,10.809,12.3-(0.213*C28/1000)))</f>
        <v>10.808999999999999</v>
      </c>
      <c r="D27" s="1753">
        <f>IF(D28&gt;15000,9.105,IF(D28&lt;7000,10.809,12.3-(0.213*D28/1000)))</f>
        <v>10.808999999999999</v>
      </c>
      <c r="E27" s="1728"/>
      <c r="F27" s="1729"/>
      <c r="G27" s="1729"/>
      <c r="H27" s="1729"/>
      <c r="I27" s="1729"/>
      <c r="J27" s="1729"/>
      <c r="K27" s="1729"/>
    </row>
    <row r="28" spans="2:15">
      <c r="B28" s="1744" t="s">
        <v>3652</v>
      </c>
      <c r="C28" s="1735"/>
      <c r="D28" s="1735"/>
      <c r="E28" s="1735"/>
      <c r="F28" s="1735"/>
      <c r="G28" s="1735"/>
      <c r="H28" s="1735"/>
      <c r="I28" s="1735"/>
      <c r="J28" s="1735"/>
      <c r="K28" s="1735"/>
    </row>
    <row r="29" spans="2:15">
      <c r="B29" s="1745" t="s">
        <v>3653</v>
      </c>
      <c r="C29" s="1624" t="s">
        <v>206</v>
      </c>
      <c r="D29" s="1746" t="s">
        <v>206</v>
      </c>
      <c r="E29" s="1729"/>
      <c r="F29" s="1729"/>
      <c r="G29" s="1729"/>
      <c r="H29" s="1729"/>
      <c r="I29" s="1729"/>
      <c r="J29" s="1729"/>
      <c r="K29" s="1729"/>
    </row>
    <row r="30" spans="2:15">
      <c r="B30" s="1745" t="s">
        <v>3654</v>
      </c>
      <c r="C30" s="1624" t="s">
        <v>206</v>
      </c>
      <c r="D30" s="1746" t="s">
        <v>206</v>
      </c>
      <c r="E30" s="1736"/>
      <c r="F30" s="1737"/>
      <c r="G30" s="1737"/>
      <c r="H30" s="1737"/>
      <c r="I30" s="1737"/>
      <c r="J30" s="1737"/>
      <c r="K30" s="1737"/>
    </row>
    <row r="31" spans="2:15" ht="12" customHeight="1">
      <c r="B31" s="1745" t="s">
        <v>3655</v>
      </c>
      <c r="C31" s="1747" t="s">
        <v>206</v>
      </c>
      <c r="D31" s="1747" t="s">
        <v>206</v>
      </c>
      <c r="E31" s="1731"/>
      <c r="F31" s="1732"/>
      <c r="G31" s="1732"/>
      <c r="H31" s="1732"/>
      <c r="I31" s="1732"/>
      <c r="J31" s="1732"/>
      <c r="K31" s="1732"/>
    </row>
    <row r="32" spans="2:15" ht="12" customHeight="1">
      <c r="B32" s="1745" t="s">
        <v>3656</v>
      </c>
      <c r="C32" s="1748">
        <v>2.9999999999999997E-4</v>
      </c>
      <c r="D32" s="1748">
        <v>2.9999999999999997E-4</v>
      </c>
      <c r="E32" s="1750">
        <f t="shared" ref="E32:K32" si="2">IF(E31+E30=0,0,E29*0.746/E31/E30)</f>
        <v>0</v>
      </c>
      <c r="F32" s="1750">
        <f t="shared" si="2"/>
        <v>0</v>
      </c>
      <c r="G32" s="1750">
        <f t="shared" si="2"/>
        <v>0</v>
      </c>
      <c r="H32" s="1750">
        <f t="shared" si="2"/>
        <v>0</v>
      </c>
      <c r="I32" s="1750">
        <f t="shared" si="2"/>
        <v>0</v>
      </c>
      <c r="J32" s="1750">
        <f t="shared" si="2"/>
        <v>0</v>
      </c>
      <c r="K32" s="1750">
        <f t="shared" si="2"/>
        <v>0</v>
      </c>
    </row>
    <row r="33" spans="2:11" ht="12" customHeight="1">
      <c r="B33" s="1745" t="s">
        <v>3659</v>
      </c>
      <c r="C33" s="1749">
        <f>(1/C27-0.365*400/12000)/((1/3.413)+0.365*400/12000)</f>
        <v>0.26329718401113056</v>
      </c>
      <c r="D33" s="1749">
        <f>(1/D27-0.365*400/12000)/((1/3.413)+0.365*400/12000)</f>
        <v>0.26329718401113056</v>
      </c>
      <c r="E33" s="1749">
        <f>IF(E27=0,0,(1/E27-0.365*400/12000)/((1/3.413)+0.365*400/12000))</f>
        <v>0</v>
      </c>
      <c r="F33" s="1749">
        <f t="shared" ref="F33:K33" si="3">IF(F27=0,0,(1/F27-0.365*400/12000)/((1/3.413)+0.365*400/12000))</f>
        <v>0</v>
      </c>
      <c r="G33" s="1749">
        <f t="shared" si="3"/>
        <v>0</v>
      </c>
      <c r="H33" s="1749">
        <f t="shared" si="3"/>
        <v>0</v>
      </c>
      <c r="I33" s="1749">
        <f t="shared" si="3"/>
        <v>0</v>
      </c>
      <c r="J33" s="1749">
        <f t="shared" si="3"/>
        <v>0</v>
      </c>
      <c r="K33" s="1749">
        <f t="shared" si="3"/>
        <v>0</v>
      </c>
    </row>
    <row r="34" spans="2:11" ht="12" customHeight="1">
      <c r="B34" s="1745" t="s">
        <v>3660</v>
      </c>
      <c r="C34" s="1735"/>
      <c r="D34" s="1735"/>
      <c r="E34" s="1735"/>
      <c r="F34" s="1735"/>
      <c r="G34" s="1735"/>
      <c r="H34" s="1735"/>
      <c r="I34" s="1735"/>
      <c r="J34" s="1735"/>
      <c r="K34" s="1735"/>
    </row>
    <row r="35" spans="2:11" ht="12" customHeight="1">
      <c r="B35" s="1745" t="s">
        <v>3661</v>
      </c>
      <c r="C35" s="1749">
        <f>IF(C34&gt;15000,2.81,IF(C34&lt;7000,3.018,3.2-(0.026*C34/1000)))</f>
        <v>3.0179999999999998</v>
      </c>
      <c r="D35" s="1749">
        <f>IF(D34&gt;15000,2.81,IF(D34&lt;7000,3.018,3.2-(0.026*D34/1000)))</f>
        <v>3.0179999999999998</v>
      </c>
      <c r="E35" s="1738"/>
      <c r="F35" s="1739"/>
      <c r="G35" s="1739"/>
      <c r="H35" s="1739"/>
      <c r="I35" s="1739"/>
      <c r="J35" s="1739"/>
      <c r="K35" s="1739"/>
    </row>
    <row r="36" spans="2:11" ht="12" customHeight="1">
      <c r="B36" s="1745" t="s">
        <v>3662</v>
      </c>
      <c r="C36" s="1749">
        <f t="shared" ref="C36:K36" si="4">1/C35</f>
        <v>0.3313452617627568</v>
      </c>
      <c r="D36" s="1756">
        <f t="shared" si="4"/>
        <v>0.3313452617627568</v>
      </c>
      <c r="E36" s="1756" t="e">
        <f t="shared" si="4"/>
        <v>#DIV/0!</v>
      </c>
      <c r="F36" s="1756" t="e">
        <f t="shared" si="4"/>
        <v>#DIV/0!</v>
      </c>
      <c r="G36" s="1756" t="e">
        <f t="shared" si="4"/>
        <v>#DIV/0!</v>
      </c>
      <c r="H36" s="1756" t="e">
        <f t="shared" si="4"/>
        <v>#DIV/0!</v>
      </c>
      <c r="I36" s="1756" t="e">
        <f t="shared" si="4"/>
        <v>#DIV/0!</v>
      </c>
      <c r="J36" s="1756" t="e">
        <f t="shared" si="4"/>
        <v>#DIV/0!</v>
      </c>
      <c r="K36" s="1756" t="e">
        <f t="shared" si="4"/>
        <v>#DIV/0!</v>
      </c>
    </row>
    <row r="39" spans="2:11">
      <c r="B39" s="1821" t="s">
        <v>3845</v>
      </c>
      <c r="C39" s="1822"/>
      <c r="D39" s="1822"/>
      <c r="E39" s="1822"/>
      <c r="F39" s="1822"/>
      <c r="G39" s="1823"/>
    </row>
    <row r="40" spans="2:11">
      <c r="B40" s="1040"/>
      <c r="C40" s="1041"/>
      <c r="D40" s="1041"/>
      <c r="E40" s="1041"/>
      <c r="F40" s="1041"/>
      <c r="G40" s="1042"/>
    </row>
    <row r="41" spans="2:11">
      <c r="B41" s="1043"/>
      <c r="C41" s="1044"/>
      <c r="D41" s="1044"/>
      <c r="E41" s="1044"/>
      <c r="F41" s="1044"/>
      <c r="G41" s="1045"/>
    </row>
    <row r="42" spans="2:11">
      <c r="B42" s="1046"/>
      <c r="C42" s="1044"/>
      <c r="D42" s="1044"/>
      <c r="E42" s="1044"/>
      <c r="F42" s="1044"/>
      <c r="G42" s="1045"/>
    </row>
    <row r="43" spans="2:11">
      <c r="B43" s="1046"/>
      <c r="C43" s="1044"/>
      <c r="D43" s="1044"/>
      <c r="E43" s="1044"/>
      <c r="F43" s="1044"/>
      <c r="G43" s="1045"/>
    </row>
    <row r="44" spans="2:11">
      <c r="B44" s="1047"/>
      <c r="C44" s="1048"/>
      <c r="D44" s="1048"/>
      <c r="E44" s="1048"/>
      <c r="F44" s="1048"/>
      <c r="G44" s="1049"/>
    </row>
  </sheetData>
  <sheetProtection sheet="1" objects="1" scenarios="1" formatCells="0" insertColumns="0" insertRows="0" deleteColumns="0" deleteRows="0"/>
  <mergeCells count="7">
    <mergeCell ref="B39:G39"/>
    <mergeCell ref="M12:O12"/>
    <mergeCell ref="M15:O15"/>
    <mergeCell ref="C11:D11"/>
    <mergeCell ref="E11:K11"/>
    <mergeCell ref="C24:D24"/>
    <mergeCell ref="E24:K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43"/>
  <sheetViews>
    <sheetView showGridLines="0" workbookViewId="0">
      <selection activeCell="A40" sqref="A40"/>
    </sheetView>
  </sheetViews>
  <sheetFormatPr defaultRowHeight="12.75"/>
  <cols>
    <col min="1" max="1" width="48.28515625" bestFit="1" customWidth="1"/>
    <col min="2" max="2" width="17.140625" customWidth="1"/>
    <col min="3" max="3" width="9.140625" style="415"/>
    <col min="7" max="7" width="10.28515625" customWidth="1"/>
    <col min="8" max="8" width="24.28515625" customWidth="1"/>
    <col min="9" max="9" width="15.85546875" customWidth="1"/>
    <col min="10" max="10" width="7.42578125" customWidth="1"/>
  </cols>
  <sheetData>
    <row r="1" spans="1:14" ht="39" thickBot="1">
      <c r="A1" s="392" t="s">
        <v>2716</v>
      </c>
      <c r="B1" s="392" t="s">
        <v>2892</v>
      </c>
      <c r="C1" s="392" t="s">
        <v>2893</v>
      </c>
      <c r="D1" s="392" t="s">
        <v>2894</v>
      </c>
      <c r="E1" s="392" t="s">
        <v>2895</v>
      </c>
      <c r="F1" s="399" t="s">
        <v>2929</v>
      </c>
      <c r="G1" s="399" t="s">
        <v>519</v>
      </c>
    </row>
    <row r="2" spans="1:14">
      <c r="A2" s="392"/>
      <c r="B2" s="393"/>
      <c r="C2" s="393"/>
      <c r="D2" s="393"/>
      <c r="E2" s="394"/>
    </row>
    <row r="3" spans="1:14">
      <c r="A3" s="397" t="s">
        <v>2982</v>
      </c>
      <c r="B3" s="420">
        <v>1.1400000000000001E-4</v>
      </c>
      <c r="C3" s="421">
        <v>1.8500000000000001E-3</v>
      </c>
      <c r="D3" s="420">
        <v>1.1400000000000001E-4</v>
      </c>
      <c r="E3" s="421">
        <v>1.1299999999999999E-3</v>
      </c>
      <c r="F3" s="872">
        <v>14</v>
      </c>
      <c r="G3" s="457" t="s">
        <v>2720</v>
      </c>
    </row>
    <row r="4" spans="1:14">
      <c r="A4" s="395" t="s">
        <v>2980</v>
      </c>
      <c r="B4" s="420">
        <v>1.1400000000000001E-4</v>
      </c>
      <c r="C4" s="421">
        <v>1.8500000000000001E-3</v>
      </c>
      <c r="D4" s="420">
        <v>1.1400000000000001E-4</v>
      </c>
      <c r="E4" s="421">
        <v>1.1299999999999999E-3</v>
      </c>
      <c r="F4" s="872">
        <v>13</v>
      </c>
      <c r="G4" s="457" t="s">
        <v>2720</v>
      </c>
      <c r="K4" s="421"/>
      <c r="L4" s="420"/>
      <c r="M4" s="421"/>
      <c r="N4" s="418"/>
    </row>
    <row r="5" spans="1:14" s="415" customFormat="1">
      <c r="A5" s="397" t="s">
        <v>2981</v>
      </c>
      <c r="B5" s="420">
        <v>1.1400000000000001E-4</v>
      </c>
      <c r="C5" s="421">
        <v>1.8500000000000001E-3</v>
      </c>
      <c r="D5" s="420">
        <v>1.1400000000000001E-4</v>
      </c>
      <c r="E5" s="421">
        <v>1.1299999999999999E-3</v>
      </c>
      <c r="F5" s="872">
        <v>15</v>
      </c>
      <c r="G5" s="457" t="s">
        <v>2720</v>
      </c>
      <c r="K5" s="421"/>
      <c r="L5" s="420"/>
      <c r="M5" s="421"/>
      <c r="N5" s="418"/>
    </row>
    <row r="6" spans="1:14">
      <c r="A6" s="395" t="s">
        <v>2986</v>
      </c>
      <c r="B6" s="420">
        <v>1.1400000000000001E-4</v>
      </c>
      <c r="C6" s="421">
        <v>1.8500000000000001E-3</v>
      </c>
      <c r="D6" s="420">
        <v>1.1400000000000001E-4</v>
      </c>
      <c r="E6" s="421">
        <v>1.1299999999999999E-3</v>
      </c>
      <c r="F6" s="872">
        <v>13</v>
      </c>
      <c r="G6" s="457" t="s">
        <v>2885</v>
      </c>
      <c r="H6" s="417"/>
      <c r="I6" s="418"/>
      <c r="J6" s="419"/>
      <c r="K6" s="421"/>
      <c r="L6" s="420"/>
      <c r="M6" s="421"/>
      <c r="N6" s="418"/>
    </row>
    <row r="7" spans="1:14">
      <c r="A7" s="395" t="s">
        <v>2988</v>
      </c>
      <c r="B7" s="420">
        <v>1.1400000000000001E-4</v>
      </c>
      <c r="C7" s="421">
        <v>1.8500000000000001E-3</v>
      </c>
      <c r="D7" s="420">
        <v>1.1400000000000001E-4</v>
      </c>
      <c r="E7" s="421">
        <v>1.1299999999999999E-3</v>
      </c>
      <c r="F7" s="872">
        <v>13</v>
      </c>
      <c r="G7" s="457" t="s">
        <v>2885</v>
      </c>
      <c r="H7" s="417"/>
      <c r="I7" s="418"/>
      <c r="J7" s="422"/>
      <c r="K7" s="421"/>
      <c r="L7" s="420"/>
      <c r="M7" s="421"/>
      <c r="N7" s="418"/>
    </row>
    <row r="8" spans="1:14">
      <c r="A8" s="395" t="s">
        <v>2987</v>
      </c>
      <c r="B8" s="420">
        <v>1.1400000000000001E-4</v>
      </c>
      <c r="C8" s="421">
        <v>1.8500000000000001E-3</v>
      </c>
      <c r="D8" s="420">
        <v>1.1400000000000001E-4</v>
      </c>
      <c r="E8" s="421">
        <v>1.1299999999999999E-3</v>
      </c>
      <c r="F8" s="872">
        <v>15</v>
      </c>
      <c r="G8" s="457" t="s">
        <v>2885</v>
      </c>
      <c r="H8" s="417"/>
      <c r="I8" s="418"/>
      <c r="J8" s="422"/>
      <c r="K8" s="421"/>
      <c r="L8" s="423"/>
      <c r="M8" s="421"/>
      <c r="N8" s="418"/>
    </row>
    <row r="9" spans="1:14">
      <c r="A9" s="395" t="s">
        <v>2989</v>
      </c>
      <c r="B9" s="420">
        <v>1.1400000000000001E-4</v>
      </c>
      <c r="C9" s="421">
        <v>1.8500000000000001E-3</v>
      </c>
      <c r="D9" s="420">
        <v>1.1400000000000001E-4</v>
      </c>
      <c r="E9" s="421">
        <v>1.1299999999999999E-3</v>
      </c>
      <c r="F9" s="872">
        <v>7</v>
      </c>
      <c r="G9" s="457" t="s">
        <v>2720</v>
      </c>
      <c r="H9" s="417"/>
      <c r="I9" s="418"/>
      <c r="J9" s="422"/>
      <c r="K9" s="421"/>
      <c r="L9" s="423"/>
      <c r="M9" s="421"/>
      <c r="N9" s="418"/>
    </row>
    <row r="10" spans="1:14">
      <c r="A10" s="395" t="s">
        <v>2972</v>
      </c>
      <c r="B10" s="423">
        <v>0</v>
      </c>
      <c r="C10" s="421">
        <v>1.8500000000000001E-3</v>
      </c>
      <c r="D10" s="423">
        <v>0</v>
      </c>
      <c r="E10" s="421">
        <v>1.1299999999999999E-3</v>
      </c>
      <c r="F10" s="872">
        <v>25</v>
      </c>
      <c r="G10" s="457" t="s">
        <v>886</v>
      </c>
      <c r="H10" s="417"/>
      <c r="I10" s="418"/>
      <c r="J10" s="422"/>
      <c r="K10" s="421"/>
      <c r="L10" s="423"/>
      <c r="M10" s="421"/>
      <c r="N10" s="418"/>
    </row>
    <row r="11" spans="1:14">
      <c r="A11" s="395" t="s">
        <v>2971</v>
      </c>
      <c r="B11" s="423">
        <v>0</v>
      </c>
      <c r="C11" s="421">
        <v>1.8500000000000001E-3</v>
      </c>
      <c r="D11" s="423">
        <v>0</v>
      </c>
      <c r="E11" s="421">
        <v>1.1299999999999999E-3</v>
      </c>
      <c r="F11" s="872">
        <v>25</v>
      </c>
      <c r="G11" s="457" t="s">
        <v>886</v>
      </c>
      <c r="H11" s="417"/>
      <c r="I11" s="425"/>
      <c r="J11" s="422"/>
      <c r="K11" s="421"/>
      <c r="L11" s="423"/>
      <c r="M11" s="421"/>
      <c r="N11" s="426"/>
    </row>
    <row r="12" spans="1:14">
      <c r="A12" s="395" t="s">
        <v>2970</v>
      </c>
      <c r="B12" s="423">
        <v>0</v>
      </c>
      <c r="C12" s="421">
        <v>1.8500000000000001E-3</v>
      </c>
      <c r="D12" s="423">
        <v>0</v>
      </c>
      <c r="E12" s="421">
        <v>1.1299999999999999E-3</v>
      </c>
      <c r="F12" s="872">
        <v>20</v>
      </c>
      <c r="G12" s="457" t="s">
        <v>2720</v>
      </c>
      <c r="H12" s="424"/>
      <c r="I12" s="426"/>
      <c r="J12" s="422"/>
      <c r="K12" s="421"/>
      <c r="L12" s="423"/>
      <c r="M12" s="421"/>
      <c r="N12" s="426"/>
    </row>
    <row r="13" spans="1:14" s="415" customFormat="1">
      <c r="A13" s="395" t="s">
        <v>3738</v>
      </c>
      <c r="B13" s="423">
        <v>0</v>
      </c>
      <c r="C13" s="421">
        <v>1.8500000000000001E-3</v>
      </c>
      <c r="D13" s="423">
        <v>0</v>
      </c>
      <c r="E13" s="421">
        <v>1.1299999999999999E-3</v>
      </c>
      <c r="F13" s="872">
        <v>25</v>
      </c>
      <c r="G13" s="457" t="s">
        <v>886</v>
      </c>
      <c r="H13" s="424"/>
      <c r="I13" s="426"/>
      <c r="J13" s="422"/>
      <c r="K13" s="421"/>
      <c r="L13" s="423"/>
      <c r="M13" s="421"/>
      <c r="N13" s="426"/>
    </row>
    <row r="14" spans="1:14">
      <c r="A14" s="395" t="s">
        <v>2973</v>
      </c>
      <c r="B14" s="423">
        <v>0</v>
      </c>
      <c r="C14" s="421">
        <v>1.8500000000000001E-3</v>
      </c>
      <c r="D14" s="423">
        <v>0</v>
      </c>
      <c r="E14" s="421">
        <v>1.1299999999999999E-3</v>
      </c>
      <c r="F14" s="872">
        <v>25</v>
      </c>
      <c r="G14" s="457" t="s">
        <v>886</v>
      </c>
      <c r="H14" s="417"/>
      <c r="I14" s="418"/>
      <c r="J14" s="422"/>
      <c r="K14" s="421"/>
      <c r="L14" s="423"/>
      <c r="M14" s="421"/>
      <c r="N14" s="426"/>
    </row>
    <row r="15" spans="1:14">
      <c r="A15" s="395" t="s">
        <v>2974</v>
      </c>
      <c r="B15" s="423">
        <v>0</v>
      </c>
      <c r="C15" s="421">
        <v>1.8500000000000001E-3</v>
      </c>
      <c r="D15" s="423">
        <v>0</v>
      </c>
      <c r="E15" s="421">
        <v>1.1299999999999999E-3</v>
      </c>
      <c r="F15" s="872">
        <v>25</v>
      </c>
      <c r="G15" s="457" t="s">
        <v>886</v>
      </c>
      <c r="H15" s="424"/>
      <c r="I15" s="426"/>
      <c r="J15" s="422"/>
      <c r="K15" s="421"/>
      <c r="L15" s="423"/>
      <c r="M15" s="421"/>
      <c r="N15" s="426"/>
    </row>
    <row r="16" spans="1:14" s="415" customFormat="1">
      <c r="A16" s="395" t="s">
        <v>3036</v>
      </c>
      <c r="B16" s="423">
        <v>0</v>
      </c>
      <c r="C16" s="421">
        <v>1.8500000000000001E-3</v>
      </c>
      <c r="D16" s="423">
        <v>0</v>
      </c>
      <c r="E16" s="421">
        <v>1.1299999999999999E-3</v>
      </c>
      <c r="F16" s="872">
        <v>25</v>
      </c>
      <c r="G16" s="457" t="s">
        <v>2720</v>
      </c>
      <c r="H16" s="424"/>
      <c r="I16" s="426"/>
      <c r="J16" s="422"/>
      <c r="K16" s="421"/>
      <c r="L16" s="423"/>
      <c r="M16" s="421"/>
      <c r="N16" s="426"/>
    </row>
    <row r="17" spans="1:14">
      <c r="A17" s="397" t="s">
        <v>2886</v>
      </c>
      <c r="B17" s="420">
        <v>1.1400000000000001E-4</v>
      </c>
      <c r="C17" s="421">
        <v>1.8500000000000001E-3</v>
      </c>
      <c r="D17" s="420">
        <v>1.1400000000000001E-4</v>
      </c>
      <c r="E17" s="421">
        <v>1.1299999999999999E-3</v>
      </c>
      <c r="F17" s="872">
        <v>25</v>
      </c>
      <c r="G17" s="457" t="s">
        <v>2885</v>
      </c>
      <c r="H17" s="424"/>
      <c r="I17" s="426"/>
      <c r="J17" s="422"/>
      <c r="K17" s="421"/>
      <c r="L17" s="423"/>
      <c r="M17" s="421"/>
      <c r="N17" s="426"/>
    </row>
    <row r="18" spans="1:14">
      <c r="A18" s="397" t="s">
        <v>2984</v>
      </c>
      <c r="B18" s="423">
        <v>0</v>
      </c>
      <c r="C18" s="421">
        <v>1.8500000000000001E-3</v>
      </c>
      <c r="D18" s="423">
        <v>0</v>
      </c>
      <c r="E18" s="421">
        <v>1.1299999999999999E-3</v>
      </c>
      <c r="F18" s="872">
        <v>24</v>
      </c>
      <c r="G18" s="457" t="s">
        <v>2724</v>
      </c>
      <c r="H18" s="424"/>
      <c r="I18" s="426"/>
      <c r="J18" s="422"/>
      <c r="K18" s="421"/>
      <c r="L18" s="423"/>
      <c r="M18" s="421"/>
      <c r="N18" s="418"/>
    </row>
    <row r="19" spans="1:14" s="415" customFormat="1">
      <c r="A19" s="397" t="s">
        <v>3740</v>
      </c>
      <c r="B19" s="420">
        <v>1.1400000000000001E-4</v>
      </c>
      <c r="C19" s="421">
        <v>1.8500000000000001E-3</v>
      </c>
      <c r="D19" s="420">
        <v>1.1400000000000001E-4</v>
      </c>
      <c r="E19" s="421">
        <v>1.1299999999999999E-3</v>
      </c>
      <c r="F19" s="872">
        <v>10</v>
      </c>
      <c r="G19" s="457" t="s">
        <v>2720</v>
      </c>
      <c r="H19" s="424"/>
      <c r="I19" s="426"/>
      <c r="J19" s="422"/>
      <c r="K19" s="421"/>
      <c r="L19" s="423"/>
      <c r="M19" s="421"/>
      <c r="N19" s="418"/>
    </row>
    <row r="20" spans="1:14" s="415" customFormat="1">
      <c r="A20" s="397" t="s">
        <v>3739</v>
      </c>
      <c r="B20" s="423">
        <v>0</v>
      </c>
      <c r="C20" s="421">
        <v>1.8500000000000001E-3</v>
      </c>
      <c r="D20" s="423">
        <v>0</v>
      </c>
      <c r="E20" s="421">
        <v>1.1299999999999999E-3</v>
      </c>
      <c r="F20" s="872">
        <v>25</v>
      </c>
      <c r="G20" s="457" t="s">
        <v>2720</v>
      </c>
      <c r="H20" s="424"/>
      <c r="I20" s="426"/>
      <c r="J20" s="422"/>
      <c r="K20" s="421"/>
      <c r="L20" s="423"/>
      <c r="M20" s="421"/>
      <c r="N20" s="418"/>
    </row>
    <row r="21" spans="1:14" s="415" customFormat="1">
      <c r="A21" s="397" t="s">
        <v>2887</v>
      </c>
      <c r="B21" s="420">
        <v>1.1400000000000001E-4</v>
      </c>
      <c r="C21" s="421">
        <v>1.8500000000000001E-3</v>
      </c>
      <c r="D21" s="420">
        <v>1.1400000000000001E-4</v>
      </c>
      <c r="E21" s="421">
        <v>1.1299999999999999E-3</v>
      </c>
      <c r="F21" s="872">
        <v>25</v>
      </c>
      <c r="G21" s="457" t="s">
        <v>886</v>
      </c>
      <c r="H21" s="424"/>
      <c r="I21" s="426"/>
      <c r="J21" s="422"/>
      <c r="K21" s="421"/>
      <c r="L21" s="423"/>
      <c r="M21" s="421"/>
      <c r="N21" s="418"/>
    </row>
    <row r="22" spans="1:14">
      <c r="A22" s="396" t="s">
        <v>3737</v>
      </c>
      <c r="B22" s="420">
        <v>1.1400000000000001E-4</v>
      </c>
      <c r="C22" s="421">
        <v>1.8500000000000001E-3</v>
      </c>
      <c r="D22" s="420">
        <v>1.1400000000000001E-4</v>
      </c>
      <c r="E22" s="421">
        <v>1.1299999999999999E-3</v>
      </c>
      <c r="F22" s="872">
        <v>20</v>
      </c>
      <c r="G22" s="457" t="s">
        <v>2885</v>
      </c>
    </row>
    <row r="23" spans="1:14">
      <c r="A23" s="397" t="s">
        <v>2888</v>
      </c>
      <c r="B23" s="420">
        <v>1.1400000000000001E-4</v>
      </c>
      <c r="C23" s="421">
        <v>1.8500000000000001E-3</v>
      </c>
      <c r="D23" s="420">
        <v>1.1400000000000001E-4</v>
      </c>
      <c r="E23" s="421">
        <v>1.1299999999999999E-3</v>
      </c>
      <c r="F23" s="872">
        <v>20</v>
      </c>
      <c r="G23" s="457" t="s">
        <v>2885</v>
      </c>
      <c r="H23" s="424"/>
      <c r="I23" s="426"/>
      <c r="J23" s="422"/>
      <c r="K23" s="421"/>
      <c r="L23" s="423"/>
      <c r="M23" s="421"/>
      <c r="N23" s="418"/>
    </row>
    <row r="24" spans="1:14">
      <c r="A24" s="397" t="s">
        <v>2889</v>
      </c>
      <c r="B24" s="420">
        <v>1.1400000000000001E-4</v>
      </c>
      <c r="C24" s="421">
        <v>1.8500000000000001E-3</v>
      </c>
      <c r="D24" s="420">
        <v>1.1400000000000001E-4</v>
      </c>
      <c r="E24" s="421">
        <v>1.1299999999999999E-3</v>
      </c>
      <c r="F24" s="872">
        <v>15</v>
      </c>
      <c r="G24" s="457" t="s">
        <v>2885</v>
      </c>
      <c r="H24" s="417"/>
      <c r="I24" s="418"/>
      <c r="J24" s="422"/>
      <c r="K24" s="421"/>
      <c r="L24" s="420"/>
      <c r="M24" s="421"/>
      <c r="N24" s="418"/>
    </row>
    <row r="25" spans="1:14">
      <c r="A25" s="397" t="s">
        <v>2890</v>
      </c>
      <c r="B25" s="420">
        <v>1.1400000000000001E-4</v>
      </c>
      <c r="C25" s="421">
        <v>1.8500000000000001E-3</v>
      </c>
      <c r="D25" s="420">
        <v>1.1400000000000001E-4</v>
      </c>
      <c r="E25" s="421">
        <v>1.1299999999999999E-3</v>
      </c>
      <c r="F25" s="872">
        <v>15</v>
      </c>
      <c r="G25" s="457" t="s">
        <v>2885</v>
      </c>
      <c r="H25" s="417"/>
      <c r="I25" s="418"/>
      <c r="J25" s="422"/>
      <c r="K25" s="421"/>
      <c r="L25" s="420"/>
      <c r="M25" s="421"/>
      <c r="N25" s="426"/>
    </row>
    <row r="26" spans="1:14" s="415" customFormat="1">
      <c r="A26" s="397" t="s">
        <v>3743</v>
      </c>
      <c r="B26" s="423">
        <v>0</v>
      </c>
      <c r="C26" s="421">
        <v>1.8500000000000001E-3</v>
      </c>
      <c r="D26" s="423">
        <v>0</v>
      </c>
      <c r="E26" s="421">
        <v>1.1299999999999999E-3</v>
      </c>
      <c r="F26" s="872">
        <v>15</v>
      </c>
      <c r="G26" s="457" t="s">
        <v>2885</v>
      </c>
      <c r="H26" s="417"/>
      <c r="I26" s="418"/>
      <c r="J26" s="422"/>
      <c r="K26" s="421"/>
      <c r="L26" s="420"/>
      <c r="M26" s="421"/>
      <c r="N26" s="426"/>
    </row>
    <row r="27" spans="1:14" s="415" customFormat="1">
      <c r="A27" s="397" t="s">
        <v>3744</v>
      </c>
      <c r="B27" s="420">
        <v>1.1400000000000001E-4</v>
      </c>
      <c r="C27" s="421">
        <v>1.8500000000000001E-3</v>
      </c>
      <c r="D27" s="420">
        <v>1.1400000000000001E-4</v>
      </c>
      <c r="E27" s="421">
        <v>1.1299999999999999E-3</v>
      </c>
      <c r="F27" s="872">
        <v>15</v>
      </c>
      <c r="G27" s="457" t="s">
        <v>2885</v>
      </c>
      <c r="H27" s="417"/>
      <c r="I27" s="418"/>
      <c r="J27" s="422"/>
      <c r="K27" s="421"/>
      <c r="L27" s="420"/>
      <c r="M27" s="421"/>
      <c r="N27" s="426"/>
    </row>
    <row r="28" spans="1:14" s="415" customFormat="1">
      <c r="A28" s="397" t="s">
        <v>3745</v>
      </c>
      <c r="B28" s="420">
        <v>1.1400000000000001E-4</v>
      </c>
      <c r="C28" s="421">
        <v>1.8500000000000001E-3</v>
      </c>
      <c r="D28" s="420">
        <v>1.1400000000000001E-4</v>
      </c>
      <c r="E28" s="421">
        <v>1.1299999999999999E-3</v>
      </c>
      <c r="F28" s="872">
        <v>15</v>
      </c>
      <c r="G28" s="457" t="s">
        <v>2885</v>
      </c>
      <c r="H28" s="417"/>
      <c r="I28" s="418"/>
      <c r="J28" s="422"/>
      <c r="K28" s="421"/>
      <c r="L28" s="420"/>
      <c r="M28" s="421"/>
      <c r="N28" s="426"/>
    </row>
    <row r="29" spans="1:14">
      <c r="A29" s="397" t="s">
        <v>2891</v>
      </c>
      <c r="B29" s="420">
        <v>1.1400000000000001E-4</v>
      </c>
      <c r="C29" s="421">
        <v>1.8500000000000001E-3</v>
      </c>
      <c r="D29" s="420">
        <v>1.1400000000000001E-4</v>
      </c>
      <c r="E29" s="421">
        <v>1.1299999999999999E-3</v>
      </c>
      <c r="F29" s="872">
        <v>15</v>
      </c>
      <c r="G29" s="457" t="s">
        <v>2885</v>
      </c>
      <c r="H29" s="417"/>
      <c r="I29" s="418"/>
      <c r="J29" s="422"/>
      <c r="K29" s="421"/>
      <c r="L29" s="420"/>
      <c r="M29" s="421"/>
      <c r="N29" s="418"/>
    </row>
    <row r="30" spans="1:14">
      <c r="A30" s="395" t="s">
        <v>2983</v>
      </c>
      <c r="B30" s="423">
        <v>0</v>
      </c>
      <c r="C30" s="421">
        <v>1.8500000000000001E-3</v>
      </c>
      <c r="D30" s="423">
        <v>0</v>
      </c>
      <c r="E30" s="421">
        <v>1.1299999999999999E-3</v>
      </c>
      <c r="F30" s="872">
        <v>13</v>
      </c>
      <c r="G30" s="457" t="s">
        <v>2720</v>
      </c>
      <c r="H30" s="417"/>
      <c r="I30" s="418"/>
      <c r="J30" s="422"/>
      <c r="K30" s="421"/>
      <c r="L30" s="420"/>
      <c r="M30" s="421"/>
      <c r="N30" s="426"/>
    </row>
    <row r="31" spans="1:14">
      <c r="A31" s="395" t="s">
        <v>3240</v>
      </c>
      <c r="B31" s="420">
        <v>2.1000000000000001E-4</v>
      </c>
      <c r="C31" s="421">
        <v>1.8500000000000001E-3</v>
      </c>
      <c r="D31" s="420">
        <v>2.1000000000000001E-4</v>
      </c>
      <c r="E31" s="421">
        <v>1.1299999999999999E-3</v>
      </c>
      <c r="F31" s="872">
        <v>12</v>
      </c>
      <c r="G31" s="457" t="s">
        <v>2720</v>
      </c>
      <c r="H31" s="461"/>
      <c r="I31" s="459"/>
      <c r="J31" s="422"/>
    </row>
    <row r="32" spans="1:14">
      <c r="A32" s="395" t="s">
        <v>2985</v>
      </c>
      <c r="B32" s="427">
        <v>0</v>
      </c>
      <c r="C32" s="421">
        <v>1.8500000000000001E-3</v>
      </c>
      <c r="D32" s="423">
        <v>0</v>
      </c>
      <c r="E32" s="421">
        <v>1.1299999999999999E-3</v>
      </c>
      <c r="F32" s="872">
        <v>10</v>
      </c>
      <c r="G32" s="457" t="s">
        <v>2720</v>
      </c>
      <c r="H32" s="461"/>
      <c r="I32" s="459"/>
      <c r="J32" s="422"/>
    </row>
    <row r="33" spans="1:10" s="415" customFormat="1">
      <c r="A33" s="395" t="s">
        <v>3741</v>
      </c>
      <c r="B33" s="427">
        <v>0</v>
      </c>
      <c r="C33" s="421">
        <v>1.8500000000000001E-3</v>
      </c>
      <c r="D33" s="423">
        <v>0</v>
      </c>
      <c r="E33" s="421">
        <v>1.1299999999999999E-3</v>
      </c>
      <c r="F33" s="872">
        <v>15</v>
      </c>
      <c r="G33" s="457" t="s">
        <v>2720</v>
      </c>
      <c r="H33" s="461"/>
      <c r="I33" s="460"/>
      <c r="J33" s="422"/>
    </row>
    <row r="34" spans="1:10">
      <c r="A34" s="395" t="s">
        <v>2975</v>
      </c>
      <c r="B34" s="420">
        <v>2.1000000000000001E-4</v>
      </c>
      <c r="C34" s="421">
        <v>1.8500000000000001E-3</v>
      </c>
      <c r="D34" s="420">
        <v>2.1000000000000001E-4</v>
      </c>
      <c r="E34" s="421">
        <v>1.1299999999999999E-3</v>
      </c>
      <c r="F34" s="872">
        <v>15</v>
      </c>
      <c r="G34" s="457" t="s">
        <v>2720</v>
      </c>
      <c r="H34" s="458"/>
      <c r="I34" s="458"/>
    </row>
    <row r="35" spans="1:10" s="415" customFormat="1">
      <c r="A35" s="395" t="s">
        <v>3239</v>
      </c>
      <c r="B35" s="420">
        <v>1.1400000000000001E-4</v>
      </c>
      <c r="C35" s="421">
        <v>1.8500000000000001E-3</v>
      </c>
      <c r="D35" s="420">
        <v>1.1400000000000001E-4</v>
      </c>
      <c r="E35" s="421">
        <v>1.1299999999999999E-3</v>
      </c>
      <c r="F35" s="872">
        <v>15</v>
      </c>
      <c r="G35" s="457" t="s">
        <v>2720</v>
      </c>
      <c r="H35" s="458"/>
      <c r="I35" s="458"/>
    </row>
    <row r="36" spans="1:10" s="415" customFormat="1">
      <c r="A36" s="395" t="s">
        <v>3742</v>
      </c>
      <c r="B36" s="420">
        <v>1.1400000000000001E-4</v>
      </c>
      <c r="C36" s="421">
        <v>1.8500000000000001E-3</v>
      </c>
      <c r="D36" s="420">
        <v>1.1400000000000001E-4</v>
      </c>
      <c r="E36" s="421">
        <v>1.1299999999999999E-3</v>
      </c>
      <c r="F36" s="872">
        <v>20</v>
      </c>
      <c r="G36" s="457" t="s">
        <v>2253</v>
      </c>
      <c r="H36" s="458"/>
      <c r="I36" s="458"/>
    </row>
    <row r="37" spans="1:10">
      <c r="A37" s="395" t="s">
        <v>2976</v>
      </c>
      <c r="B37" s="420">
        <v>1.1400000000000001E-4</v>
      </c>
      <c r="C37" s="421">
        <v>1.8500000000000001E-3</v>
      </c>
      <c r="D37" s="420">
        <v>1.1400000000000001E-4</v>
      </c>
      <c r="E37" s="421">
        <v>1.1299999999999999E-3</v>
      </c>
      <c r="F37" s="872">
        <v>20</v>
      </c>
      <c r="G37" s="457" t="s">
        <v>2720</v>
      </c>
    </row>
    <row r="38" spans="1:10">
      <c r="A38" s="395" t="s">
        <v>2977</v>
      </c>
      <c r="B38" s="420">
        <v>1.1400000000000001E-4</v>
      </c>
      <c r="C38" s="421">
        <v>1.8500000000000001E-3</v>
      </c>
      <c r="D38" s="420">
        <v>1.1400000000000001E-4</v>
      </c>
      <c r="E38" s="421">
        <v>1.1299999999999999E-3</v>
      </c>
      <c r="F38" s="872">
        <v>10</v>
      </c>
      <c r="G38" s="457" t="s">
        <v>2253</v>
      </c>
    </row>
    <row r="39" spans="1:10">
      <c r="A39" s="395" t="s">
        <v>3746</v>
      </c>
      <c r="B39" s="420">
        <v>1.1400000000000001E-4</v>
      </c>
      <c r="C39" s="421">
        <v>1.8500000000000001E-3</v>
      </c>
      <c r="D39" s="420">
        <v>1.1400000000000001E-4</v>
      </c>
      <c r="E39" s="421">
        <v>1.1299999999999999E-3</v>
      </c>
      <c r="F39" s="872">
        <v>10</v>
      </c>
      <c r="G39" s="457" t="s">
        <v>2253</v>
      </c>
    </row>
    <row r="40" spans="1:10">
      <c r="A40" s="396" t="s">
        <v>2978</v>
      </c>
      <c r="B40" s="420">
        <v>1.1400000000000001E-4</v>
      </c>
      <c r="C40" s="421">
        <v>1.8500000000000001E-3</v>
      </c>
      <c r="D40" s="420">
        <v>1.1400000000000001E-4</v>
      </c>
      <c r="E40" s="421">
        <v>1.1299999999999999E-3</v>
      </c>
      <c r="F40" s="872">
        <v>20</v>
      </c>
      <c r="G40" s="457" t="s">
        <v>2720</v>
      </c>
    </row>
    <row r="41" spans="1:10">
      <c r="A41" s="396" t="s">
        <v>2990</v>
      </c>
      <c r="B41" s="420">
        <v>1.1400000000000001E-4</v>
      </c>
      <c r="C41" s="421">
        <v>1.8500000000000001E-3</v>
      </c>
      <c r="D41" s="420">
        <v>1.1400000000000001E-4</v>
      </c>
      <c r="E41" s="421">
        <v>1.1299999999999999E-3</v>
      </c>
      <c r="F41" s="872">
        <v>15</v>
      </c>
      <c r="G41" s="457" t="s">
        <v>2720</v>
      </c>
    </row>
    <row r="42" spans="1:10">
      <c r="A42" s="396" t="s">
        <v>2979</v>
      </c>
      <c r="B42" s="420">
        <v>1.1400000000000001E-4</v>
      </c>
      <c r="C42" s="421">
        <v>1.8500000000000001E-3</v>
      </c>
      <c r="D42" s="420">
        <v>1.1400000000000001E-4</v>
      </c>
      <c r="E42" s="421">
        <v>1.1299999999999999E-3</v>
      </c>
      <c r="F42" s="872">
        <v>10</v>
      </c>
      <c r="G42" s="457" t="s">
        <v>2253</v>
      </c>
    </row>
    <row r="43" spans="1:10">
      <c r="A43" s="397" t="s">
        <v>1262</v>
      </c>
      <c r="B43" s="415"/>
      <c r="D43" s="415"/>
      <c r="E43" s="415"/>
      <c r="F43" s="415"/>
      <c r="G43" s="415"/>
    </row>
  </sheetData>
  <sortState ref="A3:G38">
    <sortCondition ref="A3:A38"/>
  </sortState>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K44"/>
  <sheetViews>
    <sheetView showGridLines="0" workbookViewId="0">
      <selection activeCell="F33" sqref="F33"/>
    </sheetView>
  </sheetViews>
  <sheetFormatPr defaultRowHeight="12"/>
  <cols>
    <col min="1" max="1" width="2" style="471" bestFit="1" customWidth="1"/>
    <col min="2" max="2" width="20" style="471" customWidth="1"/>
    <col min="3" max="3" width="15.85546875" style="471" customWidth="1"/>
    <col min="4" max="4" width="16" style="471" customWidth="1"/>
    <col min="5" max="5" width="11.5703125" style="471" customWidth="1"/>
    <col min="6" max="6" width="15.85546875" style="471" customWidth="1"/>
    <col min="7" max="7" width="15.7109375" style="471" customWidth="1"/>
    <col min="8" max="8" width="12.7109375" style="471" customWidth="1"/>
    <col min="9" max="9" width="10.42578125" style="471" customWidth="1"/>
    <col min="10" max="10" width="10.140625" style="471" customWidth="1"/>
    <col min="11" max="16384" width="9.140625" style="471"/>
  </cols>
  <sheetData>
    <row r="1" spans="1:11">
      <c r="B1" s="470" t="s">
        <v>1023</v>
      </c>
    </row>
    <row r="2" spans="1:11">
      <c r="A2" s="471">
        <v>1</v>
      </c>
      <c r="B2" s="471" t="s">
        <v>2573</v>
      </c>
    </row>
    <row r="3" spans="1:11">
      <c r="A3" s="471">
        <v>2</v>
      </c>
      <c r="B3" s="472" t="s">
        <v>2252</v>
      </c>
      <c r="C3" s="472"/>
    </row>
    <row r="4" spans="1:11">
      <c r="A4" s="471">
        <v>3</v>
      </c>
      <c r="B4" s="471" t="s">
        <v>1264</v>
      </c>
    </row>
    <row r="5" spans="1:11">
      <c r="A5" s="471">
        <v>4</v>
      </c>
      <c r="B5" s="471" t="s">
        <v>2574</v>
      </c>
    </row>
    <row r="6" spans="1:11">
      <c r="A6" s="471">
        <v>5</v>
      </c>
      <c r="B6" s="2281" t="s">
        <v>2996</v>
      </c>
      <c r="C6" s="2281"/>
      <c r="D6" s="2281"/>
      <c r="E6" s="2281"/>
      <c r="F6" s="2281"/>
      <c r="G6" s="2281"/>
      <c r="H6" s="2281"/>
      <c r="I6" s="2281"/>
      <c r="J6" s="2281"/>
      <c r="K6" s="2281"/>
    </row>
    <row r="8" spans="1:11" ht="12.75" thickBot="1">
      <c r="B8" s="470" t="s">
        <v>1155</v>
      </c>
    </row>
    <row r="9" spans="1:11" ht="12.75" thickBot="1">
      <c r="B9" s="547" t="s">
        <v>2255</v>
      </c>
      <c r="C9" s="537" t="s">
        <v>1204</v>
      </c>
      <c r="D9" s="2284" t="s">
        <v>1205</v>
      </c>
      <c r="E9" s="2285"/>
      <c r="F9" s="2285"/>
      <c r="G9" s="2285"/>
      <c r="H9" s="2285"/>
      <c r="I9" s="2285"/>
      <c r="J9" s="2286"/>
    </row>
    <row r="10" spans="1:11" ht="12.75" thickBot="1">
      <c r="B10" s="548" t="s">
        <v>1206</v>
      </c>
      <c r="C10" s="549">
        <f>'Basic Info'!C11</f>
        <v>0</v>
      </c>
      <c r="D10" s="2287" t="s">
        <v>1469</v>
      </c>
      <c r="E10" s="2285"/>
      <c r="F10" s="2285"/>
      <c r="G10" s="2285"/>
      <c r="H10" s="2285"/>
      <c r="I10" s="2285"/>
      <c r="J10" s="2286"/>
    </row>
    <row r="11" spans="1:11" ht="12.75" thickBot="1">
      <c r="B11" s="544" t="s">
        <v>1470</v>
      </c>
      <c r="C11" s="540">
        <f>SUM('Basic Info'!C12:C17)+SUM('Basic Info'!C20:C21)</f>
        <v>0</v>
      </c>
      <c r="D11" s="2287" t="s">
        <v>1265</v>
      </c>
      <c r="E11" s="2285"/>
      <c r="F11" s="2285"/>
      <c r="G11" s="2285"/>
      <c r="H11" s="2285"/>
      <c r="I11" s="2285"/>
      <c r="J11" s="2286"/>
    </row>
    <row r="12" spans="1:11" ht="12.75" thickBot="1">
      <c r="B12" s="534" t="s">
        <v>1471</v>
      </c>
      <c r="C12" s="550">
        <f>'Basic Info'!C18+'Basic Info'!C19</f>
        <v>0</v>
      </c>
      <c r="D12" s="2287" t="s">
        <v>2997</v>
      </c>
      <c r="E12" s="2285"/>
      <c r="F12" s="2285"/>
      <c r="G12" s="2285"/>
      <c r="H12" s="2285"/>
      <c r="I12" s="2285"/>
      <c r="J12" s="2286"/>
    </row>
    <row r="13" spans="1:11" ht="12.75" thickBot="1">
      <c r="B13" s="534" t="s">
        <v>1261</v>
      </c>
      <c r="C13" s="550">
        <f>'Basic Info'!C24</f>
        <v>0</v>
      </c>
      <c r="D13" s="2287" t="s">
        <v>2998</v>
      </c>
      <c r="E13" s="2285"/>
      <c r="F13" s="2285"/>
      <c r="G13" s="2285"/>
      <c r="H13" s="2285"/>
      <c r="I13" s="2285"/>
      <c r="J13" s="2286"/>
    </row>
    <row r="14" spans="1:11" ht="12.75" thickBot="1">
      <c r="B14" s="551" t="s">
        <v>1472</v>
      </c>
      <c r="C14" s="552">
        <f>'Basic Info'!C27</f>
        <v>0</v>
      </c>
    </row>
    <row r="16" spans="1:11" ht="12.75" thickBot="1">
      <c r="B16" s="470" t="s">
        <v>1473</v>
      </c>
    </row>
    <row r="17" spans="2:11" ht="12.75" thickBot="1">
      <c r="B17" s="548" t="s">
        <v>1474</v>
      </c>
      <c r="C17" s="553">
        <f>'Basic Info'!C57</f>
        <v>0.19359999999999999</v>
      </c>
      <c r="D17" s="536" t="s">
        <v>1475</v>
      </c>
    </row>
    <row r="18" spans="2:11" ht="12.75" thickBot="1">
      <c r="B18" s="544" t="s">
        <v>1263</v>
      </c>
      <c r="C18" s="554">
        <f>'Basic Info'!C58</f>
        <v>1.486</v>
      </c>
      <c r="D18" s="535" t="s">
        <v>1476</v>
      </c>
      <c r="K18" s="475"/>
    </row>
    <row r="19" spans="2:11" ht="12.75" thickBot="1">
      <c r="B19" s="544" t="s">
        <v>2571</v>
      </c>
      <c r="C19" s="784">
        <f>'Reporting Summary'!C114</f>
        <v>0</v>
      </c>
      <c r="D19" s="535" t="s">
        <v>0</v>
      </c>
      <c r="K19" s="475"/>
    </row>
    <row r="21" spans="2:11" ht="12.75" thickBot="1">
      <c r="B21" s="470" t="s">
        <v>1478</v>
      </c>
    </row>
    <row r="22" spans="2:11" ht="12.75" thickBot="1">
      <c r="B22" s="555"/>
      <c r="C22" s="2288" t="s">
        <v>980</v>
      </c>
      <c r="D22" s="2289"/>
      <c r="E22" s="2290"/>
      <c r="F22" s="2288" t="s">
        <v>981</v>
      </c>
      <c r="G22" s="2289"/>
      <c r="H22" s="2291"/>
      <c r="I22" s="2279" t="s">
        <v>2581</v>
      </c>
      <c r="J22" s="2282" t="s">
        <v>1480</v>
      </c>
    </row>
    <row r="23" spans="2:11" ht="12.75" thickBot="1">
      <c r="B23" s="533"/>
      <c r="C23" s="541" t="s">
        <v>1</v>
      </c>
      <c r="D23" s="556" t="s">
        <v>1481</v>
      </c>
      <c r="E23" s="538" t="s">
        <v>1484</v>
      </c>
      <c r="F23" s="541" t="s">
        <v>1</v>
      </c>
      <c r="G23" s="539" t="s">
        <v>1481</v>
      </c>
      <c r="H23" s="539" t="s">
        <v>1484</v>
      </c>
      <c r="I23" s="2280"/>
      <c r="J23" s="2283"/>
    </row>
    <row r="24" spans="2:11" ht="12.75" thickBot="1">
      <c r="B24" s="544" t="s">
        <v>1485</v>
      </c>
      <c r="C24" s="557" t="e">
        <f>'Reporting Summary'!C118</f>
        <v>#DIV/0!</v>
      </c>
      <c r="D24" s="557" t="e">
        <f>'Reporting Summary'!D118</f>
        <v>#DIV/0!</v>
      </c>
      <c r="E24" s="559" t="e">
        <f t="shared" ref="E24:E29" si="0">C24/100000*$C$18+D24/3412*$C$17</f>
        <v>#DIV/0!</v>
      </c>
      <c r="F24" s="558">
        <f>'Reporting Summary'!G118</f>
        <v>0</v>
      </c>
      <c r="G24" s="558">
        <f>'Reporting Summary'!H118</f>
        <v>0</v>
      </c>
      <c r="H24" s="560">
        <f t="shared" ref="H24:H29" si="1">F24/100000*$C$18+G24/3412*$C$17</f>
        <v>0</v>
      </c>
      <c r="I24" s="561" t="e">
        <f>IF(SUM(C24:D24)=0,0,(SUM(C24:D24)-SUM(F24:G24))/SUM(C24:D24))</f>
        <v>#DIV/0!</v>
      </c>
      <c r="J24" s="562" t="e">
        <f>IF(E24=0,0,(E24-H24)/E24)</f>
        <v>#DIV/0!</v>
      </c>
    </row>
    <row r="25" spans="2:11" ht="12.75" thickBot="1">
      <c r="B25" s="544" t="s">
        <v>1486</v>
      </c>
      <c r="C25" s="557" t="e">
        <f>'Reporting Summary'!C119</f>
        <v>#DIV/0!</v>
      </c>
      <c r="D25" s="557" t="e">
        <f>'Reporting Summary'!D119</f>
        <v>#DIV/0!</v>
      </c>
      <c r="E25" s="559" t="e">
        <f t="shared" si="0"/>
        <v>#DIV/0!</v>
      </c>
      <c r="F25" s="558">
        <f>'Reporting Summary'!G119</f>
        <v>0</v>
      </c>
      <c r="G25" s="558">
        <f>'Reporting Summary'!H119</f>
        <v>0</v>
      </c>
      <c r="H25" s="560">
        <f t="shared" si="1"/>
        <v>0</v>
      </c>
      <c r="I25" s="561" t="e">
        <f t="shared" ref="I25:I31" si="2">IF(SUM(C25:D25)=0,0,(SUM(C25:D25)-SUM(F25:G25))/SUM(C25:D25))</f>
        <v>#DIV/0!</v>
      </c>
      <c r="J25" s="562" t="e">
        <f t="shared" ref="J25:J31" si="3">IF(E25=0,0,(E25-H25)/E25)</f>
        <v>#DIV/0!</v>
      </c>
    </row>
    <row r="26" spans="2:11" ht="12.75" thickBot="1">
      <c r="B26" s="544" t="s">
        <v>1487</v>
      </c>
      <c r="C26" s="557" t="e">
        <f>'Reporting Summary'!C120</f>
        <v>#DIV/0!</v>
      </c>
      <c r="D26" s="557" t="e">
        <f>'Reporting Summary'!D120</f>
        <v>#DIV/0!</v>
      </c>
      <c r="E26" s="559" t="e">
        <f t="shared" si="0"/>
        <v>#DIV/0!</v>
      </c>
      <c r="F26" s="558">
        <f>'Reporting Summary'!G120</f>
        <v>0</v>
      </c>
      <c r="G26" s="558">
        <f>'Reporting Summary'!H120</f>
        <v>0</v>
      </c>
      <c r="H26" s="560">
        <f t="shared" si="1"/>
        <v>0</v>
      </c>
      <c r="I26" s="561" t="e">
        <f t="shared" si="2"/>
        <v>#DIV/0!</v>
      </c>
      <c r="J26" s="562" t="e">
        <f t="shared" si="3"/>
        <v>#DIV/0!</v>
      </c>
    </row>
    <row r="27" spans="2:11" ht="12.75" thickBot="1">
      <c r="B27" s="544" t="s">
        <v>1488</v>
      </c>
      <c r="C27" s="557" t="e">
        <f>'Reporting Summary'!C121</f>
        <v>#DIV/0!</v>
      </c>
      <c r="D27" s="557" t="e">
        <f>'Reporting Summary'!D121</f>
        <v>#DIV/0!</v>
      </c>
      <c r="E27" s="559" t="e">
        <f t="shared" si="0"/>
        <v>#DIV/0!</v>
      </c>
      <c r="F27" s="558">
        <f>'Reporting Summary'!G121</f>
        <v>0</v>
      </c>
      <c r="G27" s="558">
        <f>'Reporting Summary'!H121</f>
        <v>0</v>
      </c>
      <c r="H27" s="560">
        <f t="shared" si="1"/>
        <v>0</v>
      </c>
      <c r="I27" s="561" t="e">
        <f t="shared" si="2"/>
        <v>#DIV/0!</v>
      </c>
      <c r="J27" s="562" t="e">
        <f t="shared" si="3"/>
        <v>#DIV/0!</v>
      </c>
    </row>
    <row r="28" spans="2:11" ht="12.75" thickBot="1">
      <c r="B28" s="544" t="s">
        <v>1489</v>
      </c>
      <c r="C28" s="557" t="e">
        <f>'Reporting Summary'!C122</f>
        <v>#DIV/0!</v>
      </c>
      <c r="D28" s="557" t="e">
        <f>'Reporting Summary'!D122</f>
        <v>#DIV/0!</v>
      </c>
      <c r="E28" s="559" t="e">
        <f t="shared" si="0"/>
        <v>#DIV/0!</v>
      </c>
      <c r="F28" s="558">
        <f>'Reporting Summary'!G122</f>
        <v>0</v>
      </c>
      <c r="G28" s="558">
        <f>'Reporting Summary'!H122</f>
        <v>0</v>
      </c>
      <c r="H28" s="560">
        <f t="shared" si="1"/>
        <v>0</v>
      </c>
      <c r="I28" s="561" t="e">
        <f t="shared" si="2"/>
        <v>#DIV/0!</v>
      </c>
      <c r="J28" s="562" t="e">
        <f t="shared" si="3"/>
        <v>#DIV/0!</v>
      </c>
    </row>
    <row r="29" spans="2:11" ht="12.75" thickBot="1">
      <c r="B29" s="544" t="s">
        <v>3719</v>
      </c>
      <c r="C29" s="557" t="e">
        <f>'Reporting Summary'!C123</f>
        <v>#DIV/0!</v>
      </c>
      <c r="D29" s="557" t="e">
        <f>'Reporting Summary'!D123</f>
        <v>#DIV/0!</v>
      </c>
      <c r="E29" s="559" t="e">
        <f t="shared" si="0"/>
        <v>#DIV/0!</v>
      </c>
      <c r="F29" s="558">
        <f>'Reporting Summary'!G123</f>
        <v>0</v>
      </c>
      <c r="G29" s="558">
        <f>'Reporting Summary'!H123</f>
        <v>0</v>
      </c>
      <c r="H29" s="560">
        <f t="shared" si="1"/>
        <v>0</v>
      </c>
      <c r="I29" s="561" t="e">
        <f t="shared" si="2"/>
        <v>#DIV/0!</v>
      </c>
      <c r="J29" s="562" t="e">
        <f t="shared" si="3"/>
        <v>#DIV/0!</v>
      </c>
    </row>
    <row r="30" spans="2:11" ht="12.75" thickBot="1">
      <c r="B30" s="544" t="s">
        <v>3720</v>
      </c>
      <c r="C30" s="557" t="e">
        <f>'Reporting Summary'!C124</f>
        <v>#DIV/0!</v>
      </c>
      <c r="D30" s="557" t="e">
        <f>'Reporting Summary'!D124</f>
        <v>#DIV/0!</v>
      </c>
      <c r="E30" s="559" t="e">
        <f t="shared" ref="E30" si="4">C30/100000*$C$18+D30/3412*$C$17</f>
        <v>#DIV/0!</v>
      </c>
      <c r="F30" s="558">
        <f>'Reporting Summary'!G124</f>
        <v>0</v>
      </c>
      <c r="G30" s="558">
        <f>'Reporting Summary'!H124</f>
        <v>0</v>
      </c>
      <c r="H30" s="560">
        <f t="shared" ref="H30" si="5">F30/100000*$C$18+G30/3412*$C$17</f>
        <v>0</v>
      </c>
      <c r="I30" s="561" t="e">
        <f t="shared" ref="I30" si="6">IF(SUM(C30:D30)=0,0,(SUM(C30:D30)-SUM(F30:G30))/SUM(C30:D30))</f>
        <v>#DIV/0!</v>
      </c>
      <c r="J30" s="562" t="e">
        <f t="shared" ref="J30" si="7">IF(E30=0,0,(E30-H30)/E30)</f>
        <v>#DIV/0!</v>
      </c>
    </row>
    <row r="31" spans="2:11" ht="12.75" thickBot="1">
      <c r="B31" s="545" t="s">
        <v>1255</v>
      </c>
      <c r="C31" s="557" t="e">
        <f t="shared" ref="C31:H31" si="8">SUM(C24:C30)</f>
        <v>#DIV/0!</v>
      </c>
      <c r="D31" s="557" t="e">
        <f t="shared" si="8"/>
        <v>#DIV/0!</v>
      </c>
      <c r="E31" s="563" t="e">
        <f t="shared" si="8"/>
        <v>#DIV/0!</v>
      </c>
      <c r="F31" s="564">
        <f t="shared" si="8"/>
        <v>0</v>
      </c>
      <c r="G31" s="564">
        <f t="shared" si="8"/>
        <v>0</v>
      </c>
      <c r="H31" s="565">
        <f t="shared" si="8"/>
        <v>0</v>
      </c>
      <c r="I31" s="561" t="e">
        <f t="shared" si="2"/>
        <v>#DIV/0!</v>
      </c>
      <c r="J31" s="566" t="e">
        <f t="shared" si="3"/>
        <v>#DIV/0!</v>
      </c>
    </row>
    <row r="32" spans="2:11" ht="12.75" thickBot="1"/>
    <row r="33" spans="2:9" ht="12.75" thickBot="1">
      <c r="B33" s="470" t="s">
        <v>2087</v>
      </c>
      <c r="G33" s="567"/>
      <c r="H33" s="559" t="e">
        <f>F31*C18/100000/('Reporting Summary'!I27)/12</f>
        <v>#DIV/0!</v>
      </c>
      <c r="I33" s="471" t="s">
        <v>2579</v>
      </c>
    </row>
    <row r="34" spans="2:9" ht="12.75" thickBot="1">
      <c r="G34" s="567"/>
      <c r="H34" s="559" t="e">
        <f>G31*C17/3412/12/('Reporting Summary'!I27)</f>
        <v>#DIV/0!</v>
      </c>
      <c r="I34" s="471" t="s">
        <v>2578</v>
      </c>
    </row>
    <row r="35" spans="2:9" ht="12.75" thickBot="1">
      <c r="B35" s="533"/>
      <c r="C35" s="541" t="s">
        <v>980</v>
      </c>
      <c r="D35" s="538" t="s">
        <v>981</v>
      </c>
    </row>
    <row r="36" spans="2:9" ht="12.75" thickBot="1">
      <c r="B36" s="533"/>
      <c r="C36" s="541" t="s">
        <v>2088</v>
      </c>
      <c r="D36" s="538" t="s">
        <v>2088</v>
      </c>
    </row>
    <row r="37" spans="2:9" ht="12.75" thickBot="1">
      <c r="B37" s="544" t="s">
        <v>1485</v>
      </c>
      <c r="C37" s="542">
        <f t="shared" ref="C37:C43" si="9">IF($C$14=0,0,SUM(C24:D24)/$C$14)</f>
        <v>0</v>
      </c>
      <c r="D37" s="540">
        <f t="shared" ref="D37:D42" si="10">IF($C$14=0,0,SUM(F24:G24)/$C$14)</f>
        <v>0</v>
      </c>
    </row>
    <row r="38" spans="2:9" ht="12.75" thickBot="1">
      <c r="B38" s="544" t="s">
        <v>1486</v>
      </c>
      <c r="C38" s="542">
        <f t="shared" si="9"/>
        <v>0</v>
      </c>
      <c r="D38" s="540">
        <f t="shared" si="10"/>
        <v>0</v>
      </c>
    </row>
    <row r="39" spans="2:9" ht="12.75" thickBot="1">
      <c r="B39" s="544" t="s">
        <v>1487</v>
      </c>
      <c r="C39" s="542">
        <f t="shared" si="9"/>
        <v>0</v>
      </c>
      <c r="D39" s="540">
        <f t="shared" si="10"/>
        <v>0</v>
      </c>
    </row>
    <row r="40" spans="2:9" ht="12.75" thickBot="1">
      <c r="B40" s="544" t="s">
        <v>1488</v>
      </c>
      <c r="C40" s="542">
        <f t="shared" si="9"/>
        <v>0</v>
      </c>
      <c r="D40" s="540">
        <f t="shared" si="10"/>
        <v>0</v>
      </c>
    </row>
    <row r="41" spans="2:9" ht="12.75" thickBot="1">
      <c r="B41" s="544" t="s">
        <v>1489</v>
      </c>
      <c r="C41" s="542">
        <f t="shared" si="9"/>
        <v>0</v>
      </c>
      <c r="D41" s="540">
        <f t="shared" si="10"/>
        <v>0</v>
      </c>
    </row>
    <row r="42" spans="2:9" ht="12.75" thickBot="1">
      <c r="B42" s="544" t="s">
        <v>3719</v>
      </c>
      <c r="C42" s="542">
        <f t="shared" si="9"/>
        <v>0</v>
      </c>
      <c r="D42" s="540">
        <f t="shared" si="10"/>
        <v>0</v>
      </c>
    </row>
    <row r="43" spans="2:9" ht="12.75" thickBot="1">
      <c r="B43" s="544" t="s">
        <v>3720</v>
      </c>
      <c r="C43" s="542">
        <f t="shared" si="9"/>
        <v>0</v>
      </c>
      <c r="D43" s="540">
        <f t="shared" ref="D43" si="11">IF($C$14=0,0,SUM(F30:G30)/$C$14)</f>
        <v>0</v>
      </c>
    </row>
    <row r="44" spans="2:9" ht="12.75" thickBot="1">
      <c r="B44" s="545" t="s">
        <v>1255</v>
      </c>
      <c r="C44" s="542">
        <f>SUM(C37:C43)</f>
        <v>0</v>
      </c>
      <c r="D44" s="540">
        <f>SUM(D37:D43)</f>
        <v>0</v>
      </c>
    </row>
  </sheetData>
  <mergeCells count="10">
    <mergeCell ref="I22:I23"/>
    <mergeCell ref="B6:K6"/>
    <mergeCell ref="J22:J23"/>
    <mergeCell ref="D9:J9"/>
    <mergeCell ref="D10:J10"/>
    <mergeCell ref="D11:J11"/>
    <mergeCell ref="D12:J12"/>
    <mergeCell ref="D13:J13"/>
    <mergeCell ref="C22:E22"/>
    <mergeCell ref="F22:H22"/>
  </mergeCells>
  <phoneticPr fontId="32" type="noConversion"/>
  <pageMargins left="0.75" right="0.75" top="1" bottom="1" header="0.5" footer="0.5"/>
  <pageSetup orientation="portrait" horizontalDpi="4294967293" r:id="rId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theme="9" tint="-0.249977111117893"/>
    <pageSetUpPr autoPageBreaks="0"/>
  </sheetPr>
  <dimension ref="B1:O56"/>
  <sheetViews>
    <sheetView showGridLines="0" showZeros="0" showOutlineSymbols="0" workbookViewId="0">
      <selection activeCell="C32" sqref="C32"/>
    </sheetView>
  </sheetViews>
  <sheetFormatPr defaultRowHeight="12.75"/>
  <cols>
    <col min="1" max="1" width="2.28515625" style="259" customWidth="1"/>
    <col min="2" max="2" width="22.85546875" style="259" customWidth="1"/>
    <col min="3" max="3" width="11.140625" style="259" customWidth="1"/>
    <col min="4" max="4" width="11.7109375" style="260" customWidth="1"/>
    <col min="5" max="5" width="12.28515625" style="260" customWidth="1"/>
    <col min="6" max="6" width="10.7109375" style="260" customWidth="1"/>
    <col min="7" max="7" width="12.5703125" style="260" customWidth="1"/>
    <col min="8" max="8" width="9.42578125" style="260" customWidth="1"/>
    <col min="9" max="9" width="12.28515625" style="259" customWidth="1"/>
    <col min="10" max="10" width="3.7109375" style="259" customWidth="1"/>
    <col min="11" max="11" width="12.42578125" style="259" hidden="1" customWidth="1"/>
    <col min="12" max="12" width="11.5703125" style="259" hidden="1" customWidth="1"/>
    <col min="13" max="15" width="0" style="259" hidden="1" customWidth="1"/>
    <col min="16" max="20" width="9.140625" style="259"/>
    <col min="21" max="21" width="5.7109375" style="259" customWidth="1"/>
    <col min="22" max="25" width="9.140625" style="259"/>
    <col min="26" max="26" width="5.7109375" style="259" customWidth="1"/>
    <col min="27" max="30" width="9.140625" style="259"/>
    <col min="31" max="31" width="5.7109375" style="259" customWidth="1"/>
    <col min="32" max="16384" width="9.140625" style="259"/>
  </cols>
  <sheetData>
    <row r="1" spans="2:12" ht="13.5" customHeight="1" thickBot="1"/>
    <row r="2" spans="2:12" ht="15.6" customHeight="1">
      <c r="B2" s="2302" t="s">
        <v>2647</v>
      </c>
      <c r="C2" s="2303"/>
      <c r="D2" s="2303"/>
      <c r="E2" s="2303"/>
      <c r="F2" s="2303"/>
      <c r="G2" s="2303"/>
      <c r="H2" s="2303"/>
      <c r="I2" s="2304"/>
    </row>
    <row r="3" spans="2:12" ht="15.75" thickBot="1">
      <c r="B3" s="2305" t="s">
        <v>2646</v>
      </c>
      <c r="C3" s="2306"/>
      <c r="D3" s="2306"/>
      <c r="E3" s="2306"/>
      <c r="F3" s="2306"/>
      <c r="G3" s="2306"/>
      <c r="H3" s="2306"/>
      <c r="I3" s="2307"/>
    </row>
    <row r="4" spans="2:12" ht="5.0999999999999996" customHeight="1" thickBot="1">
      <c r="B4" s="377"/>
      <c r="C4" s="377"/>
      <c r="D4" s="376"/>
      <c r="E4" s="376"/>
      <c r="F4" s="376"/>
      <c r="G4" s="376"/>
      <c r="H4" s="376"/>
    </row>
    <row r="5" spans="2:12" ht="17.100000000000001" customHeight="1">
      <c r="B5" s="375"/>
      <c r="C5" s="374"/>
      <c r="D5" s="373"/>
      <c r="E5" s="373"/>
      <c r="F5" s="373"/>
      <c r="G5" s="373"/>
      <c r="H5" s="373"/>
      <c r="I5" s="372"/>
    </row>
    <row r="6" spans="2:12" ht="17.100000000000001" customHeight="1">
      <c r="B6" s="371"/>
      <c r="C6" s="370"/>
      <c r="D6" s="369"/>
      <c r="E6" s="369"/>
      <c r="F6" s="369"/>
      <c r="G6" s="369"/>
      <c r="H6" s="369"/>
      <c r="I6" s="368"/>
    </row>
    <row r="7" spans="2:12" ht="17.100000000000001" customHeight="1">
      <c r="B7" s="371"/>
      <c r="C7" s="370"/>
      <c r="D7" s="369"/>
      <c r="E7" s="369"/>
      <c r="F7" s="369"/>
      <c r="G7" s="369"/>
      <c r="H7" s="369"/>
      <c r="I7" s="368"/>
    </row>
    <row r="8" spans="2:12" ht="8.25" customHeight="1" thickBot="1">
      <c r="B8" s="367"/>
      <c r="C8" s="366"/>
      <c r="D8" s="365"/>
      <c r="E8" s="365"/>
      <c r="F8" s="365"/>
      <c r="G8" s="365"/>
      <c r="H8" s="365"/>
      <c r="I8" s="364"/>
    </row>
    <row r="9" spans="2:12" ht="4.5" customHeight="1" thickBot="1">
      <c r="B9" s="363"/>
      <c r="C9" s="363"/>
      <c r="D9" s="362"/>
      <c r="E9" s="362"/>
      <c r="F9" s="362"/>
      <c r="G9" s="362"/>
      <c r="H9" s="362"/>
    </row>
    <row r="10" spans="2:12" s="329" customFormat="1" ht="17.100000000000001" customHeight="1" thickBot="1">
      <c r="B10" s="299" t="s">
        <v>2645</v>
      </c>
      <c r="C10" s="361"/>
      <c r="D10" s="361"/>
      <c r="E10" s="361"/>
      <c r="F10" s="361"/>
      <c r="G10" s="361"/>
      <c r="H10" s="360"/>
      <c r="I10" s="359" t="s">
        <v>2644</v>
      </c>
    </row>
    <row r="11" spans="2:12" s="329" customFormat="1" ht="0.75" customHeight="1" thickBot="1">
      <c r="B11" s="358"/>
      <c r="C11" s="355"/>
      <c r="D11" s="354"/>
      <c r="E11" s="354"/>
      <c r="F11" s="354"/>
      <c r="G11" s="354"/>
      <c r="H11" s="348"/>
      <c r="I11" s="357"/>
    </row>
    <row r="12" spans="2:12" s="329" customFormat="1" ht="17.25" customHeight="1" thickBot="1">
      <c r="B12" s="346" t="s">
        <v>2643</v>
      </c>
      <c r="C12" s="2308">
        <f>'Reporting Summary'!I6</f>
        <v>0</v>
      </c>
      <c r="D12" s="2309"/>
      <c r="E12" s="2309"/>
      <c r="F12" s="2310"/>
      <c r="G12" s="309"/>
      <c r="H12" s="348"/>
      <c r="I12" s="356">
        <v>38398</v>
      </c>
    </row>
    <row r="13" spans="2:12" s="329" customFormat="1" ht="4.5" customHeight="1">
      <c r="B13" s="346"/>
      <c r="C13" s="355"/>
      <c r="D13" s="354"/>
      <c r="E13" s="354"/>
      <c r="F13" s="354"/>
      <c r="G13" s="354"/>
      <c r="H13" s="348"/>
      <c r="I13" s="331"/>
    </row>
    <row r="14" spans="2:12" s="329" customFormat="1" ht="17.100000000000001" customHeight="1">
      <c r="B14" s="346" t="s">
        <v>2642</v>
      </c>
      <c r="C14" s="469">
        <f>'Basic Info'!C34:D34</f>
        <v>0</v>
      </c>
      <c r="D14" s="348"/>
      <c r="E14" s="333"/>
      <c r="F14" s="333"/>
      <c r="G14" s="350"/>
      <c r="H14" s="350"/>
      <c r="I14" s="331"/>
      <c r="K14" s="259" t="s">
        <v>2641</v>
      </c>
    </row>
    <row r="15" spans="2:12" s="329" customFormat="1" ht="5.25" customHeight="1">
      <c r="B15" s="346"/>
      <c r="C15" s="353"/>
      <c r="D15" s="348"/>
      <c r="E15" s="352"/>
      <c r="F15" s="351"/>
      <c r="G15" s="351"/>
      <c r="H15" s="351"/>
      <c r="I15" s="331"/>
    </row>
    <row r="16" spans="2:12" s="329" customFormat="1" ht="17.100000000000001" customHeight="1">
      <c r="B16" s="346" t="s">
        <v>2640</v>
      </c>
      <c r="C16" s="468" t="e">
        <f>+'ZipCode Map'!H5</f>
        <v>#N/A</v>
      </c>
      <c r="D16" s="350"/>
      <c r="E16" s="350"/>
      <c r="F16" s="349"/>
      <c r="G16" s="348"/>
      <c r="H16" s="348"/>
      <c r="I16" s="331"/>
      <c r="K16" s="259" t="s">
        <v>2639</v>
      </c>
      <c r="L16" s="329">
        <v>1053</v>
      </c>
    </row>
    <row r="17" spans="2:15" s="329" customFormat="1" ht="27" customHeight="1">
      <c r="B17" s="346"/>
      <c r="C17" s="467"/>
      <c r="D17" s="467"/>
      <c r="E17" s="467"/>
      <c r="F17" s="467"/>
      <c r="G17" s="467"/>
      <c r="H17" s="342"/>
      <c r="I17" s="331"/>
      <c r="K17" s="329" t="s">
        <v>2633</v>
      </c>
      <c r="L17" s="259" t="s">
        <v>2632</v>
      </c>
      <c r="M17" s="347"/>
      <c r="N17" s="345"/>
      <c r="O17" s="330"/>
    </row>
    <row r="18" spans="2:15" s="329" customFormat="1" ht="25.15" customHeight="1">
      <c r="B18" s="346"/>
      <c r="C18" s="467" t="s">
        <v>2638</v>
      </c>
      <c r="D18" s="467" t="s">
        <v>2637</v>
      </c>
      <c r="E18" s="467" t="s">
        <v>2636</v>
      </c>
      <c r="F18" s="467" t="s">
        <v>2635</v>
      </c>
      <c r="G18" s="467" t="s">
        <v>2634</v>
      </c>
      <c r="H18" s="342"/>
      <c r="I18" s="331"/>
      <c r="K18" s="329" t="s">
        <v>2631</v>
      </c>
      <c r="L18" s="329">
        <v>695</v>
      </c>
      <c r="M18" s="345"/>
      <c r="N18" s="345"/>
      <c r="O18" s="330"/>
    </row>
    <row r="19" spans="2:15" s="329" customFormat="1" ht="17.100000000000001" customHeight="1">
      <c r="B19" s="346" t="s">
        <v>889</v>
      </c>
      <c r="C19" s="344">
        <f>'Basic Info'!C11</f>
        <v>0</v>
      </c>
      <c r="D19" s="344">
        <f>'Basic Info'!C11</f>
        <v>0</v>
      </c>
      <c r="E19" s="344">
        <f>IF('Basic Info'!D11="Heated-Only",0,'Basic Info'!C11)</f>
        <v>0</v>
      </c>
      <c r="F19" s="344">
        <f>SUM('Basic Info'!C4:C8)</f>
        <v>0</v>
      </c>
      <c r="G19" s="344">
        <f>'Basic Info'!C4+'Basic Info'!C5+2*'Basic Info'!C6+3*'Basic Info'!C7+4*'Basic Info'!C8</f>
        <v>0</v>
      </c>
      <c r="H19" s="342"/>
      <c r="I19" s="331"/>
      <c r="K19" s="329" t="s">
        <v>2630</v>
      </c>
      <c r="L19" s="329">
        <v>80000</v>
      </c>
      <c r="O19" s="330"/>
    </row>
    <row r="20" spans="2:15" s="329" customFormat="1" ht="17.100000000000001" customHeight="1">
      <c r="B20" s="346" t="s">
        <v>2629</v>
      </c>
      <c r="C20" s="344">
        <f>SUM('Basic Info'!C12:C21)</f>
        <v>0</v>
      </c>
      <c r="D20" s="335" t="s">
        <v>2626</v>
      </c>
      <c r="E20" s="342"/>
      <c r="F20" s="342"/>
      <c r="G20" s="342"/>
      <c r="H20" s="342"/>
      <c r="I20" s="331"/>
      <c r="K20" s="259" t="s">
        <v>2628</v>
      </c>
      <c r="L20" s="338">
        <f>L19/L18</f>
        <v>115.10791366906474</v>
      </c>
      <c r="N20" s="259"/>
      <c r="O20" s="330"/>
    </row>
    <row r="21" spans="2:15" s="329" customFormat="1" ht="17.100000000000001" customHeight="1">
      <c r="B21" s="346" t="s">
        <v>2627</v>
      </c>
      <c r="C21" s="343">
        <f>'Basic Info'!C25</f>
        <v>0</v>
      </c>
      <c r="D21" s="335" t="s">
        <v>2626</v>
      </c>
      <c r="E21" s="342"/>
      <c r="F21" s="342"/>
      <c r="G21" s="342"/>
      <c r="H21" s="342"/>
      <c r="I21" s="331"/>
      <c r="K21" s="329" t="s">
        <v>2625</v>
      </c>
      <c r="L21" s="329">
        <v>1428</v>
      </c>
      <c r="O21" s="330"/>
    </row>
    <row r="22" spans="2:15" s="329" customFormat="1" ht="17.100000000000001" customHeight="1">
      <c r="B22" s="346" t="s">
        <v>2183</v>
      </c>
      <c r="C22" s="343">
        <f>IF('Basic Info'!C29="Under Ground Garage",'Basic Info'!C24,0)</f>
        <v>0</v>
      </c>
      <c r="D22" s="335" t="s">
        <v>2624</v>
      </c>
      <c r="E22" s="340"/>
      <c r="F22" s="342"/>
      <c r="G22" s="342"/>
      <c r="H22" s="342"/>
      <c r="I22" s="331"/>
      <c r="K22" s="329" t="s">
        <v>2623</v>
      </c>
      <c r="L22" s="329">
        <v>61322</v>
      </c>
      <c r="O22" s="330"/>
    </row>
    <row r="23" spans="2:15" s="329" customFormat="1" ht="17.100000000000001" customHeight="1">
      <c r="B23" s="346" t="s">
        <v>2184</v>
      </c>
      <c r="C23" s="343">
        <f>IF('Basic Info'!C30="Above Ground Garage",'Basic Info'!C24,0)</f>
        <v>0</v>
      </c>
      <c r="D23" s="335" t="s">
        <v>2620</v>
      </c>
      <c r="E23" s="340"/>
      <c r="F23" s="342"/>
      <c r="G23" s="342"/>
      <c r="H23" s="342"/>
      <c r="I23" s="331"/>
      <c r="K23" s="329" t="s">
        <v>2622</v>
      </c>
      <c r="L23" s="338">
        <f>L20*L21</f>
        <v>164374.10071942446</v>
      </c>
      <c r="M23" s="259" t="s">
        <v>2621</v>
      </c>
      <c r="O23" s="330"/>
    </row>
    <row r="24" spans="2:15" s="329" customFormat="1" ht="17.100000000000001" customHeight="1">
      <c r="B24" s="346" t="s">
        <v>2185</v>
      </c>
      <c r="C24" s="343">
        <f>IF('Basic Info'!C41="Parking Lot",'Basic Info'!C24,0)</f>
        <v>0</v>
      </c>
      <c r="D24" s="335" t="s">
        <v>2620</v>
      </c>
      <c r="E24" s="340"/>
      <c r="F24" s="333"/>
      <c r="G24" s="333"/>
      <c r="H24" s="332"/>
      <c r="I24" s="331"/>
      <c r="K24" s="339" t="s">
        <v>2619</v>
      </c>
      <c r="L24" s="338">
        <f>L20*L22</f>
        <v>7058647.4820143878</v>
      </c>
      <c r="M24" s="259" t="s">
        <v>2618</v>
      </c>
      <c r="N24" s="330"/>
      <c r="O24" s="330"/>
    </row>
    <row r="25" spans="2:15" s="329" customFormat="1" ht="17.100000000000001" customHeight="1">
      <c r="B25" s="337" t="s">
        <v>2617</v>
      </c>
      <c r="C25" s="336">
        <f>SUM(C19:C21)</f>
        <v>0</v>
      </c>
      <c r="D25" s="335" t="s">
        <v>2616</v>
      </c>
      <c r="E25" s="334"/>
      <c r="F25" s="333"/>
      <c r="G25" s="333"/>
      <c r="H25" s="332"/>
      <c r="I25" s="331"/>
      <c r="K25" s="259" t="s">
        <v>2615</v>
      </c>
      <c r="M25" s="259"/>
      <c r="N25" s="330"/>
      <c r="O25" s="330"/>
    </row>
    <row r="26" spans="2:15" ht="7.5" customHeight="1" thickBot="1">
      <c r="B26" s="2311"/>
      <c r="C26" s="2312"/>
      <c r="D26" s="2312"/>
      <c r="E26" s="2312"/>
      <c r="F26" s="2312"/>
      <c r="G26" s="2313"/>
      <c r="H26" s="2313"/>
      <c r="I26" s="2314"/>
      <c r="M26" s="328"/>
      <c r="N26" s="328"/>
      <c r="O26" s="328"/>
    </row>
    <row r="27" spans="2:15" s="266" customFormat="1" ht="5.0999999999999996" customHeight="1" thickBot="1">
      <c r="B27" s="270"/>
      <c r="C27" s="269"/>
      <c r="D27" s="268"/>
      <c r="E27" s="268"/>
      <c r="F27" s="268"/>
      <c r="G27" s="268"/>
      <c r="H27" s="267"/>
      <c r="M27" s="294"/>
      <c r="N27" s="294"/>
      <c r="O27" s="294"/>
    </row>
    <row r="28" spans="2:15" s="266" customFormat="1" ht="17.100000000000001" customHeight="1">
      <c r="B28" s="299" t="s">
        <v>2614</v>
      </c>
      <c r="C28" s="298"/>
      <c r="D28" s="297"/>
      <c r="E28" s="297"/>
      <c r="F28" s="297"/>
      <c r="G28" s="297"/>
      <c r="H28" s="296"/>
      <c r="I28" s="327"/>
      <c r="M28" s="294"/>
      <c r="N28" s="294"/>
      <c r="O28" s="294"/>
    </row>
    <row r="29" spans="2:15" s="266" customFormat="1" ht="14.25" customHeight="1">
      <c r="B29" s="280"/>
      <c r="C29" s="293" t="s">
        <v>1474</v>
      </c>
      <c r="D29" s="293" t="s">
        <v>2186</v>
      </c>
      <c r="E29" s="293" t="s">
        <v>2571</v>
      </c>
      <c r="F29" s="293" t="s">
        <v>2187</v>
      </c>
      <c r="G29" s="293" t="s">
        <v>2188</v>
      </c>
      <c r="H29" s="314"/>
      <c r="I29" s="308"/>
      <c r="K29" s="322" t="s">
        <v>2613</v>
      </c>
      <c r="L29" s="322" t="s">
        <v>2612</v>
      </c>
      <c r="M29" s="322" t="s">
        <v>2613</v>
      </c>
      <c r="N29" s="322" t="s">
        <v>2612</v>
      </c>
      <c r="O29" s="321" t="s">
        <v>2611</v>
      </c>
    </row>
    <row r="30" spans="2:15" s="266" customFormat="1" ht="17.100000000000001" customHeight="1">
      <c r="B30" s="325" t="s">
        <v>2610</v>
      </c>
      <c r="C30" s="293" t="s">
        <v>1885</v>
      </c>
      <c r="D30" s="292" t="s">
        <v>1885</v>
      </c>
      <c r="E30" s="315"/>
      <c r="F30" s="315"/>
      <c r="G30" s="315"/>
      <c r="H30" s="314"/>
      <c r="I30" s="308"/>
      <c r="K30" s="326" t="s">
        <v>2609</v>
      </c>
      <c r="L30" s="326" t="s">
        <v>2607</v>
      </c>
      <c r="M30" s="326" t="s">
        <v>2608</v>
      </c>
      <c r="N30" s="326" t="s">
        <v>2607</v>
      </c>
      <c r="O30" s="326" t="s">
        <v>2607</v>
      </c>
    </row>
    <row r="31" spans="2:15" s="266" customFormat="1" ht="5.25" customHeight="1">
      <c r="B31" s="325"/>
      <c r="C31" s="324"/>
      <c r="D31" s="323"/>
      <c r="E31" s="323"/>
      <c r="F31" s="323"/>
      <c r="G31" s="323"/>
      <c r="H31" s="314"/>
      <c r="I31" s="308"/>
      <c r="K31" s="322"/>
      <c r="L31" s="322"/>
      <c r="M31" s="321"/>
      <c r="N31" s="321"/>
      <c r="O31" s="321"/>
    </row>
    <row r="32" spans="2:15" s="266" customFormat="1" ht="17.100000000000001" customHeight="1">
      <c r="B32" s="280" t="s">
        <v>2189</v>
      </c>
      <c r="C32" s="311" t="e">
        <f>'Reporting Summary'!D125/1000</f>
        <v>#DIV/0!</v>
      </c>
      <c r="D32" s="311" t="e">
        <f>'Reporting Summary'!C125/1000</f>
        <v>#DIV/0!</v>
      </c>
      <c r="E32" s="311"/>
      <c r="F32" s="311"/>
      <c r="G32" s="310"/>
      <c r="H32" s="314" t="s">
        <v>2606</v>
      </c>
      <c r="I32" s="320"/>
      <c r="K32" s="319" t="e">
        <f>0.08*C32</f>
        <v>#DIV/0!</v>
      </c>
      <c r="L32" s="317" t="e">
        <f>K32/(C19)</f>
        <v>#DIV/0!</v>
      </c>
      <c r="M32" s="318" t="e">
        <f>8*D32/1000</f>
        <v>#DIV/0!</v>
      </c>
      <c r="N32" s="317" t="e">
        <f>M32/(C19)</f>
        <v>#DIV/0!</v>
      </c>
      <c r="O32" s="316" t="e">
        <f>L32+N32</f>
        <v>#DIV/0!</v>
      </c>
    </row>
    <row r="33" spans="2:15" s="266" customFormat="1" ht="1.9" customHeight="1">
      <c r="B33" s="280"/>
      <c r="C33" s="279"/>
      <c r="D33" s="315"/>
      <c r="E33" s="315"/>
      <c r="F33" s="315"/>
      <c r="G33" s="315"/>
      <c r="H33" s="314"/>
      <c r="I33" s="308"/>
      <c r="M33" s="301"/>
      <c r="N33" s="307"/>
      <c r="O33" s="307"/>
    </row>
    <row r="34" spans="2:15" s="266" customFormat="1" ht="17.100000000000001" customHeight="1">
      <c r="B34" s="280"/>
      <c r="C34" s="293" t="s">
        <v>1474</v>
      </c>
      <c r="D34" s="293"/>
      <c r="E34" s="293" t="s">
        <v>2571</v>
      </c>
      <c r="F34" s="293" t="s">
        <v>2187</v>
      </c>
      <c r="G34" s="293" t="s">
        <v>2188</v>
      </c>
      <c r="H34" s="314"/>
      <c r="I34" s="308"/>
      <c r="M34" s="301"/>
      <c r="N34" s="307"/>
      <c r="O34" s="307"/>
    </row>
    <row r="35" spans="2:15" s="266" customFormat="1" ht="17.100000000000001" customHeight="1">
      <c r="B35" s="280" t="s">
        <v>2605</v>
      </c>
      <c r="C35" s="313" t="e">
        <f>C32*1000/3412*'Reporting Summary'!C112</f>
        <v>#DIV/0!</v>
      </c>
      <c r="D35" s="312" t="e">
        <f>D32/100*'Reporting Summary'!C113</f>
        <v>#DIV/0!</v>
      </c>
      <c r="E35" s="311"/>
      <c r="F35" s="311"/>
      <c r="G35" s="310"/>
      <c r="H35" s="309" t="s">
        <v>2604</v>
      </c>
      <c r="I35" s="308"/>
      <c r="M35" s="301"/>
      <c r="N35" s="307"/>
      <c r="O35" s="307"/>
    </row>
    <row r="36" spans="2:15" s="266" customFormat="1" ht="8.25" customHeight="1" thickBot="1">
      <c r="B36" s="306"/>
      <c r="C36" s="305"/>
      <c r="D36" s="304"/>
      <c r="E36" s="304"/>
      <c r="F36" s="304"/>
      <c r="G36" s="304"/>
      <c r="H36" s="303"/>
      <c r="I36" s="302"/>
      <c r="M36" s="301"/>
      <c r="N36" s="300"/>
      <c r="O36" s="300"/>
    </row>
    <row r="37" spans="2:15" s="266" customFormat="1" ht="5.0999999999999996" customHeight="1" thickBot="1">
      <c r="B37" s="270"/>
      <c r="C37" s="269"/>
      <c r="D37" s="268"/>
      <c r="E37" s="268"/>
      <c r="F37" s="268"/>
      <c r="G37" s="268"/>
      <c r="H37" s="267"/>
      <c r="M37" s="294"/>
      <c r="N37" s="294"/>
      <c r="O37" s="294"/>
    </row>
    <row r="38" spans="2:15" s="266" customFormat="1" ht="16.5" customHeight="1">
      <c r="B38" s="299" t="s">
        <v>2603</v>
      </c>
      <c r="C38" s="298"/>
      <c r="D38" s="297"/>
      <c r="E38" s="297"/>
      <c r="F38" s="297"/>
      <c r="G38" s="297"/>
      <c r="H38" s="296"/>
      <c r="I38" s="295"/>
      <c r="M38" s="294"/>
      <c r="N38" s="294"/>
      <c r="O38" s="294"/>
    </row>
    <row r="39" spans="2:15" s="266" customFormat="1" ht="12.6" customHeight="1">
      <c r="B39" s="280"/>
      <c r="C39" s="293"/>
      <c r="D39" s="2316" t="s">
        <v>2602</v>
      </c>
      <c r="E39" s="2316"/>
      <c r="F39" s="285" t="s">
        <v>2190</v>
      </c>
      <c r="G39" s="2317" t="s">
        <v>2601</v>
      </c>
      <c r="H39" s="2317"/>
      <c r="I39" s="2300" t="s">
        <v>2600</v>
      </c>
      <c r="J39" s="282"/>
      <c r="K39" s="282"/>
      <c r="M39" s="294"/>
      <c r="N39" s="294"/>
      <c r="O39" s="294"/>
    </row>
    <row r="40" spans="2:15" s="266" customFormat="1" ht="5.0999999999999996" customHeight="1">
      <c r="B40" s="280"/>
      <c r="C40" s="293"/>
      <c r="D40" s="293"/>
      <c r="E40" s="293"/>
      <c r="F40" s="285"/>
      <c r="G40" s="292"/>
      <c r="H40" s="292"/>
      <c r="I40" s="2301"/>
      <c r="J40" s="282"/>
      <c r="K40" s="282"/>
    </row>
    <row r="41" spans="2:15" s="266" customFormat="1" ht="17.100000000000001" customHeight="1">
      <c r="B41" s="280"/>
      <c r="C41" s="279" t="s">
        <v>2599</v>
      </c>
      <c r="D41" s="2298">
        <v>75</v>
      </c>
      <c r="E41" s="2299"/>
      <c r="F41" s="285">
        <v>50</v>
      </c>
      <c r="G41" s="2315" t="e">
        <f ca="1">+'Worksheet - Design - Baseline'!F12</f>
        <v>#DIV/0!</v>
      </c>
      <c r="H41" s="2299"/>
      <c r="I41" s="2301"/>
      <c r="J41" s="282"/>
      <c r="K41" s="282"/>
    </row>
    <row r="42" spans="2:15" s="266" customFormat="1" ht="5.0999999999999996" customHeight="1">
      <c r="B42" s="280"/>
      <c r="C42" s="279"/>
      <c r="D42" s="278"/>
      <c r="E42" s="278"/>
      <c r="F42" s="285"/>
      <c r="G42" s="278"/>
      <c r="H42" s="289"/>
      <c r="I42" s="2301"/>
      <c r="J42" s="282"/>
      <c r="K42" s="282"/>
    </row>
    <row r="43" spans="2:15" s="266" customFormat="1" ht="17.100000000000001" customHeight="1">
      <c r="B43" s="280"/>
      <c r="C43" s="279" t="s">
        <v>2598</v>
      </c>
      <c r="D43" s="2292" t="e">
        <f>IF(SUM(C32:G32)&lt;0.1,"",'Worksheet - Design - Baseline'!F14)</f>
        <v>#DIV/0!</v>
      </c>
      <c r="E43" s="2293"/>
      <c r="F43" s="15" t="e">
        <f>IF(SUM(C32:G32)&lt;0.1,"",+'Worksheet - Design - Baseline'!F25)</f>
        <v>#DIV/0!</v>
      </c>
      <c r="G43" s="2292" t="e">
        <f ca="1">(+C32*'Side Calcs - Baseline'!K4+D32*'Side Calcs - Baseline'!O4+E32*'Side Calcs - Baseline'!S4+F32*'Side Calcs - Baseline'!W4+G32*'Side Calcs - Baseline'!AA4)</f>
        <v>#DIV/0!</v>
      </c>
      <c r="H43" s="2293"/>
      <c r="I43" s="16" t="e">
        <f ca="1">G43-D43</f>
        <v>#DIV/0!</v>
      </c>
      <c r="J43" s="291"/>
      <c r="K43" s="290"/>
    </row>
    <row r="44" spans="2:15" s="266" customFormat="1" ht="5.0999999999999996" customHeight="1">
      <c r="B44" s="280"/>
      <c r="C44" s="279"/>
      <c r="D44" s="277"/>
      <c r="E44" s="277"/>
      <c r="F44" s="15"/>
      <c r="G44" s="277"/>
      <c r="H44" s="277"/>
      <c r="I44" s="283"/>
      <c r="J44" s="291"/>
      <c r="K44" s="290"/>
    </row>
    <row r="45" spans="2:15" s="266" customFormat="1" ht="16.5" customHeight="1">
      <c r="B45" s="280"/>
      <c r="C45" s="279" t="s">
        <v>2597</v>
      </c>
      <c r="D45" s="2296" t="e">
        <f>D43/C25</f>
        <v>#DIV/0!</v>
      </c>
      <c r="E45" s="2297"/>
      <c r="F45" s="285"/>
      <c r="G45" s="2296" t="e">
        <f ca="1">G43/C25</f>
        <v>#DIV/0!</v>
      </c>
      <c r="H45" s="2297"/>
      <c r="I45" s="283"/>
      <c r="J45" s="282"/>
      <c r="K45" s="282"/>
    </row>
    <row r="46" spans="2:15" s="266" customFormat="1" ht="5.0999999999999996" customHeight="1">
      <c r="B46" s="280"/>
      <c r="C46" s="279"/>
      <c r="D46" s="278"/>
      <c r="E46" s="278"/>
      <c r="F46" s="285"/>
      <c r="G46" s="278"/>
      <c r="H46" s="289"/>
      <c r="I46" s="283"/>
      <c r="J46" s="282"/>
      <c r="K46" s="282"/>
    </row>
    <row r="47" spans="2:15" s="266" customFormat="1" ht="16.5" customHeight="1">
      <c r="B47" s="280"/>
      <c r="C47" s="280" t="s">
        <v>2596</v>
      </c>
      <c r="D47" s="2294" t="e">
        <f>IF(SUM(C35:G35)&lt;0.1,"",+G47*('Worksheet - Design - Baseline'!H54/'Worksheet - Design - Baseline'!K54))</f>
        <v>#DIV/0!</v>
      </c>
      <c r="E47" s="2295"/>
      <c r="F47" s="288" t="e">
        <f>IF(SUM(C35:G35)&lt;0.1,"",+G47*('Worksheet - Design - Baseline'!J54/'Worksheet - Design - Baseline'!K54))</f>
        <v>#DIV/0!</v>
      </c>
      <c r="G47" s="2294" t="e">
        <f>SUM(C35:G35)/C25</f>
        <v>#DIV/0!</v>
      </c>
      <c r="H47" s="2295"/>
      <c r="I47" s="287"/>
      <c r="J47" s="286"/>
      <c r="K47" s="282"/>
    </row>
    <row r="48" spans="2:15" s="266" customFormat="1" ht="6" customHeight="1">
      <c r="B48" s="280"/>
      <c r="C48" s="279"/>
      <c r="D48" s="278"/>
      <c r="E48" s="278"/>
      <c r="F48" s="285"/>
      <c r="G48" s="284"/>
      <c r="H48" s="284"/>
      <c r="I48" s="283"/>
      <c r="J48" s="282"/>
      <c r="K48" s="282"/>
    </row>
    <row r="49" spans="2:11" s="266" customFormat="1" ht="17.100000000000001" customHeight="1">
      <c r="B49" s="280"/>
      <c r="C49" s="279" t="s">
        <v>2595</v>
      </c>
      <c r="D49" s="2292" t="e">
        <f>IF(SUM(C35:G35)&lt;0.1,"",+G49*('Worksheet - Design - Baseline'!H54/'Worksheet - Design - Baseline'!K54))</f>
        <v>#DIV/0!</v>
      </c>
      <c r="E49" s="2293"/>
      <c r="F49" s="15" t="e">
        <f>IF(SUM(C35:G35)&lt;0.1,"",+G49*('Worksheet - Design - Baseline'!J54/'Worksheet - Design - Baseline'!K54))</f>
        <v>#DIV/0!</v>
      </c>
      <c r="G49" s="2292" t="e">
        <f>SUM(C35:G35)</f>
        <v>#DIV/0!</v>
      </c>
      <c r="H49" s="2293"/>
      <c r="I49" s="16"/>
      <c r="J49" s="281"/>
      <c r="K49" s="281"/>
    </row>
    <row r="50" spans="2:11" s="266" customFormat="1" ht="8.25" customHeight="1">
      <c r="B50" s="280"/>
      <c r="C50" s="279"/>
      <c r="D50" s="277"/>
      <c r="E50" s="277"/>
      <c r="F50" s="278"/>
      <c r="G50" s="277"/>
      <c r="H50" s="277"/>
      <c r="I50" s="276"/>
    </row>
    <row r="51" spans="2:11" s="266" customFormat="1" ht="1.1499999999999999" customHeight="1" thickBot="1">
      <c r="B51" s="275"/>
      <c r="C51" s="274"/>
      <c r="D51" s="273"/>
      <c r="E51" s="273"/>
      <c r="F51" s="273"/>
      <c r="G51" s="273"/>
      <c r="H51" s="272"/>
      <c r="I51" s="271"/>
    </row>
    <row r="52" spans="2:11" s="266" customFormat="1" ht="5.25" customHeight="1">
      <c r="B52" s="270"/>
      <c r="C52" s="269"/>
      <c r="D52" s="268"/>
      <c r="E52" s="268"/>
      <c r="F52" s="268"/>
      <c r="G52" s="268"/>
      <c r="H52" s="267"/>
    </row>
    <row r="53" spans="2:11" ht="17.100000000000001" hidden="1" customHeight="1">
      <c r="B53" s="265" t="s">
        <v>2594</v>
      </c>
      <c r="C53" s="264" t="s">
        <v>2593</v>
      </c>
      <c r="D53" s="263"/>
      <c r="E53" s="263"/>
      <c r="F53" s="263" t="s">
        <v>2592</v>
      </c>
      <c r="G53" s="263"/>
      <c r="H53" s="263"/>
      <c r="I53" s="263"/>
    </row>
    <row r="54" spans="2:11" hidden="1">
      <c r="D54" s="259"/>
      <c r="E54" s="259"/>
      <c r="F54" s="262"/>
      <c r="G54" s="262"/>
      <c r="H54" s="262"/>
    </row>
    <row r="55" spans="2:11">
      <c r="B55" s="261" t="s">
        <v>2591</v>
      </c>
      <c r="C55" s="261"/>
      <c r="D55" s="261"/>
      <c r="E55" s="261"/>
      <c r="F55" s="261"/>
      <c r="G55" s="261"/>
      <c r="H55" s="261"/>
      <c r="I55" s="261"/>
    </row>
    <row r="56" spans="2:11">
      <c r="B56" s="261"/>
      <c r="C56" s="261"/>
      <c r="D56" s="261"/>
      <c r="E56" s="261"/>
      <c r="F56" s="261"/>
      <c r="G56" s="261"/>
      <c r="H56" s="261"/>
      <c r="I56" s="261"/>
    </row>
  </sheetData>
  <mergeCells count="17">
    <mergeCell ref="D41:E41"/>
    <mergeCell ref="I39:I42"/>
    <mergeCell ref="B2:I2"/>
    <mergeCell ref="B3:I3"/>
    <mergeCell ref="C12:F12"/>
    <mergeCell ref="B26:I26"/>
    <mergeCell ref="G41:H41"/>
    <mergeCell ref="D39:E39"/>
    <mergeCell ref="G39:H39"/>
    <mergeCell ref="D49:E49"/>
    <mergeCell ref="G49:H49"/>
    <mergeCell ref="G43:H43"/>
    <mergeCell ref="G47:H47"/>
    <mergeCell ref="D43:E43"/>
    <mergeCell ref="D47:E47"/>
    <mergeCell ref="D45:E45"/>
    <mergeCell ref="G45:H45"/>
  </mergeCells>
  <hyperlinks>
    <hyperlink ref="C53" r:id="rId1" display="http://www.epa.gov/buildings/label"/>
    <hyperlink ref="H17:H18" location="Help!B29" display="Number of floors"/>
  </hyperlinks>
  <printOptions horizontalCentered="1"/>
  <pageMargins left="0.5" right="0.5" top="1" bottom="0.25" header="0.5" footer="0.5"/>
  <pageSetup scale="8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7169" r:id="rId5" name="Drop Down 1">
              <controlPr locked="0" defaultSize="0" autoFill="0" autoLine="0" autoPict="0">
                <anchor moveWithCells="1">
                  <from>
                    <xdr:col>4</xdr:col>
                    <xdr:colOff>57150</xdr:colOff>
                    <xdr:row>29</xdr:row>
                    <xdr:rowOff>0</xdr:rowOff>
                  </from>
                  <to>
                    <xdr:col>4</xdr:col>
                    <xdr:colOff>800100</xdr:colOff>
                    <xdr:row>29</xdr:row>
                    <xdr:rowOff>200025</xdr:rowOff>
                  </to>
                </anchor>
              </controlPr>
            </control>
          </mc:Choice>
        </mc:AlternateContent>
        <mc:AlternateContent xmlns:mc="http://schemas.openxmlformats.org/markup-compatibility/2006">
          <mc:Choice Requires="x14">
            <control shapeId="7170" r:id="rId6" name="Drop Down 2">
              <controlPr locked="0" defaultSize="0" autoFill="0" autoLine="0" autoPict="0">
                <anchor moveWithCells="1">
                  <from>
                    <xdr:col>5</xdr:col>
                    <xdr:colOff>57150</xdr:colOff>
                    <xdr:row>29</xdr:row>
                    <xdr:rowOff>0</xdr:rowOff>
                  </from>
                  <to>
                    <xdr:col>6</xdr:col>
                    <xdr:colOff>85725</xdr:colOff>
                    <xdr:row>29</xdr:row>
                    <xdr:rowOff>200025</xdr:rowOff>
                  </to>
                </anchor>
              </controlPr>
            </control>
          </mc:Choice>
        </mc:AlternateContent>
        <mc:AlternateContent xmlns:mc="http://schemas.openxmlformats.org/markup-compatibility/2006">
          <mc:Choice Requires="x14">
            <control shapeId="7171" r:id="rId7" name="Drop Down 3">
              <controlPr locked="0" defaultSize="0" autoFill="0" autoLine="0" autoPict="0">
                <anchor moveWithCells="1">
                  <from>
                    <xdr:col>6</xdr:col>
                    <xdr:colOff>57150</xdr:colOff>
                    <xdr:row>29</xdr:row>
                    <xdr:rowOff>0</xdr:rowOff>
                  </from>
                  <to>
                    <xdr:col>6</xdr:col>
                    <xdr:colOff>790575</xdr:colOff>
                    <xdr:row>29</xdr:row>
                    <xdr:rowOff>200025</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theme="9" tint="-0.249977111117893"/>
    <pageSetUpPr autoPageBreaks="0" fitToPage="1"/>
  </sheetPr>
  <dimension ref="B1:O56"/>
  <sheetViews>
    <sheetView showGridLines="0" showZeros="0" showOutlineSymbols="0" workbookViewId="0"/>
  </sheetViews>
  <sheetFormatPr defaultRowHeight="12.75"/>
  <cols>
    <col min="1" max="1" width="2.7109375" style="259" customWidth="1"/>
    <col min="2" max="2" width="22.85546875" style="259" customWidth="1"/>
    <col min="3" max="3" width="11.140625" style="259" customWidth="1"/>
    <col min="4" max="4" width="11.7109375" style="260" customWidth="1"/>
    <col min="5" max="5" width="12.28515625" style="260" customWidth="1"/>
    <col min="6" max="6" width="10.7109375" style="260" customWidth="1"/>
    <col min="7" max="7" width="12.5703125" style="260" customWidth="1"/>
    <col min="8" max="8" width="9.42578125" style="260" customWidth="1"/>
    <col min="9" max="9" width="12.28515625" style="259" customWidth="1"/>
    <col min="10" max="10" width="3.7109375" style="259" customWidth="1"/>
    <col min="11" max="11" width="12.42578125" style="259" hidden="1" customWidth="1"/>
    <col min="12" max="12" width="11.5703125" style="259" hidden="1" customWidth="1"/>
    <col min="13" max="15" width="0" style="259" hidden="1" customWidth="1"/>
    <col min="16" max="20" width="9.140625" style="259"/>
    <col min="21" max="21" width="5.7109375" style="259" customWidth="1"/>
    <col min="22" max="25" width="9.140625" style="259"/>
    <col min="26" max="26" width="5.7109375" style="259" customWidth="1"/>
    <col min="27" max="30" width="9.140625" style="259"/>
    <col min="31" max="31" width="5.7109375" style="259" customWidth="1"/>
    <col min="32" max="16384" width="9.140625" style="259"/>
  </cols>
  <sheetData>
    <row r="1" spans="2:12" ht="13.5" thickBot="1"/>
    <row r="2" spans="2:12" ht="15.6" customHeight="1">
      <c r="B2" s="2302" t="s">
        <v>2647</v>
      </c>
      <c r="C2" s="2303"/>
      <c r="D2" s="2303"/>
      <c r="E2" s="2303"/>
      <c r="F2" s="2303"/>
      <c r="G2" s="2303"/>
      <c r="H2" s="2303"/>
      <c r="I2" s="2304"/>
    </row>
    <row r="3" spans="2:12" ht="15.75" thickBot="1">
      <c r="B3" s="2305" t="s">
        <v>2646</v>
      </c>
      <c r="C3" s="2306"/>
      <c r="D3" s="2306"/>
      <c r="E3" s="2306"/>
      <c r="F3" s="2306"/>
      <c r="G3" s="2306"/>
      <c r="H3" s="2306"/>
      <c r="I3" s="2307"/>
    </row>
    <row r="4" spans="2:12" ht="5.0999999999999996" customHeight="1" thickBot="1">
      <c r="B4" s="377"/>
      <c r="C4" s="377"/>
      <c r="D4" s="376"/>
      <c r="E4" s="376"/>
      <c r="F4" s="376"/>
      <c r="G4" s="376"/>
      <c r="H4" s="376"/>
    </row>
    <row r="5" spans="2:12" ht="17.100000000000001" customHeight="1">
      <c r="B5" s="375"/>
      <c r="C5" s="374"/>
      <c r="D5" s="373"/>
      <c r="E5" s="373"/>
      <c r="F5" s="373"/>
      <c r="G5" s="373"/>
      <c r="H5" s="373"/>
      <c r="I5" s="372"/>
    </row>
    <row r="6" spans="2:12" ht="17.100000000000001" customHeight="1">
      <c r="B6" s="371"/>
      <c r="C6" s="370"/>
      <c r="D6" s="369"/>
      <c r="E6" s="369"/>
      <c r="F6" s="369"/>
      <c r="G6" s="369"/>
      <c r="H6" s="369"/>
      <c r="I6" s="368"/>
    </row>
    <row r="7" spans="2:12" ht="17.100000000000001" customHeight="1">
      <c r="B7" s="371"/>
      <c r="C7" s="370"/>
      <c r="D7" s="369"/>
      <c r="E7" s="369"/>
      <c r="F7" s="369"/>
      <c r="G7" s="369"/>
      <c r="H7" s="369"/>
      <c r="I7" s="368"/>
    </row>
    <row r="8" spans="2:12" ht="8.25" customHeight="1" thickBot="1">
      <c r="B8" s="367"/>
      <c r="C8" s="366"/>
      <c r="D8" s="365"/>
      <c r="E8" s="365"/>
      <c r="F8" s="365"/>
      <c r="G8" s="365"/>
      <c r="H8" s="365"/>
      <c r="I8" s="364"/>
    </row>
    <row r="9" spans="2:12" ht="5.0999999999999996" customHeight="1" thickBot="1">
      <c r="B9" s="363"/>
      <c r="C9" s="363"/>
      <c r="D9" s="362"/>
      <c r="E9" s="362"/>
      <c r="F9" s="362"/>
      <c r="G9" s="362"/>
      <c r="H9" s="362"/>
    </row>
    <row r="10" spans="2:12" s="329" customFormat="1" ht="17.100000000000001" customHeight="1" thickBot="1">
      <c r="B10" s="299" t="s">
        <v>2645</v>
      </c>
      <c r="C10" s="361"/>
      <c r="D10" s="361"/>
      <c r="E10" s="361"/>
      <c r="F10" s="361"/>
      <c r="G10" s="361"/>
      <c r="H10" s="360"/>
      <c r="I10" s="359" t="s">
        <v>2644</v>
      </c>
    </row>
    <row r="11" spans="2:12" s="329" customFormat="1" ht="0.75" customHeight="1" thickBot="1">
      <c r="B11" s="358"/>
      <c r="C11" s="355"/>
      <c r="D11" s="354"/>
      <c r="E11" s="354"/>
      <c r="F11" s="354"/>
      <c r="G11" s="354"/>
      <c r="H11" s="348"/>
      <c r="I11" s="357"/>
    </row>
    <row r="12" spans="2:12" s="329" customFormat="1" ht="17.25" customHeight="1" thickBot="1">
      <c r="B12" s="346" t="s">
        <v>2643</v>
      </c>
      <c r="C12" s="2308">
        <f>'RECS - Baseline'!C12:F12</f>
        <v>0</v>
      </c>
      <c r="D12" s="2309"/>
      <c r="E12" s="2309"/>
      <c r="F12" s="2310"/>
      <c r="G12" s="309"/>
      <c r="H12" s="348"/>
      <c r="I12" s="356">
        <v>38398</v>
      </c>
    </row>
    <row r="13" spans="2:12" s="329" customFormat="1" ht="4.5" customHeight="1">
      <c r="B13" s="346"/>
      <c r="C13" s="355"/>
      <c r="D13" s="354"/>
      <c r="E13" s="354"/>
      <c r="F13" s="354"/>
      <c r="G13" s="354"/>
      <c r="H13" s="348"/>
      <c r="I13" s="331"/>
    </row>
    <row r="14" spans="2:12" s="329" customFormat="1" ht="17.100000000000001" customHeight="1">
      <c r="B14" s="346" t="s">
        <v>2642</v>
      </c>
      <c r="C14" s="378">
        <f>'RECS - Baseline'!C14</f>
        <v>0</v>
      </c>
      <c r="D14" s="348"/>
      <c r="E14" s="333"/>
      <c r="F14" s="333"/>
      <c r="G14" s="350"/>
      <c r="H14" s="350"/>
      <c r="I14" s="331"/>
      <c r="K14" s="259" t="s">
        <v>2641</v>
      </c>
    </row>
    <row r="15" spans="2:12" s="329" customFormat="1" ht="5.25" customHeight="1">
      <c r="B15" s="346"/>
      <c r="C15" s="353"/>
      <c r="D15" s="348"/>
      <c r="E15" s="352"/>
      <c r="F15" s="351"/>
      <c r="G15" s="351"/>
      <c r="H15" s="351"/>
      <c r="I15" s="331"/>
    </row>
    <row r="16" spans="2:12" s="329" customFormat="1" ht="17.100000000000001" customHeight="1">
      <c r="B16" s="346" t="s">
        <v>2640</v>
      </c>
      <c r="C16" s="350" t="e">
        <f>'RECS - Baseline'!C16</f>
        <v>#N/A</v>
      </c>
      <c r="D16" s="350"/>
      <c r="E16" s="350"/>
      <c r="F16" s="349"/>
      <c r="G16" s="348"/>
      <c r="H16" s="348"/>
      <c r="I16" s="331"/>
      <c r="K16" s="259" t="s">
        <v>2639</v>
      </c>
      <c r="L16" s="329">
        <v>1053</v>
      </c>
    </row>
    <row r="17" spans="2:15" s="329" customFormat="1" ht="27" customHeight="1">
      <c r="B17" s="346"/>
      <c r="C17" s="467"/>
      <c r="D17" s="467"/>
      <c r="E17" s="467"/>
      <c r="F17" s="467"/>
      <c r="G17" s="467"/>
      <c r="H17" s="342"/>
      <c r="I17" s="331"/>
      <c r="K17" s="329" t="s">
        <v>2633</v>
      </c>
      <c r="L17" s="259" t="s">
        <v>2632</v>
      </c>
      <c r="M17" s="347"/>
      <c r="N17" s="345"/>
      <c r="O17" s="330"/>
    </row>
    <row r="18" spans="2:15" s="329" customFormat="1" ht="25.15" customHeight="1">
      <c r="B18" s="346"/>
      <c r="C18" s="467" t="s">
        <v>2638</v>
      </c>
      <c r="D18" s="467" t="s">
        <v>2637</v>
      </c>
      <c r="E18" s="467" t="s">
        <v>2636</v>
      </c>
      <c r="F18" s="467" t="s">
        <v>2635</v>
      </c>
      <c r="G18" s="467" t="s">
        <v>2634</v>
      </c>
      <c r="H18" s="342"/>
      <c r="I18" s="331"/>
      <c r="K18" s="329" t="s">
        <v>2631</v>
      </c>
      <c r="L18" s="329">
        <v>695</v>
      </c>
      <c r="M18" s="345"/>
      <c r="N18" s="345"/>
      <c r="O18" s="330"/>
    </row>
    <row r="19" spans="2:15" s="329" customFormat="1" ht="17.100000000000001" customHeight="1">
      <c r="B19" s="346" t="s">
        <v>889</v>
      </c>
      <c r="C19" s="344">
        <f>'RECS - Baseline'!C19</f>
        <v>0</v>
      </c>
      <c r="D19" s="344">
        <f>'RECS - Baseline'!D19</f>
        <v>0</v>
      </c>
      <c r="E19" s="344">
        <f>'RECS - Baseline'!E19</f>
        <v>0</v>
      </c>
      <c r="F19" s="344">
        <f>'RECS - Baseline'!F19</f>
        <v>0</v>
      </c>
      <c r="G19" s="344">
        <f>'RECS - Baseline'!G19</f>
        <v>0</v>
      </c>
      <c r="H19" s="342"/>
      <c r="I19" s="331"/>
      <c r="K19" s="329" t="s">
        <v>2630</v>
      </c>
      <c r="L19" s="329">
        <v>80000</v>
      </c>
      <c r="O19" s="330"/>
    </row>
    <row r="20" spans="2:15" s="329" customFormat="1" ht="17.100000000000001" customHeight="1">
      <c r="B20" s="346" t="s">
        <v>2629</v>
      </c>
      <c r="C20" s="344">
        <f>'RECS - Baseline'!C20</f>
        <v>0</v>
      </c>
      <c r="D20" s="335" t="s">
        <v>2626</v>
      </c>
      <c r="E20" s="342"/>
      <c r="F20" s="342"/>
      <c r="G20" s="342"/>
      <c r="H20" s="342"/>
      <c r="I20" s="331"/>
      <c r="K20" s="259" t="s">
        <v>2628</v>
      </c>
      <c r="L20" s="338">
        <f>L19/L18</f>
        <v>115.10791366906474</v>
      </c>
      <c r="N20" s="259"/>
      <c r="O20" s="330"/>
    </row>
    <row r="21" spans="2:15" s="329" customFormat="1" ht="17.100000000000001" customHeight="1">
      <c r="B21" s="346" t="s">
        <v>2627</v>
      </c>
      <c r="C21" s="343">
        <f>'RECS - Baseline'!C21</f>
        <v>0</v>
      </c>
      <c r="D21" s="335" t="s">
        <v>2626</v>
      </c>
      <c r="E21" s="342"/>
      <c r="F21" s="342"/>
      <c r="G21" s="342"/>
      <c r="H21" s="342"/>
      <c r="I21" s="331"/>
      <c r="K21" s="329" t="s">
        <v>2625</v>
      </c>
      <c r="L21" s="329">
        <v>1428</v>
      </c>
      <c r="O21" s="330"/>
    </row>
    <row r="22" spans="2:15" s="329" customFormat="1" ht="17.100000000000001" customHeight="1">
      <c r="B22" s="346" t="s">
        <v>2183</v>
      </c>
      <c r="C22" s="343">
        <f>'RECS - Baseline'!C22</f>
        <v>0</v>
      </c>
      <c r="D22" s="335" t="s">
        <v>2624</v>
      </c>
      <c r="E22" s="340"/>
      <c r="F22" s="342"/>
      <c r="G22" s="342"/>
      <c r="H22" s="342"/>
      <c r="I22" s="331"/>
      <c r="K22" s="329" t="s">
        <v>2623</v>
      </c>
      <c r="L22" s="329">
        <v>61322</v>
      </c>
      <c r="O22" s="330"/>
    </row>
    <row r="23" spans="2:15" s="329" customFormat="1" ht="17.100000000000001" customHeight="1">
      <c r="B23" s="346" t="s">
        <v>2184</v>
      </c>
      <c r="C23" s="343">
        <f>'RECS - Baseline'!C23</f>
        <v>0</v>
      </c>
      <c r="D23" s="335" t="s">
        <v>2620</v>
      </c>
      <c r="E23" s="340"/>
      <c r="F23" s="342"/>
      <c r="G23" s="342"/>
      <c r="H23" s="342"/>
      <c r="I23" s="331"/>
      <c r="K23" s="329" t="s">
        <v>2622</v>
      </c>
      <c r="L23" s="338">
        <f>L20*L21</f>
        <v>164374.10071942446</v>
      </c>
      <c r="M23" s="259" t="s">
        <v>2621</v>
      </c>
      <c r="O23" s="330"/>
    </row>
    <row r="24" spans="2:15" s="329" customFormat="1" ht="17.100000000000001" customHeight="1" thickBot="1">
      <c r="B24" s="346" t="s">
        <v>2185</v>
      </c>
      <c r="C24" s="341">
        <f>'RECS - Baseline'!C24</f>
        <v>0</v>
      </c>
      <c r="D24" s="335" t="s">
        <v>2620</v>
      </c>
      <c r="E24" s="340"/>
      <c r="F24" s="333"/>
      <c r="G24" s="333"/>
      <c r="H24" s="332"/>
      <c r="I24" s="331"/>
      <c r="K24" s="339" t="s">
        <v>2619</v>
      </c>
      <c r="L24" s="338">
        <f>L20*L22</f>
        <v>7058647.4820143878</v>
      </c>
      <c r="M24" s="259" t="s">
        <v>2618</v>
      </c>
      <c r="N24" s="330"/>
      <c r="O24" s="330"/>
    </row>
    <row r="25" spans="2:15" s="329" customFormat="1" ht="17.100000000000001" customHeight="1" thickTop="1">
      <c r="B25" s="337" t="s">
        <v>2617</v>
      </c>
      <c r="C25" s="336">
        <f>SUM(C19:C21)</f>
        <v>0</v>
      </c>
      <c r="D25" s="335" t="s">
        <v>2616</v>
      </c>
      <c r="E25" s="334"/>
      <c r="F25" s="333"/>
      <c r="G25" s="333"/>
      <c r="H25" s="332"/>
      <c r="I25" s="331"/>
      <c r="K25" s="259" t="s">
        <v>2615</v>
      </c>
      <c r="M25" s="259"/>
      <c r="N25" s="330"/>
      <c r="O25" s="330"/>
    </row>
    <row r="26" spans="2:15" ht="7.5" customHeight="1" thickBot="1">
      <c r="B26" s="2311"/>
      <c r="C26" s="2312"/>
      <c r="D26" s="2312"/>
      <c r="E26" s="2312"/>
      <c r="F26" s="2312"/>
      <c r="G26" s="2313"/>
      <c r="H26" s="2313"/>
      <c r="I26" s="2314"/>
      <c r="M26" s="328"/>
      <c r="N26" s="328"/>
      <c r="O26" s="328"/>
    </row>
    <row r="27" spans="2:15" s="266" customFormat="1" ht="5.0999999999999996" customHeight="1" thickBot="1">
      <c r="B27" s="270"/>
      <c r="C27" s="269"/>
      <c r="D27" s="268"/>
      <c r="E27" s="268"/>
      <c r="F27" s="268"/>
      <c r="G27" s="268"/>
      <c r="H27" s="267"/>
      <c r="M27" s="294"/>
      <c r="N27" s="294"/>
      <c r="O27" s="294"/>
    </row>
    <row r="28" spans="2:15" s="266" customFormat="1" ht="17.100000000000001" customHeight="1">
      <c r="B28" s="299" t="s">
        <v>2614</v>
      </c>
      <c r="C28" s="298"/>
      <c r="D28" s="297"/>
      <c r="E28" s="297"/>
      <c r="F28" s="297"/>
      <c r="G28" s="297"/>
      <c r="H28" s="296"/>
      <c r="I28" s="327"/>
      <c r="M28" s="294"/>
      <c r="N28" s="294"/>
      <c r="O28" s="294"/>
    </row>
    <row r="29" spans="2:15" s="266" customFormat="1" ht="14.25" customHeight="1">
      <c r="B29" s="280"/>
      <c r="C29" s="293" t="s">
        <v>1474</v>
      </c>
      <c r="D29" s="293" t="s">
        <v>2186</v>
      </c>
      <c r="E29" s="293" t="s">
        <v>2571</v>
      </c>
      <c r="F29" s="293" t="s">
        <v>2187</v>
      </c>
      <c r="G29" s="293" t="s">
        <v>2188</v>
      </c>
      <c r="H29" s="314"/>
      <c r="I29" s="308"/>
      <c r="K29" s="322" t="s">
        <v>2613</v>
      </c>
      <c r="L29" s="322" t="s">
        <v>2612</v>
      </c>
      <c r="M29" s="322" t="s">
        <v>2613</v>
      </c>
      <c r="N29" s="322" t="s">
        <v>2612</v>
      </c>
      <c r="O29" s="321" t="s">
        <v>2611</v>
      </c>
    </row>
    <row r="30" spans="2:15" s="266" customFormat="1" ht="17.100000000000001" customHeight="1">
      <c r="B30" s="325" t="s">
        <v>2610</v>
      </c>
      <c r="C30" s="293" t="s">
        <v>1885</v>
      </c>
      <c r="D30" s="292" t="s">
        <v>1885</v>
      </c>
      <c r="E30" s="315"/>
      <c r="F30" s="315"/>
      <c r="G30" s="315"/>
      <c r="H30" s="314"/>
      <c r="I30" s="308"/>
      <c r="K30" s="326" t="s">
        <v>2609</v>
      </c>
      <c r="L30" s="326" t="s">
        <v>2607</v>
      </c>
      <c r="M30" s="326" t="s">
        <v>2608</v>
      </c>
      <c r="N30" s="326" t="s">
        <v>2607</v>
      </c>
      <c r="O30" s="326" t="s">
        <v>2607</v>
      </c>
    </row>
    <row r="31" spans="2:15" s="266" customFormat="1" ht="5.25" customHeight="1">
      <c r="B31" s="325"/>
      <c r="C31" s="324"/>
      <c r="D31" s="323"/>
      <c r="E31" s="323"/>
      <c r="F31" s="323"/>
      <c r="G31" s="323"/>
      <c r="H31" s="314"/>
      <c r="I31" s="308"/>
      <c r="K31" s="322"/>
      <c r="L31" s="322"/>
      <c r="M31" s="321"/>
      <c r="N31" s="321"/>
      <c r="O31" s="321"/>
    </row>
    <row r="32" spans="2:15" s="266" customFormat="1" ht="17.100000000000001" customHeight="1">
      <c r="B32" s="280" t="s">
        <v>2189</v>
      </c>
      <c r="C32" s="311">
        <f>'Reporting Summary'!H125/1000</f>
        <v>0</v>
      </c>
      <c r="D32" s="311">
        <f>'Reporting Summary'!G125/1000</f>
        <v>0</v>
      </c>
      <c r="E32" s="311"/>
      <c r="F32" s="311"/>
      <c r="G32" s="310"/>
      <c r="H32" s="314" t="s">
        <v>2606</v>
      </c>
      <c r="I32" s="320"/>
      <c r="K32" s="319">
        <f>0.08*C32</f>
        <v>0</v>
      </c>
      <c r="L32" s="317" t="e">
        <f>K32/(C19)</f>
        <v>#DIV/0!</v>
      </c>
      <c r="M32" s="318">
        <f>8*D32/1000</f>
        <v>0</v>
      </c>
      <c r="N32" s="317" t="e">
        <f>M32/(C19)</f>
        <v>#DIV/0!</v>
      </c>
      <c r="O32" s="316" t="e">
        <f>L32+N32</f>
        <v>#DIV/0!</v>
      </c>
    </row>
    <row r="33" spans="2:15" s="266" customFormat="1" ht="1.9" customHeight="1">
      <c r="B33" s="280"/>
      <c r="C33" s="279"/>
      <c r="D33" s="315"/>
      <c r="E33" s="315"/>
      <c r="F33" s="315"/>
      <c r="G33" s="315"/>
      <c r="H33" s="314"/>
      <c r="I33" s="308"/>
      <c r="M33" s="301"/>
      <c r="N33" s="307"/>
      <c r="O33" s="307"/>
    </row>
    <row r="34" spans="2:15" s="266" customFormat="1" ht="17.100000000000001" customHeight="1">
      <c r="B34" s="280"/>
      <c r="C34" s="293" t="s">
        <v>1474</v>
      </c>
      <c r="D34" s="293" t="s">
        <v>2186</v>
      </c>
      <c r="E34" s="293" t="s">
        <v>2571</v>
      </c>
      <c r="F34" s="293" t="s">
        <v>2187</v>
      </c>
      <c r="G34" s="293" t="s">
        <v>2188</v>
      </c>
      <c r="H34" s="314"/>
      <c r="I34" s="308"/>
      <c r="M34" s="301"/>
      <c r="N34" s="307"/>
      <c r="O34" s="307"/>
    </row>
    <row r="35" spans="2:15" s="266" customFormat="1" ht="17.100000000000001" customHeight="1">
      <c r="B35" s="280" t="s">
        <v>2605</v>
      </c>
      <c r="C35" s="313">
        <f>C32*1000/3412*'Reporting Summary'!C112</f>
        <v>0</v>
      </c>
      <c r="D35" s="312">
        <f>D32/100*'Reporting Summary'!C113</f>
        <v>0</v>
      </c>
      <c r="E35" s="311"/>
      <c r="F35" s="311"/>
      <c r="G35" s="310"/>
      <c r="H35" s="309" t="s">
        <v>2604</v>
      </c>
      <c r="I35" s="308"/>
      <c r="M35" s="301"/>
      <c r="N35" s="307"/>
      <c r="O35" s="307"/>
    </row>
    <row r="36" spans="2:15" s="266" customFormat="1" ht="8.25" customHeight="1" thickBot="1">
      <c r="B36" s="306"/>
      <c r="C36" s="305"/>
      <c r="D36" s="304"/>
      <c r="E36" s="304"/>
      <c r="F36" s="304"/>
      <c r="G36" s="304"/>
      <c r="H36" s="303"/>
      <c r="I36" s="302"/>
      <c r="M36" s="301"/>
      <c r="N36" s="300"/>
      <c r="O36" s="300"/>
    </row>
    <row r="37" spans="2:15" s="266" customFormat="1" ht="5.0999999999999996" customHeight="1" thickBot="1">
      <c r="B37" s="270"/>
      <c r="C37" s="269"/>
      <c r="D37" s="268"/>
      <c r="E37" s="268"/>
      <c r="F37" s="268"/>
      <c r="G37" s="268"/>
      <c r="H37" s="267"/>
      <c r="M37" s="294"/>
      <c r="N37" s="294"/>
      <c r="O37" s="294"/>
    </row>
    <row r="38" spans="2:15" s="266" customFormat="1" ht="16.5" customHeight="1">
      <c r="B38" s="299" t="s">
        <v>2603</v>
      </c>
      <c r="C38" s="298"/>
      <c r="D38" s="297"/>
      <c r="E38" s="297"/>
      <c r="F38" s="297"/>
      <c r="G38" s="297"/>
      <c r="H38" s="296"/>
      <c r="I38" s="295"/>
      <c r="M38" s="294"/>
      <c r="N38" s="294"/>
      <c r="O38" s="294"/>
    </row>
    <row r="39" spans="2:15" s="266" customFormat="1" ht="12.6" customHeight="1">
      <c r="B39" s="280"/>
      <c r="C39" s="293"/>
      <c r="D39" s="2316" t="s">
        <v>2602</v>
      </c>
      <c r="E39" s="2316"/>
      <c r="F39" s="285" t="s">
        <v>2190</v>
      </c>
      <c r="G39" s="2317" t="s">
        <v>2601</v>
      </c>
      <c r="H39" s="2317"/>
      <c r="I39" s="2300" t="s">
        <v>2600</v>
      </c>
      <c r="J39" s="282"/>
      <c r="K39" s="282"/>
      <c r="M39" s="294"/>
      <c r="N39" s="294"/>
      <c r="O39" s="294"/>
    </row>
    <row r="40" spans="2:15" s="266" customFormat="1" ht="5.0999999999999996" customHeight="1">
      <c r="B40" s="280"/>
      <c r="C40" s="293"/>
      <c r="D40" s="293"/>
      <c r="E40" s="293"/>
      <c r="F40" s="285"/>
      <c r="G40" s="292"/>
      <c r="H40" s="292"/>
      <c r="I40" s="2301"/>
      <c r="J40" s="282"/>
      <c r="K40" s="282"/>
    </row>
    <row r="41" spans="2:15" s="266" customFormat="1" ht="17.100000000000001" customHeight="1">
      <c r="B41" s="280"/>
      <c r="C41" s="279" t="s">
        <v>2599</v>
      </c>
      <c r="D41" s="2298">
        <v>75</v>
      </c>
      <c r="E41" s="2299"/>
      <c r="F41" s="285">
        <v>50</v>
      </c>
      <c r="G41" s="2315" t="e">
        <f ca="1">+'Worksheet - Design - Proposed'!F12</f>
        <v>#DIV/0!</v>
      </c>
      <c r="H41" s="2299"/>
      <c r="I41" s="2301"/>
      <c r="J41" s="282"/>
      <c r="K41" s="282"/>
    </row>
    <row r="42" spans="2:15" s="266" customFormat="1" ht="5.0999999999999996" customHeight="1">
      <c r="B42" s="280"/>
      <c r="C42" s="279"/>
      <c r="D42" s="278"/>
      <c r="E42" s="278"/>
      <c r="F42" s="285"/>
      <c r="G42" s="278"/>
      <c r="H42" s="289"/>
      <c r="I42" s="2301"/>
      <c r="J42" s="282"/>
      <c r="K42" s="282"/>
    </row>
    <row r="43" spans="2:15" s="266" customFormat="1" ht="17.100000000000001" customHeight="1">
      <c r="B43" s="280"/>
      <c r="C43" s="279" t="s">
        <v>2598</v>
      </c>
      <c r="D43" s="2292" t="str">
        <f>IF(SUM(C32:G32)&lt;0.1,"",+'Worksheet - Design - Proposed'!F14)</f>
        <v/>
      </c>
      <c r="E43" s="2293"/>
      <c r="F43" s="15" t="str">
        <f>IF(SUM(C32:G32)&lt;0.1,"",+'Worksheet - Design - Proposed'!F25)</f>
        <v/>
      </c>
      <c r="G43" s="2292">
        <f ca="1">(+C32*'Side Calcs - Proposed'!K4+D32*'Side Calcs - Proposed'!O4+E32*'Side Calcs - Proposed'!S4+F32*'Side Calcs - Proposed'!W4+G32*'Side Calcs - Proposed'!AA4)</f>
        <v>0</v>
      </c>
      <c r="H43" s="2293"/>
      <c r="I43" s="16" t="e">
        <f ca="1">G43-D43</f>
        <v>#VALUE!</v>
      </c>
      <c r="J43" s="291"/>
      <c r="K43" s="290"/>
    </row>
    <row r="44" spans="2:15" s="266" customFormat="1" ht="5.0999999999999996" customHeight="1">
      <c r="B44" s="280"/>
      <c r="C44" s="279"/>
      <c r="D44" s="277"/>
      <c r="E44" s="277"/>
      <c r="F44" s="15"/>
      <c r="G44" s="277"/>
      <c r="H44" s="277"/>
      <c r="I44" s="283"/>
      <c r="J44" s="291"/>
      <c r="K44" s="290"/>
    </row>
    <row r="45" spans="2:15" s="266" customFormat="1" ht="16.5" customHeight="1">
      <c r="B45" s="280"/>
      <c r="C45" s="279" t="s">
        <v>2597</v>
      </c>
      <c r="D45" s="2296" t="e">
        <f>D43/C25</f>
        <v>#VALUE!</v>
      </c>
      <c r="E45" s="2297"/>
      <c r="F45" s="285"/>
      <c r="G45" s="2296" t="e">
        <f ca="1">G43/C25</f>
        <v>#DIV/0!</v>
      </c>
      <c r="H45" s="2297"/>
      <c r="I45" s="283"/>
      <c r="J45" s="282"/>
      <c r="K45" s="282"/>
    </row>
    <row r="46" spans="2:15" s="266" customFormat="1" ht="5.0999999999999996" customHeight="1">
      <c r="B46" s="280"/>
      <c r="C46" s="279"/>
      <c r="D46" s="278"/>
      <c r="E46" s="278"/>
      <c r="F46" s="285"/>
      <c r="G46" s="278"/>
      <c r="H46" s="289"/>
      <c r="I46" s="283"/>
      <c r="J46" s="282"/>
      <c r="K46" s="282"/>
    </row>
    <row r="47" spans="2:15" s="266" customFormat="1" ht="16.5" customHeight="1">
      <c r="B47" s="280"/>
      <c r="C47" s="280" t="s">
        <v>2596</v>
      </c>
      <c r="D47" s="2294" t="str">
        <f>IF(SUM(C35:G35)&lt;0.1,"",+G47*('Worksheet - Design - Proposed'!H54/'Worksheet - Design - Proposed'!K54))</f>
        <v/>
      </c>
      <c r="E47" s="2295"/>
      <c r="F47" s="288" t="str">
        <f>IF(SUM(C35:G35)&lt;0.1,"",+G47*('Worksheet - Design - Proposed'!J54/'Worksheet - Design - Proposed'!K54))</f>
        <v/>
      </c>
      <c r="G47" s="2294" t="e">
        <f>SUM(C35:G35)/C25</f>
        <v>#DIV/0!</v>
      </c>
      <c r="H47" s="2295"/>
      <c r="I47" s="287"/>
      <c r="J47" s="286"/>
      <c r="K47" s="282"/>
    </row>
    <row r="48" spans="2:15" s="266" customFormat="1" ht="6" customHeight="1">
      <c r="B48" s="280"/>
      <c r="C48" s="279"/>
      <c r="D48" s="278"/>
      <c r="E48" s="278"/>
      <c r="F48" s="285"/>
      <c r="G48" s="284"/>
      <c r="H48" s="284"/>
      <c r="I48" s="283"/>
      <c r="J48" s="282"/>
      <c r="K48" s="282"/>
    </row>
    <row r="49" spans="2:11" s="266" customFormat="1" ht="17.100000000000001" customHeight="1">
      <c r="B49" s="280"/>
      <c r="C49" s="279" t="s">
        <v>2595</v>
      </c>
      <c r="D49" s="2292" t="str">
        <f>IF(SUM(C35:G35)&lt;0.1,"",+G49*('Worksheet - Design - Proposed'!H54/'Worksheet - Design - Proposed'!K54))</f>
        <v/>
      </c>
      <c r="E49" s="2293"/>
      <c r="F49" s="15" t="str">
        <f>IF(SUM(C35:G35)&lt;0.1,"",+G49*('Worksheet - Design - Proposed'!J54/'Worksheet - Design - Proposed'!K54))</f>
        <v/>
      </c>
      <c r="G49" s="2292">
        <f>SUM(C35:G35)</f>
        <v>0</v>
      </c>
      <c r="H49" s="2293"/>
      <c r="I49" s="16"/>
      <c r="J49" s="281"/>
      <c r="K49" s="281"/>
    </row>
    <row r="50" spans="2:11" s="266" customFormat="1" ht="8.25" customHeight="1">
      <c r="B50" s="280"/>
      <c r="C50" s="279"/>
      <c r="D50" s="277"/>
      <c r="E50" s="277"/>
      <c r="F50" s="278"/>
      <c r="G50" s="277"/>
      <c r="H50" s="277"/>
      <c r="I50" s="276"/>
    </row>
    <row r="51" spans="2:11" s="266" customFormat="1" ht="1.1499999999999999" customHeight="1" thickBot="1">
      <c r="B51" s="275"/>
      <c r="C51" s="274"/>
      <c r="D51" s="273"/>
      <c r="E51" s="273"/>
      <c r="F51" s="273"/>
      <c r="G51" s="273"/>
      <c r="H51" s="272"/>
      <c r="I51" s="271"/>
    </row>
    <row r="52" spans="2:11" s="266" customFormat="1" ht="5.25" customHeight="1">
      <c r="B52" s="270"/>
      <c r="C52" s="269"/>
      <c r="D52" s="268"/>
      <c r="E52" s="268"/>
      <c r="F52" s="268"/>
      <c r="G52" s="268"/>
      <c r="H52" s="267"/>
    </row>
    <row r="53" spans="2:11" ht="17.100000000000001" hidden="1" customHeight="1">
      <c r="B53" s="265" t="s">
        <v>2594</v>
      </c>
      <c r="C53" s="264" t="s">
        <v>2593</v>
      </c>
      <c r="D53" s="263"/>
      <c r="E53" s="263"/>
      <c r="F53" s="263" t="s">
        <v>2592</v>
      </c>
      <c r="G53" s="263"/>
      <c r="H53" s="263"/>
      <c r="I53" s="263"/>
    </row>
    <row r="54" spans="2:11" hidden="1">
      <c r="D54" s="259"/>
      <c r="E54" s="259"/>
      <c r="F54" s="262"/>
      <c r="G54" s="262"/>
      <c r="H54" s="262"/>
    </row>
    <row r="55" spans="2:11">
      <c r="B55" s="261" t="s">
        <v>2591</v>
      </c>
      <c r="C55" s="261"/>
      <c r="D55" s="261"/>
      <c r="E55" s="261"/>
      <c r="F55" s="261"/>
      <c r="G55" s="261"/>
      <c r="H55" s="261"/>
      <c r="I55" s="261"/>
    </row>
    <row r="56" spans="2:11">
      <c r="B56" s="261"/>
      <c r="C56" s="261"/>
      <c r="D56" s="261"/>
      <c r="E56" s="261"/>
      <c r="F56" s="261"/>
      <c r="G56" s="261"/>
      <c r="H56" s="261"/>
      <c r="I56" s="261"/>
    </row>
  </sheetData>
  <mergeCells count="17">
    <mergeCell ref="D41:E41"/>
    <mergeCell ref="I39:I42"/>
    <mergeCell ref="B2:I2"/>
    <mergeCell ref="B3:I3"/>
    <mergeCell ref="C12:F12"/>
    <mergeCell ref="B26:I26"/>
    <mergeCell ref="G41:H41"/>
    <mergeCell ref="D39:E39"/>
    <mergeCell ref="G39:H39"/>
    <mergeCell ref="D49:E49"/>
    <mergeCell ref="G49:H49"/>
    <mergeCell ref="G43:H43"/>
    <mergeCell ref="G47:H47"/>
    <mergeCell ref="D43:E43"/>
    <mergeCell ref="D47:E47"/>
    <mergeCell ref="D45:E45"/>
    <mergeCell ref="G45:H45"/>
  </mergeCells>
  <hyperlinks>
    <hyperlink ref="C53" r:id="rId1" display="http://www.epa.gov/buildings/label"/>
    <hyperlink ref="H17:H18" location="Help!B29" display="Number of floors"/>
  </hyperlinks>
  <printOptions horizontalCentered="1"/>
  <pageMargins left="0.5" right="0.5" top="1" bottom="0.25" header="0.5" footer="0.5"/>
  <pageSetup scale="87"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8193" r:id="rId5" name="Drop Down 1">
              <controlPr locked="0" defaultSize="0" autoFill="0" autoLine="0" autoPict="0">
                <anchor moveWithCells="1">
                  <from>
                    <xdr:col>4</xdr:col>
                    <xdr:colOff>57150</xdr:colOff>
                    <xdr:row>29</xdr:row>
                    <xdr:rowOff>0</xdr:rowOff>
                  </from>
                  <to>
                    <xdr:col>4</xdr:col>
                    <xdr:colOff>800100</xdr:colOff>
                    <xdr:row>29</xdr:row>
                    <xdr:rowOff>200025</xdr:rowOff>
                  </to>
                </anchor>
              </controlPr>
            </control>
          </mc:Choice>
        </mc:AlternateContent>
        <mc:AlternateContent xmlns:mc="http://schemas.openxmlformats.org/markup-compatibility/2006">
          <mc:Choice Requires="x14">
            <control shapeId="8194" r:id="rId6" name="Drop Down 2">
              <controlPr locked="0" defaultSize="0" autoFill="0" autoLine="0" autoPict="0">
                <anchor moveWithCells="1">
                  <from>
                    <xdr:col>5</xdr:col>
                    <xdr:colOff>57150</xdr:colOff>
                    <xdr:row>29</xdr:row>
                    <xdr:rowOff>0</xdr:rowOff>
                  </from>
                  <to>
                    <xdr:col>6</xdr:col>
                    <xdr:colOff>85725</xdr:colOff>
                    <xdr:row>29</xdr:row>
                    <xdr:rowOff>200025</xdr:rowOff>
                  </to>
                </anchor>
              </controlPr>
            </control>
          </mc:Choice>
        </mc:AlternateContent>
        <mc:AlternateContent xmlns:mc="http://schemas.openxmlformats.org/markup-compatibility/2006">
          <mc:Choice Requires="x14">
            <control shapeId="8195" r:id="rId7" name="Drop Down 3">
              <controlPr locked="0" defaultSize="0" autoFill="0" autoLine="0" autoPict="0">
                <anchor moveWithCells="1">
                  <from>
                    <xdr:col>6</xdr:col>
                    <xdr:colOff>57150</xdr:colOff>
                    <xdr:row>29</xdr:row>
                    <xdr:rowOff>0</xdr:rowOff>
                  </from>
                  <to>
                    <xdr:col>6</xdr:col>
                    <xdr:colOff>790575</xdr:colOff>
                    <xdr:row>29</xdr:row>
                    <xdr:rowOff>200025</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T915"/>
  <sheetViews>
    <sheetView topLeftCell="A49" zoomScale="75" zoomScaleNormal="100" workbookViewId="0">
      <selection activeCell="N45" sqref="N45"/>
    </sheetView>
  </sheetViews>
  <sheetFormatPr defaultColWidth="11.42578125" defaultRowHeight="12.75"/>
  <cols>
    <col min="1" max="1" width="9.140625" customWidth="1"/>
    <col min="2" max="2" width="11.28515625" style="147" bestFit="1" customWidth="1"/>
    <col min="3" max="3" width="15.7109375" style="148" bestFit="1" customWidth="1"/>
    <col min="4" max="4" width="6" style="147" customWidth="1"/>
    <col min="5" max="5" width="21.85546875" style="148" customWidth="1"/>
    <col min="6" max="6" width="3.5703125" style="148" customWidth="1"/>
    <col min="7" max="7" width="12.7109375" style="148" customWidth="1"/>
    <col min="8" max="8" width="20.140625" style="148" customWidth="1"/>
    <col min="9" max="9" width="29.5703125" style="148" customWidth="1"/>
    <col min="10" max="12" width="7.5703125" style="148" customWidth="1"/>
    <col min="13" max="13" width="18.5703125" style="148" customWidth="1"/>
    <col min="14" max="14" width="7.5703125" style="148" customWidth="1"/>
    <col min="15" max="15" width="18.28515625" style="148" customWidth="1"/>
    <col min="16" max="16" width="28.7109375" style="184" customWidth="1"/>
    <col min="17" max="17" width="5.7109375" style="147" customWidth="1"/>
    <col min="18" max="18" width="14" style="185" customWidth="1"/>
    <col min="19" max="19" width="5.140625" style="148" customWidth="1"/>
    <col min="20" max="20" width="6" style="148" customWidth="1"/>
    <col min="21" max="16384" width="11.42578125" style="148"/>
  </cols>
  <sheetData>
    <row r="1" spans="1:20" ht="15.75">
      <c r="B1" s="142" t="s">
        <v>234</v>
      </c>
      <c r="C1" s="143" t="s">
        <v>234</v>
      </c>
      <c r="D1" s="144"/>
      <c r="E1" s="145" t="s">
        <v>234</v>
      </c>
      <c r="F1" s="146"/>
      <c r="G1" s="146"/>
      <c r="H1" s="146"/>
      <c r="I1" s="2318" t="s">
        <v>235</v>
      </c>
      <c r="J1" s="2319"/>
      <c r="K1" s="2319"/>
      <c r="L1" s="2320"/>
      <c r="M1" s="2322" t="s">
        <v>236</v>
      </c>
      <c r="N1" s="2322"/>
      <c r="O1" s="2323"/>
      <c r="P1" s="2321"/>
      <c r="Q1" s="2321"/>
      <c r="R1" s="2321"/>
    </row>
    <row r="2" spans="1:20" ht="16.5" thickBot="1">
      <c r="A2" s="148"/>
      <c r="B2" s="149" t="s">
        <v>237</v>
      </c>
      <c r="C2" s="150" t="s">
        <v>238</v>
      </c>
      <c r="D2" s="151"/>
      <c r="E2" s="152" t="s">
        <v>239</v>
      </c>
      <c r="F2" s="153"/>
      <c r="G2" s="153"/>
      <c r="H2" s="153"/>
      <c r="I2" s="154" t="s">
        <v>240</v>
      </c>
      <c r="J2" s="155" t="s">
        <v>241</v>
      </c>
      <c r="K2" s="155" t="s">
        <v>40</v>
      </c>
      <c r="L2" s="156" t="s">
        <v>41</v>
      </c>
      <c r="M2" s="157" t="s">
        <v>242</v>
      </c>
      <c r="N2" s="155" t="s">
        <v>241</v>
      </c>
      <c r="O2" s="158" t="s">
        <v>243</v>
      </c>
      <c r="P2" s="159"/>
      <c r="Q2" s="160"/>
      <c r="R2" s="161"/>
    </row>
    <row r="3" spans="1:20" ht="15.75">
      <c r="A3" s="148"/>
      <c r="B3" s="162"/>
      <c r="C3" s="163"/>
      <c r="D3" s="164"/>
      <c r="E3" s="165"/>
      <c r="F3" s="163"/>
      <c r="G3" s="163"/>
      <c r="H3" s="163"/>
      <c r="I3" s="162"/>
      <c r="J3" s="164"/>
      <c r="K3" s="164"/>
      <c r="L3" s="166"/>
      <c r="M3" s="167"/>
      <c r="N3" s="164"/>
      <c r="O3" s="168"/>
      <c r="P3" s="159"/>
      <c r="Q3" s="160"/>
      <c r="R3" s="161"/>
    </row>
    <row r="4" spans="1:20" s="169" customFormat="1" ht="15.75">
      <c r="A4" s="169" t="s">
        <v>244</v>
      </c>
      <c r="B4" s="170" t="e">
        <f>LOOKUP(#REF!,H6:H906,B6:B906)</f>
        <v>#REF!</v>
      </c>
      <c r="C4" s="171"/>
      <c r="D4" s="171"/>
      <c r="E4" s="172"/>
      <c r="F4" s="171"/>
      <c r="G4" s="171"/>
      <c r="H4" s="171" t="e">
        <f>LOOKUP(#REF!,H6:H906)</f>
        <v>#REF!</v>
      </c>
      <c r="I4" s="170"/>
      <c r="J4" s="171"/>
      <c r="K4" s="171"/>
      <c r="L4" s="172"/>
      <c r="M4" s="171"/>
      <c r="N4" s="171"/>
      <c r="O4" s="172"/>
      <c r="P4" s="173"/>
      <c r="Q4" s="173"/>
      <c r="R4" s="173"/>
    </row>
    <row r="5" spans="1:20" ht="15.75">
      <c r="A5" s="148"/>
      <c r="B5" s="162"/>
      <c r="C5" s="163"/>
      <c r="D5" s="164"/>
      <c r="E5" s="165"/>
      <c r="F5" s="163"/>
      <c r="G5" s="163"/>
      <c r="H5" s="163"/>
      <c r="I5" s="162"/>
      <c r="J5" s="164"/>
      <c r="K5" s="164"/>
      <c r="L5" s="166"/>
      <c r="M5" s="167"/>
      <c r="N5" s="164"/>
      <c r="O5" s="168"/>
      <c r="P5" s="159"/>
      <c r="Q5" s="160"/>
      <c r="R5" s="161"/>
    </row>
    <row r="6" spans="1:20" ht="12">
      <c r="A6" s="148"/>
      <c r="B6" s="174" t="s">
        <v>245</v>
      </c>
      <c r="C6" s="175" t="s">
        <v>246</v>
      </c>
      <c r="D6" s="176" t="s">
        <v>247</v>
      </c>
      <c r="E6" s="177" t="s">
        <v>248</v>
      </c>
      <c r="F6" s="175">
        <f t="shared" ref="F6:F69" si="0">LEN(E6)</f>
        <v>10</v>
      </c>
      <c r="G6" s="175" t="str">
        <f t="shared" ref="G6:G69" si="1">MID(E6,2,F6-2)</f>
        <v>Aberdeen</v>
      </c>
      <c r="H6" s="175" t="str">
        <f t="shared" ref="H6:H69" si="2">CONCATENATE(G6,", ",+D6)</f>
        <v>Aberdeen, SD</v>
      </c>
      <c r="I6" s="178" t="s">
        <v>249</v>
      </c>
      <c r="J6" s="27" t="s">
        <v>247</v>
      </c>
      <c r="K6" s="27">
        <v>633</v>
      </c>
      <c r="L6" s="179">
        <v>8446</v>
      </c>
      <c r="M6" s="180" t="s">
        <v>250</v>
      </c>
      <c r="N6" s="181" t="s">
        <v>251</v>
      </c>
      <c r="O6" s="182" t="s">
        <v>252</v>
      </c>
      <c r="P6" s="159"/>
      <c r="Q6" s="160"/>
      <c r="R6" s="161"/>
    </row>
    <row r="7" spans="1:20" ht="12">
      <c r="A7" s="148"/>
      <c r="B7" s="174" t="s">
        <v>253</v>
      </c>
      <c r="C7" s="175" t="s">
        <v>254</v>
      </c>
      <c r="D7" s="176" t="s">
        <v>255</v>
      </c>
      <c r="E7" s="177" t="s">
        <v>256</v>
      </c>
      <c r="F7" s="175">
        <f t="shared" si="0"/>
        <v>9</v>
      </c>
      <c r="G7" s="175" t="str">
        <f t="shared" si="1"/>
        <v>Abilene</v>
      </c>
      <c r="H7" s="175" t="str">
        <f t="shared" si="2"/>
        <v>Abilene, TX</v>
      </c>
      <c r="I7" s="178" t="s">
        <v>257</v>
      </c>
      <c r="J7" s="27" t="s">
        <v>255</v>
      </c>
      <c r="K7" s="27">
        <v>2451</v>
      </c>
      <c r="L7" s="179">
        <v>2584</v>
      </c>
      <c r="M7" s="180" t="s">
        <v>258</v>
      </c>
      <c r="N7" s="181" t="s">
        <v>255</v>
      </c>
      <c r="O7" s="182" t="s">
        <v>259</v>
      </c>
      <c r="P7" s="26"/>
      <c r="Q7" s="27"/>
      <c r="R7" s="183"/>
      <c r="S7" s="27"/>
      <c r="T7" s="27"/>
    </row>
    <row r="8" spans="1:20" ht="12">
      <c r="A8" s="148"/>
      <c r="B8" s="174" t="s">
        <v>260</v>
      </c>
      <c r="C8" s="175" t="s">
        <v>254</v>
      </c>
      <c r="D8" s="176" t="s">
        <v>255</v>
      </c>
      <c r="E8" s="177" t="s">
        <v>256</v>
      </c>
      <c r="F8" s="175">
        <f t="shared" si="0"/>
        <v>9</v>
      </c>
      <c r="G8" s="175" t="str">
        <f t="shared" si="1"/>
        <v>Abilene</v>
      </c>
      <c r="H8" s="175" t="str">
        <f t="shared" si="2"/>
        <v>Abilene, TX</v>
      </c>
      <c r="I8" s="178" t="s">
        <v>257</v>
      </c>
      <c r="J8" s="27" t="s">
        <v>255</v>
      </c>
      <c r="K8" s="27">
        <v>2451</v>
      </c>
      <c r="L8" s="179">
        <v>2584</v>
      </c>
      <c r="M8" s="180" t="s">
        <v>258</v>
      </c>
      <c r="N8" s="181" t="s">
        <v>255</v>
      </c>
      <c r="O8" s="182" t="s">
        <v>259</v>
      </c>
    </row>
    <row r="9" spans="1:20" ht="12">
      <c r="A9" s="148"/>
      <c r="B9" s="186" t="s">
        <v>261</v>
      </c>
      <c r="C9" s="175" t="s">
        <v>262</v>
      </c>
      <c r="D9" s="176" t="s">
        <v>263</v>
      </c>
      <c r="E9" s="177" t="s">
        <v>264</v>
      </c>
      <c r="F9" s="175">
        <f t="shared" si="0"/>
        <v>9</v>
      </c>
      <c r="G9" s="175" t="str">
        <f t="shared" si="1"/>
        <v>Acworth</v>
      </c>
      <c r="H9" s="175" t="str">
        <f t="shared" si="2"/>
        <v>Acworth, NH</v>
      </c>
      <c r="I9" s="178" t="s">
        <v>265</v>
      </c>
      <c r="J9" s="27" t="s">
        <v>263</v>
      </c>
      <c r="K9" s="27">
        <v>328</v>
      </c>
      <c r="L9" s="179">
        <v>7554</v>
      </c>
      <c r="M9" s="180" t="s">
        <v>266</v>
      </c>
      <c r="N9" s="181" t="s">
        <v>263</v>
      </c>
      <c r="O9" s="182" t="s">
        <v>267</v>
      </c>
    </row>
    <row r="10" spans="1:20" ht="12">
      <c r="A10" s="148"/>
      <c r="B10" s="174" t="s">
        <v>268</v>
      </c>
      <c r="C10" s="175" t="s">
        <v>254</v>
      </c>
      <c r="D10" s="176" t="s">
        <v>255</v>
      </c>
      <c r="E10" s="177" t="s">
        <v>269</v>
      </c>
      <c r="F10" s="175">
        <f t="shared" si="0"/>
        <v>8</v>
      </c>
      <c r="G10" s="175" t="str">
        <f t="shared" si="1"/>
        <v>Adrian</v>
      </c>
      <c r="H10" s="175" t="str">
        <f t="shared" si="2"/>
        <v>Adrian, TX</v>
      </c>
      <c r="I10" s="178" t="s">
        <v>270</v>
      </c>
      <c r="J10" s="27" t="s">
        <v>255</v>
      </c>
      <c r="K10" s="27">
        <v>1354</v>
      </c>
      <c r="L10" s="179">
        <v>4258</v>
      </c>
      <c r="M10" s="180" t="s">
        <v>271</v>
      </c>
      <c r="N10" s="181" t="s">
        <v>255</v>
      </c>
      <c r="O10" s="182" t="s">
        <v>272</v>
      </c>
    </row>
    <row r="11" spans="1:20" ht="12">
      <c r="A11" s="148"/>
      <c r="B11" s="174" t="s">
        <v>273</v>
      </c>
      <c r="C11" s="175" t="s">
        <v>274</v>
      </c>
      <c r="D11" s="176" t="s">
        <v>275</v>
      </c>
      <c r="E11" s="177" t="s">
        <v>276</v>
      </c>
      <c r="F11" s="175">
        <f t="shared" si="0"/>
        <v>7</v>
      </c>
      <c r="G11" s="175" t="str">
        <f t="shared" si="1"/>
        <v>Aiken</v>
      </c>
      <c r="H11" s="175" t="str">
        <f t="shared" si="2"/>
        <v>Aiken, SC</v>
      </c>
      <c r="I11" s="178" t="s">
        <v>277</v>
      </c>
      <c r="J11" s="27" t="s">
        <v>275</v>
      </c>
      <c r="K11" s="27">
        <v>1966</v>
      </c>
      <c r="L11" s="179">
        <v>2649</v>
      </c>
      <c r="M11" s="178" t="s">
        <v>278</v>
      </c>
      <c r="N11" s="27" t="s">
        <v>275</v>
      </c>
      <c r="O11" s="182" t="s">
        <v>279</v>
      </c>
      <c r="S11" s="160"/>
      <c r="T11" s="160"/>
    </row>
    <row r="12" spans="1:20" ht="12">
      <c r="A12" s="148"/>
      <c r="B12" s="174" t="s">
        <v>280</v>
      </c>
      <c r="C12" s="175" t="s">
        <v>281</v>
      </c>
      <c r="D12" s="176" t="s">
        <v>282</v>
      </c>
      <c r="E12" s="177" t="s">
        <v>380</v>
      </c>
      <c r="F12" s="175">
        <f t="shared" si="0"/>
        <v>9</v>
      </c>
      <c r="G12" s="175" t="str">
        <f t="shared" si="1"/>
        <v>Aimwell</v>
      </c>
      <c r="H12" s="175" t="str">
        <f t="shared" si="2"/>
        <v>Aimwell, LA</v>
      </c>
      <c r="I12" s="178" t="s">
        <v>381</v>
      </c>
      <c r="J12" s="27" t="s">
        <v>282</v>
      </c>
      <c r="K12" s="27">
        <v>2368</v>
      </c>
      <c r="L12" s="179">
        <v>2264</v>
      </c>
      <c r="M12" s="180" t="s">
        <v>382</v>
      </c>
      <c r="N12" s="181" t="s">
        <v>282</v>
      </c>
      <c r="O12" s="182" t="s">
        <v>383</v>
      </c>
      <c r="S12" s="27"/>
      <c r="T12" s="27"/>
    </row>
    <row r="13" spans="1:20" ht="12">
      <c r="A13" s="148"/>
      <c r="B13" s="174" t="s">
        <v>384</v>
      </c>
      <c r="C13" s="175" t="s">
        <v>385</v>
      </c>
      <c r="D13" s="176" t="s">
        <v>386</v>
      </c>
      <c r="E13" s="177" t="s">
        <v>387</v>
      </c>
      <c r="F13" s="175">
        <f t="shared" si="0"/>
        <v>7</v>
      </c>
      <c r="G13" s="175" t="str">
        <f t="shared" si="1"/>
        <v>Akron</v>
      </c>
      <c r="H13" s="175" t="str">
        <f t="shared" si="2"/>
        <v>Akron, OH</v>
      </c>
      <c r="I13" s="178" t="s">
        <v>388</v>
      </c>
      <c r="J13" s="27" t="s">
        <v>386</v>
      </c>
      <c r="K13" s="27">
        <v>625</v>
      </c>
      <c r="L13" s="179">
        <v>6160</v>
      </c>
      <c r="M13" s="180" t="s">
        <v>389</v>
      </c>
      <c r="N13" s="181" t="s">
        <v>386</v>
      </c>
      <c r="O13" s="182" t="s">
        <v>390</v>
      </c>
      <c r="S13" s="27"/>
      <c r="T13" s="27"/>
    </row>
    <row r="14" spans="1:20" ht="12">
      <c r="A14" s="148"/>
      <c r="B14" s="174" t="s">
        <v>391</v>
      </c>
      <c r="C14" s="175" t="s">
        <v>385</v>
      </c>
      <c r="D14" s="176" t="s">
        <v>386</v>
      </c>
      <c r="E14" s="177" t="s">
        <v>387</v>
      </c>
      <c r="F14" s="175">
        <f t="shared" si="0"/>
        <v>7</v>
      </c>
      <c r="G14" s="175" t="str">
        <f t="shared" si="1"/>
        <v>Akron</v>
      </c>
      <c r="H14" s="175" t="str">
        <f t="shared" si="2"/>
        <v>Akron, OH</v>
      </c>
      <c r="I14" s="178" t="s">
        <v>388</v>
      </c>
      <c r="J14" s="27" t="s">
        <v>386</v>
      </c>
      <c r="K14" s="27">
        <v>625</v>
      </c>
      <c r="L14" s="179">
        <v>6160</v>
      </c>
      <c r="M14" s="180" t="s">
        <v>389</v>
      </c>
      <c r="N14" s="181" t="s">
        <v>386</v>
      </c>
      <c r="O14" s="182" t="s">
        <v>390</v>
      </c>
      <c r="S14" s="27"/>
      <c r="T14" s="27"/>
    </row>
    <row r="15" spans="1:20" ht="12">
      <c r="A15" s="148"/>
      <c r="B15" s="174" t="s">
        <v>392</v>
      </c>
      <c r="C15" s="175" t="s">
        <v>393</v>
      </c>
      <c r="D15" s="176" t="s">
        <v>394</v>
      </c>
      <c r="E15" s="177" t="s">
        <v>395</v>
      </c>
      <c r="F15" s="175">
        <f t="shared" si="0"/>
        <v>9</v>
      </c>
      <c r="G15" s="175" t="str">
        <f t="shared" si="1"/>
        <v>Alamosa</v>
      </c>
      <c r="H15" s="175" t="str">
        <f t="shared" si="2"/>
        <v>Alamosa, CO</v>
      </c>
      <c r="I15" s="178" t="s">
        <v>396</v>
      </c>
      <c r="J15" s="27" t="s">
        <v>394</v>
      </c>
      <c r="K15" s="27">
        <v>62</v>
      </c>
      <c r="L15" s="179">
        <v>8749</v>
      </c>
      <c r="M15" s="178" t="s">
        <v>397</v>
      </c>
      <c r="N15" s="27" t="s">
        <v>394</v>
      </c>
      <c r="O15" s="182" t="s">
        <v>398</v>
      </c>
      <c r="S15" s="27"/>
      <c r="T15" s="27"/>
    </row>
    <row r="16" spans="1:20" ht="12">
      <c r="A16" s="148"/>
      <c r="B16" s="174" t="s">
        <v>399</v>
      </c>
      <c r="C16" s="175" t="s">
        <v>400</v>
      </c>
      <c r="D16" s="176" t="s">
        <v>401</v>
      </c>
      <c r="E16" s="177" t="s">
        <v>402</v>
      </c>
      <c r="F16" s="175">
        <f t="shared" si="0"/>
        <v>8</v>
      </c>
      <c r="G16" s="175" t="str">
        <f t="shared" si="1"/>
        <v>Albany</v>
      </c>
      <c r="H16" s="175" t="str">
        <f t="shared" si="2"/>
        <v>Albany, GA</v>
      </c>
      <c r="I16" s="178" t="s">
        <v>403</v>
      </c>
      <c r="J16" s="27" t="s">
        <v>401</v>
      </c>
      <c r="K16" s="27">
        <v>2284</v>
      </c>
      <c r="L16" s="179">
        <v>2261</v>
      </c>
      <c r="M16" s="180" t="s">
        <v>404</v>
      </c>
      <c r="N16" s="181" t="s">
        <v>401</v>
      </c>
      <c r="O16" s="182" t="s">
        <v>405</v>
      </c>
      <c r="S16" s="27"/>
      <c r="T16" s="27"/>
    </row>
    <row r="17" spans="1:20" ht="12">
      <c r="A17" s="148"/>
      <c r="B17" s="174" t="s">
        <v>406</v>
      </c>
      <c r="C17" s="175" t="s">
        <v>407</v>
      </c>
      <c r="D17" s="176" t="s">
        <v>408</v>
      </c>
      <c r="E17" s="177" t="s">
        <v>402</v>
      </c>
      <c r="F17" s="175">
        <f t="shared" si="0"/>
        <v>8</v>
      </c>
      <c r="G17" s="175" t="str">
        <f t="shared" si="1"/>
        <v>Albany</v>
      </c>
      <c r="H17" s="175" t="str">
        <f t="shared" si="2"/>
        <v>Albany, NY</v>
      </c>
      <c r="I17" s="178" t="s">
        <v>409</v>
      </c>
      <c r="J17" s="27" t="s">
        <v>408</v>
      </c>
      <c r="K17" s="27">
        <v>507</v>
      </c>
      <c r="L17" s="179">
        <v>6894</v>
      </c>
      <c r="M17" s="180" t="s">
        <v>410</v>
      </c>
      <c r="N17" s="181" t="s">
        <v>408</v>
      </c>
      <c r="O17" s="182" t="s">
        <v>411</v>
      </c>
      <c r="S17" s="27"/>
      <c r="T17" s="27"/>
    </row>
    <row r="18" spans="1:20" ht="12">
      <c r="A18" s="148"/>
      <c r="B18" s="174" t="s">
        <v>412</v>
      </c>
      <c r="C18" s="175" t="s">
        <v>407</v>
      </c>
      <c r="D18" s="176" t="s">
        <v>408</v>
      </c>
      <c r="E18" s="177" t="s">
        <v>402</v>
      </c>
      <c r="F18" s="175">
        <f t="shared" si="0"/>
        <v>8</v>
      </c>
      <c r="G18" s="175" t="str">
        <f t="shared" si="1"/>
        <v>Albany</v>
      </c>
      <c r="H18" s="175" t="str">
        <f t="shared" si="2"/>
        <v>Albany, NY</v>
      </c>
      <c r="I18" s="178" t="s">
        <v>409</v>
      </c>
      <c r="J18" s="27" t="s">
        <v>408</v>
      </c>
      <c r="K18" s="27">
        <v>507</v>
      </c>
      <c r="L18" s="179">
        <v>6894</v>
      </c>
      <c r="M18" s="180" t="s">
        <v>410</v>
      </c>
      <c r="N18" s="181" t="s">
        <v>408</v>
      </c>
      <c r="O18" s="182" t="s">
        <v>411</v>
      </c>
      <c r="S18" s="27"/>
      <c r="T18" s="27"/>
    </row>
    <row r="19" spans="1:20" ht="12">
      <c r="A19" s="148"/>
      <c r="B19" s="174" t="s">
        <v>413</v>
      </c>
      <c r="C19" s="175" t="s">
        <v>407</v>
      </c>
      <c r="D19" s="176" t="s">
        <v>408</v>
      </c>
      <c r="E19" s="177" t="s">
        <v>402</v>
      </c>
      <c r="F19" s="175">
        <f t="shared" si="0"/>
        <v>8</v>
      </c>
      <c r="G19" s="175" t="str">
        <f t="shared" si="1"/>
        <v>Albany</v>
      </c>
      <c r="H19" s="175" t="str">
        <f t="shared" si="2"/>
        <v>Albany, NY</v>
      </c>
      <c r="I19" s="178" t="s">
        <v>409</v>
      </c>
      <c r="J19" s="27" t="s">
        <v>408</v>
      </c>
      <c r="K19" s="27">
        <v>507</v>
      </c>
      <c r="L19" s="179">
        <v>6894</v>
      </c>
      <c r="M19" s="180" t="s">
        <v>410</v>
      </c>
      <c r="N19" s="181" t="s">
        <v>408</v>
      </c>
      <c r="O19" s="182" t="s">
        <v>411</v>
      </c>
      <c r="S19" s="27"/>
      <c r="T19" s="27"/>
    </row>
    <row r="20" spans="1:20" ht="12">
      <c r="A20" s="148"/>
      <c r="B20" s="174" t="s">
        <v>414</v>
      </c>
      <c r="C20" s="175" t="s">
        <v>415</v>
      </c>
      <c r="D20" s="176" t="s">
        <v>416</v>
      </c>
      <c r="E20" s="177" t="s">
        <v>417</v>
      </c>
      <c r="F20" s="175">
        <f t="shared" si="0"/>
        <v>13</v>
      </c>
      <c r="G20" s="175" t="str">
        <f t="shared" si="1"/>
        <v>Albuquerque</v>
      </c>
      <c r="H20" s="175" t="str">
        <f t="shared" si="2"/>
        <v>Albuquerque, NM</v>
      </c>
      <c r="I20" s="178" t="s">
        <v>418</v>
      </c>
      <c r="J20" s="27" t="s">
        <v>416</v>
      </c>
      <c r="K20" s="27">
        <v>1244</v>
      </c>
      <c r="L20" s="179">
        <v>4425</v>
      </c>
      <c r="M20" s="180" t="s">
        <v>419</v>
      </c>
      <c r="N20" s="181" t="s">
        <v>416</v>
      </c>
      <c r="O20" s="182" t="s">
        <v>420</v>
      </c>
      <c r="S20" s="27"/>
      <c r="T20" s="27"/>
    </row>
    <row r="21" spans="1:20" ht="12">
      <c r="A21" s="148"/>
      <c r="B21" s="174" t="s">
        <v>421</v>
      </c>
      <c r="C21" s="175" t="s">
        <v>415</v>
      </c>
      <c r="D21" s="176" t="s">
        <v>416</v>
      </c>
      <c r="E21" s="177" t="s">
        <v>417</v>
      </c>
      <c r="F21" s="175">
        <f t="shared" si="0"/>
        <v>13</v>
      </c>
      <c r="G21" s="175" t="str">
        <f t="shared" si="1"/>
        <v>Albuquerque</v>
      </c>
      <c r="H21" s="175" t="str">
        <f t="shared" si="2"/>
        <v>Albuquerque, NM</v>
      </c>
      <c r="I21" s="178" t="s">
        <v>418</v>
      </c>
      <c r="J21" s="27" t="s">
        <v>416</v>
      </c>
      <c r="K21" s="27">
        <v>1244</v>
      </c>
      <c r="L21" s="179">
        <v>4425</v>
      </c>
      <c r="M21" s="180" t="s">
        <v>419</v>
      </c>
      <c r="N21" s="181" t="s">
        <v>416</v>
      </c>
      <c r="O21" s="182" t="s">
        <v>420</v>
      </c>
      <c r="S21" s="27"/>
      <c r="T21" s="27"/>
    </row>
    <row r="22" spans="1:20" ht="12">
      <c r="A22" s="148"/>
      <c r="B22" s="174" t="s">
        <v>422</v>
      </c>
      <c r="C22" s="175" t="s">
        <v>281</v>
      </c>
      <c r="D22" s="176" t="s">
        <v>282</v>
      </c>
      <c r="E22" s="177" t="s">
        <v>423</v>
      </c>
      <c r="F22" s="175">
        <f t="shared" si="0"/>
        <v>12</v>
      </c>
      <c r="G22" s="175" t="str">
        <f t="shared" si="1"/>
        <v>Alexandria</v>
      </c>
      <c r="H22" s="175" t="str">
        <f t="shared" si="2"/>
        <v>Alexandria, LA</v>
      </c>
      <c r="I22" s="178" t="s">
        <v>381</v>
      </c>
      <c r="J22" s="27" t="s">
        <v>282</v>
      </c>
      <c r="K22" s="27">
        <v>2368</v>
      </c>
      <c r="L22" s="179">
        <v>2264</v>
      </c>
      <c r="M22" s="180" t="s">
        <v>382</v>
      </c>
      <c r="N22" s="181" t="s">
        <v>282</v>
      </c>
      <c r="O22" s="182" t="s">
        <v>383</v>
      </c>
      <c r="S22" s="27"/>
      <c r="T22" s="27"/>
    </row>
    <row r="23" spans="1:20" ht="12">
      <c r="A23" s="148"/>
      <c r="B23" s="174" t="s">
        <v>424</v>
      </c>
      <c r="C23" s="175" t="s">
        <v>425</v>
      </c>
      <c r="D23" s="176" t="s">
        <v>426</v>
      </c>
      <c r="E23" s="177" t="s">
        <v>423</v>
      </c>
      <c r="F23" s="175">
        <f t="shared" si="0"/>
        <v>12</v>
      </c>
      <c r="G23" s="175" t="str">
        <f t="shared" si="1"/>
        <v>Alexandria</v>
      </c>
      <c r="H23" s="175" t="str">
        <f t="shared" si="2"/>
        <v>Alexandria, VA</v>
      </c>
      <c r="I23" s="178" t="s">
        <v>427</v>
      </c>
      <c r="J23" s="27" t="s">
        <v>428</v>
      </c>
      <c r="K23" s="27">
        <v>1549</v>
      </c>
      <c r="L23" s="179">
        <v>4047</v>
      </c>
      <c r="M23" s="180" t="s">
        <v>429</v>
      </c>
      <c r="N23" s="181" t="s">
        <v>430</v>
      </c>
      <c r="O23" s="182" t="s">
        <v>431</v>
      </c>
      <c r="S23" s="27"/>
      <c r="T23" s="27"/>
    </row>
    <row r="24" spans="1:20" ht="12">
      <c r="A24" s="148"/>
      <c r="B24" s="174" t="s">
        <v>432</v>
      </c>
      <c r="C24" s="175" t="s">
        <v>433</v>
      </c>
      <c r="D24" s="176" t="s">
        <v>434</v>
      </c>
      <c r="E24" s="177" t="s">
        <v>435</v>
      </c>
      <c r="F24" s="175">
        <f t="shared" si="0"/>
        <v>10</v>
      </c>
      <c r="G24" s="175" t="str">
        <f t="shared" si="1"/>
        <v>Alhambra</v>
      </c>
      <c r="H24" s="175" t="str">
        <f t="shared" si="2"/>
        <v>Alhambra, CA</v>
      </c>
      <c r="I24" s="178" t="s">
        <v>436</v>
      </c>
      <c r="J24" s="27" t="s">
        <v>434</v>
      </c>
      <c r="K24" s="27">
        <v>1537</v>
      </c>
      <c r="L24" s="179">
        <v>1154</v>
      </c>
      <c r="M24" s="178" t="s">
        <v>437</v>
      </c>
      <c r="N24" s="27" t="s">
        <v>434</v>
      </c>
      <c r="O24" s="182" t="s">
        <v>438</v>
      </c>
      <c r="S24" s="27"/>
      <c r="T24" s="27"/>
    </row>
    <row r="25" spans="1:20" ht="12">
      <c r="A25" s="148"/>
      <c r="B25" s="174" t="s">
        <v>439</v>
      </c>
      <c r="C25" s="175" t="s">
        <v>440</v>
      </c>
      <c r="D25" s="176" t="s">
        <v>441</v>
      </c>
      <c r="E25" s="177" t="s">
        <v>442</v>
      </c>
      <c r="F25" s="175">
        <f t="shared" si="0"/>
        <v>11</v>
      </c>
      <c r="G25" s="175" t="str">
        <f t="shared" si="1"/>
        <v>Allentown</v>
      </c>
      <c r="H25" s="175" t="str">
        <f t="shared" si="2"/>
        <v>Allentown, PA</v>
      </c>
      <c r="I25" s="178" t="s">
        <v>443</v>
      </c>
      <c r="J25" s="27" t="s">
        <v>441</v>
      </c>
      <c r="K25" s="27">
        <v>773</v>
      </c>
      <c r="L25" s="179">
        <v>5785</v>
      </c>
      <c r="M25" s="178" t="s">
        <v>444</v>
      </c>
      <c r="N25" s="27" t="s">
        <v>441</v>
      </c>
      <c r="O25" s="182" t="s">
        <v>445</v>
      </c>
      <c r="S25" s="27"/>
      <c r="T25" s="27"/>
    </row>
    <row r="26" spans="1:20" ht="12">
      <c r="A26" s="148"/>
      <c r="B26" s="174" t="s">
        <v>446</v>
      </c>
      <c r="C26" s="175" t="s">
        <v>447</v>
      </c>
      <c r="D26" s="176" t="s">
        <v>448</v>
      </c>
      <c r="E26" s="177" t="s">
        <v>449</v>
      </c>
      <c r="F26" s="175">
        <f t="shared" si="0"/>
        <v>10</v>
      </c>
      <c r="G26" s="175" t="str">
        <f t="shared" si="1"/>
        <v>Alliance</v>
      </c>
      <c r="H26" s="175" t="str">
        <f t="shared" si="2"/>
        <v>Alliance, NE</v>
      </c>
      <c r="I26" s="178" t="s">
        <v>450</v>
      </c>
      <c r="J26" s="27" t="s">
        <v>247</v>
      </c>
      <c r="K26" s="27">
        <v>611</v>
      </c>
      <c r="L26" s="179">
        <v>7301</v>
      </c>
      <c r="M26" s="180" t="s">
        <v>451</v>
      </c>
      <c r="N26" s="181" t="s">
        <v>247</v>
      </c>
      <c r="O26" s="182" t="s">
        <v>452</v>
      </c>
      <c r="S26" s="27"/>
      <c r="T26" s="27"/>
    </row>
    <row r="27" spans="1:20" ht="12">
      <c r="A27" s="148"/>
      <c r="B27" s="174" t="s">
        <v>453</v>
      </c>
      <c r="C27" s="175" t="s">
        <v>440</v>
      </c>
      <c r="D27" s="176" t="s">
        <v>441</v>
      </c>
      <c r="E27" s="177" t="s">
        <v>454</v>
      </c>
      <c r="F27" s="175">
        <f t="shared" si="0"/>
        <v>9</v>
      </c>
      <c r="G27" s="175" t="str">
        <f t="shared" si="1"/>
        <v>Altoona</v>
      </c>
      <c r="H27" s="175" t="str">
        <f t="shared" si="2"/>
        <v>Altoona, PA</v>
      </c>
      <c r="I27" s="178" t="s">
        <v>455</v>
      </c>
      <c r="J27" s="27" t="s">
        <v>441</v>
      </c>
      <c r="K27" s="27">
        <v>654</v>
      </c>
      <c r="L27" s="179">
        <v>5968</v>
      </c>
      <c r="M27" s="180" t="s">
        <v>456</v>
      </c>
      <c r="N27" s="181" t="s">
        <v>441</v>
      </c>
      <c r="O27" s="182" t="s">
        <v>457</v>
      </c>
      <c r="S27" s="27"/>
      <c r="T27" s="27"/>
    </row>
    <row r="28" spans="1:20" ht="12">
      <c r="A28" s="148"/>
      <c r="B28" s="174" t="s">
        <v>458</v>
      </c>
      <c r="C28" s="175" t="s">
        <v>254</v>
      </c>
      <c r="D28" s="176" t="s">
        <v>255</v>
      </c>
      <c r="E28" s="177" t="s">
        <v>459</v>
      </c>
      <c r="F28" s="175">
        <f t="shared" si="0"/>
        <v>10</v>
      </c>
      <c r="G28" s="175" t="str">
        <f t="shared" si="1"/>
        <v>Amarillo</v>
      </c>
      <c r="H28" s="175" t="str">
        <f t="shared" si="2"/>
        <v>Amarillo, TX</v>
      </c>
      <c r="I28" s="178" t="s">
        <v>270</v>
      </c>
      <c r="J28" s="27" t="s">
        <v>255</v>
      </c>
      <c r="K28" s="27">
        <v>1354</v>
      </c>
      <c r="L28" s="179">
        <v>4258</v>
      </c>
      <c r="M28" s="180" t="s">
        <v>271</v>
      </c>
      <c r="N28" s="181" t="s">
        <v>255</v>
      </c>
      <c r="O28" s="182" t="s">
        <v>272</v>
      </c>
      <c r="S28" s="27"/>
      <c r="T28" s="27"/>
    </row>
    <row r="29" spans="1:20" ht="12">
      <c r="A29" s="148"/>
      <c r="B29" s="174" t="s">
        <v>460</v>
      </c>
      <c r="C29" s="175" t="s">
        <v>433</v>
      </c>
      <c r="D29" s="176" t="s">
        <v>434</v>
      </c>
      <c r="E29" s="177" t="s">
        <v>461</v>
      </c>
      <c r="F29" s="175">
        <f t="shared" si="0"/>
        <v>9</v>
      </c>
      <c r="G29" s="175" t="str">
        <f t="shared" si="1"/>
        <v>Anaheim</v>
      </c>
      <c r="H29" s="175" t="str">
        <f t="shared" si="2"/>
        <v>Anaheim, CA</v>
      </c>
      <c r="I29" s="178" t="s">
        <v>462</v>
      </c>
      <c r="J29" s="27" t="s">
        <v>434</v>
      </c>
      <c r="K29" s="27">
        <v>1201</v>
      </c>
      <c r="L29" s="179">
        <v>1430</v>
      </c>
      <c r="M29" s="178" t="s">
        <v>437</v>
      </c>
      <c r="N29" s="27" t="s">
        <v>434</v>
      </c>
      <c r="O29" s="182" t="s">
        <v>438</v>
      </c>
    </row>
    <row r="30" spans="1:20" ht="12">
      <c r="A30" s="148"/>
      <c r="B30" s="174" t="s">
        <v>463</v>
      </c>
      <c r="C30" s="175" t="s">
        <v>464</v>
      </c>
      <c r="D30" s="176" t="s">
        <v>465</v>
      </c>
      <c r="E30" s="177" t="s">
        <v>466</v>
      </c>
      <c r="F30" s="175">
        <f t="shared" si="0"/>
        <v>11</v>
      </c>
      <c r="G30" s="175" t="str">
        <f t="shared" si="1"/>
        <v>Anchorage</v>
      </c>
      <c r="H30" s="175" t="str">
        <f t="shared" si="2"/>
        <v>Anchorage, AK</v>
      </c>
      <c r="I30" s="178" t="s">
        <v>467</v>
      </c>
      <c r="J30" s="27" t="s">
        <v>465</v>
      </c>
      <c r="K30" s="27">
        <v>0</v>
      </c>
      <c r="L30" s="179">
        <v>10570</v>
      </c>
      <c r="M30" s="178" t="s">
        <v>468</v>
      </c>
      <c r="N30" s="27" t="s">
        <v>465</v>
      </c>
      <c r="O30" s="187" t="s">
        <v>469</v>
      </c>
      <c r="S30" s="27"/>
      <c r="T30" s="27"/>
    </row>
    <row r="31" spans="1:20" ht="12">
      <c r="A31" s="148"/>
      <c r="B31" s="174" t="s">
        <v>470</v>
      </c>
      <c r="C31" s="175" t="s">
        <v>464</v>
      </c>
      <c r="D31" s="176" t="s">
        <v>465</v>
      </c>
      <c r="E31" s="177" t="s">
        <v>466</v>
      </c>
      <c r="F31" s="175">
        <f t="shared" si="0"/>
        <v>11</v>
      </c>
      <c r="G31" s="175" t="str">
        <f t="shared" si="1"/>
        <v>Anchorage</v>
      </c>
      <c r="H31" s="175" t="str">
        <f t="shared" si="2"/>
        <v>Anchorage, AK</v>
      </c>
      <c r="I31" s="178" t="s">
        <v>467</v>
      </c>
      <c r="J31" s="27" t="s">
        <v>465</v>
      </c>
      <c r="K31" s="27">
        <v>0</v>
      </c>
      <c r="L31" s="179">
        <v>10570</v>
      </c>
      <c r="M31" s="178" t="s">
        <v>468</v>
      </c>
      <c r="N31" s="27" t="s">
        <v>465</v>
      </c>
      <c r="O31" s="187" t="s">
        <v>469</v>
      </c>
    </row>
    <row r="32" spans="1:20" ht="12">
      <c r="A32" s="148"/>
      <c r="B32" s="174" t="s">
        <v>471</v>
      </c>
      <c r="C32" s="175" t="s">
        <v>472</v>
      </c>
      <c r="D32" s="176" t="s">
        <v>473</v>
      </c>
      <c r="E32" s="177" t="s">
        <v>474</v>
      </c>
      <c r="F32" s="175">
        <f t="shared" si="0"/>
        <v>9</v>
      </c>
      <c r="G32" s="175" t="str">
        <f t="shared" si="1"/>
        <v>Andrews</v>
      </c>
      <c r="H32" s="175" t="str">
        <f t="shared" si="2"/>
        <v>Andrews, NC</v>
      </c>
      <c r="I32" s="178" t="s">
        <v>475</v>
      </c>
      <c r="J32" s="27" t="s">
        <v>476</v>
      </c>
      <c r="K32" s="27">
        <v>1266</v>
      </c>
      <c r="L32" s="179">
        <v>3937</v>
      </c>
      <c r="M32" s="180" t="s">
        <v>477</v>
      </c>
      <c r="N32" s="181" t="s">
        <v>476</v>
      </c>
      <c r="O32" s="182" t="s">
        <v>478</v>
      </c>
      <c r="S32" s="27"/>
      <c r="T32" s="27"/>
    </row>
    <row r="33" spans="1:20" ht="12">
      <c r="A33" s="148"/>
      <c r="B33" s="174" t="s">
        <v>479</v>
      </c>
      <c r="C33" s="175" t="s">
        <v>480</v>
      </c>
      <c r="D33" s="176" t="s">
        <v>481</v>
      </c>
      <c r="E33" s="177" t="s">
        <v>482</v>
      </c>
      <c r="F33" s="175">
        <f t="shared" si="0"/>
        <v>11</v>
      </c>
      <c r="G33" s="175" t="str">
        <f t="shared" si="1"/>
        <v>Ann Arbor</v>
      </c>
      <c r="H33" s="175" t="str">
        <f t="shared" si="2"/>
        <v>Ann Arbor, MI</v>
      </c>
      <c r="I33" s="178" t="s">
        <v>483</v>
      </c>
      <c r="J33" s="27" t="s">
        <v>481</v>
      </c>
      <c r="K33" s="27">
        <v>626</v>
      </c>
      <c r="L33" s="179">
        <v>6569</v>
      </c>
      <c r="M33" s="178" t="s">
        <v>484</v>
      </c>
      <c r="N33" s="27" t="s">
        <v>481</v>
      </c>
      <c r="O33" s="182" t="s">
        <v>485</v>
      </c>
      <c r="S33" s="27"/>
      <c r="T33" s="27"/>
    </row>
    <row r="34" spans="1:20" ht="12">
      <c r="A34" s="148"/>
      <c r="B34" s="174" t="s">
        <v>486</v>
      </c>
      <c r="C34" s="175" t="s">
        <v>487</v>
      </c>
      <c r="D34" s="176" t="s">
        <v>430</v>
      </c>
      <c r="E34" s="177" t="s">
        <v>488</v>
      </c>
      <c r="F34" s="175">
        <f t="shared" si="0"/>
        <v>11</v>
      </c>
      <c r="G34" s="175" t="str">
        <f t="shared" si="1"/>
        <v>Annapolis</v>
      </c>
      <c r="H34" s="175" t="str">
        <f t="shared" si="2"/>
        <v>Annapolis, MD</v>
      </c>
      <c r="I34" s="178" t="s">
        <v>489</v>
      </c>
      <c r="J34" s="27" t="s">
        <v>430</v>
      </c>
      <c r="K34" s="27">
        <v>1137</v>
      </c>
      <c r="L34" s="179">
        <v>4707</v>
      </c>
      <c r="M34" s="180" t="s">
        <v>490</v>
      </c>
      <c r="N34" s="181" t="s">
        <v>430</v>
      </c>
      <c r="O34" s="182" t="s">
        <v>491</v>
      </c>
    </row>
    <row r="35" spans="1:20" ht="12">
      <c r="A35" s="148"/>
      <c r="B35" s="174" t="s">
        <v>492</v>
      </c>
      <c r="C35" s="175" t="s">
        <v>493</v>
      </c>
      <c r="D35" s="176" t="s">
        <v>494</v>
      </c>
      <c r="E35" s="177" t="s">
        <v>495</v>
      </c>
      <c r="F35" s="175">
        <f t="shared" si="0"/>
        <v>10</v>
      </c>
      <c r="G35" s="175" t="str">
        <f t="shared" si="1"/>
        <v>Anniston</v>
      </c>
      <c r="H35" s="175" t="str">
        <f t="shared" si="2"/>
        <v>Anniston, AL</v>
      </c>
      <c r="I35" s="178" t="s">
        <v>496</v>
      </c>
      <c r="J35" s="27" t="s">
        <v>494</v>
      </c>
      <c r="K35" s="27">
        <v>1797</v>
      </c>
      <c r="L35" s="179">
        <v>2918</v>
      </c>
      <c r="M35" s="180" t="s">
        <v>497</v>
      </c>
      <c r="N35" s="181" t="s">
        <v>494</v>
      </c>
      <c r="O35" s="182" t="s">
        <v>498</v>
      </c>
      <c r="S35" s="27"/>
      <c r="T35" s="27"/>
    </row>
    <row r="36" spans="1:20" ht="12">
      <c r="A36" s="148"/>
      <c r="B36" s="174" t="s">
        <v>499</v>
      </c>
      <c r="C36" s="175" t="s">
        <v>500</v>
      </c>
      <c r="D36" s="176" t="s">
        <v>501</v>
      </c>
      <c r="E36" s="177" t="s">
        <v>502</v>
      </c>
      <c r="F36" s="175">
        <f t="shared" si="0"/>
        <v>9</v>
      </c>
      <c r="G36" s="175" t="str">
        <f t="shared" si="1"/>
        <v>Ardmore</v>
      </c>
      <c r="H36" s="175" t="str">
        <f t="shared" si="2"/>
        <v>Ardmore, OK</v>
      </c>
      <c r="I36" s="178" t="s">
        <v>503</v>
      </c>
      <c r="J36" s="27" t="s">
        <v>255</v>
      </c>
      <c r="K36" s="27">
        <v>2603</v>
      </c>
      <c r="L36" s="179">
        <v>2407</v>
      </c>
      <c r="M36" s="180" t="s">
        <v>504</v>
      </c>
      <c r="N36" s="181" t="s">
        <v>255</v>
      </c>
      <c r="O36" s="182" t="s">
        <v>505</v>
      </c>
      <c r="S36" s="27"/>
      <c r="T36" s="27"/>
    </row>
    <row r="37" spans="1:20" ht="12">
      <c r="A37" s="148"/>
      <c r="B37" s="174" t="s">
        <v>506</v>
      </c>
      <c r="C37" s="175" t="s">
        <v>425</v>
      </c>
      <c r="D37" s="176" t="s">
        <v>426</v>
      </c>
      <c r="E37" s="177" t="s">
        <v>507</v>
      </c>
      <c r="F37" s="175">
        <f t="shared" si="0"/>
        <v>11</v>
      </c>
      <c r="G37" s="175" t="str">
        <f t="shared" si="1"/>
        <v>Arlington</v>
      </c>
      <c r="H37" s="175" t="str">
        <f t="shared" si="2"/>
        <v>Arlington, VA</v>
      </c>
      <c r="I37" s="178" t="s">
        <v>427</v>
      </c>
      <c r="J37" s="27" t="s">
        <v>428</v>
      </c>
      <c r="K37" s="27">
        <v>1549</v>
      </c>
      <c r="L37" s="179">
        <v>4047</v>
      </c>
      <c r="M37" s="180" t="s">
        <v>429</v>
      </c>
      <c r="N37" s="181" t="s">
        <v>430</v>
      </c>
      <c r="O37" s="182" t="s">
        <v>431</v>
      </c>
    </row>
    <row r="38" spans="1:20" ht="12">
      <c r="A38" s="148"/>
      <c r="B38" s="174" t="s">
        <v>508</v>
      </c>
      <c r="C38" s="175" t="s">
        <v>472</v>
      </c>
      <c r="D38" s="176" t="s">
        <v>473</v>
      </c>
      <c r="E38" s="177" t="s">
        <v>509</v>
      </c>
      <c r="F38" s="175">
        <f t="shared" si="0"/>
        <v>11</v>
      </c>
      <c r="G38" s="175" t="str">
        <f t="shared" si="1"/>
        <v>Asheville</v>
      </c>
      <c r="H38" s="175" t="str">
        <f t="shared" si="2"/>
        <v>Asheville, NC</v>
      </c>
      <c r="I38" s="178" t="s">
        <v>510</v>
      </c>
      <c r="J38" s="27" t="s">
        <v>476</v>
      </c>
      <c r="K38" s="27">
        <v>972</v>
      </c>
      <c r="L38" s="179">
        <v>4406</v>
      </c>
      <c r="M38" s="180" t="s">
        <v>511</v>
      </c>
      <c r="N38" s="181" t="s">
        <v>473</v>
      </c>
      <c r="O38" s="182" t="s">
        <v>512</v>
      </c>
      <c r="S38" s="27"/>
      <c r="T38" s="27"/>
    </row>
    <row r="39" spans="1:20" ht="12">
      <c r="A39" s="148"/>
      <c r="B39" s="174" t="s">
        <v>513</v>
      </c>
      <c r="C39" s="175" t="s">
        <v>472</v>
      </c>
      <c r="D39" s="176" t="s">
        <v>473</v>
      </c>
      <c r="E39" s="177" t="s">
        <v>509</v>
      </c>
      <c r="F39" s="175">
        <f t="shared" si="0"/>
        <v>11</v>
      </c>
      <c r="G39" s="175" t="str">
        <f t="shared" si="1"/>
        <v>Asheville</v>
      </c>
      <c r="H39" s="175" t="str">
        <f t="shared" si="2"/>
        <v>Asheville, NC</v>
      </c>
      <c r="I39" s="178" t="s">
        <v>514</v>
      </c>
      <c r="J39" s="27" t="s">
        <v>473</v>
      </c>
      <c r="K39" s="27">
        <v>787</v>
      </c>
      <c r="L39" s="179">
        <v>4308</v>
      </c>
      <c r="M39" s="180" t="s">
        <v>511</v>
      </c>
      <c r="N39" s="181" t="s">
        <v>473</v>
      </c>
      <c r="O39" s="182" t="s">
        <v>512</v>
      </c>
    </row>
    <row r="40" spans="1:20" ht="12">
      <c r="A40" s="148"/>
      <c r="B40" s="174" t="s">
        <v>515</v>
      </c>
      <c r="C40" s="175" t="s">
        <v>516</v>
      </c>
      <c r="D40" s="176" t="s">
        <v>517</v>
      </c>
      <c r="E40" s="177" t="s">
        <v>518</v>
      </c>
      <c r="F40" s="175">
        <f t="shared" si="0"/>
        <v>9</v>
      </c>
      <c r="G40" s="175" t="str">
        <f t="shared" si="1"/>
        <v>Ashland</v>
      </c>
      <c r="H40" s="175" t="str">
        <f t="shared" si="2"/>
        <v>Ashland, KY</v>
      </c>
      <c r="I40" s="178" t="s">
        <v>1514</v>
      </c>
      <c r="J40" s="27" t="s">
        <v>517</v>
      </c>
      <c r="K40" s="27">
        <v>1140</v>
      </c>
      <c r="L40" s="179">
        <v>4783</v>
      </c>
      <c r="M40" s="180" t="s">
        <v>1515</v>
      </c>
      <c r="N40" s="181" t="s">
        <v>517</v>
      </c>
      <c r="O40" s="182" t="s">
        <v>1516</v>
      </c>
      <c r="S40" s="27"/>
      <c r="T40" s="27"/>
    </row>
    <row r="41" spans="1:20" ht="12">
      <c r="A41" s="148"/>
      <c r="B41" s="174" t="s">
        <v>1517</v>
      </c>
      <c r="C41" s="175" t="s">
        <v>516</v>
      </c>
      <c r="D41" s="176" t="s">
        <v>517</v>
      </c>
      <c r="E41" s="177" t="s">
        <v>518</v>
      </c>
      <c r="F41" s="175">
        <f t="shared" si="0"/>
        <v>9</v>
      </c>
      <c r="G41" s="175" t="str">
        <f t="shared" si="1"/>
        <v>Ashland</v>
      </c>
      <c r="H41" s="175" t="str">
        <f t="shared" si="2"/>
        <v>Ashland, KY</v>
      </c>
      <c r="I41" s="178" t="s">
        <v>1518</v>
      </c>
      <c r="J41" s="27" t="s">
        <v>1519</v>
      </c>
      <c r="K41" s="27">
        <v>1005</v>
      </c>
      <c r="L41" s="179">
        <v>4665</v>
      </c>
      <c r="M41" s="180" t="s">
        <v>1520</v>
      </c>
      <c r="N41" s="181" t="s">
        <v>1519</v>
      </c>
      <c r="O41" s="182" t="s">
        <v>1521</v>
      </c>
    </row>
    <row r="42" spans="1:20" ht="12">
      <c r="A42" s="148"/>
      <c r="B42" s="174" t="s">
        <v>1522</v>
      </c>
      <c r="C42" s="175" t="s">
        <v>400</v>
      </c>
      <c r="D42" s="176" t="s">
        <v>401</v>
      </c>
      <c r="E42" s="177" t="s">
        <v>1523</v>
      </c>
      <c r="F42" s="175">
        <f t="shared" si="0"/>
        <v>8</v>
      </c>
      <c r="G42" s="175" t="str">
        <f t="shared" si="1"/>
        <v>Athens</v>
      </c>
      <c r="H42" s="175" t="str">
        <f t="shared" si="2"/>
        <v>Athens, GA</v>
      </c>
      <c r="I42" s="178" t="s">
        <v>1524</v>
      </c>
      <c r="J42" s="27" t="s">
        <v>401</v>
      </c>
      <c r="K42" s="27">
        <v>1709</v>
      </c>
      <c r="L42" s="179">
        <v>2893</v>
      </c>
      <c r="M42" s="178" t="s">
        <v>1525</v>
      </c>
      <c r="N42" s="27" t="s">
        <v>401</v>
      </c>
      <c r="O42" s="182" t="s">
        <v>1526</v>
      </c>
      <c r="S42" s="27"/>
      <c r="T42" s="27"/>
    </row>
    <row r="43" spans="1:20" ht="12">
      <c r="A43" s="148"/>
      <c r="B43" s="174" t="s">
        <v>1527</v>
      </c>
      <c r="C43" s="175" t="s">
        <v>385</v>
      </c>
      <c r="D43" s="176" t="s">
        <v>386</v>
      </c>
      <c r="E43" s="177" t="s">
        <v>1523</v>
      </c>
      <c r="F43" s="175">
        <f t="shared" si="0"/>
        <v>8</v>
      </c>
      <c r="G43" s="175" t="str">
        <f t="shared" si="1"/>
        <v>Athens</v>
      </c>
      <c r="H43" s="175" t="str">
        <f t="shared" si="2"/>
        <v>Athens, OH</v>
      </c>
      <c r="I43" s="178" t="s">
        <v>1528</v>
      </c>
      <c r="J43" s="27" t="s">
        <v>386</v>
      </c>
      <c r="K43" s="27">
        <v>797</v>
      </c>
      <c r="L43" s="179">
        <v>5708</v>
      </c>
      <c r="M43" s="180" t="s">
        <v>404</v>
      </c>
      <c r="N43" s="181" t="s">
        <v>386</v>
      </c>
      <c r="O43" s="182" t="s">
        <v>1529</v>
      </c>
    </row>
    <row r="44" spans="1:20" ht="12">
      <c r="A44" s="148"/>
      <c r="B44" s="174" t="s">
        <v>1530</v>
      </c>
      <c r="C44" s="175" t="s">
        <v>400</v>
      </c>
      <c r="D44" s="176" t="s">
        <v>401</v>
      </c>
      <c r="E44" s="177" t="s">
        <v>1531</v>
      </c>
      <c r="F44" s="175">
        <f t="shared" si="0"/>
        <v>9</v>
      </c>
      <c r="G44" s="175" t="str">
        <f t="shared" si="1"/>
        <v>Atlanta</v>
      </c>
      <c r="H44" s="175" t="str">
        <f t="shared" si="2"/>
        <v>Atlanta, GA</v>
      </c>
      <c r="I44" s="178" t="s">
        <v>1532</v>
      </c>
      <c r="J44" s="27" t="s">
        <v>401</v>
      </c>
      <c r="K44" s="27">
        <v>1667</v>
      </c>
      <c r="L44" s="179">
        <v>2991</v>
      </c>
      <c r="M44" s="178" t="s">
        <v>1525</v>
      </c>
      <c r="N44" s="27" t="s">
        <v>401</v>
      </c>
      <c r="O44" s="182" t="s">
        <v>1526</v>
      </c>
      <c r="S44" s="27"/>
      <c r="T44" s="27"/>
    </row>
    <row r="45" spans="1:20" ht="12">
      <c r="A45" s="148"/>
      <c r="B45" s="174" t="s">
        <v>1533</v>
      </c>
      <c r="C45" s="175" t="s">
        <v>400</v>
      </c>
      <c r="D45" s="176" t="s">
        <v>401</v>
      </c>
      <c r="E45" s="177" t="s">
        <v>1531</v>
      </c>
      <c r="F45" s="175">
        <f t="shared" si="0"/>
        <v>9</v>
      </c>
      <c r="G45" s="175" t="str">
        <f t="shared" si="1"/>
        <v>Atlanta</v>
      </c>
      <c r="H45" s="175" t="str">
        <f t="shared" si="2"/>
        <v>Atlanta, GA</v>
      </c>
      <c r="I45" s="178" t="s">
        <v>1532</v>
      </c>
      <c r="J45" s="27" t="s">
        <v>401</v>
      </c>
      <c r="K45" s="27">
        <v>1667</v>
      </c>
      <c r="L45" s="179">
        <v>2991</v>
      </c>
      <c r="M45" s="178" t="s">
        <v>1525</v>
      </c>
      <c r="N45" s="27" t="s">
        <v>401</v>
      </c>
      <c r="O45" s="182" t="s">
        <v>1526</v>
      </c>
    </row>
    <row r="46" spans="1:20" ht="12">
      <c r="A46" s="148"/>
      <c r="B46" s="174" t="s">
        <v>1534</v>
      </c>
      <c r="C46" s="175" t="s">
        <v>400</v>
      </c>
      <c r="D46" s="176" t="s">
        <v>401</v>
      </c>
      <c r="E46" s="177" t="s">
        <v>1531</v>
      </c>
      <c r="F46" s="175">
        <f t="shared" si="0"/>
        <v>9</v>
      </c>
      <c r="G46" s="175" t="str">
        <f t="shared" si="1"/>
        <v>Atlanta</v>
      </c>
      <c r="H46" s="175" t="str">
        <f t="shared" si="2"/>
        <v>Atlanta, GA</v>
      </c>
      <c r="I46" s="178" t="s">
        <v>1532</v>
      </c>
      <c r="J46" s="27" t="s">
        <v>401</v>
      </c>
      <c r="K46" s="27">
        <v>1667</v>
      </c>
      <c r="L46" s="179">
        <v>2991</v>
      </c>
      <c r="M46" s="178" t="s">
        <v>1525</v>
      </c>
      <c r="N46" s="27" t="s">
        <v>401</v>
      </c>
      <c r="O46" s="182" t="s">
        <v>1526</v>
      </c>
      <c r="S46" s="27"/>
      <c r="T46" s="27"/>
    </row>
    <row r="47" spans="1:20" ht="12">
      <c r="A47" s="148"/>
      <c r="B47" s="174" t="s">
        <v>1535</v>
      </c>
      <c r="C47" s="175" t="s">
        <v>400</v>
      </c>
      <c r="D47" s="176" t="s">
        <v>401</v>
      </c>
      <c r="E47" s="177" t="s">
        <v>1531</v>
      </c>
      <c r="F47" s="175">
        <f t="shared" si="0"/>
        <v>9</v>
      </c>
      <c r="G47" s="175" t="str">
        <f t="shared" si="1"/>
        <v>Atlanta</v>
      </c>
      <c r="H47" s="175" t="str">
        <f t="shared" si="2"/>
        <v>Atlanta, GA</v>
      </c>
      <c r="I47" s="178" t="s">
        <v>1532</v>
      </c>
      <c r="J47" s="27" t="s">
        <v>401</v>
      </c>
      <c r="K47" s="27">
        <v>1667</v>
      </c>
      <c r="L47" s="179">
        <v>2991</v>
      </c>
      <c r="M47" s="178" t="s">
        <v>1525</v>
      </c>
      <c r="N47" s="27" t="s">
        <v>401</v>
      </c>
      <c r="O47" s="182" t="s">
        <v>1526</v>
      </c>
    </row>
    <row r="48" spans="1:20" ht="12">
      <c r="A48" s="148"/>
      <c r="B48" s="186" t="s">
        <v>1536</v>
      </c>
      <c r="C48" s="175" t="s">
        <v>1537</v>
      </c>
      <c r="D48" s="176" t="s">
        <v>1538</v>
      </c>
      <c r="E48" s="177" t="s">
        <v>1539</v>
      </c>
      <c r="F48" s="175">
        <f t="shared" si="0"/>
        <v>15</v>
      </c>
      <c r="G48" s="175" t="str">
        <f t="shared" si="1"/>
        <v>Atlantic City</v>
      </c>
      <c r="H48" s="175" t="str">
        <f t="shared" si="2"/>
        <v>Atlantic City, NJ</v>
      </c>
      <c r="I48" s="178" t="s">
        <v>1540</v>
      </c>
      <c r="J48" s="27" t="s">
        <v>1538</v>
      </c>
      <c r="K48" s="27">
        <v>826</v>
      </c>
      <c r="L48" s="179">
        <v>5169</v>
      </c>
      <c r="M48" s="180" t="s">
        <v>1541</v>
      </c>
      <c r="N48" s="181" t="s">
        <v>1538</v>
      </c>
      <c r="O48" s="182" t="s">
        <v>1542</v>
      </c>
    </row>
    <row r="49" spans="1:20" ht="12">
      <c r="A49" s="148"/>
      <c r="B49" s="186" t="s">
        <v>1543</v>
      </c>
      <c r="C49" s="175" t="s">
        <v>1544</v>
      </c>
      <c r="D49" s="176" t="s">
        <v>1545</v>
      </c>
      <c r="E49" s="177" t="s">
        <v>1546</v>
      </c>
      <c r="F49" s="175">
        <f t="shared" si="0"/>
        <v>8</v>
      </c>
      <c r="G49" s="175" t="str">
        <f t="shared" si="1"/>
        <v>Auburn</v>
      </c>
      <c r="H49" s="175" t="str">
        <f t="shared" si="2"/>
        <v>Auburn, ME</v>
      </c>
      <c r="I49" s="178" t="s">
        <v>1547</v>
      </c>
      <c r="J49" s="27" t="s">
        <v>1545</v>
      </c>
      <c r="K49" s="27">
        <v>268</v>
      </c>
      <c r="L49" s="179">
        <v>7378</v>
      </c>
      <c r="M49" s="180" t="s">
        <v>1548</v>
      </c>
      <c r="N49" s="181" t="s">
        <v>1545</v>
      </c>
      <c r="O49" s="182" t="s">
        <v>1549</v>
      </c>
      <c r="S49" s="27"/>
      <c r="T49" s="27"/>
    </row>
    <row r="50" spans="1:20" ht="12">
      <c r="A50" s="148"/>
      <c r="B50" s="174" t="s">
        <v>1550</v>
      </c>
      <c r="C50" s="175" t="s">
        <v>400</v>
      </c>
      <c r="D50" s="176" t="s">
        <v>401</v>
      </c>
      <c r="E50" s="177" t="s">
        <v>1551</v>
      </c>
      <c r="F50" s="175">
        <f t="shared" si="0"/>
        <v>9</v>
      </c>
      <c r="G50" s="175" t="str">
        <f t="shared" si="1"/>
        <v>Augusta</v>
      </c>
      <c r="H50" s="175" t="str">
        <f t="shared" si="2"/>
        <v>Augusta, GA</v>
      </c>
      <c r="I50" s="178" t="s">
        <v>1524</v>
      </c>
      <c r="J50" s="27" t="s">
        <v>401</v>
      </c>
      <c r="K50" s="27">
        <v>1709</v>
      </c>
      <c r="L50" s="179">
        <v>2893</v>
      </c>
      <c r="M50" s="178" t="s">
        <v>278</v>
      </c>
      <c r="N50" s="27" t="s">
        <v>275</v>
      </c>
      <c r="O50" s="182" t="s">
        <v>279</v>
      </c>
      <c r="S50" s="27"/>
      <c r="T50" s="27"/>
    </row>
    <row r="51" spans="1:20" ht="12">
      <c r="A51" s="148"/>
      <c r="B51" s="174" t="s">
        <v>1552</v>
      </c>
      <c r="C51" s="175" t="s">
        <v>400</v>
      </c>
      <c r="D51" s="176" t="s">
        <v>401</v>
      </c>
      <c r="E51" s="177" t="s">
        <v>1551</v>
      </c>
      <c r="F51" s="175">
        <f t="shared" si="0"/>
        <v>9</v>
      </c>
      <c r="G51" s="175" t="str">
        <f t="shared" si="1"/>
        <v>Augusta</v>
      </c>
      <c r="H51" s="175" t="str">
        <f t="shared" si="2"/>
        <v>Augusta, GA</v>
      </c>
      <c r="I51" s="178" t="s">
        <v>1553</v>
      </c>
      <c r="J51" s="27" t="s">
        <v>401</v>
      </c>
      <c r="K51" s="27">
        <v>1948</v>
      </c>
      <c r="L51" s="179">
        <v>2565</v>
      </c>
      <c r="M51" s="178" t="s">
        <v>278</v>
      </c>
      <c r="N51" s="27" t="s">
        <v>275</v>
      </c>
      <c r="O51" s="182" t="s">
        <v>279</v>
      </c>
      <c r="S51" s="27"/>
      <c r="T51" s="27"/>
    </row>
    <row r="52" spans="1:20" ht="12">
      <c r="A52" s="148"/>
      <c r="B52" s="186" t="s">
        <v>1554</v>
      </c>
      <c r="C52" s="175" t="s">
        <v>1544</v>
      </c>
      <c r="D52" s="176" t="s">
        <v>1545</v>
      </c>
      <c r="E52" s="177" t="s">
        <v>1551</v>
      </c>
      <c r="F52" s="175">
        <f t="shared" si="0"/>
        <v>9</v>
      </c>
      <c r="G52" s="175" t="str">
        <f t="shared" si="1"/>
        <v>Augusta</v>
      </c>
      <c r="H52" s="175" t="str">
        <f t="shared" si="2"/>
        <v>Augusta, ME</v>
      </c>
      <c r="I52" s="178" t="s">
        <v>1547</v>
      </c>
      <c r="J52" s="27" t="s">
        <v>1545</v>
      </c>
      <c r="K52" s="27">
        <v>268</v>
      </c>
      <c r="L52" s="179">
        <v>7378</v>
      </c>
      <c r="M52" s="180" t="s">
        <v>1548</v>
      </c>
      <c r="N52" s="181" t="s">
        <v>1545</v>
      </c>
      <c r="O52" s="182" t="s">
        <v>1549</v>
      </c>
      <c r="S52" s="27"/>
      <c r="T52" s="27"/>
    </row>
    <row r="53" spans="1:20" ht="12">
      <c r="A53" s="148"/>
      <c r="B53" s="174" t="s">
        <v>1555</v>
      </c>
      <c r="C53" s="175" t="s">
        <v>254</v>
      </c>
      <c r="D53" s="176" t="s">
        <v>255</v>
      </c>
      <c r="E53" s="177" t="s">
        <v>1556</v>
      </c>
      <c r="F53" s="175">
        <f t="shared" si="0"/>
        <v>8</v>
      </c>
      <c r="G53" s="175" t="str">
        <f t="shared" si="1"/>
        <v>Austin</v>
      </c>
      <c r="H53" s="175" t="str">
        <f t="shared" si="2"/>
        <v>Austin, TX</v>
      </c>
      <c r="I53" s="178" t="s">
        <v>1557</v>
      </c>
      <c r="J53" s="27" t="s">
        <v>255</v>
      </c>
      <c r="K53" s="27">
        <v>2996</v>
      </c>
      <c r="L53" s="179">
        <v>1644</v>
      </c>
      <c r="M53" s="180" t="s">
        <v>1558</v>
      </c>
      <c r="N53" s="181" t="s">
        <v>255</v>
      </c>
      <c r="O53" s="182" t="s">
        <v>1559</v>
      </c>
      <c r="S53" s="27"/>
      <c r="T53" s="27"/>
    </row>
    <row r="54" spans="1:20" ht="12">
      <c r="A54" s="148"/>
      <c r="B54" s="174" t="s">
        <v>1560</v>
      </c>
      <c r="C54" s="175" t="s">
        <v>254</v>
      </c>
      <c r="D54" s="176" t="s">
        <v>255</v>
      </c>
      <c r="E54" s="177" t="s">
        <v>1556</v>
      </c>
      <c r="F54" s="175">
        <f t="shared" si="0"/>
        <v>8</v>
      </c>
      <c r="G54" s="175" t="str">
        <f t="shared" si="1"/>
        <v>Austin</v>
      </c>
      <c r="H54" s="175" t="str">
        <f t="shared" si="2"/>
        <v>Austin, TX</v>
      </c>
      <c r="I54" s="178" t="s">
        <v>1561</v>
      </c>
      <c r="J54" s="27" t="s">
        <v>255</v>
      </c>
      <c r="K54" s="27">
        <v>3016</v>
      </c>
      <c r="L54" s="179">
        <v>1688</v>
      </c>
      <c r="M54" s="180" t="s">
        <v>1558</v>
      </c>
      <c r="N54" s="181" t="s">
        <v>255</v>
      </c>
      <c r="O54" s="182" t="s">
        <v>1559</v>
      </c>
      <c r="S54" s="27"/>
      <c r="T54" s="27"/>
    </row>
    <row r="55" spans="1:20" ht="12">
      <c r="A55" s="148"/>
      <c r="B55" s="174" t="s">
        <v>1562</v>
      </c>
      <c r="C55" s="175" t="s">
        <v>433</v>
      </c>
      <c r="D55" s="176" t="s">
        <v>434</v>
      </c>
      <c r="E55" s="177" t="s">
        <v>1563</v>
      </c>
      <c r="F55" s="175">
        <f t="shared" si="0"/>
        <v>13</v>
      </c>
      <c r="G55" s="175" t="str">
        <f t="shared" si="1"/>
        <v>Bakersfield</v>
      </c>
      <c r="H55" s="175" t="str">
        <f t="shared" si="2"/>
        <v>Bakersfield, CA</v>
      </c>
      <c r="I55" s="178" t="s">
        <v>1564</v>
      </c>
      <c r="J55" s="27" t="s">
        <v>434</v>
      </c>
      <c r="K55" s="27">
        <v>2365</v>
      </c>
      <c r="L55" s="179">
        <v>2182</v>
      </c>
      <c r="M55" s="178" t="s">
        <v>1565</v>
      </c>
      <c r="N55" s="27" t="s">
        <v>434</v>
      </c>
      <c r="O55" s="182" t="s">
        <v>1566</v>
      </c>
      <c r="S55" s="27"/>
      <c r="T55" s="27"/>
    </row>
    <row r="56" spans="1:20" ht="12">
      <c r="A56" s="148"/>
      <c r="B56" s="174" t="s">
        <v>1567</v>
      </c>
      <c r="C56" s="175" t="s">
        <v>433</v>
      </c>
      <c r="D56" s="176" t="s">
        <v>434</v>
      </c>
      <c r="E56" s="177" t="s">
        <v>1568</v>
      </c>
      <c r="F56" s="175">
        <f t="shared" si="0"/>
        <v>21</v>
      </c>
      <c r="G56" s="175" t="str">
        <f t="shared" si="1"/>
        <v>Bakersfield/Visalia</v>
      </c>
      <c r="H56" s="175" t="str">
        <f t="shared" si="2"/>
        <v>Bakersfield/Visalia, CA</v>
      </c>
      <c r="I56" s="178" t="s">
        <v>1569</v>
      </c>
      <c r="J56" s="27" t="s">
        <v>434</v>
      </c>
      <c r="K56" s="27">
        <v>1967</v>
      </c>
      <c r="L56" s="179">
        <v>2556</v>
      </c>
      <c r="M56" s="178" t="s">
        <v>1565</v>
      </c>
      <c r="N56" s="27" t="s">
        <v>434</v>
      </c>
      <c r="O56" s="182" t="s">
        <v>1566</v>
      </c>
      <c r="S56" s="27"/>
      <c r="T56" s="27"/>
    </row>
    <row r="57" spans="1:20" ht="12">
      <c r="A57" s="148"/>
      <c r="B57" s="174" t="s">
        <v>1570</v>
      </c>
      <c r="C57" s="175" t="s">
        <v>487</v>
      </c>
      <c r="D57" s="176" t="s">
        <v>430</v>
      </c>
      <c r="E57" s="177" t="s">
        <v>1571</v>
      </c>
      <c r="F57" s="175">
        <f t="shared" si="0"/>
        <v>11</v>
      </c>
      <c r="G57" s="175" t="str">
        <f t="shared" si="1"/>
        <v>Baltimore</v>
      </c>
      <c r="H57" s="175" t="str">
        <f t="shared" si="2"/>
        <v>Baltimore, MD</v>
      </c>
      <c r="I57" s="178" t="s">
        <v>489</v>
      </c>
      <c r="J57" s="27" t="s">
        <v>430</v>
      </c>
      <c r="K57" s="27">
        <v>1137</v>
      </c>
      <c r="L57" s="179">
        <v>4707</v>
      </c>
      <c r="M57" s="180" t="s">
        <v>490</v>
      </c>
      <c r="N57" s="181" t="s">
        <v>430</v>
      </c>
      <c r="O57" s="182" t="s">
        <v>491</v>
      </c>
    </row>
    <row r="58" spans="1:20" ht="12">
      <c r="A58" s="148"/>
      <c r="B58" s="174" t="s">
        <v>1572</v>
      </c>
      <c r="C58" s="175" t="s">
        <v>487</v>
      </c>
      <c r="D58" s="176" t="s">
        <v>430</v>
      </c>
      <c r="E58" s="177" t="s">
        <v>1571</v>
      </c>
      <c r="F58" s="175">
        <f t="shared" si="0"/>
        <v>11</v>
      </c>
      <c r="G58" s="175" t="str">
        <f t="shared" si="1"/>
        <v>Baltimore</v>
      </c>
      <c r="H58" s="175" t="str">
        <f t="shared" si="2"/>
        <v>Baltimore, MD</v>
      </c>
      <c r="I58" s="178" t="s">
        <v>489</v>
      </c>
      <c r="J58" s="27" t="s">
        <v>430</v>
      </c>
      <c r="K58" s="27">
        <v>1137</v>
      </c>
      <c r="L58" s="179">
        <v>4707</v>
      </c>
      <c r="M58" s="180" t="s">
        <v>490</v>
      </c>
      <c r="N58" s="181" t="s">
        <v>430</v>
      </c>
      <c r="O58" s="182" t="s">
        <v>491</v>
      </c>
      <c r="S58" s="27"/>
      <c r="T58" s="27"/>
    </row>
    <row r="59" spans="1:20" ht="12">
      <c r="A59" s="148"/>
      <c r="B59" s="174" t="s">
        <v>1573</v>
      </c>
      <c r="C59" s="175" t="s">
        <v>487</v>
      </c>
      <c r="D59" s="176" t="s">
        <v>430</v>
      </c>
      <c r="E59" s="177" t="s">
        <v>1571</v>
      </c>
      <c r="F59" s="175">
        <f t="shared" si="0"/>
        <v>11</v>
      </c>
      <c r="G59" s="175" t="str">
        <f t="shared" si="1"/>
        <v>Baltimore</v>
      </c>
      <c r="H59" s="175" t="str">
        <f t="shared" si="2"/>
        <v>Baltimore, MD</v>
      </c>
      <c r="I59" s="178" t="s">
        <v>489</v>
      </c>
      <c r="J59" s="27" t="s">
        <v>430</v>
      </c>
      <c r="K59" s="27">
        <v>1137</v>
      </c>
      <c r="L59" s="179">
        <v>4707</v>
      </c>
      <c r="M59" s="180" t="s">
        <v>490</v>
      </c>
      <c r="N59" s="181" t="s">
        <v>430</v>
      </c>
      <c r="O59" s="182" t="s">
        <v>491</v>
      </c>
    </row>
    <row r="60" spans="1:20" ht="12">
      <c r="A60" s="148"/>
      <c r="B60" s="174" t="s">
        <v>1574</v>
      </c>
      <c r="C60" s="175" t="s">
        <v>487</v>
      </c>
      <c r="D60" s="176" t="s">
        <v>430</v>
      </c>
      <c r="E60" s="177" t="s">
        <v>1571</v>
      </c>
      <c r="F60" s="175">
        <f t="shared" si="0"/>
        <v>11</v>
      </c>
      <c r="G60" s="175" t="str">
        <f t="shared" si="1"/>
        <v>Baltimore</v>
      </c>
      <c r="H60" s="175" t="str">
        <f t="shared" si="2"/>
        <v>Baltimore, MD</v>
      </c>
      <c r="I60" s="178" t="s">
        <v>489</v>
      </c>
      <c r="J60" s="27" t="s">
        <v>430</v>
      </c>
      <c r="K60" s="27">
        <v>1137</v>
      </c>
      <c r="L60" s="179">
        <v>4707</v>
      </c>
      <c r="M60" s="180" t="s">
        <v>490</v>
      </c>
      <c r="N60" s="181" t="s">
        <v>430</v>
      </c>
      <c r="O60" s="182" t="s">
        <v>491</v>
      </c>
    </row>
    <row r="61" spans="1:20" ht="12">
      <c r="A61" s="148"/>
      <c r="B61" s="186" t="s">
        <v>1575</v>
      </c>
      <c r="C61" s="175" t="s">
        <v>1544</v>
      </c>
      <c r="D61" s="176" t="s">
        <v>1545</v>
      </c>
      <c r="E61" s="177" t="s">
        <v>1576</v>
      </c>
      <c r="F61" s="175">
        <f t="shared" si="0"/>
        <v>8</v>
      </c>
      <c r="G61" s="175" t="str">
        <f t="shared" si="1"/>
        <v>Bangor</v>
      </c>
      <c r="H61" s="175" t="str">
        <f t="shared" si="2"/>
        <v>Bangor, ME</v>
      </c>
      <c r="I61" s="178" t="s">
        <v>1547</v>
      </c>
      <c r="J61" s="27" t="s">
        <v>1545</v>
      </c>
      <c r="K61" s="27">
        <v>268</v>
      </c>
      <c r="L61" s="179">
        <v>7378</v>
      </c>
      <c r="M61" s="180" t="s">
        <v>1548</v>
      </c>
      <c r="N61" s="181" t="s">
        <v>1545</v>
      </c>
      <c r="O61" s="182" t="s">
        <v>1549</v>
      </c>
    </row>
    <row r="62" spans="1:20" ht="12">
      <c r="A62" s="148"/>
      <c r="B62" s="174" t="s">
        <v>1577</v>
      </c>
      <c r="C62" s="175" t="s">
        <v>1578</v>
      </c>
      <c r="D62" s="176" t="s">
        <v>1579</v>
      </c>
      <c r="E62" s="177" t="s">
        <v>1580</v>
      </c>
      <c r="F62" s="175">
        <f t="shared" si="0"/>
        <v>12</v>
      </c>
      <c r="G62" s="175" t="str">
        <f t="shared" si="1"/>
        <v>Batesville</v>
      </c>
      <c r="H62" s="175" t="str">
        <f t="shared" si="2"/>
        <v>Batesville, AR</v>
      </c>
      <c r="I62" s="178" t="s">
        <v>1581</v>
      </c>
      <c r="J62" s="27" t="s">
        <v>1579</v>
      </c>
      <c r="K62" s="27">
        <v>1916</v>
      </c>
      <c r="L62" s="179">
        <v>3228</v>
      </c>
      <c r="M62" s="178" t="s">
        <v>1582</v>
      </c>
      <c r="N62" s="27" t="s">
        <v>1579</v>
      </c>
      <c r="O62" s="182" t="s">
        <v>1583</v>
      </c>
    </row>
    <row r="63" spans="1:20" ht="12">
      <c r="A63" s="148"/>
      <c r="B63" s="186" t="s">
        <v>1584</v>
      </c>
      <c r="C63" s="175" t="s">
        <v>1544</v>
      </c>
      <c r="D63" s="176" t="s">
        <v>1545</v>
      </c>
      <c r="E63" s="177" t="s">
        <v>1585</v>
      </c>
      <c r="F63" s="175">
        <f t="shared" si="0"/>
        <v>6</v>
      </c>
      <c r="G63" s="175" t="str">
        <f t="shared" si="1"/>
        <v>Bath</v>
      </c>
      <c r="H63" s="175" t="str">
        <f t="shared" si="2"/>
        <v>Bath, ME</v>
      </c>
      <c r="I63" s="178" t="s">
        <v>1547</v>
      </c>
      <c r="J63" s="27" t="s">
        <v>1545</v>
      </c>
      <c r="K63" s="27">
        <v>268</v>
      </c>
      <c r="L63" s="179">
        <v>7378</v>
      </c>
      <c r="M63" s="180" t="s">
        <v>1548</v>
      </c>
      <c r="N63" s="181" t="s">
        <v>1545</v>
      </c>
      <c r="O63" s="182" t="s">
        <v>1549</v>
      </c>
    </row>
    <row r="64" spans="1:20" ht="12">
      <c r="A64" s="148"/>
      <c r="B64" s="174" t="s">
        <v>1586</v>
      </c>
      <c r="C64" s="175" t="s">
        <v>281</v>
      </c>
      <c r="D64" s="176" t="s">
        <v>282</v>
      </c>
      <c r="E64" s="177" t="s">
        <v>1587</v>
      </c>
      <c r="F64" s="175">
        <f t="shared" si="0"/>
        <v>13</v>
      </c>
      <c r="G64" s="175" t="str">
        <f t="shared" si="1"/>
        <v>Baton Rouge</v>
      </c>
      <c r="H64" s="175" t="str">
        <f t="shared" si="2"/>
        <v>Baton Rouge, LA</v>
      </c>
      <c r="I64" s="178" t="s">
        <v>1588</v>
      </c>
      <c r="J64" s="27" t="s">
        <v>282</v>
      </c>
      <c r="K64" s="27">
        <v>2690</v>
      </c>
      <c r="L64" s="179">
        <v>1669</v>
      </c>
      <c r="M64" s="180" t="s">
        <v>1589</v>
      </c>
      <c r="N64" s="181" t="s">
        <v>282</v>
      </c>
      <c r="O64" s="182" t="s">
        <v>1590</v>
      </c>
    </row>
    <row r="65" spans="1:20" ht="12">
      <c r="A65" s="148"/>
      <c r="B65" s="174" t="s">
        <v>1591</v>
      </c>
      <c r="C65" s="175" t="s">
        <v>281</v>
      </c>
      <c r="D65" s="176" t="s">
        <v>282</v>
      </c>
      <c r="E65" s="177" t="s">
        <v>1587</v>
      </c>
      <c r="F65" s="175">
        <f t="shared" si="0"/>
        <v>13</v>
      </c>
      <c r="G65" s="175" t="str">
        <f t="shared" si="1"/>
        <v>Baton Rouge</v>
      </c>
      <c r="H65" s="175" t="str">
        <f t="shared" si="2"/>
        <v>Baton Rouge, LA</v>
      </c>
      <c r="I65" s="178" t="s">
        <v>1588</v>
      </c>
      <c r="J65" s="27" t="s">
        <v>282</v>
      </c>
      <c r="K65" s="27">
        <v>2690</v>
      </c>
      <c r="L65" s="179">
        <v>1669</v>
      </c>
      <c r="M65" s="180" t="s">
        <v>1589</v>
      </c>
      <c r="N65" s="181" t="s">
        <v>282</v>
      </c>
      <c r="O65" s="182" t="s">
        <v>1590</v>
      </c>
    </row>
    <row r="66" spans="1:20" ht="12">
      <c r="A66" s="148"/>
      <c r="B66" s="174" t="s">
        <v>1592</v>
      </c>
      <c r="C66" s="175" t="s">
        <v>516</v>
      </c>
      <c r="D66" s="176" t="s">
        <v>517</v>
      </c>
      <c r="E66" s="177" t="s">
        <v>1593</v>
      </c>
      <c r="F66" s="175">
        <f t="shared" si="0"/>
        <v>8</v>
      </c>
      <c r="G66" s="175" t="str">
        <f t="shared" si="1"/>
        <v>Baxter</v>
      </c>
      <c r="H66" s="175" t="str">
        <f t="shared" si="2"/>
        <v>Baxter, KY</v>
      </c>
      <c r="I66" s="178" t="s">
        <v>510</v>
      </c>
      <c r="J66" s="27" t="s">
        <v>476</v>
      </c>
      <c r="K66" s="27">
        <v>972</v>
      </c>
      <c r="L66" s="179">
        <v>4406</v>
      </c>
      <c r="M66" s="180" t="s">
        <v>477</v>
      </c>
      <c r="N66" s="181" t="s">
        <v>476</v>
      </c>
      <c r="O66" s="182" t="s">
        <v>478</v>
      </c>
    </row>
    <row r="67" spans="1:20" ht="12">
      <c r="A67" s="148"/>
      <c r="B67" s="174" t="s">
        <v>1594</v>
      </c>
      <c r="C67" s="175" t="s">
        <v>274</v>
      </c>
      <c r="D67" s="176" t="s">
        <v>275</v>
      </c>
      <c r="E67" s="177" t="s">
        <v>1595</v>
      </c>
      <c r="F67" s="175">
        <f t="shared" si="0"/>
        <v>10</v>
      </c>
      <c r="G67" s="175" t="str">
        <f t="shared" si="1"/>
        <v>Beaufort</v>
      </c>
      <c r="H67" s="175" t="str">
        <f t="shared" si="2"/>
        <v>Beaufort, SC</v>
      </c>
      <c r="I67" s="178" t="s">
        <v>1596</v>
      </c>
      <c r="J67" s="27" t="s">
        <v>401</v>
      </c>
      <c r="K67" s="27">
        <v>2365</v>
      </c>
      <c r="L67" s="179">
        <v>1847</v>
      </c>
      <c r="M67" s="180" t="s">
        <v>1597</v>
      </c>
      <c r="N67" s="181" t="s">
        <v>401</v>
      </c>
      <c r="O67" s="182" t="s">
        <v>1598</v>
      </c>
    </row>
    <row r="68" spans="1:20" ht="12">
      <c r="A68" s="148"/>
      <c r="B68" s="174" t="s">
        <v>1599</v>
      </c>
      <c r="C68" s="175" t="s">
        <v>254</v>
      </c>
      <c r="D68" s="176" t="s">
        <v>255</v>
      </c>
      <c r="E68" s="177" t="s">
        <v>1600</v>
      </c>
      <c r="F68" s="175">
        <f t="shared" si="0"/>
        <v>10</v>
      </c>
      <c r="G68" s="175" t="str">
        <f t="shared" si="1"/>
        <v>Beaumont</v>
      </c>
      <c r="H68" s="175" t="str">
        <f t="shared" si="2"/>
        <v>Beaumont, TX</v>
      </c>
      <c r="I68" s="178" t="s">
        <v>1601</v>
      </c>
      <c r="J68" s="27" t="s">
        <v>255</v>
      </c>
      <c r="K68" s="27">
        <v>2764</v>
      </c>
      <c r="L68" s="179">
        <v>1499</v>
      </c>
      <c r="M68" s="180" t="s">
        <v>1602</v>
      </c>
      <c r="N68" s="181" t="s">
        <v>255</v>
      </c>
      <c r="O68" s="182" t="s">
        <v>1603</v>
      </c>
    </row>
    <row r="69" spans="1:20" ht="12">
      <c r="A69" s="148"/>
      <c r="B69" s="174" t="s">
        <v>1604</v>
      </c>
      <c r="C69" s="175" t="s">
        <v>254</v>
      </c>
      <c r="D69" s="176" t="s">
        <v>255</v>
      </c>
      <c r="E69" s="177" t="s">
        <v>1600</v>
      </c>
      <c r="F69" s="175">
        <f t="shared" si="0"/>
        <v>10</v>
      </c>
      <c r="G69" s="175" t="str">
        <f t="shared" si="1"/>
        <v>Beaumont</v>
      </c>
      <c r="H69" s="175" t="str">
        <f t="shared" si="2"/>
        <v>Beaumont, TX</v>
      </c>
      <c r="I69" s="178" t="s">
        <v>1601</v>
      </c>
      <c r="J69" s="27" t="s">
        <v>255</v>
      </c>
      <c r="K69" s="27">
        <v>2764</v>
      </c>
      <c r="L69" s="179">
        <v>1499</v>
      </c>
      <c r="M69" s="180" t="s">
        <v>1602</v>
      </c>
      <c r="N69" s="181" t="s">
        <v>255</v>
      </c>
      <c r="O69" s="182" t="s">
        <v>1603</v>
      </c>
    </row>
    <row r="70" spans="1:20" ht="12">
      <c r="A70" s="148"/>
      <c r="B70" s="174" t="s">
        <v>1605</v>
      </c>
      <c r="C70" s="175" t="s">
        <v>1606</v>
      </c>
      <c r="D70" s="176" t="s">
        <v>1519</v>
      </c>
      <c r="E70" s="177" t="s">
        <v>1607</v>
      </c>
      <c r="F70" s="175">
        <f t="shared" ref="F70:F133" si="3">LEN(E70)</f>
        <v>9</v>
      </c>
      <c r="G70" s="175" t="str">
        <f t="shared" ref="G70:G133" si="4">MID(E70,2,F70-2)</f>
        <v>Beckley</v>
      </c>
      <c r="H70" s="175" t="str">
        <f t="shared" ref="H70:H133" si="5">CONCATENATE(G70,", ",+D70)</f>
        <v>Beckley, WV</v>
      </c>
      <c r="I70" s="178" t="s">
        <v>1608</v>
      </c>
      <c r="J70" s="27" t="s">
        <v>1519</v>
      </c>
      <c r="K70" s="27">
        <v>463</v>
      </c>
      <c r="L70" s="179">
        <v>5558</v>
      </c>
      <c r="M70" s="180" t="s">
        <v>1520</v>
      </c>
      <c r="N70" s="181" t="s">
        <v>1519</v>
      </c>
      <c r="O70" s="182" t="s">
        <v>1521</v>
      </c>
    </row>
    <row r="71" spans="1:20" ht="12">
      <c r="A71" s="148"/>
      <c r="B71" s="174" t="s">
        <v>1609</v>
      </c>
      <c r="C71" s="175" t="s">
        <v>1606</v>
      </c>
      <c r="D71" s="176" t="s">
        <v>1519</v>
      </c>
      <c r="E71" s="177" t="s">
        <v>1607</v>
      </c>
      <c r="F71" s="175">
        <f t="shared" si="3"/>
        <v>9</v>
      </c>
      <c r="G71" s="175" t="str">
        <f t="shared" si="4"/>
        <v>Beckley</v>
      </c>
      <c r="H71" s="175" t="str">
        <f t="shared" si="5"/>
        <v>Beckley, WV</v>
      </c>
      <c r="I71" s="178" t="s">
        <v>1608</v>
      </c>
      <c r="J71" s="27" t="s">
        <v>1519</v>
      </c>
      <c r="K71" s="27">
        <v>463</v>
      </c>
      <c r="L71" s="179">
        <v>5558</v>
      </c>
      <c r="M71" s="180" t="s">
        <v>1520</v>
      </c>
      <c r="N71" s="181" t="s">
        <v>1519</v>
      </c>
      <c r="O71" s="182" t="s">
        <v>1521</v>
      </c>
    </row>
    <row r="72" spans="1:20" ht="12">
      <c r="A72" s="148"/>
      <c r="B72" s="186" t="s">
        <v>1610</v>
      </c>
      <c r="C72" s="175" t="s">
        <v>1611</v>
      </c>
      <c r="D72" s="176" t="s">
        <v>1612</v>
      </c>
      <c r="E72" s="177" t="s">
        <v>1613</v>
      </c>
      <c r="F72" s="175">
        <f t="shared" si="3"/>
        <v>15</v>
      </c>
      <c r="G72" s="175" t="str">
        <f t="shared" si="4"/>
        <v>Bellows Falls</v>
      </c>
      <c r="H72" s="175" t="str">
        <f t="shared" si="5"/>
        <v>Bellows Falls, VT</v>
      </c>
      <c r="I72" s="178" t="s">
        <v>265</v>
      </c>
      <c r="J72" s="27" t="s">
        <v>263</v>
      </c>
      <c r="K72" s="27">
        <v>328</v>
      </c>
      <c r="L72" s="179">
        <v>7554</v>
      </c>
      <c r="M72" s="180" t="s">
        <v>266</v>
      </c>
      <c r="N72" s="181" t="s">
        <v>263</v>
      </c>
      <c r="O72" s="182" t="s">
        <v>267</v>
      </c>
    </row>
    <row r="73" spans="1:20" ht="12">
      <c r="A73" s="148"/>
      <c r="B73" s="174" t="s">
        <v>1614</v>
      </c>
      <c r="C73" s="175" t="s">
        <v>1615</v>
      </c>
      <c r="D73" s="176" t="s">
        <v>1616</v>
      </c>
      <c r="E73" s="177" t="s">
        <v>1617</v>
      </c>
      <c r="F73" s="175">
        <f t="shared" si="3"/>
        <v>9</v>
      </c>
      <c r="G73" s="175" t="str">
        <f t="shared" si="4"/>
        <v>Bemidji</v>
      </c>
      <c r="H73" s="175" t="str">
        <f t="shared" si="5"/>
        <v>Bemidji, MN</v>
      </c>
      <c r="I73" s="178" t="s">
        <v>1618</v>
      </c>
      <c r="J73" s="27" t="s">
        <v>1616</v>
      </c>
      <c r="K73" s="27">
        <v>249</v>
      </c>
      <c r="L73" s="179">
        <v>10487</v>
      </c>
      <c r="M73" s="180" t="s">
        <v>1619</v>
      </c>
      <c r="N73" s="181" t="s">
        <v>1616</v>
      </c>
      <c r="O73" s="182" t="s">
        <v>1620</v>
      </c>
    </row>
    <row r="74" spans="1:20" ht="12">
      <c r="A74" s="148"/>
      <c r="B74" s="174" t="s">
        <v>1621</v>
      </c>
      <c r="C74" s="175" t="s">
        <v>1622</v>
      </c>
      <c r="D74" s="176" t="s">
        <v>1623</v>
      </c>
      <c r="E74" s="177" t="s">
        <v>1624</v>
      </c>
      <c r="F74" s="175">
        <f t="shared" si="3"/>
        <v>6</v>
      </c>
      <c r="G74" s="175" t="str">
        <f t="shared" si="4"/>
        <v>Bend</v>
      </c>
      <c r="H74" s="175" t="str">
        <f t="shared" si="5"/>
        <v>Bend, OR</v>
      </c>
      <c r="I74" s="178" t="s">
        <v>1625</v>
      </c>
      <c r="J74" s="27" t="s">
        <v>1623</v>
      </c>
      <c r="K74" s="27">
        <v>202</v>
      </c>
      <c r="L74" s="179">
        <v>7785</v>
      </c>
      <c r="M74" s="180" t="s">
        <v>1626</v>
      </c>
      <c r="N74" s="181" t="s">
        <v>1627</v>
      </c>
      <c r="O74" s="182" t="s">
        <v>1628</v>
      </c>
      <c r="S74" s="27"/>
      <c r="T74" s="27"/>
    </row>
    <row r="75" spans="1:20" ht="12">
      <c r="A75" s="148"/>
      <c r="B75" s="186" t="s">
        <v>1629</v>
      </c>
      <c r="C75" s="175" t="s">
        <v>1611</v>
      </c>
      <c r="D75" s="176" t="s">
        <v>1612</v>
      </c>
      <c r="E75" s="177" t="s">
        <v>1630</v>
      </c>
      <c r="F75" s="175">
        <f t="shared" si="3"/>
        <v>12</v>
      </c>
      <c r="G75" s="175" t="str">
        <f t="shared" si="4"/>
        <v>Bennington</v>
      </c>
      <c r="H75" s="175" t="str">
        <f t="shared" si="5"/>
        <v>Bennington, VT</v>
      </c>
      <c r="I75" s="178" t="s">
        <v>409</v>
      </c>
      <c r="J75" s="27" t="s">
        <v>408</v>
      </c>
      <c r="K75" s="27">
        <v>507</v>
      </c>
      <c r="L75" s="179">
        <v>6894</v>
      </c>
      <c r="M75" s="180" t="s">
        <v>410</v>
      </c>
      <c r="N75" s="181" t="s">
        <v>408</v>
      </c>
      <c r="O75" s="182" t="s">
        <v>411</v>
      </c>
    </row>
    <row r="76" spans="1:20" ht="12">
      <c r="A76" s="148"/>
      <c r="B76" s="174" t="s">
        <v>1407</v>
      </c>
      <c r="C76" s="175" t="s">
        <v>433</v>
      </c>
      <c r="D76" s="176" t="s">
        <v>434</v>
      </c>
      <c r="E76" s="177" t="s">
        <v>1408</v>
      </c>
      <c r="F76" s="175">
        <f t="shared" si="3"/>
        <v>10</v>
      </c>
      <c r="G76" s="175" t="str">
        <f t="shared" si="4"/>
        <v>Berkeley</v>
      </c>
      <c r="H76" s="175" t="str">
        <f t="shared" si="5"/>
        <v>Berkeley, CA</v>
      </c>
      <c r="I76" s="178" t="s">
        <v>1409</v>
      </c>
      <c r="J76" s="27" t="s">
        <v>434</v>
      </c>
      <c r="K76" s="27">
        <v>145</v>
      </c>
      <c r="L76" s="179">
        <v>3016</v>
      </c>
      <c r="M76" s="178" t="s">
        <v>1410</v>
      </c>
      <c r="N76" s="27" t="s">
        <v>434</v>
      </c>
      <c r="O76" s="182" t="s">
        <v>1411</v>
      </c>
    </row>
    <row r="77" spans="1:20" ht="12">
      <c r="A77" s="148"/>
      <c r="B77" s="174" t="s">
        <v>1412</v>
      </c>
      <c r="C77" s="175" t="s">
        <v>415</v>
      </c>
      <c r="D77" s="176" t="s">
        <v>416</v>
      </c>
      <c r="E77" s="177" t="s">
        <v>1413</v>
      </c>
      <c r="F77" s="175">
        <f t="shared" si="3"/>
        <v>12</v>
      </c>
      <c r="G77" s="175" t="str">
        <f t="shared" si="4"/>
        <v>Bernalillo</v>
      </c>
      <c r="H77" s="175" t="str">
        <f t="shared" si="5"/>
        <v>Bernalillo, NM</v>
      </c>
      <c r="I77" s="178" t="s">
        <v>418</v>
      </c>
      <c r="J77" s="27" t="s">
        <v>416</v>
      </c>
      <c r="K77" s="27">
        <v>1244</v>
      </c>
      <c r="L77" s="179">
        <v>4425</v>
      </c>
      <c r="M77" s="180" t="s">
        <v>419</v>
      </c>
      <c r="N77" s="181" t="s">
        <v>416</v>
      </c>
      <c r="O77" s="182" t="s">
        <v>420</v>
      </c>
    </row>
    <row r="78" spans="1:20" ht="12">
      <c r="A78" s="148"/>
      <c r="B78" s="174" t="s">
        <v>1414</v>
      </c>
      <c r="C78" s="175" t="s">
        <v>1415</v>
      </c>
      <c r="D78" s="176" t="s">
        <v>1416</v>
      </c>
      <c r="E78" s="177" t="s">
        <v>1417</v>
      </c>
      <c r="F78" s="175">
        <f t="shared" si="3"/>
        <v>10</v>
      </c>
      <c r="G78" s="175" t="str">
        <f t="shared" si="4"/>
        <v>Billings</v>
      </c>
      <c r="H78" s="175" t="str">
        <f t="shared" si="5"/>
        <v>Billings, MT</v>
      </c>
      <c r="I78" s="178" t="s">
        <v>1418</v>
      </c>
      <c r="J78" s="27" t="s">
        <v>1416</v>
      </c>
      <c r="K78" s="27">
        <v>652</v>
      </c>
      <c r="L78" s="179">
        <v>7164</v>
      </c>
      <c r="M78" s="180" t="s">
        <v>1419</v>
      </c>
      <c r="N78" s="181" t="s">
        <v>1416</v>
      </c>
      <c r="O78" s="182" t="s">
        <v>1420</v>
      </c>
    </row>
    <row r="79" spans="1:20" ht="12">
      <c r="A79" s="148"/>
      <c r="B79" s="174" t="s">
        <v>1421</v>
      </c>
      <c r="C79" s="175" t="s">
        <v>1415</v>
      </c>
      <c r="D79" s="176" t="s">
        <v>1416</v>
      </c>
      <c r="E79" s="177" t="s">
        <v>1417</v>
      </c>
      <c r="F79" s="175">
        <f t="shared" si="3"/>
        <v>10</v>
      </c>
      <c r="G79" s="175" t="str">
        <f t="shared" si="4"/>
        <v>Billings</v>
      </c>
      <c r="H79" s="175" t="str">
        <f t="shared" si="5"/>
        <v>Billings, MT</v>
      </c>
      <c r="I79" s="178" t="s">
        <v>1418</v>
      </c>
      <c r="J79" s="27" t="s">
        <v>1416</v>
      </c>
      <c r="K79" s="27">
        <v>652</v>
      </c>
      <c r="L79" s="179">
        <v>7164</v>
      </c>
      <c r="M79" s="180" t="s">
        <v>1419</v>
      </c>
      <c r="N79" s="181" t="s">
        <v>1416</v>
      </c>
      <c r="O79" s="182" t="s">
        <v>1420</v>
      </c>
    </row>
    <row r="80" spans="1:20" ht="12">
      <c r="A80" s="148"/>
      <c r="B80" s="174" t="s">
        <v>1422</v>
      </c>
      <c r="C80" s="175" t="s">
        <v>407</v>
      </c>
      <c r="D80" s="176" t="s">
        <v>408</v>
      </c>
      <c r="E80" s="177" t="s">
        <v>1423</v>
      </c>
      <c r="F80" s="175">
        <f t="shared" si="3"/>
        <v>12</v>
      </c>
      <c r="G80" s="175" t="str">
        <f t="shared" si="4"/>
        <v>Binghamton</v>
      </c>
      <c r="H80" s="175" t="str">
        <f t="shared" si="5"/>
        <v>Binghamton, NY</v>
      </c>
      <c r="I80" s="178" t="s">
        <v>409</v>
      </c>
      <c r="J80" s="27" t="s">
        <v>408</v>
      </c>
      <c r="K80" s="27">
        <v>507</v>
      </c>
      <c r="L80" s="179">
        <v>6894</v>
      </c>
      <c r="M80" s="180" t="s">
        <v>410</v>
      </c>
      <c r="N80" s="181" t="s">
        <v>408</v>
      </c>
      <c r="O80" s="182" t="s">
        <v>411</v>
      </c>
      <c r="S80" s="27"/>
      <c r="T80" s="27"/>
    </row>
    <row r="81" spans="1:20" ht="12">
      <c r="A81" s="148"/>
      <c r="B81" s="174" t="s">
        <v>1424</v>
      </c>
      <c r="C81" s="175" t="s">
        <v>407</v>
      </c>
      <c r="D81" s="176" t="s">
        <v>408</v>
      </c>
      <c r="E81" s="177" t="s">
        <v>1423</v>
      </c>
      <c r="F81" s="175">
        <f t="shared" si="3"/>
        <v>12</v>
      </c>
      <c r="G81" s="175" t="str">
        <f t="shared" si="4"/>
        <v>Binghamton</v>
      </c>
      <c r="H81" s="175" t="str">
        <f t="shared" si="5"/>
        <v>Binghamton, NY</v>
      </c>
      <c r="I81" s="178" t="s">
        <v>409</v>
      </c>
      <c r="J81" s="27" t="s">
        <v>408</v>
      </c>
      <c r="K81" s="27">
        <v>507</v>
      </c>
      <c r="L81" s="179">
        <v>6894</v>
      </c>
      <c r="M81" s="180" t="s">
        <v>410</v>
      </c>
      <c r="N81" s="181" t="s">
        <v>408</v>
      </c>
      <c r="O81" s="182" t="s">
        <v>411</v>
      </c>
    </row>
    <row r="82" spans="1:20" ht="12">
      <c r="A82" s="148"/>
      <c r="B82" s="174" t="s">
        <v>1425</v>
      </c>
      <c r="C82" s="175" t="s">
        <v>407</v>
      </c>
      <c r="D82" s="176" t="s">
        <v>408</v>
      </c>
      <c r="E82" s="177" t="s">
        <v>1423</v>
      </c>
      <c r="F82" s="175">
        <f t="shared" si="3"/>
        <v>12</v>
      </c>
      <c r="G82" s="175" t="str">
        <f t="shared" si="4"/>
        <v>Binghamton</v>
      </c>
      <c r="H82" s="175" t="str">
        <f t="shared" si="5"/>
        <v>Binghamton, NY</v>
      </c>
      <c r="I82" s="178" t="s">
        <v>1426</v>
      </c>
      <c r="J82" s="27" t="s">
        <v>408</v>
      </c>
      <c r="K82" s="27">
        <v>337</v>
      </c>
      <c r="L82" s="179">
        <v>7273</v>
      </c>
      <c r="M82" s="180" t="s">
        <v>1427</v>
      </c>
      <c r="N82" s="181" t="s">
        <v>441</v>
      </c>
      <c r="O82" s="182" t="s">
        <v>1428</v>
      </c>
    </row>
    <row r="83" spans="1:20" ht="12">
      <c r="A83" s="148"/>
      <c r="B83" s="174" t="s">
        <v>1429</v>
      </c>
      <c r="C83" s="175" t="s">
        <v>493</v>
      </c>
      <c r="D83" s="176" t="s">
        <v>494</v>
      </c>
      <c r="E83" s="177" t="s">
        <v>1430</v>
      </c>
      <c r="F83" s="175">
        <f t="shared" si="3"/>
        <v>12</v>
      </c>
      <c r="G83" s="175" t="str">
        <f t="shared" si="4"/>
        <v>Birmingham</v>
      </c>
      <c r="H83" s="175" t="str">
        <f t="shared" si="5"/>
        <v>Birmingham, AL</v>
      </c>
      <c r="I83" s="178" t="s">
        <v>496</v>
      </c>
      <c r="J83" s="27" t="s">
        <v>494</v>
      </c>
      <c r="K83" s="27">
        <v>1797</v>
      </c>
      <c r="L83" s="179">
        <v>2918</v>
      </c>
      <c r="M83" s="180" t="s">
        <v>497</v>
      </c>
      <c r="N83" s="181" t="s">
        <v>494</v>
      </c>
      <c r="O83" s="182" t="s">
        <v>498</v>
      </c>
    </row>
    <row r="84" spans="1:20" ht="12">
      <c r="A84" s="148"/>
      <c r="B84" s="174" t="s">
        <v>1431</v>
      </c>
      <c r="C84" s="175" t="s">
        <v>493</v>
      </c>
      <c r="D84" s="176" t="s">
        <v>494</v>
      </c>
      <c r="E84" s="177" t="s">
        <v>1430</v>
      </c>
      <c r="F84" s="175">
        <f t="shared" si="3"/>
        <v>12</v>
      </c>
      <c r="G84" s="175" t="str">
        <f t="shared" si="4"/>
        <v>Birmingham</v>
      </c>
      <c r="H84" s="175" t="str">
        <f t="shared" si="5"/>
        <v>Birmingham, AL</v>
      </c>
      <c r="I84" s="178" t="s">
        <v>496</v>
      </c>
      <c r="J84" s="27" t="s">
        <v>494</v>
      </c>
      <c r="K84" s="27">
        <v>1797</v>
      </c>
      <c r="L84" s="179">
        <v>2918</v>
      </c>
      <c r="M84" s="180" t="s">
        <v>497</v>
      </c>
      <c r="N84" s="181" t="s">
        <v>494</v>
      </c>
      <c r="O84" s="182" t="s">
        <v>498</v>
      </c>
    </row>
    <row r="85" spans="1:20" ht="12">
      <c r="A85" s="148"/>
      <c r="B85" s="174" t="s">
        <v>1432</v>
      </c>
      <c r="C85" s="175" t="s">
        <v>493</v>
      </c>
      <c r="D85" s="176" t="s">
        <v>494</v>
      </c>
      <c r="E85" s="177" t="s">
        <v>1430</v>
      </c>
      <c r="F85" s="175">
        <f t="shared" si="3"/>
        <v>12</v>
      </c>
      <c r="G85" s="175" t="str">
        <f t="shared" si="4"/>
        <v>Birmingham</v>
      </c>
      <c r="H85" s="175" t="str">
        <f t="shared" si="5"/>
        <v>Birmingham, AL</v>
      </c>
      <c r="I85" s="178" t="s">
        <v>496</v>
      </c>
      <c r="J85" s="27" t="s">
        <v>494</v>
      </c>
      <c r="K85" s="27">
        <v>1797</v>
      </c>
      <c r="L85" s="179">
        <v>2918</v>
      </c>
      <c r="M85" s="180" t="s">
        <v>497</v>
      </c>
      <c r="N85" s="181" t="s">
        <v>494</v>
      </c>
      <c r="O85" s="182" t="s">
        <v>498</v>
      </c>
      <c r="S85" s="27"/>
      <c r="T85" s="27"/>
    </row>
    <row r="86" spans="1:20" ht="12">
      <c r="A86" s="148"/>
      <c r="B86" s="174" t="s">
        <v>1433</v>
      </c>
      <c r="C86" s="175" t="s">
        <v>1434</v>
      </c>
      <c r="D86" s="176" t="s">
        <v>251</v>
      </c>
      <c r="E86" s="177" t="s">
        <v>1435</v>
      </c>
      <c r="F86" s="175">
        <f t="shared" si="3"/>
        <v>10</v>
      </c>
      <c r="G86" s="175" t="str">
        <f t="shared" si="4"/>
        <v>Bismarck</v>
      </c>
      <c r="H86" s="175" t="str">
        <f t="shared" si="5"/>
        <v>Bismarck, ND</v>
      </c>
      <c r="I86" s="178" t="s">
        <v>1632</v>
      </c>
      <c r="J86" s="27" t="s">
        <v>251</v>
      </c>
      <c r="K86" s="27">
        <v>488</v>
      </c>
      <c r="L86" s="179">
        <v>8968</v>
      </c>
      <c r="M86" s="180" t="s">
        <v>1633</v>
      </c>
      <c r="N86" s="181" t="s">
        <v>251</v>
      </c>
      <c r="O86" s="182" t="s">
        <v>1634</v>
      </c>
    </row>
    <row r="87" spans="1:20" ht="12">
      <c r="A87" s="148"/>
      <c r="B87" s="174" t="s">
        <v>1635</v>
      </c>
      <c r="C87" s="175" t="s">
        <v>1636</v>
      </c>
      <c r="D87" s="176" t="s">
        <v>1637</v>
      </c>
      <c r="E87" s="177" t="s">
        <v>1638</v>
      </c>
      <c r="F87" s="175">
        <f t="shared" si="3"/>
        <v>13</v>
      </c>
      <c r="G87" s="175" t="str">
        <f t="shared" si="4"/>
        <v>Bloomington</v>
      </c>
      <c r="H87" s="175" t="str">
        <f t="shared" si="5"/>
        <v>Bloomington, IL</v>
      </c>
      <c r="I87" s="178" t="s">
        <v>1639</v>
      </c>
      <c r="J87" s="27" t="s">
        <v>1637</v>
      </c>
      <c r="K87" s="27">
        <v>1141</v>
      </c>
      <c r="L87" s="179">
        <v>5688</v>
      </c>
      <c r="M87" s="178" t="s">
        <v>1640</v>
      </c>
      <c r="N87" s="27" t="s">
        <v>1637</v>
      </c>
      <c r="O87" s="182" t="s">
        <v>2267</v>
      </c>
    </row>
    <row r="88" spans="1:20" ht="12">
      <c r="A88" s="148"/>
      <c r="B88" s="174" t="s">
        <v>2268</v>
      </c>
      <c r="C88" s="175" t="s">
        <v>2269</v>
      </c>
      <c r="D88" s="176" t="s">
        <v>2270</v>
      </c>
      <c r="E88" s="177" t="s">
        <v>1638</v>
      </c>
      <c r="F88" s="175">
        <f t="shared" si="3"/>
        <v>13</v>
      </c>
      <c r="G88" s="175" t="str">
        <f t="shared" si="4"/>
        <v>Bloomington</v>
      </c>
      <c r="H88" s="175" t="str">
        <f t="shared" si="5"/>
        <v>Bloomington, IN</v>
      </c>
      <c r="I88" s="178" t="s">
        <v>2271</v>
      </c>
      <c r="J88" s="27" t="s">
        <v>2270</v>
      </c>
      <c r="K88" s="27">
        <v>1014</v>
      </c>
      <c r="L88" s="179">
        <v>5615</v>
      </c>
      <c r="M88" s="178" t="s">
        <v>2272</v>
      </c>
      <c r="N88" s="27" t="s">
        <v>2270</v>
      </c>
      <c r="O88" s="182" t="s">
        <v>2273</v>
      </c>
    </row>
    <row r="89" spans="1:20" ht="12">
      <c r="A89" s="148"/>
      <c r="B89" s="174" t="s">
        <v>2274</v>
      </c>
      <c r="C89" s="175" t="s">
        <v>1606</v>
      </c>
      <c r="D89" s="176" t="s">
        <v>1519</v>
      </c>
      <c r="E89" s="177" t="s">
        <v>2275</v>
      </c>
      <c r="F89" s="175">
        <f t="shared" si="3"/>
        <v>11</v>
      </c>
      <c r="G89" s="175" t="str">
        <f t="shared" si="4"/>
        <v>Bluefield</v>
      </c>
      <c r="H89" s="175" t="str">
        <f t="shared" si="5"/>
        <v>Bluefield, WV</v>
      </c>
      <c r="I89" s="178" t="s">
        <v>2276</v>
      </c>
      <c r="J89" s="27" t="s">
        <v>426</v>
      </c>
      <c r="K89" s="27">
        <v>1052</v>
      </c>
      <c r="L89" s="179">
        <v>4360</v>
      </c>
      <c r="M89" s="180" t="s">
        <v>2277</v>
      </c>
      <c r="N89" s="181" t="s">
        <v>426</v>
      </c>
      <c r="O89" s="182" t="s">
        <v>2278</v>
      </c>
    </row>
    <row r="90" spans="1:20" ht="12">
      <c r="A90" s="148"/>
      <c r="B90" s="174" t="s">
        <v>2279</v>
      </c>
      <c r="C90" s="175" t="s">
        <v>2280</v>
      </c>
      <c r="D90" s="176" t="s">
        <v>2281</v>
      </c>
      <c r="E90" s="177" t="s">
        <v>2282</v>
      </c>
      <c r="F90" s="175">
        <f t="shared" si="3"/>
        <v>7</v>
      </c>
      <c r="G90" s="175" t="str">
        <f t="shared" si="4"/>
        <v>Boise</v>
      </c>
      <c r="H90" s="175" t="str">
        <f t="shared" si="5"/>
        <v>Boise, ID</v>
      </c>
      <c r="I90" s="178" t="s">
        <v>2283</v>
      </c>
      <c r="J90" s="27" t="s">
        <v>2281</v>
      </c>
      <c r="K90" s="27">
        <v>754</v>
      </c>
      <c r="L90" s="179">
        <v>5861</v>
      </c>
      <c r="M90" s="180" t="s">
        <v>2284</v>
      </c>
      <c r="N90" s="181" t="s">
        <v>2281</v>
      </c>
      <c r="O90" s="182" t="s">
        <v>2285</v>
      </c>
    </row>
    <row r="91" spans="1:20" ht="12">
      <c r="A91" s="148"/>
      <c r="B91" s="174" t="s">
        <v>2286</v>
      </c>
      <c r="C91" s="175" t="s">
        <v>2280</v>
      </c>
      <c r="D91" s="176" t="s">
        <v>2281</v>
      </c>
      <c r="E91" s="177" t="s">
        <v>2282</v>
      </c>
      <c r="F91" s="175">
        <f t="shared" si="3"/>
        <v>7</v>
      </c>
      <c r="G91" s="175" t="str">
        <f t="shared" si="4"/>
        <v>Boise</v>
      </c>
      <c r="H91" s="175" t="str">
        <f t="shared" si="5"/>
        <v>Boise, ID</v>
      </c>
      <c r="I91" s="178" t="s">
        <v>2283</v>
      </c>
      <c r="J91" s="27" t="s">
        <v>2281</v>
      </c>
      <c r="K91" s="27">
        <v>754</v>
      </c>
      <c r="L91" s="179">
        <v>5861</v>
      </c>
      <c r="M91" s="180" t="s">
        <v>2284</v>
      </c>
      <c r="N91" s="181" t="s">
        <v>2281</v>
      </c>
      <c r="O91" s="182" t="s">
        <v>2285</v>
      </c>
    </row>
    <row r="92" spans="1:20" ht="12">
      <c r="A92" s="148"/>
      <c r="B92" s="186" t="s">
        <v>2287</v>
      </c>
      <c r="C92" s="175" t="s">
        <v>2288</v>
      </c>
      <c r="D92" s="176" t="s">
        <v>2289</v>
      </c>
      <c r="E92" s="177" t="s">
        <v>2290</v>
      </c>
      <c r="F92" s="175">
        <f t="shared" si="3"/>
        <v>8</v>
      </c>
      <c r="G92" s="175" t="str">
        <f t="shared" si="4"/>
        <v>Boston</v>
      </c>
      <c r="H92" s="175" t="str">
        <f t="shared" si="5"/>
        <v>Boston, MA</v>
      </c>
      <c r="I92" s="178" t="s">
        <v>640</v>
      </c>
      <c r="J92" s="27" t="s">
        <v>2289</v>
      </c>
      <c r="K92" s="27">
        <v>333</v>
      </c>
      <c r="L92" s="179">
        <v>6979</v>
      </c>
      <c r="M92" s="180" t="s">
        <v>641</v>
      </c>
      <c r="N92" s="181" t="s">
        <v>2289</v>
      </c>
      <c r="O92" s="182" t="s">
        <v>642</v>
      </c>
    </row>
    <row r="93" spans="1:20" ht="12">
      <c r="A93" s="148"/>
      <c r="B93" s="186" t="s">
        <v>643</v>
      </c>
      <c r="C93" s="175" t="s">
        <v>2288</v>
      </c>
      <c r="D93" s="176" t="s">
        <v>2289</v>
      </c>
      <c r="E93" s="177" t="s">
        <v>2290</v>
      </c>
      <c r="F93" s="175">
        <f t="shared" si="3"/>
        <v>8</v>
      </c>
      <c r="G93" s="175" t="str">
        <f t="shared" si="4"/>
        <v>Boston</v>
      </c>
      <c r="H93" s="175" t="str">
        <f t="shared" si="5"/>
        <v>Boston, MA</v>
      </c>
      <c r="I93" s="178" t="s">
        <v>644</v>
      </c>
      <c r="J93" s="27" t="s">
        <v>2289</v>
      </c>
      <c r="K93" s="27">
        <v>678</v>
      </c>
      <c r="L93" s="179">
        <v>5641</v>
      </c>
      <c r="M93" s="180" t="s">
        <v>641</v>
      </c>
      <c r="N93" s="181" t="s">
        <v>2289</v>
      </c>
      <c r="O93" s="182" t="s">
        <v>642</v>
      </c>
    </row>
    <row r="94" spans="1:20" ht="12">
      <c r="A94" s="148"/>
      <c r="B94" s="186" t="s">
        <v>645</v>
      </c>
      <c r="C94" s="175" t="s">
        <v>2288</v>
      </c>
      <c r="D94" s="176" t="s">
        <v>2289</v>
      </c>
      <c r="E94" s="177" t="s">
        <v>2290</v>
      </c>
      <c r="F94" s="175">
        <f t="shared" si="3"/>
        <v>8</v>
      </c>
      <c r="G94" s="175" t="str">
        <f t="shared" si="4"/>
        <v>Boston</v>
      </c>
      <c r="H94" s="175" t="str">
        <f t="shared" si="5"/>
        <v>Boston, MA</v>
      </c>
      <c r="I94" s="178" t="s">
        <v>644</v>
      </c>
      <c r="J94" s="27" t="s">
        <v>2289</v>
      </c>
      <c r="K94" s="27">
        <v>678</v>
      </c>
      <c r="L94" s="179">
        <v>5641</v>
      </c>
      <c r="M94" s="180" t="s">
        <v>641</v>
      </c>
      <c r="N94" s="181" t="s">
        <v>2289</v>
      </c>
      <c r="O94" s="182" t="s">
        <v>642</v>
      </c>
    </row>
    <row r="95" spans="1:20" ht="12">
      <c r="A95" s="148"/>
      <c r="B95" s="174" t="s">
        <v>646</v>
      </c>
      <c r="C95" s="175" t="s">
        <v>393</v>
      </c>
      <c r="D95" s="176" t="s">
        <v>394</v>
      </c>
      <c r="E95" s="177" t="s">
        <v>647</v>
      </c>
      <c r="F95" s="175">
        <f t="shared" si="3"/>
        <v>9</v>
      </c>
      <c r="G95" s="175" t="str">
        <f t="shared" si="4"/>
        <v>Boulder</v>
      </c>
      <c r="H95" s="175" t="str">
        <f t="shared" si="5"/>
        <v>Boulder, CO</v>
      </c>
      <c r="I95" s="178" t="s">
        <v>648</v>
      </c>
      <c r="J95" s="27" t="s">
        <v>394</v>
      </c>
      <c r="K95" s="27">
        <v>679</v>
      </c>
      <c r="L95" s="179">
        <v>6020</v>
      </c>
      <c r="M95" s="180" t="s">
        <v>649</v>
      </c>
      <c r="N95" s="181" t="s">
        <v>394</v>
      </c>
      <c r="O95" s="182" t="s">
        <v>650</v>
      </c>
    </row>
    <row r="96" spans="1:20" ht="12">
      <c r="A96" s="148"/>
      <c r="B96" s="174" t="s">
        <v>651</v>
      </c>
      <c r="C96" s="175" t="s">
        <v>516</v>
      </c>
      <c r="D96" s="176" t="s">
        <v>517</v>
      </c>
      <c r="E96" s="177" t="s">
        <v>652</v>
      </c>
      <c r="F96" s="175">
        <f t="shared" si="3"/>
        <v>15</v>
      </c>
      <c r="G96" s="175" t="str">
        <f t="shared" si="4"/>
        <v>Bowling Green</v>
      </c>
      <c r="H96" s="175" t="str">
        <f t="shared" si="5"/>
        <v>Bowling Green, KY</v>
      </c>
      <c r="I96" s="178" t="s">
        <v>653</v>
      </c>
      <c r="J96" s="27" t="s">
        <v>517</v>
      </c>
      <c r="K96" s="27">
        <v>1288</v>
      </c>
      <c r="L96" s="179">
        <v>4514</v>
      </c>
      <c r="M96" s="180" t="s">
        <v>654</v>
      </c>
      <c r="N96" s="181" t="s">
        <v>517</v>
      </c>
      <c r="O96" s="182" t="s">
        <v>655</v>
      </c>
    </row>
    <row r="97" spans="1:20" ht="12">
      <c r="A97" s="148"/>
      <c r="B97" s="174" t="s">
        <v>656</v>
      </c>
      <c r="C97" s="175" t="s">
        <v>385</v>
      </c>
      <c r="D97" s="176" t="s">
        <v>386</v>
      </c>
      <c r="E97" s="177" t="s">
        <v>652</v>
      </c>
      <c r="F97" s="175">
        <f t="shared" si="3"/>
        <v>15</v>
      </c>
      <c r="G97" s="175" t="str">
        <f t="shared" si="4"/>
        <v>Bowling Green</v>
      </c>
      <c r="H97" s="175" t="str">
        <f t="shared" si="5"/>
        <v>Bowling Green, OH</v>
      </c>
      <c r="I97" s="178" t="s">
        <v>657</v>
      </c>
      <c r="J97" s="27" t="s">
        <v>386</v>
      </c>
      <c r="K97" s="27">
        <v>610</v>
      </c>
      <c r="L97" s="179">
        <v>6579</v>
      </c>
      <c r="M97" s="180" t="s">
        <v>658</v>
      </c>
      <c r="N97" s="181" t="s">
        <v>386</v>
      </c>
      <c r="O97" s="182" t="s">
        <v>659</v>
      </c>
    </row>
    <row r="98" spans="1:20" ht="12">
      <c r="A98" s="148"/>
      <c r="B98" s="174" t="s">
        <v>660</v>
      </c>
      <c r="C98" s="175" t="s">
        <v>661</v>
      </c>
      <c r="D98" s="176" t="s">
        <v>662</v>
      </c>
      <c r="E98" s="177" t="s">
        <v>663</v>
      </c>
      <c r="F98" s="175">
        <f t="shared" si="3"/>
        <v>11</v>
      </c>
      <c r="G98" s="175" t="str">
        <f t="shared" si="4"/>
        <v>Bradenton</v>
      </c>
      <c r="H98" s="175" t="str">
        <f t="shared" si="5"/>
        <v>Bradenton, FL</v>
      </c>
      <c r="I98" s="178" t="s">
        <v>664</v>
      </c>
      <c r="J98" s="27" t="s">
        <v>662</v>
      </c>
      <c r="K98" s="27">
        <v>3427</v>
      </c>
      <c r="L98" s="179">
        <v>725</v>
      </c>
      <c r="M98" s="178" t="s">
        <v>665</v>
      </c>
      <c r="N98" s="27" t="s">
        <v>662</v>
      </c>
      <c r="O98" s="182" t="s">
        <v>666</v>
      </c>
    </row>
    <row r="99" spans="1:20" ht="12">
      <c r="A99" s="148"/>
      <c r="B99" s="174" t="s">
        <v>667</v>
      </c>
      <c r="C99" s="175" t="s">
        <v>440</v>
      </c>
      <c r="D99" s="176" t="s">
        <v>441</v>
      </c>
      <c r="E99" s="177" t="s">
        <v>668</v>
      </c>
      <c r="F99" s="175">
        <f t="shared" si="3"/>
        <v>10</v>
      </c>
      <c r="G99" s="175" t="str">
        <f t="shared" si="4"/>
        <v>Bradford</v>
      </c>
      <c r="H99" s="175" t="str">
        <f t="shared" si="5"/>
        <v>Bradford, PA</v>
      </c>
      <c r="I99" s="178" t="s">
        <v>669</v>
      </c>
      <c r="J99" s="27" t="s">
        <v>441</v>
      </c>
      <c r="K99" s="27">
        <v>550</v>
      </c>
      <c r="L99" s="179">
        <v>6279</v>
      </c>
      <c r="M99" s="180" t="s">
        <v>670</v>
      </c>
      <c r="N99" s="181" t="s">
        <v>441</v>
      </c>
      <c r="O99" s="182" t="s">
        <v>671</v>
      </c>
    </row>
    <row r="100" spans="1:20" ht="12">
      <c r="A100" s="148"/>
      <c r="B100" s="174" t="s">
        <v>672</v>
      </c>
      <c r="C100" s="175" t="s">
        <v>1615</v>
      </c>
      <c r="D100" s="176" t="s">
        <v>1616</v>
      </c>
      <c r="E100" s="177" t="s">
        <v>673</v>
      </c>
      <c r="F100" s="175">
        <f t="shared" si="3"/>
        <v>10</v>
      </c>
      <c r="G100" s="175" t="str">
        <f t="shared" si="4"/>
        <v>Brainerd</v>
      </c>
      <c r="H100" s="175" t="str">
        <f t="shared" si="5"/>
        <v>Brainerd, MN</v>
      </c>
      <c r="I100" s="178" t="s">
        <v>674</v>
      </c>
      <c r="J100" s="27" t="s">
        <v>1616</v>
      </c>
      <c r="K100" s="27">
        <v>415</v>
      </c>
      <c r="L100" s="179">
        <v>8928</v>
      </c>
      <c r="M100" s="178" t="s">
        <v>675</v>
      </c>
      <c r="N100" s="27" t="s">
        <v>1616</v>
      </c>
      <c r="O100" s="182" t="s">
        <v>676</v>
      </c>
    </row>
    <row r="101" spans="1:20" ht="12">
      <c r="A101" s="148"/>
      <c r="B101" s="186" t="s">
        <v>677</v>
      </c>
      <c r="C101" s="175" t="s">
        <v>1611</v>
      </c>
      <c r="D101" s="176" t="s">
        <v>1612</v>
      </c>
      <c r="E101" s="177" t="s">
        <v>678</v>
      </c>
      <c r="F101" s="175">
        <f t="shared" si="3"/>
        <v>13</v>
      </c>
      <c r="G101" s="175" t="str">
        <f t="shared" si="4"/>
        <v>Brattleboro</v>
      </c>
      <c r="H101" s="175" t="str">
        <f t="shared" si="5"/>
        <v>Brattleboro, VT</v>
      </c>
      <c r="I101" s="178" t="s">
        <v>640</v>
      </c>
      <c r="J101" s="27" t="s">
        <v>2289</v>
      </c>
      <c r="K101" s="27">
        <v>333</v>
      </c>
      <c r="L101" s="179">
        <v>6979</v>
      </c>
      <c r="M101" s="180" t="s">
        <v>410</v>
      </c>
      <c r="N101" s="181" t="s">
        <v>408</v>
      </c>
      <c r="O101" s="182" t="s">
        <v>411</v>
      </c>
    </row>
    <row r="102" spans="1:20" ht="12">
      <c r="A102" s="148"/>
      <c r="B102" s="186" t="s">
        <v>679</v>
      </c>
      <c r="C102" s="175" t="s">
        <v>680</v>
      </c>
      <c r="D102" s="176" t="s">
        <v>681</v>
      </c>
      <c r="E102" s="177" t="s">
        <v>682</v>
      </c>
      <c r="F102" s="175">
        <f t="shared" si="3"/>
        <v>12</v>
      </c>
      <c r="G102" s="175" t="str">
        <f t="shared" si="4"/>
        <v>Bridgeport</v>
      </c>
      <c r="H102" s="175" t="str">
        <f t="shared" si="5"/>
        <v>Bridgeport, CT</v>
      </c>
      <c r="I102" s="178" t="s">
        <v>683</v>
      </c>
      <c r="J102" s="27" t="s">
        <v>681</v>
      </c>
      <c r="K102" s="27">
        <v>724</v>
      </c>
      <c r="L102" s="179">
        <v>5537</v>
      </c>
      <c r="M102" s="178" t="s">
        <v>684</v>
      </c>
      <c r="N102" s="27" t="s">
        <v>681</v>
      </c>
      <c r="O102" s="182" t="s">
        <v>685</v>
      </c>
    </row>
    <row r="103" spans="1:20" ht="12">
      <c r="A103" s="148"/>
      <c r="B103" s="174" t="s">
        <v>686</v>
      </c>
      <c r="C103" s="175" t="s">
        <v>425</v>
      </c>
      <c r="D103" s="176" t="s">
        <v>426</v>
      </c>
      <c r="E103" s="177" t="s">
        <v>687</v>
      </c>
      <c r="F103" s="175">
        <f t="shared" si="3"/>
        <v>9</v>
      </c>
      <c r="G103" s="175" t="str">
        <f t="shared" si="4"/>
        <v>Bristol</v>
      </c>
      <c r="H103" s="175" t="str">
        <f t="shared" si="5"/>
        <v>Bristol, VA</v>
      </c>
      <c r="I103" s="178" t="s">
        <v>2276</v>
      </c>
      <c r="J103" s="27" t="s">
        <v>426</v>
      </c>
      <c r="K103" s="27">
        <v>1052</v>
      </c>
      <c r="L103" s="179">
        <v>4360</v>
      </c>
      <c r="M103" s="180" t="s">
        <v>2277</v>
      </c>
      <c r="N103" s="181" t="s">
        <v>426</v>
      </c>
      <c r="O103" s="182" t="s">
        <v>2278</v>
      </c>
    </row>
    <row r="104" spans="1:20" ht="12">
      <c r="A104" s="148"/>
      <c r="B104" s="186" t="s">
        <v>688</v>
      </c>
      <c r="C104" s="175" t="s">
        <v>2288</v>
      </c>
      <c r="D104" s="176" t="s">
        <v>2289</v>
      </c>
      <c r="E104" s="177" t="s">
        <v>2257</v>
      </c>
      <c r="F104" s="175">
        <f t="shared" si="3"/>
        <v>10</v>
      </c>
      <c r="G104" s="175" t="str">
        <f t="shared" si="4"/>
        <v>Brockton</v>
      </c>
      <c r="H104" s="175" t="str">
        <f t="shared" si="5"/>
        <v>Brockton, MA</v>
      </c>
      <c r="I104" s="178" t="s">
        <v>2258</v>
      </c>
      <c r="J104" s="27" t="s">
        <v>2259</v>
      </c>
      <c r="K104" s="27">
        <v>606</v>
      </c>
      <c r="L104" s="179">
        <v>5884</v>
      </c>
      <c r="M104" s="180" t="s">
        <v>2260</v>
      </c>
      <c r="N104" s="181" t="s">
        <v>2259</v>
      </c>
      <c r="O104" s="182" t="s">
        <v>2261</v>
      </c>
    </row>
    <row r="105" spans="1:20" ht="12">
      <c r="A105" s="148"/>
      <c r="B105" s="186" t="s">
        <v>2262</v>
      </c>
      <c r="C105" s="175" t="s">
        <v>2288</v>
      </c>
      <c r="D105" s="176" t="s">
        <v>2289</v>
      </c>
      <c r="E105" s="177" t="s">
        <v>2257</v>
      </c>
      <c r="F105" s="175">
        <f t="shared" si="3"/>
        <v>10</v>
      </c>
      <c r="G105" s="175" t="str">
        <f t="shared" si="4"/>
        <v>Brockton</v>
      </c>
      <c r="H105" s="175" t="str">
        <f t="shared" si="5"/>
        <v>Brockton, MA</v>
      </c>
      <c r="I105" s="178" t="s">
        <v>644</v>
      </c>
      <c r="J105" s="27" t="s">
        <v>2289</v>
      </c>
      <c r="K105" s="27">
        <v>678</v>
      </c>
      <c r="L105" s="179">
        <v>5641</v>
      </c>
      <c r="M105" s="180" t="s">
        <v>641</v>
      </c>
      <c r="N105" s="181" t="s">
        <v>2289</v>
      </c>
      <c r="O105" s="182" t="s">
        <v>642</v>
      </c>
    </row>
    <row r="106" spans="1:20" ht="12">
      <c r="A106" s="148"/>
      <c r="B106" s="174" t="s">
        <v>2263</v>
      </c>
      <c r="C106" s="175" t="s">
        <v>407</v>
      </c>
      <c r="D106" s="176" t="s">
        <v>408</v>
      </c>
      <c r="E106" s="177" t="s">
        <v>2264</v>
      </c>
      <c r="F106" s="175">
        <f t="shared" si="3"/>
        <v>7</v>
      </c>
      <c r="G106" s="175" t="str">
        <f t="shared" si="4"/>
        <v>Bronx</v>
      </c>
      <c r="H106" s="175" t="str">
        <f t="shared" si="5"/>
        <v>Bronx, NY</v>
      </c>
      <c r="I106" s="178" t="s">
        <v>2265</v>
      </c>
      <c r="J106" s="27" t="s">
        <v>408</v>
      </c>
      <c r="K106" s="27">
        <v>1052</v>
      </c>
      <c r="L106" s="179">
        <v>4910</v>
      </c>
      <c r="M106" s="180" t="s">
        <v>2266</v>
      </c>
      <c r="N106" s="181" t="s">
        <v>408</v>
      </c>
      <c r="O106" s="182" t="s">
        <v>1287</v>
      </c>
    </row>
    <row r="107" spans="1:20" ht="12">
      <c r="A107" s="148"/>
      <c r="B107" s="174" t="s">
        <v>1288</v>
      </c>
      <c r="C107" s="175" t="s">
        <v>407</v>
      </c>
      <c r="D107" s="176" t="s">
        <v>408</v>
      </c>
      <c r="E107" s="177" t="s">
        <v>1289</v>
      </c>
      <c r="F107" s="175">
        <f t="shared" si="3"/>
        <v>10</v>
      </c>
      <c r="G107" s="175" t="str">
        <f t="shared" si="4"/>
        <v>Brooklyn</v>
      </c>
      <c r="H107" s="175" t="str">
        <f t="shared" si="5"/>
        <v>Brooklyn, NY</v>
      </c>
      <c r="I107" s="178" t="s">
        <v>2265</v>
      </c>
      <c r="J107" s="27" t="s">
        <v>408</v>
      </c>
      <c r="K107" s="27">
        <v>1052</v>
      </c>
      <c r="L107" s="179">
        <v>4910</v>
      </c>
      <c r="M107" s="180" t="s">
        <v>2266</v>
      </c>
      <c r="N107" s="181" t="s">
        <v>408</v>
      </c>
      <c r="O107" s="182" t="s">
        <v>1287</v>
      </c>
    </row>
    <row r="108" spans="1:20" ht="12">
      <c r="A108" s="148"/>
      <c r="B108" s="174" t="s">
        <v>1290</v>
      </c>
      <c r="C108" s="175" t="s">
        <v>254</v>
      </c>
      <c r="D108" s="176" t="s">
        <v>255</v>
      </c>
      <c r="E108" s="177" t="s">
        <v>1291</v>
      </c>
      <c r="F108" s="175">
        <f t="shared" si="3"/>
        <v>13</v>
      </c>
      <c r="G108" s="175" t="str">
        <f t="shared" si="4"/>
        <v>Brownsville</v>
      </c>
      <c r="H108" s="175" t="str">
        <f t="shared" si="5"/>
        <v>Brownsville, TX</v>
      </c>
      <c r="I108" s="178" t="s">
        <v>1292</v>
      </c>
      <c r="J108" s="27" t="s">
        <v>255</v>
      </c>
      <c r="K108" s="27">
        <v>3888</v>
      </c>
      <c r="L108" s="179">
        <v>635</v>
      </c>
      <c r="M108" s="180" t="s">
        <v>1293</v>
      </c>
      <c r="N108" s="181" t="s">
        <v>255</v>
      </c>
      <c r="O108" s="182" t="s">
        <v>1294</v>
      </c>
    </row>
    <row r="109" spans="1:20" ht="12">
      <c r="A109" s="148"/>
      <c r="B109" s="174" t="s">
        <v>1295</v>
      </c>
      <c r="C109" s="175" t="s">
        <v>254</v>
      </c>
      <c r="D109" s="176" t="s">
        <v>255</v>
      </c>
      <c r="E109" s="177" t="s">
        <v>1296</v>
      </c>
      <c r="F109" s="175">
        <f t="shared" si="3"/>
        <v>11</v>
      </c>
      <c r="G109" s="175" t="str">
        <f t="shared" si="4"/>
        <v>Brownwood</v>
      </c>
      <c r="H109" s="175" t="str">
        <f t="shared" si="5"/>
        <v>Brownwood, TX</v>
      </c>
      <c r="I109" s="178" t="s">
        <v>257</v>
      </c>
      <c r="J109" s="27" t="s">
        <v>255</v>
      </c>
      <c r="K109" s="27">
        <v>2451</v>
      </c>
      <c r="L109" s="179">
        <v>2584</v>
      </c>
      <c r="M109" s="180" t="s">
        <v>258</v>
      </c>
      <c r="N109" s="181" t="s">
        <v>255</v>
      </c>
      <c r="O109" s="182" t="s">
        <v>259</v>
      </c>
    </row>
    <row r="110" spans="1:20" ht="12">
      <c r="A110" s="148"/>
      <c r="B110" s="174" t="s">
        <v>1297</v>
      </c>
      <c r="C110" s="175" t="s">
        <v>254</v>
      </c>
      <c r="D110" s="176" t="s">
        <v>255</v>
      </c>
      <c r="E110" s="177" t="s">
        <v>1298</v>
      </c>
      <c r="F110" s="175">
        <f t="shared" si="3"/>
        <v>7</v>
      </c>
      <c r="G110" s="175" t="str">
        <f t="shared" si="4"/>
        <v>Bryan</v>
      </c>
      <c r="H110" s="175" t="str">
        <f t="shared" si="5"/>
        <v>Bryan, TX</v>
      </c>
      <c r="I110" s="178" t="s">
        <v>1561</v>
      </c>
      <c r="J110" s="27" t="s">
        <v>255</v>
      </c>
      <c r="K110" s="27">
        <v>3016</v>
      </c>
      <c r="L110" s="179">
        <v>1688</v>
      </c>
      <c r="M110" s="180" t="s">
        <v>1558</v>
      </c>
      <c r="N110" s="181" t="s">
        <v>255</v>
      </c>
      <c r="O110" s="182" t="s">
        <v>1559</v>
      </c>
    </row>
    <row r="111" spans="1:20" ht="12">
      <c r="A111" s="148"/>
      <c r="B111" s="174" t="s">
        <v>1299</v>
      </c>
      <c r="C111" s="175" t="s">
        <v>1300</v>
      </c>
      <c r="D111" s="176" t="s">
        <v>1301</v>
      </c>
      <c r="E111" s="177" t="s">
        <v>1302</v>
      </c>
      <c r="F111" s="175">
        <f t="shared" si="3"/>
        <v>14</v>
      </c>
      <c r="G111" s="175" t="str">
        <f t="shared" si="4"/>
        <v>Buckeye/Yuma</v>
      </c>
      <c r="H111" s="175" t="str">
        <f t="shared" si="5"/>
        <v>Buckeye/Yuma, AZ</v>
      </c>
      <c r="I111" s="178" t="s">
        <v>1303</v>
      </c>
      <c r="J111" s="27" t="s">
        <v>1301</v>
      </c>
      <c r="K111" s="27">
        <v>4305</v>
      </c>
      <c r="L111" s="179">
        <v>927</v>
      </c>
      <c r="M111" s="178" t="s">
        <v>1304</v>
      </c>
      <c r="N111" s="27" t="s">
        <v>1301</v>
      </c>
      <c r="O111" s="182" t="s">
        <v>1305</v>
      </c>
    </row>
    <row r="112" spans="1:20" ht="12">
      <c r="A112" s="148"/>
      <c r="B112" s="174" t="s">
        <v>1306</v>
      </c>
      <c r="C112" s="175" t="s">
        <v>1606</v>
      </c>
      <c r="D112" s="176" t="s">
        <v>1519</v>
      </c>
      <c r="E112" s="177" t="s">
        <v>1307</v>
      </c>
      <c r="F112" s="175">
        <f t="shared" si="3"/>
        <v>12</v>
      </c>
      <c r="G112" s="175" t="str">
        <f t="shared" si="4"/>
        <v>Buckhannon</v>
      </c>
      <c r="H112" s="175" t="str">
        <f t="shared" si="5"/>
        <v>Buckhannon, WV</v>
      </c>
      <c r="I112" s="178" t="s">
        <v>1308</v>
      </c>
      <c r="J112" s="27" t="s">
        <v>1519</v>
      </c>
      <c r="K112" s="27">
        <v>1031</v>
      </c>
      <c r="L112" s="179">
        <v>4646</v>
      </c>
      <c r="M112" s="180" t="s">
        <v>1520</v>
      </c>
      <c r="N112" s="181" t="s">
        <v>1519</v>
      </c>
      <c r="O112" s="182" t="s">
        <v>1521</v>
      </c>
      <c r="S112" s="27"/>
      <c r="T112" s="27"/>
    </row>
    <row r="113" spans="1:20" ht="12">
      <c r="A113" s="148"/>
      <c r="B113" s="174" t="s">
        <v>1309</v>
      </c>
      <c r="C113" s="175" t="s">
        <v>407</v>
      </c>
      <c r="D113" s="176" t="s">
        <v>408</v>
      </c>
      <c r="E113" s="177" t="s">
        <v>1310</v>
      </c>
      <c r="F113" s="175">
        <f t="shared" si="3"/>
        <v>9</v>
      </c>
      <c r="G113" s="175" t="str">
        <f t="shared" si="4"/>
        <v>Buffalo</v>
      </c>
      <c r="H113" s="175" t="str">
        <f t="shared" si="5"/>
        <v>Buffalo, NY</v>
      </c>
      <c r="I113" s="178" t="s">
        <v>669</v>
      </c>
      <c r="J113" s="27" t="s">
        <v>441</v>
      </c>
      <c r="K113" s="27">
        <v>550</v>
      </c>
      <c r="L113" s="179">
        <v>6279</v>
      </c>
      <c r="M113" s="180" t="s">
        <v>670</v>
      </c>
      <c r="N113" s="181" t="s">
        <v>441</v>
      </c>
      <c r="O113" s="182" t="s">
        <v>671</v>
      </c>
    </row>
    <row r="114" spans="1:20" ht="12">
      <c r="A114" s="148"/>
      <c r="B114" s="174" t="s">
        <v>1311</v>
      </c>
      <c r="C114" s="175" t="s">
        <v>407</v>
      </c>
      <c r="D114" s="176" t="s">
        <v>408</v>
      </c>
      <c r="E114" s="177" t="s">
        <v>1310</v>
      </c>
      <c r="F114" s="175">
        <f t="shared" si="3"/>
        <v>9</v>
      </c>
      <c r="G114" s="175" t="str">
        <f t="shared" si="4"/>
        <v>Buffalo</v>
      </c>
      <c r="H114" s="175" t="str">
        <f t="shared" si="5"/>
        <v>Buffalo, NY</v>
      </c>
      <c r="I114" s="178" t="s">
        <v>1312</v>
      </c>
      <c r="J114" s="27" t="s">
        <v>408</v>
      </c>
      <c r="K114" s="27">
        <v>425</v>
      </c>
      <c r="L114" s="179">
        <v>6734</v>
      </c>
      <c r="M114" s="180" t="s">
        <v>1313</v>
      </c>
      <c r="N114" s="181" t="s">
        <v>408</v>
      </c>
      <c r="O114" s="182" t="s">
        <v>1314</v>
      </c>
    </row>
    <row r="115" spans="1:20" ht="12">
      <c r="A115" s="148"/>
      <c r="B115" s="174" t="s">
        <v>1315</v>
      </c>
      <c r="C115" s="175" t="s">
        <v>407</v>
      </c>
      <c r="D115" s="176" t="s">
        <v>408</v>
      </c>
      <c r="E115" s="177" t="s">
        <v>1310</v>
      </c>
      <c r="F115" s="175">
        <f t="shared" si="3"/>
        <v>9</v>
      </c>
      <c r="G115" s="175" t="str">
        <f t="shared" si="4"/>
        <v>Buffalo</v>
      </c>
      <c r="H115" s="175" t="str">
        <f t="shared" si="5"/>
        <v>Buffalo, NY</v>
      </c>
      <c r="I115" s="178" t="s">
        <v>1316</v>
      </c>
      <c r="J115" s="27" t="s">
        <v>408</v>
      </c>
      <c r="K115" s="27">
        <v>477</v>
      </c>
      <c r="L115" s="179">
        <v>6747</v>
      </c>
      <c r="M115" s="180" t="s">
        <v>1317</v>
      </c>
      <c r="N115" s="181" t="s">
        <v>408</v>
      </c>
      <c r="O115" s="182" t="s">
        <v>1318</v>
      </c>
    </row>
    <row r="116" spans="1:20" ht="12">
      <c r="A116" s="148"/>
      <c r="B116" s="174" t="s">
        <v>1319</v>
      </c>
      <c r="C116" s="175" t="s">
        <v>433</v>
      </c>
      <c r="D116" s="176" t="s">
        <v>434</v>
      </c>
      <c r="E116" s="177" t="s">
        <v>1320</v>
      </c>
      <c r="F116" s="175">
        <f t="shared" si="3"/>
        <v>9</v>
      </c>
      <c r="G116" s="175" t="str">
        <f t="shared" si="4"/>
        <v>Burbank</v>
      </c>
      <c r="H116" s="175" t="str">
        <f t="shared" si="5"/>
        <v>Burbank, CA</v>
      </c>
      <c r="I116" s="178" t="s">
        <v>436</v>
      </c>
      <c r="J116" s="27" t="s">
        <v>434</v>
      </c>
      <c r="K116" s="27">
        <v>1537</v>
      </c>
      <c r="L116" s="179">
        <v>1154</v>
      </c>
      <c r="M116" s="178" t="s">
        <v>437</v>
      </c>
      <c r="N116" s="27" t="s">
        <v>434</v>
      </c>
      <c r="O116" s="182" t="s">
        <v>438</v>
      </c>
    </row>
    <row r="117" spans="1:20" ht="12">
      <c r="A117" s="148"/>
      <c r="B117" s="174" t="s">
        <v>1321</v>
      </c>
      <c r="C117" s="175" t="s">
        <v>1322</v>
      </c>
      <c r="D117" s="176" t="s">
        <v>1323</v>
      </c>
      <c r="E117" s="177" t="s">
        <v>1324</v>
      </c>
      <c r="F117" s="175">
        <f t="shared" si="3"/>
        <v>12</v>
      </c>
      <c r="G117" s="175" t="str">
        <f t="shared" si="4"/>
        <v>Burlington</v>
      </c>
      <c r="H117" s="175" t="str">
        <f t="shared" si="5"/>
        <v>Burlington, IA</v>
      </c>
      <c r="I117" s="178" t="s">
        <v>1325</v>
      </c>
      <c r="J117" s="27" t="s">
        <v>1637</v>
      </c>
      <c r="K117" s="27">
        <v>911</v>
      </c>
      <c r="L117" s="179">
        <v>6474</v>
      </c>
      <c r="M117" s="180" t="s">
        <v>1326</v>
      </c>
      <c r="N117" s="181" t="s">
        <v>1323</v>
      </c>
      <c r="O117" s="182" t="s">
        <v>1327</v>
      </c>
    </row>
    <row r="118" spans="1:20" ht="12">
      <c r="A118" s="148"/>
      <c r="B118" s="186" t="s">
        <v>1328</v>
      </c>
      <c r="C118" s="175" t="s">
        <v>1611</v>
      </c>
      <c r="D118" s="176" t="s">
        <v>1612</v>
      </c>
      <c r="E118" s="177" t="s">
        <v>1324</v>
      </c>
      <c r="F118" s="175">
        <f t="shared" si="3"/>
        <v>12</v>
      </c>
      <c r="G118" s="175" t="str">
        <f t="shared" si="4"/>
        <v>Burlington</v>
      </c>
      <c r="H118" s="175" t="str">
        <f t="shared" si="5"/>
        <v>Burlington, VT</v>
      </c>
      <c r="I118" s="178" t="s">
        <v>1329</v>
      </c>
      <c r="J118" s="27" t="s">
        <v>1612</v>
      </c>
      <c r="K118" s="27">
        <v>388</v>
      </c>
      <c r="L118" s="179">
        <v>7771</v>
      </c>
      <c r="M118" s="180" t="s">
        <v>1330</v>
      </c>
      <c r="N118" s="181" t="s">
        <v>1612</v>
      </c>
      <c r="O118" s="182" t="s">
        <v>1331</v>
      </c>
    </row>
    <row r="119" spans="1:20" ht="12">
      <c r="A119" s="148"/>
      <c r="B119" s="174" t="s">
        <v>1332</v>
      </c>
      <c r="C119" s="175" t="s">
        <v>493</v>
      </c>
      <c r="D119" s="176" t="s">
        <v>494</v>
      </c>
      <c r="E119" s="177" t="s">
        <v>1333</v>
      </c>
      <c r="F119" s="175">
        <f t="shared" si="3"/>
        <v>8</v>
      </c>
      <c r="G119" s="175" t="str">
        <f t="shared" si="4"/>
        <v>Butler</v>
      </c>
      <c r="H119" s="175" t="str">
        <f t="shared" si="5"/>
        <v>Butler, AL</v>
      </c>
      <c r="I119" s="178" t="s">
        <v>1334</v>
      </c>
      <c r="J119" s="27" t="s">
        <v>1335</v>
      </c>
      <c r="K119" s="27">
        <v>2138</v>
      </c>
      <c r="L119" s="179">
        <v>2444</v>
      </c>
      <c r="M119" s="180" t="s">
        <v>1336</v>
      </c>
      <c r="N119" s="181" t="s">
        <v>1335</v>
      </c>
      <c r="O119" s="182" t="s">
        <v>1337</v>
      </c>
    </row>
    <row r="120" spans="1:20" ht="12">
      <c r="A120" s="148"/>
      <c r="B120" s="174" t="s">
        <v>1338</v>
      </c>
      <c r="C120" s="175" t="s">
        <v>440</v>
      </c>
      <c r="D120" s="176" t="s">
        <v>441</v>
      </c>
      <c r="E120" s="177" t="s">
        <v>1333</v>
      </c>
      <c r="F120" s="175">
        <f t="shared" si="3"/>
        <v>8</v>
      </c>
      <c r="G120" s="175" t="str">
        <f t="shared" si="4"/>
        <v>Butler</v>
      </c>
      <c r="H120" s="175" t="str">
        <f t="shared" si="5"/>
        <v>Butler, PA</v>
      </c>
      <c r="I120" s="178" t="s">
        <v>1339</v>
      </c>
      <c r="J120" s="27" t="s">
        <v>386</v>
      </c>
      <c r="K120" s="27">
        <v>497</v>
      </c>
      <c r="L120" s="179">
        <v>6544</v>
      </c>
      <c r="M120" s="180" t="s">
        <v>1340</v>
      </c>
      <c r="N120" s="181" t="s">
        <v>386</v>
      </c>
      <c r="O120" s="182" t="s">
        <v>1341</v>
      </c>
    </row>
    <row r="121" spans="1:20" ht="12">
      <c r="A121" s="148"/>
      <c r="B121" s="174" t="s">
        <v>1342</v>
      </c>
      <c r="C121" s="175" t="s">
        <v>1415</v>
      </c>
      <c r="D121" s="176" t="s">
        <v>1416</v>
      </c>
      <c r="E121" s="177" t="s">
        <v>1343</v>
      </c>
      <c r="F121" s="175">
        <f t="shared" si="3"/>
        <v>7</v>
      </c>
      <c r="G121" s="175" t="str">
        <f t="shared" si="4"/>
        <v>Butte</v>
      </c>
      <c r="H121" s="175" t="str">
        <f t="shared" si="5"/>
        <v>Butte, MT</v>
      </c>
      <c r="I121" s="178" t="s">
        <v>1344</v>
      </c>
      <c r="J121" s="27" t="s">
        <v>1416</v>
      </c>
      <c r="K121" s="27">
        <v>280</v>
      </c>
      <c r="L121" s="179">
        <v>7792</v>
      </c>
      <c r="M121" s="180" t="s">
        <v>1345</v>
      </c>
      <c r="N121" s="181" t="s">
        <v>1416</v>
      </c>
      <c r="O121" s="182" t="s">
        <v>1346</v>
      </c>
    </row>
    <row r="122" spans="1:20" ht="12">
      <c r="A122" s="148"/>
      <c r="B122" s="186" t="s">
        <v>1347</v>
      </c>
      <c r="C122" s="175" t="s">
        <v>2288</v>
      </c>
      <c r="D122" s="176" t="s">
        <v>2289</v>
      </c>
      <c r="E122" s="177" t="s">
        <v>1348</v>
      </c>
      <c r="F122" s="175">
        <f t="shared" si="3"/>
        <v>14</v>
      </c>
      <c r="G122" s="175" t="str">
        <f t="shared" si="4"/>
        <v>Buzzards Bay</v>
      </c>
      <c r="H122" s="175" t="str">
        <f t="shared" si="5"/>
        <v>Buzzards Bay, MA</v>
      </c>
      <c r="I122" s="178" t="s">
        <v>2258</v>
      </c>
      <c r="J122" s="27" t="s">
        <v>2259</v>
      </c>
      <c r="K122" s="27">
        <v>606</v>
      </c>
      <c r="L122" s="179">
        <v>5884</v>
      </c>
      <c r="M122" s="180" t="s">
        <v>2260</v>
      </c>
      <c r="N122" s="181" t="s">
        <v>2259</v>
      </c>
      <c r="O122" s="182" t="s">
        <v>2261</v>
      </c>
      <c r="S122" s="27"/>
      <c r="T122" s="27"/>
    </row>
    <row r="123" spans="1:20" ht="12">
      <c r="A123" s="148"/>
      <c r="B123" s="174" t="s">
        <v>1349</v>
      </c>
      <c r="C123" s="175" t="s">
        <v>1578</v>
      </c>
      <c r="D123" s="176" t="s">
        <v>1579</v>
      </c>
      <c r="E123" s="177" t="s">
        <v>1350</v>
      </c>
      <c r="F123" s="175">
        <f t="shared" si="3"/>
        <v>8</v>
      </c>
      <c r="G123" s="175" t="str">
        <f t="shared" si="4"/>
        <v>Camden</v>
      </c>
      <c r="H123" s="175" t="str">
        <f t="shared" si="5"/>
        <v>Camden, AR</v>
      </c>
      <c r="I123" s="178" t="s">
        <v>1351</v>
      </c>
      <c r="J123" s="27" t="s">
        <v>1579</v>
      </c>
      <c r="K123" s="27">
        <v>2005</v>
      </c>
      <c r="L123" s="179">
        <v>3155</v>
      </c>
      <c r="M123" s="178" t="s">
        <v>1582</v>
      </c>
      <c r="N123" s="27" t="s">
        <v>1579</v>
      </c>
      <c r="O123" s="182" t="s">
        <v>1583</v>
      </c>
      <c r="S123" s="27"/>
      <c r="T123" s="27"/>
    </row>
    <row r="124" spans="1:20" ht="12">
      <c r="A124" s="148"/>
      <c r="B124" s="186" t="s">
        <v>1352</v>
      </c>
      <c r="C124" s="175" t="s">
        <v>1537</v>
      </c>
      <c r="D124" s="176" t="s">
        <v>1538</v>
      </c>
      <c r="E124" s="177" t="s">
        <v>1350</v>
      </c>
      <c r="F124" s="175">
        <f t="shared" si="3"/>
        <v>8</v>
      </c>
      <c r="G124" s="175" t="str">
        <f t="shared" si="4"/>
        <v>Camden</v>
      </c>
      <c r="H124" s="175" t="str">
        <f t="shared" si="5"/>
        <v>Camden, NJ</v>
      </c>
      <c r="I124" s="178" t="s">
        <v>1353</v>
      </c>
      <c r="J124" s="27" t="s">
        <v>441</v>
      </c>
      <c r="K124" s="27">
        <v>1101</v>
      </c>
      <c r="L124" s="179">
        <v>4954</v>
      </c>
      <c r="M124" s="180" t="s">
        <v>1354</v>
      </c>
      <c r="N124" s="181" t="s">
        <v>441</v>
      </c>
      <c r="O124" s="182" t="s">
        <v>1355</v>
      </c>
    </row>
    <row r="125" spans="1:20" ht="12">
      <c r="A125" s="148"/>
      <c r="B125" s="174" t="s">
        <v>1356</v>
      </c>
      <c r="C125" s="175" t="s">
        <v>516</v>
      </c>
      <c r="D125" s="176" t="s">
        <v>517</v>
      </c>
      <c r="E125" s="177" t="s">
        <v>1357</v>
      </c>
      <c r="F125" s="175">
        <f t="shared" si="3"/>
        <v>9</v>
      </c>
      <c r="G125" s="175" t="str">
        <f t="shared" si="4"/>
        <v>Campton</v>
      </c>
      <c r="H125" s="175" t="str">
        <f t="shared" si="5"/>
        <v>Campton, KY</v>
      </c>
      <c r="I125" s="178" t="s">
        <v>1358</v>
      </c>
      <c r="J125" s="27" t="s">
        <v>517</v>
      </c>
      <c r="K125" s="27">
        <v>1033</v>
      </c>
      <c r="L125" s="179">
        <v>4393</v>
      </c>
      <c r="M125" s="180" t="s">
        <v>1515</v>
      </c>
      <c r="N125" s="181" t="s">
        <v>517</v>
      </c>
      <c r="O125" s="182" t="s">
        <v>1516</v>
      </c>
    </row>
    <row r="126" spans="1:20" ht="12">
      <c r="A126" s="148"/>
      <c r="B126" s="174" t="s">
        <v>1359</v>
      </c>
      <c r="C126" s="175" t="s">
        <v>516</v>
      </c>
      <c r="D126" s="176" t="s">
        <v>517</v>
      </c>
      <c r="E126" s="177" t="s">
        <v>1357</v>
      </c>
      <c r="F126" s="175">
        <f t="shared" si="3"/>
        <v>9</v>
      </c>
      <c r="G126" s="175" t="str">
        <f t="shared" si="4"/>
        <v>Campton</v>
      </c>
      <c r="H126" s="175" t="str">
        <f t="shared" si="5"/>
        <v>Campton, KY</v>
      </c>
      <c r="I126" s="178" t="s">
        <v>1514</v>
      </c>
      <c r="J126" s="27" t="s">
        <v>517</v>
      </c>
      <c r="K126" s="27">
        <v>1140</v>
      </c>
      <c r="L126" s="179">
        <v>4783</v>
      </c>
      <c r="M126" s="180" t="s">
        <v>1515</v>
      </c>
      <c r="N126" s="181" t="s">
        <v>517</v>
      </c>
      <c r="O126" s="182" t="s">
        <v>1516</v>
      </c>
    </row>
    <row r="127" spans="1:20" ht="12">
      <c r="A127" s="148"/>
      <c r="B127" s="186" t="s">
        <v>1360</v>
      </c>
      <c r="C127" s="175" t="s">
        <v>1611</v>
      </c>
      <c r="D127" s="176" t="s">
        <v>1612</v>
      </c>
      <c r="E127" s="177" t="s">
        <v>1361</v>
      </c>
      <c r="F127" s="175">
        <f t="shared" si="3"/>
        <v>8</v>
      </c>
      <c r="G127" s="175" t="str">
        <f t="shared" si="4"/>
        <v>Canaan</v>
      </c>
      <c r="H127" s="175" t="str">
        <f t="shared" si="5"/>
        <v>Canaan, VT</v>
      </c>
      <c r="I127" s="178" t="s">
        <v>1329</v>
      </c>
      <c r="J127" s="27" t="s">
        <v>1612</v>
      </c>
      <c r="K127" s="27">
        <v>388</v>
      </c>
      <c r="L127" s="179">
        <v>7771</v>
      </c>
      <c r="M127" s="180" t="s">
        <v>1330</v>
      </c>
      <c r="N127" s="181" t="s">
        <v>1612</v>
      </c>
      <c r="O127" s="182" t="s">
        <v>1331</v>
      </c>
    </row>
    <row r="128" spans="1:20" ht="12">
      <c r="A128" s="148"/>
      <c r="B128" s="174" t="s">
        <v>1362</v>
      </c>
      <c r="C128" s="175" t="s">
        <v>385</v>
      </c>
      <c r="D128" s="176" t="s">
        <v>386</v>
      </c>
      <c r="E128" s="177" t="s">
        <v>1363</v>
      </c>
      <c r="F128" s="175">
        <f t="shared" si="3"/>
        <v>8</v>
      </c>
      <c r="G128" s="175" t="str">
        <f t="shared" si="4"/>
        <v>Canton</v>
      </c>
      <c r="H128" s="175" t="str">
        <f t="shared" si="5"/>
        <v>Canton, OH</v>
      </c>
      <c r="I128" s="178" t="s">
        <v>388</v>
      </c>
      <c r="J128" s="27" t="s">
        <v>386</v>
      </c>
      <c r="K128" s="27">
        <v>625</v>
      </c>
      <c r="L128" s="179">
        <v>6160</v>
      </c>
      <c r="M128" s="180" t="s">
        <v>389</v>
      </c>
      <c r="N128" s="181" t="s">
        <v>386</v>
      </c>
      <c r="O128" s="182" t="s">
        <v>390</v>
      </c>
    </row>
    <row r="129" spans="1:20" ht="12">
      <c r="A129" s="148"/>
      <c r="B129" s="174" t="s">
        <v>1364</v>
      </c>
      <c r="C129" s="175" t="s">
        <v>385</v>
      </c>
      <c r="D129" s="176" t="s">
        <v>386</v>
      </c>
      <c r="E129" s="177" t="s">
        <v>1363</v>
      </c>
      <c r="F129" s="175">
        <f t="shared" si="3"/>
        <v>8</v>
      </c>
      <c r="G129" s="175" t="str">
        <f t="shared" si="4"/>
        <v>Canton</v>
      </c>
      <c r="H129" s="175" t="str">
        <f t="shared" si="5"/>
        <v>Canton, OH</v>
      </c>
      <c r="I129" s="178" t="s">
        <v>388</v>
      </c>
      <c r="J129" s="27" t="s">
        <v>386</v>
      </c>
      <c r="K129" s="27">
        <v>625</v>
      </c>
      <c r="L129" s="179">
        <v>6160</v>
      </c>
      <c r="M129" s="180" t="s">
        <v>389</v>
      </c>
      <c r="N129" s="181" t="s">
        <v>386</v>
      </c>
      <c r="O129" s="182" t="s">
        <v>390</v>
      </c>
    </row>
    <row r="130" spans="1:20" ht="12">
      <c r="A130" s="148"/>
      <c r="B130" s="174" t="s">
        <v>1365</v>
      </c>
      <c r="C130" s="175" t="s">
        <v>1366</v>
      </c>
      <c r="D130" s="176" t="s">
        <v>1367</v>
      </c>
      <c r="E130" s="177" t="s">
        <v>1368</v>
      </c>
      <c r="F130" s="175">
        <f t="shared" si="3"/>
        <v>16</v>
      </c>
      <c r="G130" s="175" t="str">
        <f t="shared" si="4"/>
        <v>Cape Girardeau</v>
      </c>
      <c r="H130" s="175" t="str">
        <f t="shared" si="5"/>
        <v>Cape Girardeau, MO</v>
      </c>
      <c r="I130" s="178" t="s">
        <v>1369</v>
      </c>
      <c r="J130" s="27" t="s">
        <v>1367</v>
      </c>
      <c r="K130" s="27">
        <v>1534</v>
      </c>
      <c r="L130" s="179">
        <v>4758</v>
      </c>
      <c r="M130" s="178" t="s">
        <v>1370</v>
      </c>
      <c r="N130" s="27" t="s">
        <v>1367</v>
      </c>
      <c r="O130" s="182" t="s">
        <v>1371</v>
      </c>
    </row>
    <row r="131" spans="1:20" ht="12">
      <c r="A131" s="148"/>
      <c r="B131" s="174" t="s">
        <v>1372</v>
      </c>
      <c r="C131" s="175" t="s">
        <v>1636</v>
      </c>
      <c r="D131" s="176" t="s">
        <v>1637</v>
      </c>
      <c r="E131" s="177" t="s">
        <v>1373</v>
      </c>
      <c r="F131" s="175">
        <f t="shared" si="3"/>
        <v>12</v>
      </c>
      <c r="G131" s="175" t="str">
        <f t="shared" si="4"/>
        <v>Carbondale</v>
      </c>
      <c r="H131" s="175" t="str">
        <f t="shared" si="5"/>
        <v>Carbondale, IL</v>
      </c>
      <c r="I131" s="178" t="s">
        <v>1374</v>
      </c>
      <c r="J131" s="27" t="s">
        <v>2270</v>
      </c>
      <c r="K131" s="27">
        <v>1376</v>
      </c>
      <c r="L131" s="179">
        <v>4708</v>
      </c>
      <c r="M131" s="178" t="s">
        <v>1375</v>
      </c>
      <c r="N131" s="27" t="s">
        <v>2270</v>
      </c>
      <c r="O131" s="182" t="s">
        <v>1376</v>
      </c>
      <c r="S131" s="27"/>
      <c r="T131" s="27"/>
    </row>
    <row r="132" spans="1:20" ht="12">
      <c r="A132" s="148"/>
      <c r="B132" s="186" t="s">
        <v>1377</v>
      </c>
      <c r="C132" s="175" t="s">
        <v>1544</v>
      </c>
      <c r="D132" s="176" t="s">
        <v>1545</v>
      </c>
      <c r="E132" s="177" t="s">
        <v>1378</v>
      </c>
      <c r="F132" s="175">
        <f t="shared" si="3"/>
        <v>9</v>
      </c>
      <c r="G132" s="175" t="str">
        <f t="shared" si="4"/>
        <v>Caribou</v>
      </c>
      <c r="H132" s="175" t="str">
        <f t="shared" si="5"/>
        <v>Caribou, ME</v>
      </c>
      <c r="I132" s="178" t="s">
        <v>1379</v>
      </c>
      <c r="J132" s="27" t="s">
        <v>1545</v>
      </c>
      <c r="K132" s="27">
        <v>131</v>
      </c>
      <c r="L132" s="179">
        <v>9651</v>
      </c>
      <c r="M132" s="180" t="s">
        <v>1380</v>
      </c>
      <c r="N132" s="181" t="s">
        <v>1545</v>
      </c>
      <c r="O132" s="182" t="s">
        <v>1381</v>
      </c>
    </row>
    <row r="133" spans="1:20" ht="12">
      <c r="A133" s="148"/>
      <c r="B133" s="174" t="s">
        <v>1382</v>
      </c>
      <c r="C133" s="175" t="s">
        <v>415</v>
      </c>
      <c r="D133" s="176" t="s">
        <v>416</v>
      </c>
      <c r="E133" s="177" t="s">
        <v>1383</v>
      </c>
      <c r="F133" s="175">
        <f t="shared" si="3"/>
        <v>11</v>
      </c>
      <c r="G133" s="175" t="str">
        <f t="shared" si="4"/>
        <v>Carrizozo</v>
      </c>
      <c r="H133" s="175" t="str">
        <f t="shared" si="5"/>
        <v>Carrizozo, NM</v>
      </c>
      <c r="I133" s="178" t="s">
        <v>418</v>
      </c>
      <c r="J133" s="27" t="s">
        <v>416</v>
      </c>
      <c r="K133" s="27">
        <v>1244</v>
      </c>
      <c r="L133" s="179">
        <v>4425</v>
      </c>
      <c r="M133" s="180" t="s">
        <v>419</v>
      </c>
      <c r="N133" s="181" t="s">
        <v>416</v>
      </c>
      <c r="O133" s="182" t="s">
        <v>420</v>
      </c>
    </row>
    <row r="134" spans="1:20" ht="12">
      <c r="A134" s="148"/>
      <c r="B134" s="174" t="s">
        <v>1384</v>
      </c>
      <c r="C134" s="175" t="s">
        <v>1322</v>
      </c>
      <c r="D134" s="176" t="s">
        <v>1323</v>
      </c>
      <c r="E134" s="177" t="s">
        <v>1385</v>
      </c>
      <c r="F134" s="175">
        <f t="shared" ref="F134:F197" si="6">LEN(E134)</f>
        <v>9</v>
      </c>
      <c r="G134" s="175" t="str">
        <f t="shared" ref="G134:G197" si="7">MID(E134,2,F134-2)</f>
        <v>Carroll</v>
      </c>
      <c r="H134" s="175" t="str">
        <f t="shared" ref="H134:H197" si="8">CONCATENATE(G134,", ",+D134)</f>
        <v>Carroll, IA</v>
      </c>
      <c r="I134" s="178" t="s">
        <v>1386</v>
      </c>
      <c r="J134" s="27" t="s">
        <v>1323</v>
      </c>
      <c r="K134" s="27">
        <v>907</v>
      </c>
      <c r="L134" s="179">
        <v>6893</v>
      </c>
      <c r="M134" s="178" t="s">
        <v>1387</v>
      </c>
      <c r="N134" s="27" t="s">
        <v>1323</v>
      </c>
      <c r="O134" s="182" t="s">
        <v>1388</v>
      </c>
    </row>
    <row r="135" spans="1:20" ht="12">
      <c r="A135" s="148"/>
      <c r="B135" s="174" t="s">
        <v>1389</v>
      </c>
      <c r="C135" s="175" t="s">
        <v>1390</v>
      </c>
      <c r="D135" s="176" t="s">
        <v>1391</v>
      </c>
      <c r="E135" s="177" t="s">
        <v>1392</v>
      </c>
      <c r="F135" s="175">
        <f t="shared" si="6"/>
        <v>13</v>
      </c>
      <c r="G135" s="175" t="str">
        <f t="shared" si="7"/>
        <v>Carson City</v>
      </c>
      <c r="H135" s="175" t="str">
        <f t="shared" si="8"/>
        <v>Carson City, NV</v>
      </c>
      <c r="I135" s="178" t="s">
        <v>1393</v>
      </c>
      <c r="J135" s="27" t="s">
        <v>1391</v>
      </c>
      <c r="K135" s="27">
        <v>508</v>
      </c>
      <c r="L135" s="179">
        <v>5674</v>
      </c>
      <c r="M135" s="180" t="s">
        <v>1394</v>
      </c>
      <c r="N135" s="181" t="s">
        <v>1391</v>
      </c>
      <c r="O135" s="182" t="s">
        <v>1395</v>
      </c>
    </row>
    <row r="136" spans="1:20" ht="12">
      <c r="A136" s="148"/>
      <c r="B136" s="174" t="s">
        <v>1396</v>
      </c>
      <c r="C136" s="175" t="s">
        <v>1300</v>
      </c>
      <c r="D136" s="176" t="s">
        <v>1301</v>
      </c>
      <c r="E136" s="177" t="s">
        <v>1397</v>
      </c>
      <c r="F136" s="175">
        <f t="shared" si="6"/>
        <v>13</v>
      </c>
      <c r="G136" s="175" t="str">
        <f t="shared" si="7"/>
        <v>Casa Grande</v>
      </c>
      <c r="H136" s="175" t="str">
        <f t="shared" si="8"/>
        <v>Casa Grande, AZ</v>
      </c>
      <c r="I136" s="178" t="s">
        <v>1398</v>
      </c>
      <c r="J136" s="27" t="s">
        <v>1301</v>
      </c>
      <c r="K136" s="27">
        <v>2954</v>
      </c>
      <c r="L136" s="179">
        <v>1678</v>
      </c>
      <c r="M136" s="178" t="s">
        <v>1399</v>
      </c>
      <c r="N136" s="27" t="s">
        <v>1301</v>
      </c>
      <c r="O136" s="182" t="s">
        <v>1400</v>
      </c>
    </row>
    <row r="137" spans="1:20" ht="12">
      <c r="A137" s="148"/>
      <c r="B137" s="174" t="s">
        <v>1401</v>
      </c>
      <c r="C137" s="175" t="s">
        <v>1402</v>
      </c>
      <c r="D137" s="176" t="s">
        <v>1403</v>
      </c>
      <c r="E137" s="177" t="s">
        <v>1404</v>
      </c>
      <c r="F137" s="175">
        <f t="shared" si="6"/>
        <v>8</v>
      </c>
      <c r="G137" s="175" t="str">
        <f t="shared" si="7"/>
        <v>Casper</v>
      </c>
      <c r="H137" s="175" t="str">
        <f t="shared" si="8"/>
        <v>Casper, WY</v>
      </c>
      <c r="I137" s="178" t="s">
        <v>1405</v>
      </c>
      <c r="J137" s="27" t="s">
        <v>1403</v>
      </c>
      <c r="K137" s="27">
        <v>439</v>
      </c>
      <c r="L137" s="179">
        <v>7804</v>
      </c>
      <c r="M137" s="180" t="s">
        <v>1406</v>
      </c>
      <c r="N137" s="181" t="s">
        <v>1403</v>
      </c>
      <c r="O137" s="182" t="s">
        <v>2304</v>
      </c>
    </row>
    <row r="138" spans="1:20" ht="12">
      <c r="A138" s="148"/>
      <c r="B138" s="174" t="s">
        <v>2305</v>
      </c>
      <c r="C138" s="175" t="s">
        <v>1322</v>
      </c>
      <c r="D138" s="176" t="s">
        <v>1323</v>
      </c>
      <c r="E138" s="177" t="s">
        <v>2306</v>
      </c>
      <c r="F138" s="175">
        <f t="shared" si="6"/>
        <v>14</v>
      </c>
      <c r="G138" s="175" t="str">
        <f t="shared" si="7"/>
        <v>Cedar Rapids</v>
      </c>
      <c r="H138" s="175" t="str">
        <f t="shared" si="8"/>
        <v>Cedar Rapids, IA</v>
      </c>
      <c r="I138" s="178" t="s">
        <v>2307</v>
      </c>
      <c r="J138" s="27" t="s">
        <v>1323</v>
      </c>
      <c r="K138" s="27">
        <v>1036</v>
      </c>
      <c r="L138" s="179">
        <v>6497</v>
      </c>
      <c r="M138" s="180" t="s">
        <v>1326</v>
      </c>
      <c r="N138" s="181" t="s">
        <v>1323</v>
      </c>
      <c r="O138" s="182" t="s">
        <v>1327</v>
      </c>
    </row>
    <row r="139" spans="1:20" ht="12">
      <c r="A139" s="148"/>
      <c r="B139" s="174" t="s">
        <v>2308</v>
      </c>
      <c r="C139" s="175" t="s">
        <v>1322</v>
      </c>
      <c r="D139" s="176" t="s">
        <v>1323</v>
      </c>
      <c r="E139" s="177" t="s">
        <v>2306</v>
      </c>
      <c r="F139" s="175">
        <f t="shared" si="6"/>
        <v>14</v>
      </c>
      <c r="G139" s="175" t="str">
        <f t="shared" si="7"/>
        <v>Cedar Rapids</v>
      </c>
      <c r="H139" s="175" t="str">
        <f t="shared" si="8"/>
        <v>Cedar Rapids, IA</v>
      </c>
      <c r="I139" s="178" t="s">
        <v>2307</v>
      </c>
      <c r="J139" s="27" t="s">
        <v>1323</v>
      </c>
      <c r="K139" s="27">
        <v>1036</v>
      </c>
      <c r="L139" s="179">
        <v>6497</v>
      </c>
      <c r="M139" s="180" t="s">
        <v>1326</v>
      </c>
      <c r="N139" s="181" t="s">
        <v>1323</v>
      </c>
      <c r="O139" s="182" t="s">
        <v>1327</v>
      </c>
    </row>
    <row r="140" spans="1:20" ht="12">
      <c r="A140" s="148"/>
      <c r="B140" s="174" t="s">
        <v>2309</v>
      </c>
      <c r="C140" s="175" t="s">
        <v>1322</v>
      </c>
      <c r="D140" s="176" t="s">
        <v>1323</v>
      </c>
      <c r="E140" s="177" t="s">
        <v>2306</v>
      </c>
      <c r="F140" s="175">
        <f t="shared" si="6"/>
        <v>14</v>
      </c>
      <c r="G140" s="175" t="str">
        <f t="shared" si="7"/>
        <v>Cedar Rapids</v>
      </c>
      <c r="H140" s="175" t="str">
        <f t="shared" si="8"/>
        <v>Cedar Rapids, IA</v>
      </c>
      <c r="I140" s="178" t="s">
        <v>2310</v>
      </c>
      <c r="J140" s="27" t="s">
        <v>1323</v>
      </c>
      <c r="K140" s="27">
        <v>702</v>
      </c>
      <c r="L140" s="179">
        <v>7406</v>
      </c>
      <c r="M140" s="180" t="s">
        <v>1326</v>
      </c>
      <c r="N140" s="181" t="s">
        <v>1323</v>
      </c>
      <c r="O140" s="182" t="s">
        <v>1327</v>
      </c>
    </row>
    <row r="141" spans="1:20" ht="12">
      <c r="A141" s="148"/>
      <c r="B141" s="174" t="s">
        <v>2311</v>
      </c>
      <c r="C141" s="175" t="s">
        <v>1636</v>
      </c>
      <c r="D141" s="176" t="s">
        <v>1637</v>
      </c>
      <c r="E141" s="177" t="s">
        <v>2312</v>
      </c>
      <c r="F141" s="175">
        <f t="shared" si="6"/>
        <v>11</v>
      </c>
      <c r="G141" s="175" t="str">
        <f t="shared" si="7"/>
        <v>Centralia</v>
      </c>
      <c r="H141" s="175" t="str">
        <f t="shared" si="8"/>
        <v>Centralia, IL</v>
      </c>
      <c r="I141" s="178" t="s">
        <v>1374</v>
      </c>
      <c r="J141" s="27" t="s">
        <v>2270</v>
      </c>
      <c r="K141" s="27">
        <v>1376</v>
      </c>
      <c r="L141" s="179">
        <v>4708</v>
      </c>
      <c r="M141" s="178" t="s">
        <v>1375</v>
      </c>
      <c r="N141" s="27" t="s">
        <v>2270</v>
      </c>
      <c r="O141" s="182" t="s">
        <v>1376</v>
      </c>
    </row>
    <row r="142" spans="1:20" ht="12">
      <c r="A142" s="148"/>
      <c r="B142" s="174" t="s">
        <v>2313</v>
      </c>
      <c r="C142" s="175" t="s">
        <v>440</v>
      </c>
      <c r="D142" s="176" t="s">
        <v>441</v>
      </c>
      <c r="E142" s="177" t="s">
        <v>2314</v>
      </c>
      <c r="F142" s="175">
        <f t="shared" si="6"/>
        <v>14</v>
      </c>
      <c r="G142" s="175" t="str">
        <f t="shared" si="7"/>
        <v>Chambersburg</v>
      </c>
      <c r="H142" s="175" t="str">
        <f t="shared" si="8"/>
        <v>Chambersburg, PA</v>
      </c>
      <c r="I142" s="178" t="s">
        <v>2315</v>
      </c>
      <c r="J142" s="27" t="s">
        <v>441</v>
      </c>
      <c r="K142" s="27">
        <v>962</v>
      </c>
      <c r="L142" s="179">
        <v>5347</v>
      </c>
      <c r="M142" s="180" t="s">
        <v>2316</v>
      </c>
      <c r="N142" s="181" t="s">
        <v>441</v>
      </c>
      <c r="O142" s="182" t="s">
        <v>2317</v>
      </c>
    </row>
    <row r="143" spans="1:20" ht="12">
      <c r="A143" s="148"/>
      <c r="B143" s="174" t="s">
        <v>2318</v>
      </c>
      <c r="C143" s="175" t="s">
        <v>1636</v>
      </c>
      <c r="D143" s="176" t="s">
        <v>1637</v>
      </c>
      <c r="E143" s="177" t="s">
        <v>2319</v>
      </c>
      <c r="F143" s="175">
        <f t="shared" si="6"/>
        <v>18</v>
      </c>
      <c r="G143" s="175" t="str">
        <f t="shared" si="7"/>
        <v>Champaign/Urbana</v>
      </c>
      <c r="H143" s="175" t="str">
        <f t="shared" si="8"/>
        <v>Champaign/Urbana, IL</v>
      </c>
      <c r="I143" s="178" t="s">
        <v>1639</v>
      </c>
      <c r="J143" s="27" t="s">
        <v>1637</v>
      </c>
      <c r="K143" s="27">
        <v>1141</v>
      </c>
      <c r="L143" s="179">
        <v>5688</v>
      </c>
      <c r="M143" s="178" t="s">
        <v>1640</v>
      </c>
      <c r="N143" s="27" t="s">
        <v>1637</v>
      </c>
      <c r="O143" s="182" t="s">
        <v>2267</v>
      </c>
    </row>
    <row r="144" spans="1:20" ht="12">
      <c r="A144" s="148"/>
      <c r="B144" s="174" t="s">
        <v>2320</v>
      </c>
      <c r="C144" s="175" t="s">
        <v>1636</v>
      </c>
      <c r="D144" s="176" t="s">
        <v>1637</v>
      </c>
      <c r="E144" s="177" t="s">
        <v>2319</v>
      </c>
      <c r="F144" s="175">
        <f t="shared" si="6"/>
        <v>18</v>
      </c>
      <c r="G144" s="175" t="str">
        <f t="shared" si="7"/>
        <v>Champaign/Urbana</v>
      </c>
      <c r="H144" s="175" t="str">
        <f t="shared" si="8"/>
        <v>Champaign/Urbana, IL</v>
      </c>
      <c r="I144" s="178" t="s">
        <v>1639</v>
      </c>
      <c r="J144" s="27" t="s">
        <v>1637</v>
      </c>
      <c r="K144" s="27">
        <v>1141</v>
      </c>
      <c r="L144" s="179">
        <v>5688</v>
      </c>
      <c r="M144" s="178" t="s">
        <v>1640</v>
      </c>
      <c r="N144" s="27" t="s">
        <v>1637</v>
      </c>
      <c r="O144" s="182" t="s">
        <v>2267</v>
      </c>
    </row>
    <row r="145" spans="1:15" ht="12">
      <c r="A145" s="148"/>
      <c r="B145" s="174" t="s">
        <v>2321</v>
      </c>
      <c r="C145" s="175" t="s">
        <v>274</v>
      </c>
      <c r="D145" s="176" t="s">
        <v>275</v>
      </c>
      <c r="E145" s="177" t="s">
        <v>2322</v>
      </c>
      <c r="F145" s="175">
        <f t="shared" si="6"/>
        <v>12</v>
      </c>
      <c r="G145" s="175" t="str">
        <f t="shared" si="7"/>
        <v>Charleston</v>
      </c>
      <c r="H145" s="175" t="str">
        <f t="shared" si="8"/>
        <v>Charleston, SC</v>
      </c>
      <c r="I145" s="178" t="s">
        <v>2323</v>
      </c>
      <c r="J145" s="27" t="s">
        <v>275</v>
      </c>
      <c r="K145" s="27">
        <v>2266</v>
      </c>
      <c r="L145" s="179">
        <v>2013</v>
      </c>
      <c r="M145" s="180" t="s">
        <v>1520</v>
      </c>
      <c r="N145" s="181" t="s">
        <v>275</v>
      </c>
      <c r="O145" s="182" t="s">
        <v>2324</v>
      </c>
    </row>
    <row r="146" spans="1:15" ht="12">
      <c r="A146" s="148"/>
      <c r="B146" s="174" t="s">
        <v>2325</v>
      </c>
      <c r="C146" s="175" t="s">
        <v>1606</v>
      </c>
      <c r="D146" s="176" t="s">
        <v>1519</v>
      </c>
      <c r="E146" s="177" t="s">
        <v>2322</v>
      </c>
      <c r="F146" s="175">
        <f t="shared" si="6"/>
        <v>12</v>
      </c>
      <c r="G146" s="175" t="str">
        <f t="shared" si="7"/>
        <v>Charleston</v>
      </c>
      <c r="H146" s="175" t="str">
        <f t="shared" si="8"/>
        <v>Charleston, WV</v>
      </c>
      <c r="I146" s="178" t="s">
        <v>1308</v>
      </c>
      <c r="J146" s="27" t="s">
        <v>1519</v>
      </c>
      <c r="K146" s="27">
        <v>1031</v>
      </c>
      <c r="L146" s="179">
        <v>4646</v>
      </c>
      <c r="M146" s="180" t="s">
        <v>1520</v>
      </c>
      <c r="N146" s="181" t="s">
        <v>1519</v>
      </c>
      <c r="O146" s="182" t="s">
        <v>1521</v>
      </c>
    </row>
    <row r="147" spans="1:15" ht="12">
      <c r="A147" s="148"/>
      <c r="B147" s="174" t="s">
        <v>2326</v>
      </c>
      <c r="C147" s="175" t="s">
        <v>1606</v>
      </c>
      <c r="D147" s="176" t="s">
        <v>1519</v>
      </c>
      <c r="E147" s="177" t="s">
        <v>2322</v>
      </c>
      <c r="F147" s="175">
        <f t="shared" si="6"/>
        <v>12</v>
      </c>
      <c r="G147" s="175" t="str">
        <f t="shared" si="7"/>
        <v>Charleston</v>
      </c>
      <c r="H147" s="175" t="str">
        <f t="shared" si="8"/>
        <v>Charleston, WV</v>
      </c>
      <c r="I147" s="178" t="s">
        <v>1308</v>
      </c>
      <c r="J147" s="27" t="s">
        <v>1519</v>
      </c>
      <c r="K147" s="27">
        <v>1031</v>
      </c>
      <c r="L147" s="179">
        <v>4646</v>
      </c>
      <c r="M147" s="180" t="s">
        <v>1520</v>
      </c>
      <c r="N147" s="181" t="s">
        <v>1519</v>
      </c>
      <c r="O147" s="182" t="s">
        <v>1521</v>
      </c>
    </row>
    <row r="148" spans="1:15" ht="12">
      <c r="A148" s="148"/>
      <c r="B148" s="174" t="s">
        <v>2327</v>
      </c>
      <c r="C148" s="175" t="s">
        <v>1606</v>
      </c>
      <c r="D148" s="176" t="s">
        <v>1519</v>
      </c>
      <c r="E148" s="177" t="s">
        <v>2322</v>
      </c>
      <c r="F148" s="175">
        <f t="shared" si="6"/>
        <v>12</v>
      </c>
      <c r="G148" s="175" t="str">
        <f t="shared" si="7"/>
        <v>Charleston</v>
      </c>
      <c r="H148" s="175" t="str">
        <f t="shared" si="8"/>
        <v>Charleston, WV</v>
      </c>
      <c r="I148" s="178" t="s">
        <v>1308</v>
      </c>
      <c r="J148" s="27" t="s">
        <v>1519</v>
      </c>
      <c r="K148" s="27">
        <v>1031</v>
      </c>
      <c r="L148" s="179">
        <v>4646</v>
      </c>
      <c r="M148" s="180" t="s">
        <v>1520</v>
      </c>
      <c r="N148" s="181" t="s">
        <v>1519</v>
      </c>
      <c r="O148" s="182" t="s">
        <v>1521</v>
      </c>
    </row>
    <row r="149" spans="1:15" ht="12">
      <c r="A149" s="148"/>
      <c r="B149" s="174" t="s">
        <v>2328</v>
      </c>
      <c r="C149" s="175" t="s">
        <v>1606</v>
      </c>
      <c r="D149" s="176" t="s">
        <v>1519</v>
      </c>
      <c r="E149" s="177" t="s">
        <v>2322</v>
      </c>
      <c r="F149" s="175">
        <f t="shared" si="6"/>
        <v>12</v>
      </c>
      <c r="G149" s="175" t="str">
        <f t="shared" si="7"/>
        <v>Charleston</v>
      </c>
      <c r="H149" s="175" t="str">
        <f t="shared" si="8"/>
        <v>Charleston, WV</v>
      </c>
      <c r="I149" s="178" t="s">
        <v>1308</v>
      </c>
      <c r="J149" s="27" t="s">
        <v>1519</v>
      </c>
      <c r="K149" s="27">
        <v>1031</v>
      </c>
      <c r="L149" s="179">
        <v>4646</v>
      </c>
      <c r="M149" s="180" t="s">
        <v>1520</v>
      </c>
      <c r="N149" s="181" t="s">
        <v>1519</v>
      </c>
      <c r="O149" s="182" t="s">
        <v>1521</v>
      </c>
    </row>
    <row r="150" spans="1:15" ht="12">
      <c r="A150" s="148"/>
      <c r="B150" s="174" t="s">
        <v>2329</v>
      </c>
      <c r="C150" s="175" t="s">
        <v>472</v>
      </c>
      <c r="D150" s="176" t="s">
        <v>473</v>
      </c>
      <c r="E150" s="177" t="s">
        <v>2330</v>
      </c>
      <c r="F150" s="175">
        <f t="shared" si="6"/>
        <v>11</v>
      </c>
      <c r="G150" s="175" t="str">
        <f t="shared" si="7"/>
        <v>Charlotte</v>
      </c>
      <c r="H150" s="175" t="str">
        <f t="shared" si="8"/>
        <v>Charlotte, NC</v>
      </c>
      <c r="I150" s="178" t="s">
        <v>2331</v>
      </c>
      <c r="J150" s="27" t="s">
        <v>275</v>
      </c>
      <c r="K150" s="27">
        <v>1473</v>
      </c>
      <c r="L150" s="179">
        <v>3272</v>
      </c>
      <c r="M150" s="180" t="s">
        <v>2332</v>
      </c>
      <c r="N150" s="181" t="s">
        <v>473</v>
      </c>
      <c r="O150" s="182" t="s">
        <v>2333</v>
      </c>
    </row>
    <row r="151" spans="1:15" ht="12">
      <c r="A151" s="148"/>
      <c r="B151" s="174" t="s">
        <v>2334</v>
      </c>
      <c r="C151" s="175" t="s">
        <v>472</v>
      </c>
      <c r="D151" s="176" t="s">
        <v>473</v>
      </c>
      <c r="E151" s="177" t="s">
        <v>2330</v>
      </c>
      <c r="F151" s="175">
        <f t="shared" si="6"/>
        <v>11</v>
      </c>
      <c r="G151" s="175" t="str">
        <f t="shared" si="7"/>
        <v>Charlotte</v>
      </c>
      <c r="H151" s="175" t="str">
        <f t="shared" si="8"/>
        <v>Charlotte, NC</v>
      </c>
      <c r="I151" s="178" t="s">
        <v>2331</v>
      </c>
      <c r="J151" s="27" t="s">
        <v>275</v>
      </c>
      <c r="K151" s="27">
        <v>1473</v>
      </c>
      <c r="L151" s="179">
        <v>3272</v>
      </c>
      <c r="M151" s="180" t="s">
        <v>2332</v>
      </c>
      <c r="N151" s="181" t="s">
        <v>473</v>
      </c>
      <c r="O151" s="182" t="s">
        <v>2333</v>
      </c>
    </row>
    <row r="152" spans="1:15" ht="12">
      <c r="A152" s="148"/>
      <c r="B152" s="174" t="s">
        <v>2335</v>
      </c>
      <c r="C152" s="175" t="s">
        <v>472</v>
      </c>
      <c r="D152" s="176" t="s">
        <v>473</v>
      </c>
      <c r="E152" s="177" t="s">
        <v>2330</v>
      </c>
      <c r="F152" s="175">
        <f t="shared" si="6"/>
        <v>11</v>
      </c>
      <c r="G152" s="175" t="str">
        <f t="shared" si="7"/>
        <v>Charlotte</v>
      </c>
      <c r="H152" s="175" t="str">
        <f t="shared" si="8"/>
        <v>Charlotte, NC</v>
      </c>
      <c r="I152" s="178" t="s">
        <v>2336</v>
      </c>
      <c r="J152" s="27" t="s">
        <v>473</v>
      </c>
      <c r="K152" s="27">
        <v>1582</v>
      </c>
      <c r="L152" s="179">
        <v>3341</v>
      </c>
      <c r="M152" s="180" t="s">
        <v>2332</v>
      </c>
      <c r="N152" s="181" t="s">
        <v>473</v>
      </c>
      <c r="O152" s="182" t="s">
        <v>2333</v>
      </c>
    </row>
    <row r="153" spans="1:15" ht="12">
      <c r="A153" s="148"/>
      <c r="B153" s="174" t="s">
        <v>2337</v>
      </c>
      <c r="C153" s="175" t="s">
        <v>425</v>
      </c>
      <c r="D153" s="176" t="s">
        <v>426</v>
      </c>
      <c r="E153" s="177" t="s">
        <v>2338</v>
      </c>
      <c r="F153" s="175">
        <f t="shared" si="6"/>
        <v>17</v>
      </c>
      <c r="G153" s="175" t="str">
        <f t="shared" si="7"/>
        <v>Charlottesville</v>
      </c>
      <c r="H153" s="175" t="str">
        <f t="shared" si="8"/>
        <v>Charlottesville, VA</v>
      </c>
      <c r="I153" s="178" t="s">
        <v>2339</v>
      </c>
      <c r="J153" s="27" t="s">
        <v>426</v>
      </c>
      <c r="K153" s="27">
        <v>1348</v>
      </c>
      <c r="L153" s="179">
        <v>3963</v>
      </c>
      <c r="M153" s="180" t="s">
        <v>2340</v>
      </c>
      <c r="N153" s="181" t="s">
        <v>426</v>
      </c>
      <c r="O153" s="182" t="s">
        <v>2341</v>
      </c>
    </row>
    <row r="154" spans="1:15" ht="12">
      <c r="A154" s="148"/>
      <c r="B154" s="174" t="s">
        <v>2342</v>
      </c>
      <c r="C154" s="175" t="s">
        <v>2343</v>
      </c>
      <c r="D154" s="176" t="s">
        <v>476</v>
      </c>
      <c r="E154" s="177" t="s">
        <v>2344</v>
      </c>
      <c r="F154" s="175">
        <f t="shared" si="6"/>
        <v>13</v>
      </c>
      <c r="G154" s="175" t="str">
        <f t="shared" si="7"/>
        <v>Chattanooga</v>
      </c>
      <c r="H154" s="175" t="str">
        <f t="shared" si="8"/>
        <v>Chattanooga, TN</v>
      </c>
      <c r="I154" s="178" t="s">
        <v>2345</v>
      </c>
      <c r="J154" s="27" t="s">
        <v>494</v>
      </c>
      <c r="K154" s="27">
        <v>1651</v>
      </c>
      <c r="L154" s="179">
        <v>3323</v>
      </c>
      <c r="M154" s="180" t="s">
        <v>2346</v>
      </c>
      <c r="N154" s="181" t="s">
        <v>476</v>
      </c>
      <c r="O154" s="182" t="s">
        <v>2347</v>
      </c>
    </row>
    <row r="155" spans="1:15" ht="12">
      <c r="A155" s="148"/>
      <c r="B155" s="174" t="s">
        <v>2348</v>
      </c>
      <c r="C155" s="175" t="s">
        <v>2343</v>
      </c>
      <c r="D155" s="176" t="s">
        <v>476</v>
      </c>
      <c r="E155" s="177" t="s">
        <v>2344</v>
      </c>
      <c r="F155" s="175">
        <f t="shared" si="6"/>
        <v>13</v>
      </c>
      <c r="G155" s="175" t="str">
        <f t="shared" si="7"/>
        <v>Chattanooga</v>
      </c>
      <c r="H155" s="175" t="str">
        <f t="shared" si="8"/>
        <v>Chattanooga, TN</v>
      </c>
      <c r="I155" s="178" t="s">
        <v>2349</v>
      </c>
      <c r="J155" s="27" t="s">
        <v>476</v>
      </c>
      <c r="K155" s="27">
        <v>1544</v>
      </c>
      <c r="L155" s="179">
        <v>3587</v>
      </c>
      <c r="M155" s="180" t="s">
        <v>2346</v>
      </c>
      <c r="N155" s="181" t="s">
        <v>476</v>
      </c>
      <c r="O155" s="182" t="s">
        <v>2347</v>
      </c>
    </row>
    <row r="156" spans="1:15" ht="12">
      <c r="A156" s="148"/>
      <c r="B156" s="186" t="s">
        <v>2350</v>
      </c>
      <c r="C156" s="175" t="s">
        <v>1537</v>
      </c>
      <c r="D156" s="176" t="s">
        <v>1538</v>
      </c>
      <c r="E156" s="177" t="s">
        <v>2351</v>
      </c>
      <c r="F156" s="175">
        <f t="shared" si="6"/>
        <v>13</v>
      </c>
      <c r="G156" s="175" t="str">
        <f t="shared" si="7"/>
        <v>Cherry Hill</v>
      </c>
      <c r="H156" s="175" t="str">
        <f t="shared" si="8"/>
        <v>Cherry Hill, NJ</v>
      </c>
      <c r="I156" s="178" t="s">
        <v>1353</v>
      </c>
      <c r="J156" s="27" t="s">
        <v>441</v>
      </c>
      <c r="K156" s="27">
        <v>1101</v>
      </c>
      <c r="L156" s="179">
        <v>4954</v>
      </c>
      <c r="M156" s="180" t="s">
        <v>1354</v>
      </c>
      <c r="N156" s="181" t="s">
        <v>441</v>
      </c>
      <c r="O156" s="182" t="s">
        <v>1355</v>
      </c>
    </row>
    <row r="157" spans="1:15" ht="12">
      <c r="A157" s="148"/>
      <c r="B157" s="174" t="s">
        <v>2352</v>
      </c>
      <c r="C157" s="175" t="s">
        <v>1402</v>
      </c>
      <c r="D157" s="176" t="s">
        <v>1403</v>
      </c>
      <c r="E157" s="177" t="s">
        <v>2353</v>
      </c>
      <c r="F157" s="175">
        <f t="shared" si="6"/>
        <v>10</v>
      </c>
      <c r="G157" s="175" t="str">
        <f t="shared" si="7"/>
        <v>Cheyenne</v>
      </c>
      <c r="H157" s="175" t="str">
        <f t="shared" si="8"/>
        <v>Cheyenne, WY</v>
      </c>
      <c r="I157" s="178" t="s">
        <v>2354</v>
      </c>
      <c r="J157" s="27" t="s">
        <v>1403</v>
      </c>
      <c r="K157" s="27">
        <v>285</v>
      </c>
      <c r="L157" s="179">
        <v>7326</v>
      </c>
      <c r="M157" s="180" t="s">
        <v>2355</v>
      </c>
      <c r="N157" s="181" t="s">
        <v>1403</v>
      </c>
      <c r="O157" s="182" t="s">
        <v>2356</v>
      </c>
    </row>
    <row r="158" spans="1:15" ht="12">
      <c r="A158" s="148"/>
      <c r="B158" s="174" t="s">
        <v>2357</v>
      </c>
      <c r="C158" s="175" t="s">
        <v>1636</v>
      </c>
      <c r="D158" s="176" t="s">
        <v>1637</v>
      </c>
      <c r="E158" s="177" t="s">
        <v>2358</v>
      </c>
      <c r="F158" s="175">
        <f t="shared" si="6"/>
        <v>9</v>
      </c>
      <c r="G158" s="175" t="str">
        <f t="shared" si="7"/>
        <v>Chicago</v>
      </c>
      <c r="H158" s="175" t="str">
        <f t="shared" si="8"/>
        <v>Chicago, IL</v>
      </c>
      <c r="I158" s="178" t="s">
        <v>2359</v>
      </c>
      <c r="J158" s="27" t="s">
        <v>1637</v>
      </c>
      <c r="K158" s="27">
        <v>752</v>
      </c>
      <c r="L158" s="179">
        <v>6536</v>
      </c>
      <c r="M158" s="178" t="s">
        <v>2360</v>
      </c>
      <c r="N158" s="27" t="s">
        <v>1637</v>
      </c>
      <c r="O158" s="182" t="s">
        <v>2361</v>
      </c>
    </row>
    <row r="159" spans="1:15" ht="12">
      <c r="A159" s="148"/>
      <c r="B159" s="174" t="s">
        <v>2362</v>
      </c>
      <c r="C159" s="175" t="s">
        <v>1636</v>
      </c>
      <c r="D159" s="176" t="s">
        <v>1637</v>
      </c>
      <c r="E159" s="177" t="s">
        <v>2358</v>
      </c>
      <c r="F159" s="175">
        <f t="shared" si="6"/>
        <v>9</v>
      </c>
      <c r="G159" s="175" t="str">
        <f t="shared" si="7"/>
        <v>Chicago</v>
      </c>
      <c r="H159" s="175" t="str">
        <f t="shared" si="8"/>
        <v>Chicago, IL</v>
      </c>
      <c r="I159" s="178" t="s">
        <v>2359</v>
      </c>
      <c r="J159" s="27" t="s">
        <v>1637</v>
      </c>
      <c r="K159" s="27">
        <v>752</v>
      </c>
      <c r="L159" s="179">
        <v>6536</v>
      </c>
      <c r="M159" s="178" t="s">
        <v>2360</v>
      </c>
      <c r="N159" s="27" t="s">
        <v>1637</v>
      </c>
      <c r="O159" s="182" t="s">
        <v>2361</v>
      </c>
    </row>
    <row r="160" spans="1:15" ht="12">
      <c r="A160" s="148"/>
      <c r="B160" s="174" t="s">
        <v>2363</v>
      </c>
      <c r="C160" s="175" t="s">
        <v>254</v>
      </c>
      <c r="D160" s="176" t="s">
        <v>255</v>
      </c>
      <c r="E160" s="177" t="s">
        <v>2364</v>
      </c>
      <c r="F160" s="175">
        <f t="shared" si="6"/>
        <v>11</v>
      </c>
      <c r="G160" s="175" t="str">
        <f t="shared" si="7"/>
        <v>Childress</v>
      </c>
      <c r="H160" s="175" t="str">
        <f t="shared" si="8"/>
        <v>Childress, TX</v>
      </c>
      <c r="I160" s="178" t="s">
        <v>2365</v>
      </c>
      <c r="J160" s="27" t="s">
        <v>255</v>
      </c>
      <c r="K160" s="27">
        <v>1689</v>
      </c>
      <c r="L160" s="179">
        <v>3431</v>
      </c>
      <c r="M160" s="180" t="s">
        <v>2366</v>
      </c>
      <c r="N160" s="181" t="s">
        <v>255</v>
      </c>
      <c r="O160" s="182" t="s">
        <v>2367</v>
      </c>
    </row>
    <row r="161" spans="1:20" ht="12">
      <c r="A161" s="148"/>
      <c r="B161" s="174" t="s">
        <v>2368</v>
      </c>
      <c r="C161" s="175" t="s">
        <v>1366</v>
      </c>
      <c r="D161" s="176" t="s">
        <v>1367</v>
      </c>
      <c r="E161" s="177" t="s">
        <v>2369</v>
      </c>
      <c r="F161" s="175">
        <f t="shared" si="6"/>
        <v>13</v>
      </c>
      <c r="G161" s="175" t="str">
        <f t="shared" si="7"/>
        <v>Chillicothe</v>
      </c>
      <c r="H161" s="175" t="str">
        <f t="shared" si="8"/>
        <v>Chillicothe, MO</v>
      </c>
      <c r="I161" s="178" t="s">
        <v>2370</v>
      </c>
      <c r="J161" s="27" t="s">
        <v>1367</v>
      </c>
      <c r="K161" s="27">
        <v>1288</v>
      </c>
      <c r="L161" s="179">
        <v>5393</v>
      </c>
      <c r="M161" s="180" t="s">
        <v>2371</v>
      </c>
      <c r="N161" s="181" t="s">
        <v>1367</v>
      </c>
      <c r="O161" s="182" t="s">
        <v>2372</v>
      </c>
    </row>
    <row r="162" spans="1:20" ht="12">
      <c r="A162" s="148"/>
      <c r="B162" s="174" t="s">
        <v>2373</v>
      </c>
      <c r="C162" s="175" t="s">
        <v>385</v>
      </c>
      <c r="D162" s="176" t="s">
        <v>386</v>
      </c>
      <c r="E162" s="177" t="s">
        <v>2369</v>
      </c>
      <c r="F162" s="175">
        <f t="shared" si="6"/>
        <v>13</v>
      </c>
      <c r="G162" s="175" t="str">
        <f t="shared" si="7"/>
        <v>Chillicothe</v>
      </c>
      <c r="H162" s="175" t="str">
        <f t="shared" si="8"/>
        <v>Chillicothe, OH</v>
      </c>
      <c r="I162" s="178" t="s">
        <v>2374</v>
      </c>
      <c r="J162" s="27" t="s">
        <v>517</v>
      </c>
      <c r="K162" s="27">
        <v>996</v>
      </c>
      <c r="L162" s="179">
        <v>5248</v>
      </c>
      <c r="M162" s="180" t="s">
        <v>2375</v>
      </c>
      <c r="N162" s="181" t="s">
        <v>386</v>
      </c>
      <c r="O162" s="182" t="s">
        <v>2376</v>
      </c>
    </row>
    <row r="163" spans="1:20" ht="12">
      <c r="A163" s="148"/>
      <c r="B163" s="174" t="s">
        <v>2377</v>
      </c>
      <c r="C163" s="175" t="s">
        <v>385</v>
      </c>
      <c r="D163" s="176" t="s">
        <v>386</v>
      </c>
      <c r="E163" s="177" t="s">
        <v>2378</v>
      </c>
      <c r="F163" s="175">
        <f t="shared" si="6"/>
        <v>12</v>
      </c>
      <c r="G163" s="175" t="str">
        <f t="shared" si="7"/>
        <v>Cincinnati</v>
      </c>
      <c r="H163" s="175" t="str">
        <f t="shared" si="8"/>
        <v>Cincinnati, OH</v>
      </c>
      <c r="I163" s="178" t="s">
        <v>2374</v>
      </c>
      <c r="J163" s="27" t="s">
        <v>517</v>
      </c>
      <c r="K163" s="27">
        <v>996</v>
      </c>
      <c r="L163" s="179">
        <v>5248</v>
      </c>
      <c r="M163" s="180" t="s">
        <v>2375</v>
      </c>
      <c r="N163" s="181" t="s">
        <v>386</v>
      </c>
      <c r="O163" s="182" t="s">
        <v>2376</v>
      </c>
    </row>
    <row r="164" spans="1:20" ht="12">
      <c r="A164" s="148"/>
      <c r="B164" s="174" t="s">
        <v>2379</v>
      </c>
      <c r="C164" s="175" t="s">
        <v>385</v>
      </c>
      <c r="D164" s="176" t="s">
        <v>386</v>
      </c>
      <c r="E164" s="177" t="s">
        <v>2378</v>
      </c>
      <c r="F164" s="175">
        <f t="shared" si="6"/>
        <v>12</v>
      </c>
      <c r="G164" s="175" t="str">
        <f t="shared" si="7"/>
        <v>Cincinnati</v>
      </c>
      <c r="H164" s="175" t="str">
        <f t="shared" si="8"/>
        <v>Cincinnati, OH</v>
      </c>
      <c r="I164" s="178" t="s">
        <v>2374</v>
      </c>
      <c r="J164" s="27" t="s">
        <v>517</v>
      </c>
      <c r="K164" s="27">
        <v>996</v>
      </c>
      <c r="L164" s="179">
        <v>5248</v>
      </c>
      <c r="M164" s="180" t="s">
        <v>2375</v>
      </c>
      <c r="N164" s="181" t="s">
        <v>386</v>
      </c>
      <c r="O164" s="182" t="s">
        <v>2376</v>
      </c>
    </row>
    <row r="165" spans="1:20" ht="12">
      <c r="A165" s="148"/>
      <c r="B165" s="174" t="s">
        <v>2380</v>
      </c>
      <c r="C165" s="175" t="s">
        <v>385</v>
      </c>
      <c r="D165" s="176" t="s">
        <v>386</v>
      </c>
      <c r="E165" s="177" t="s">
        <v>2378</v>
      </c>
      <c r="F165" s="175">
        <f t="shared" si="6"/>
        <v>12</v>
      </c>
      <c r="G165" s="175" t="str">
        <f t="shared" si="7"/>
        <v>Cincinnati</v>
      </c>
      <c r="H165" s="175" t="str">
        <f t="shared" si="8"/>
        <v>Cincinnati, OH</v>
      </c>
      <c r="I165" s="178" t="s">
        <v>2374</v>
      </c>
      <c r="J165" s="27" t="s">
        <v>517</v>
      </c>
      <c r="K165" s="27">
        <v>996</v>
      </c>
      <c r="L165" s="179">
        <v>5248</v>
      </c>
      <c r="M165" s="180" t="s">
        <v>2375</v>
      </c>
      <c r="N165" s="181" t="s">
        <v>386</v>
      </c>
      <c r="O165" s="182" t="s">
        <v>2376</v>
      </c>
    </row>
    <row r="166" spans="1:20" ht="12">
      <c r="A166" s="148"/>
      <c r="B166" s="186" t="s">
        <v>2381</v>
      </c>
      <c r="C166" s="175" t="s">
        <v>262</v>
      </c>
      <c r="D166" s="176" t="s">
        <v>263</v>
      </c>
      <c r="E166" s="177" t="s">
        <v>2382</v>
      </c>
      <c r="F166" s="175">
        <f t="shared" si="6"/>
        <v>11</v>
      </c>
      <c r="G166" s="175" t="str">
        <f t="shared" si="7"/>
        <v>Claremont</v>
      </c>
      <c r="H166" s="175" t="str">
        <f t="shared" si="8"/>
        <v>Claremont, NH</v>
      </c>
      <c r="I166" s="178" t="s">
        <v>1329</v>
      </c>
      <c r="J166" s="27" t="s">
        <v>1612</v>
      </c>
      <c r="K166" s="27">
        <v>388</v>
      </c>
      <c r="L166" s="179">
        <v>7771</v>
      </c>
      <c r="M166" s="180" t="s">
        <v>1330</v>
      </c>
      <c r="N166" s="181" t="s">
        <v>1612</v>
      </c>
      <c r="O166" s="182" t="s">
        <v>1331</v>
      </c>
    </row>
    <row r="167" spans="1:20" ht="12">
      <c r="A167" s="148"/>
      <c r="B167" s="174" t="s">
        <v>2383</v>
      </c>
      <c r="C167" s="175" t="s">
        <v>1606</v>
      </c>
      <c r="D167" s="176" t="s">
        <v>1519</v>
      </c>
      <c r="E167" s="177" t="s">
        <v>2384</v>
      </c>
      <c r="F167" s="175">
        <f t="shared" si="6"/>
        <v>12</v>
      </c>
      <c r="G167" s="175" t="str">
        <f t="shared" si="7"/>
        <v>Clarksburg</v>
      </c>
      <c r="H167" s="175" t="str">
        <f t="shared" si="8"/>
        <v>Clarksburg, WV</v>
      </c>
      <c r="I167" s="178" t="s">
        <v>2385</v>
      </c>
      <c r="J167" s="27" t="s">
        <v>1519</v>
      </c>
      <c r="K167" s="27">
        <v>346</v>
      </c>
      <c r="L167" s="179">
        <v>6120</v>
      </c>
      <c r="M167" s="180" t="s">
        <v>2386</v>
      </c>
      <c r="N167" s="181" t="s">
        <v>1519</v>
      </c>
      <c r="O167" s="182" t="s">
        <v>581</v>
      </c>
      <c r="S167" s="27"/>
      <c r="T167" s="27"/>
    </row>
    <row r="168" spans="1:20" ht="12">
      <c r="A168" s="148"/>
      <c r="B168" s="174" t="s">
        <v>582</v>
      </c>
      <c r="C168" s="175" t="s">
        <v>1606</v>
      </c>
      <c r="D168" s="176" t="s">
        <v>1519</v>
      </c>
      <c r="E168" s="177" t="s">
        <v>2384</v>
      </c>
      <c r="F168" s="175">
        <f t="shared" si="6"/>
        <v>12</v>
      </c>
      <c r="G168" s="175" t="str">
        <f t="shared" si="7"/>
        <v>Clarksburg</v>
      </c>
      <c r="H168" s="175" t="str">
        <f t="shared" si="8"/>
        <v>Clarksburg, WV</v>
      </c>
      <c r="I168" s="178" t="s">
        <v>2385</v>
      </c>
      <c r="J168" s="27" t="s">
        <v>1519</v>
      </c>
      <c r="K168" s="27">
        <v>346</v>
      </c>
      <c r="L168" s="179">
        <v>6120</v>
      </c>
      <c r="M168" s="180" t="s">
        <v>2386</v>
      </c>
      <c r="N168" s="181" t="s">
        <v>1519</v>
      </c>
      <c r="O168" s="182" t="s">
        <v>581</v>
      </c>
    </row>
    <row r="169" spans="1:20" ht="12">
      <c r="A169" s="148"/>
      <c r="B169" s="174" t="s">
        <v>583</v>
      </c>
      <c r="C169" s="175" t="s">
        <v>584</v>
      </c>
      <c r="D169" s="176" t="s">
        <v>1627</v>
      </c>
      <c r="E169" s="177" t="s">
        <v>585</v>
      </c>
      <c r="F169" s="175">
        <f t="shared" si="6"/>
        <v>11</v>
      </c>
      <c r="G169" s="175" t="str">
        <f t="shared" si="7"/>
        <v>Clarkston</v>
      </c>
      <c r="H169" s="175" t="str">
        <f t="shared" si="8"/>
        <v>Clarkston, WA</v>
      </c>
      <c r="I169" s="178" t="s">
        <v>586</v>
      </c>
      <c r="J169" s="27" t="s">
        <v>1623</v>
      </c>
      <c r="K169" s="27">
        <v>701</v>
      </c>
      <c r="L169" s="179">
        <v>5294</v>
      </c>
      <c r="M169" s="180" t="s">
        <v>1626</v>
      </c>
      <c r="N169" s="181" t="s">
        <v>1627</v>
      </c>
      <c r="O169" s="182" t="s">
        <v>1628</v>
      </c>
    </row>
    <row r="170" spans="1:20" ht="12">
      <c r="A170" s="148"/>
      <c r="B170" s="174" t="s">
        <v>587</v>
      </c>
      <c r="C170" s="175" t="s">
        <v>661</v>
      </c>
      <c r="D170" s="176" t="s">
        <v>662</v>
      </c>
      <c r="E170" s="177" t="s">
        <v>588</v>
      </c>
      <c r="F170" s="175">
        <f t="shared" si="6"/>
        <v>12</v>
      </c>
      <c r="G170" s="175" t="str">
        <f t="shared" si="7"/>
        <v>Clearwater</v>
      </c>
      <c r="H170" s="175" t="str">
        <f t="shared" si="8"/>
        <v>Clearwater, FL</v>
      </c>
      <c r="I170" s="178" t="s">
        <v>664</v>
      </c>
      <c r="J170" s="27" t="s">
        <v>662</v>
      </c>
      <c r="K170" s="27">
        <v>3427</v>
      </c>
      <c r="L170" s="179">
        <v>725</v>
      </c>
      <c r="M170" s="178" t="s">
        <v>665</v>
      </c>
      <c r="N170" s="27" t="s">
        <v>662</v>
      </c>
      <c r="O170" s="182" t="s">
        <v>666</v>
      </c>
    </row>
    <row r="171" spans="1:20" ht="12">
      <c r="A171" s="148"/>
      <c r="B171" s="174" t="s">
        <v>589</v>
      </c>
      <c r="C171" s="175" t="s">
        <v>385</v>
      </c>
      <c r="D171" s="176" t="s">
        <v>386</v>
      </c>
      <c r="E171" s="177" t="s">
        <v>590</v>
      </c>
      <c r="F171" s="175">
        <f t="shared" si="6"/>
        <v>11</v>
      </c>
      <c r="G171" s="175" t="str">
        <f t="shared" si="7"/>
        <v>Cleveland</v>
      </c>
      <c r="H171" s="175" t="str">
        <f t="shared" si="8"/>
        <v>Cleveland, OH</v>
      </c>
      <c r="I171" s="178" t="s">
        <v>591</v>
      </c>
      <c r="J171" s="27" t="s">
        <v>386</v>
      </c>
      <c r="K171" s="27">
        <v>621</v>
      </c>
      <c r="L171" s="179">
        <v>6201</v>
      </c>
      <c r="M171" s="178" t="s">
        <v>592</v>
      </c>
      <c r="N171" s="27" t="s">
        <v>386</v>
      </c>
      <c r="O171" s="182" t="s">
        <v>593</v>
      </c>
    </row>
    <row r="172" spans="1:20" ht="12">
      <c r="A172" s="148"/>
      <c r="B172" s="174" t="s">
        <v>594</v>
      </c>
      <c r="C172" s="175" t="s">
        <v>385</v>
      </c>
      <c r="D172" s="176" t="s">
        <v>386</v>
      </c>
      <c r="E172" s="177" t="s">
        <v>590</v>
      </c>
      <c r="F172" s="175">
        <f t="shared" si="6"/>
        <v>11</v>
      </c>
      <c r="G172" s="175" t="str">
        <f t="shared" si="7"/>
        <v>Cleveland</v>
      </c>
      <c r="H172" s="175" t="str">
        <f t="shared" si="8"/>
        <v>Cleveland, OH</v>
      </c>
      <c r="I172" s="178" t="s">
        <v>591</v>
      </c>
      <c r="J172" s="27" t="s">
        <v>386</v>
      </c>
      <c r="K172" s="27">
        <v>621</v>
      </c>
      <c r="L172" s="179">
        <v>6201</v>
      </c>
      <c r="M172" s="178" t="s">
        <v>592</v>
      </c>
      <c r="N172" s="27" t="s">
        <v>386</v>
      </c>
      <c r="O172" s="182" t="s">
        <v>593</v>
      </c>
    </row>
    <row r="173" spans="1:20" ht="12">
      <c r="A173" s="148"/>
      <c r="B173" s="174" t="s">
        <v>595</v>
      </c>
      <c r="C173" s="175" t="s">
        <v>500</v>
      </c>
      <c r="D173" s="176" t="s">
        <v>501</v>
      </c>
      <c r="E173" s="177" t="s">
        <v>596</v>
      </c>
      <c r="F173" s="175">
        <f t="shared" si="6"/>
        <v>9</v>
      </c>
      <c r="G173" s="175" t="str">
        <f t="shared" si="7"/>
        <v>Clinton</v>
      </c>
      <c r="H173" s="175" t="str">
        <f t="shared" si="8"/>
        <v>Clinton, OK</v>
      </c>
      <c r="I173" s="178" t="s">
        <v>597</v>
      </c>
      <c r="J173" s="27" t="s">
        <v>501</v>
      </c>
      <c r="K173" s="27">
        <v>1859</v>
      </c>
      <c r="L173" s="179">
        <v>3659</v>
      </c>
      <c r="M173" s="180" t="s">
        <v>689</v>
      </c>
      <c r="N173" s="181" t="s">
        <v>501</v>
      </c>
      <c r="O173" s="182" t="s">
        <v>690</v>
      </c>
    </row>
    <row r="174" spans="1:20" ht="12">
      <c r="A174" s="148"/>
      <c r="B174" s="174" t="s">
        <v>691</v>
      </c>
      <c r="C174" s="175" t="s">
        <v>415</v>
      </c>
      <c r="D174" s="176" t="s">
        <v>416</v>
      </c>
      <c r="E174" s="177" t="s">
        <v>692</v>
      </c>
      <c r="F174" s="175">
        <f t="shared" si="6"/>
        <v>8</v>
      </c>
      <c r="G174" s="175" t="str">
        <f t="shared" si="7"/>
        <v>Clovis</v>
      </c>
      <c r="H174" s="175" t="str">
        <f t="shared" si="8"/>
        <v>Clovis, NM</v>
      </c>
      <c r="I174" s="178" t="s">
        <v>693</v>
      </c>
      <c r="J174" s="27" t="s">
        <v>416</v>
      </c>
      <c r="K174" s="27">
        <v>772</v>
      </c>
      <c r="L174" s="179">
        <v>5064</v>
      </c>
      <c r="M174" s="180" t="s">
        <v>271</v>
      </c>
      <c r="N174" s="181" t="s">
        <v>255</v>
      </c>
      <c r="O174" s="182" t="s">
        <v>272</v>
      </c>
    </row>
    <row r="175" spans="1:20" ht="12">
      <c r="A175" s="148"/>
      <c r="B175" s="174" t="s">
        <v>694</v>
      </c>
      <c r="C175" s="175" t="s">
        <v>2280</v>
      </c>
      <c r="D175" s="176" t="s">
        <v>2281</v>
      </c>
      <c r="E175" s="177" t="s">
        <v>695</v>
      </c>
      <c r="F175" s="175">
        <f t="shared" si="6"/>
        <v>15</v>
      </c>
      <c r="G175" s="175" t="str">
        <f t="shared" si="7"/>
        <v>Coeur D'Alene</v>
      </c>
      <c r="H175" s="175" t="str">
        <f t="shared" si="8"/>
        <v>Coeur D'Alene, ID</v>
      </c>
      <c r="I175" s="178" t="s">
        <v>1491</v>
      </c>
      <c r="J175" s="27" t="s">
        <v>1627</v>
      </c>
      <c r="K175" s="27">
        <v>398</v>
      </c>
      <c r="L175" s="179">
        <v>6842</v>
      </c>
      <c r="M175" s="180" t="s">
        <v>1492</v>
      </c>
      <c r="N175" s="181" t="s">
        <v>1627</v>
      </c>
      <c r="O175" s="182" t="s">
        <v>1493</v>
      </c>
    </row>
    <row r="176" spans="1:20" ht="12">
      <c r="A176" s="148"/>
      <c r="B176" s="174" t="s">
        <v>1494</v>
      </c>
      <c r="C176" s="175" t="s">
        <v>1495</v>
      </c>
      <c r="D176" s="176" t="s">
        <v>1496</v>
      </c>
      <c r="E176" s="177" t="s">
        <v>1497</v>
      </c>
      <c r="F176" s="175">
        <f t="shared" si="6"/>
        <v>7</v>
      </c>
      <c r="G176" s="175" t="str">
        <f t="shared" si="7"/>
        <v>Colby</v>
      </c>
      <c r="H176" s="175" t="str">
        <f t="shared" si="8"/>
        <v>Colby, KS</v>
      </c>
      <c r="I176" s="178" t="s">
        <v>1498</v>
      </c>
      <c r="J176" s="27" t="s">
        <v>1496</v>
      </c>
      <c r="K176" s="27">
        <v>859</v>
      </c>
      <c r="L176" s="179">
        <v>5974</v>
      </c>
      <c r="M176" s="180" t="s">
        <v>1499</v>
      </c>
      <c r="N176" s="181" t="s">
        <v>1496</v>
      </c>
      <c r="O176" s="182" t="s">
        <v>1500</v>
      </c>
    </row>
    <row r="177" spans="1:15" ht="12">
      <c r="A177" s="148"/>
      <c r="B177" s="174" t="s">
        <v>1501</v>
      </c>
      <c r="C177" s="175" t="s">
        <v>393</v>
      </c>
      <c r="D177" s="176" t="s">
        <v>394</v>
      </c>
      <c r="E177" s="177" t="s">
        <v>1502</v>
      </c>
      <c r="F177" s="175">
        <f t="shared" si="6"/>
        <v>18</v>
      </c>
      <c r="G177" s="175" t="str">
        <f t="shared" si="7"/>
        <v>Colorado Springs</v>
      </c>
      <c r="H177" s="175" t="str">
        <f t="shared" si="8"/>
        <v>Colorado Springs, CO</v>
      </c>
      <c r="I177" s="178" t="s">
        <v>1503</v>
      </c>
      <c r="J177" s="27" t="s">
        <v>394</v>
      </c>
      <c r="K177" s="27">
        <v>419</v>
      </c>
      <c r="L177" s="179">
        <v>6415</v>
      </c>
      <c r="M177" s="178" t="s">
        <v>397</v>
      </c>
      <c r="N177" s="27" t="s">
        <v>394</v>
      </c>
      <c r="O177" s="182" t="s">
        <v>398</v>
      </c>
    </row>
    <row r="178" spans="1:15" ht="12">
      <c r="A178" s="148"/>
      <c r="B178" s="174" t="s">
        <v>1504</v>
      </c>
      <c r="C178" s="175" t="s">
        <v>393</v>
      </c>
      <c r="D178" s="176" t="s">
        <v>394</v>
      </c>
      <c r="E178" s="177" t="s">
        <v>1502</v>
      </c>
      <c r="F178" s="175">
        <f t="shared" si="6"/>
        <v>18</v>
      </c>
      <c r="G178" s="175" t="str">
        <f t="shared" si="7"/>
        <v>Colorado Springs</v>
      </c>
      <c r="H178" s="175" t="str">
        <f t="shared" si="8"/>
        <v>Colorado Springs, CO</v>
      </c>
      <c r="I178" s="178" t="s">
        <v>1503</v>
      </c>
      <c r="J178" s="27" t="s">
        <v>394</v>
      </c>
      <c r="K178" s="27">
        <v>419</v>
      </c>
      <c r="L178" s="179">
        <v>6415</v>
      </c>
      <c r="M178" s="178" t="s">
        <v>397</v>
      </c>
      <c r="N178" s="27" t="s">
        <v>394</v>
      </c>
      <c r="O178" s="182" t="s">
        <v>398</v>
      </c>
    </row>
    <row r="179" spans="1:15" ht="12">
      <c r="A179" s="148"/>
      <c r="B179" s="174" t="s">
        <v>1505</v>
      </c>
      <c r="C179" s="175" t="s">
        <v>1366</v>
      </c>
      <c r="D179" s="176" t="s">
        <v>1367</v>
      </c>
      <c r="E179" s="177" t="s">
        <v>1506</v>
      </c>
      <c r="F179" s="175">
        <f t="shared" si="6"/>
        <v>10</v>
      </c>
      <c r="G179" s="175" t="str">
        <f t="shared" si="7"/>
        <v>Columbia</v>
      </c>
      <c r="H179" s="175" t="str">
        <f t="shared" si="8"/>
        <v>Columbia, MO</v>
      </c>
      <c r="I179" s="178" t="s">
        <v>1507</v>
      </c>
      <c r="J179" s="27" t="s">
        <v>1367</v>
      </c>
      <c r="K179" s="27">
        <v>1189</v>
      </c>
      <c r="L179" s="179">
        <v>5212</v>
      </c>
      <c r="M179" s="178" t="s">
        <v>1370</v>
      </c>
      <c r="N179" s="27" t="s">
        <v>1367</v>
      </c>
      <c r="O179" s="182" t="s">
        <v>1371</v>
      </c>
    </row>
    <row r="180" spans="1:15" ht="12">
      <c r="A180" s="148"/>
      <c r="B180" s="174" t="s">
        <v>1508</v>
      </c>
      <c r="C180" s="175" t="s">
        <v>274</v>
      </c>
      <c r="D180" s="176" t="s">
        <v>275</v>
      </c>
      <c r="E180" s="177" t="s">
        <v>1506</v>
      </c>
      <c r="F180" s="175">
        <f t="shared" si="6"/>
        <v>10</v>
      </c>
      <c r="G180" s="175" t="str">
        <f t="shared" si="7"/>
        <v>Columbia</v>
      </c>
      <c r="H180" s="175" t="str">
        <f t="shared" si="8"/>
        <v>Columbia, SC</v>
      </c>
      <c r="I180" s="178" t="s">
        <v>277</v>
      </c>
      <c r="J180" s="27" t="s">
        <v>275</v>
      </c>
      <c r="K180" s="27">
        <v>1966</v>
      </c>
      <c r="L180" s="179">
        <v>2649</v>
      </c>
      <c r="M180" s="178" t="s">
        <v>278</v>
      </c>
      <c r="N180" s="27" t="s">
        <v>275</v>
      </c>
      <c r="O180" s="182" t="s">
        <v>279</v>
      </c>
    </row>
    <row r="181" spans="1:15" ht="12">
      <c r="A181" s="148"/>
      <c r="B181" s="174" t="s">
        <v>1509</v>
      </c>
      <c r="C181" s="175" t="s">
        <v>274</v>
      </c>
      <c r="D181" s="176" t="s">
        <v>275</v>
      </c>
      <c r="E181" s="177" t="s">
        <v>1506</v>
      </c>
      <c r="F181" s="175">
        <f t="shared" si="6"/>
        <v>10</v>
      </c>
      <c r="G181" s="175" t="str">
        <f t="shared" si="7"/>
        <v>Columbia</v>
      </c>
      <c r="H181" s="175" t="str">
        <f t="shared" si="8"/>
        <v>Columbia, SC</v>
      </c>
      <c r="I181" s="178" t="s">
        <v>277</v>
      </c>
      <c r="J181" s="27" t="s">
        <v>275</v>
      </c>
      <c r="K181" s="27">
        <v>1966</v>
      </c>
      <c r="L181" s="179">
        <v>2649</v>
      </c>
      <c r="M181" s="178" t="s">
        <v>278</v>
      </c>
      <c r="N181" s="27" t="s">
        <v>275</v>
      </c>
      <c r="O181" s="182" t="s">
        <v>279</v>
      </c>
    </row>
    <row r="182" spans="1:15" ht="12">
      <c r="A182" s="148"/>
      <c r="B182" s="174" t="s">
        <v>1510</v>
      </c>
      <c r="C182" s="175" t="s">
        <v>274</v>
      </c>
      <c r="D182" s="176" t="s">
        <v>275</v>
      </c>
      <c r="E182" s="177" t="s">
        <v>1506</v>
      </c>
      <c r="F182" s="175">
        <f t="shared" si="6"/>
        <v>10</v>
      </c>
      <c r="G182" s="175" t="str">
        <f t="shared" si="7"/>
        <v>Columbia</v>
      </c>
      <c r="H182" s="175" t="str">
        <f t="shared" si="8"/>
        <v>Columbia, SC</v>
      </c>
      <c r="I182" s="178" t="s">
        <v>277</v>
      </c>
      <c r="J182" s="27" t="s">
        <v>275</v>
      </c>
      <c r="K182" s="27">
        <v>1966</v>
      </c>
      <c r="L182" s="179">
        <v>2649</v>
      </c>
      <c r="M182" s="178" t="s">
        <v>278</v>
      </c>
      <c r="N182" s="27" t="s">
        <v>275</v>
      </c>
      <c r="O182" s="182" t="s">
        <v>279</v>
      </c>
    </row>
    <row r="183" spans="1:15" ht="12">
      <c r="A183" s="148"/>
      <c r="B183" s="174" t="s">
        <v>1511</v>
      </c>
      <c r="C183" s="175" t="s">
        <v>2343</v>
      </c>
      <c r="D183" s="176" t="s">
        <v>476</v>
      </c>
      <c r="E183" s="177" t="s">
        <v>1506</v>
      </c>
      <c r="F183" s="175">
        <f t="shared" si="6"/>
        <v>10</v>
      </c>
      <c r="G183" s="175" t="str">
        <f t="shared" si="7"/>
        <v>Columbia</v>
      </c>
      <c r="H183" s="175" t="str">
        <f t="shared" si="8"/>
        <v>Columbia, TN</v>
      </c>
      <c r="I183" s="178" t="s">
        <v>1512</v>
      </c>
      <c r="J183" s="27" t="s">
        <v>476</v>
      </c>
      <c r="K183" s="27">
        <v>1616</v>
      </c>
      <c r="L183" s="179">
        <v>3729</v>
      </c>
      <c r="M183" s="180" t="s">
        <v>1513</v>
      </c>
      <c r="N183" s="181" t="s">
        <v>476</v>
      </c>
      <c r="O183" s="182" t="s">
        <v>614</v>
      </c>
    </row>
    <row r="184" spans="1:15" ht="12">
      <c r="A184" s="148"/>
      <c r="B184" s="174" t="s">
        <v>615</v>
      </c>
      <c r="C184" s="175" t="s">
        <v>400</v>
      </c>
      <c r="D184" s="176" t="s">
        <v>401</v>
      </c>
      <c r="E184" s="177" t="s">
        <v>616</v>
      </c>
      <c r="F184" s="175">
        <f t="shared" si="6"/>
        <v>10</v>
      </c>
      <c r="G184" s="175" t="str">
        <f t="shared" si="7"/>
        <v>Columbus</v>
      </c>
      <c r="H184" s="175" t="str">
        <f t="shared" si="8"/>
        <v>Columbus, GA</v>
      </c>
      <c r="I184" s="178" t="s">
        <v>617</v>
      </c>
      <c r="J184" s="27" t="s">
        <v>401</v>
      </c>
      <c r="K184" s="27">
        <v>2125</v>
      </c>
      <c r="L184" s="179">
        <v>2334</v>
      </c>
      <c r="M184" s="180" t="s">
        <v>404</v>
      </c>
      <c r="N184" s="181" t="s">
        <v>401</v>
      </c>
      <c r="O184" s="182" t="s">
        <v>405</v>
      </c>
    </row>
    <row r="185" spans="1:15" ht="12">
      <c r="A185" s="148"/>
      <c r="B185" s="174" t="s">
        <v>618</v>
      </c>
      <c r="C185" s="175" t="s">
        <v>400</v>
      </c>
      <c r="D185" s="176" t="s">
        <v>401</v>
      </c>
      <c r="E185" s="177" t="s">
        <v>616</v>
      </c>
      <c r="F185" s="175">
        <f t="shared" si="6"/>
        <v>10</v>
      </c>
      <c r="G185" s="175" t="str">
        <f t="shared" si="7"/>
        <v>Columbus</v>
      </c>
      <c r="H185" s="175" t="str">
        <f t="shared" si="8"/>
        <v>Columbus, GA</v>
      </c>
      <c r="I185" s="178" t="s">
        <v>403</v>
      </c>
      <c r="J185" s="27" t="s">
        <v>401</v>
      </c>
      <c r="K185" s="27">
        <v>2284</v>
      </c>
      <c r="L185" s="179">
        <v>2261</v>
      </c>
      <c r="M185" s="180" t="s">
        <v>404</v>
      </c>
      <c r="N185" s="181" t="s">
        <v>401</v>
      </c>
      <c r="O185" s="182" t="s">
        <v>405</v>
      </c>
    </row>
    <row r="186" spans="1:15" ht="12">
      <c r="A186" s="148"/>
      <c r="B186" s="174" t="s">
        <v>619</v>
      </c>
      <c r="C186" s="175" t="s">
        <v>2269</v>
      </c>
      <c r="D186" s="176" t="s">
        <v>2270</v>
      </c>
      <c r="E186" s="177" t="s">
        <v>616</v>
      </c>
      <c r="F186" s="175">
        <f t="shared" si="6"/>
        <v>10</v>
      </c>
      <c r="G186" s="175" t="str">
        <f t="shared" si="7"/>
        <v>Columbus</v>
      </c>
      <c r="H186" s="175" t="str">
        <f t="shared" si="8"/>
        <v>Columbus, IN</v>
      </c>
      <c r="I186" s="178" t="s">
        <v>2271</v>
      </c>
      <c r="J186" s="27" t="s">
        <v>2270</v>
      </c>
      <c r="K186" s="27">
        <v>1014</v>
      </c>
      <c r="L186" s="179">
        <v>5615</v>
      </c>
      <c r="M186" s="178" t="s">
        <v>2272</v>
      </c>
      <c r="N186" s="27" t="s">
        <v>2270</v>
      </c>
      <c r="O186" s="182" t="s">
        <v>2273</v>
      </c>
    </row>
    <row r="187" spans="1:15" ht="12">
      <c r="A187" s="148"/>
      <c r="B187" s="174" t="s">
        <v>620</v>
      </c>
      <c r="C187" s="175" t="s">
        <v>621</v>
      </c>
      <c r="D187" s="176" t="s">
        <v>1335</v>
      </c>
      <c r="E187" s="177" t="s">
        <v>616</v>
      </c>
      <c r="F187" s="175">
        <f t="shared" si="6"/>
        <v>10</v>
      </c>
      <c r="G187" s="175" t="str">
        <f t="shared" si="7"/>
        <v>Columbus</v>
      </c>
      <c r="H187" s="175" t="str">
        <f t="shared" si="8"/>
        <v>Columbus, MS</v>
      </c>
      <c r="I187" s="178" t="s">
        <v>496</v>
      </c>
      <c r="J187" s="27" t="s">
        <v>494</v>
      </c>
      <c r="K187" s="27">
        <v>1797</v>
      </c>
      <c r="L187" s="179">
        <v>2918</v>
      </c>
      <c r="M187" s="180" t="s">
        <v>497</v>
      </c>
      <c r="N187" s="181" t="s">
        <v>494</v>
      </c>
      <c r="O187" s="182" t="s">
        <v>498</v>
      </c>
    </row>
    <row r="188" spans="1:15" ht="12">
      <c r="A188" s="148"/>
      <c r="B188" s="174" t="s">
        <v>622</v>
      </c>
      <c r="C188" s="175" t="s">
        <v>447</v>
      </c>
      <c r="D188" s="176" t="s">
        <v>448</v>
      </c>
      <c r="E188" s="177" t="s">
        <v>616</v>
      </c>
      <c r="F188" s="175">
        <f t="shared" si="6"/>
        <v>10</v>
      </c>
      <c r="G188" s="175" t="str">
        <f t="shared" si="7"/>
        <v>Columbus</v>
      </c>
      <c r="H188" s="175" t="str">
        <f t="shared" si="8"/>
        <v>Columbus, NE</v>
      </c>
      <c r="I188" s="178" t="s">
        <v>623</v>
      </c>
      <c r="J188" s="27" t="s">
        <v>448</v>
      </c>
      <c r="K188" s="27">
        <v>997</v>
      </c>
      <c r="L188" s="179">
        <v>6421</v>
      </c>
      <c r="M188" s="180" t="s">
        <v>624</v>
      </c>
      <c r="N188" s="181" t="s">
        <v>448</v>
      </c>
      <c r="O188" s="182" t="s">
        <v>625</v>
      </c>
    </row>
    <row r="189" spans="1:15" ht="12">
      <c r="A189" s="148"/>
      <c r="B189" s="174" t="s">
        <v>626</v>
      </c>
      <c r="C189" s="175" t="s">
        <v>385</v>
      </c>
      <c r="D189" s="176" t="s">
        <v>386</v>
      </c>
      <c r="E189" s="177" t="s">
        <v>616</v>
      </c>
      <c r="F189" s="175">
        <f t="shared" si="6"/>
        <v>10</v>
      </c>
      <c r="G189" s="175" t="str">
        <f t="shared" si="7"/>
        <v>Columbus</v>
      </c>
      <c r="H189" s="175" t="str">
        <f t="shared" si="8"/>
        <v>Columbus, OH</v>
      </c>
      <c r="I189" s="178" t="s">
        <v>1528</v>
      </c>
      <c r="J189" s="27" t="s">
        <v>386</v>
      </c>
      <c r="K189" s="27">
        <v>797</v>
      </c>
      <c r="L189" s="179">
        <v>5708</v>
      </c>
      <c r="M189" s="180" t="s">
        <v>404</v>
      </c>
      <c r="N189" s="181" t="s">
        <v>386</v>
      </c>
      <c r="O189" s="182" t="s">
        <v>1529</v>
      </c>
    </row>
    <row r="190" spans="1:15" ht="12">
      <c r="A190" s="148"/>
      <c r="B190" s="174" t="s">
        <v>627</v>
      </c>
      <c r="C190" s="175" t="s">
        <v>385</v>
      </c>
      <c r="D190" s="176" t="s">
        <v>386</v>
      </c>
      <c r="E190" s="177" t="s">
        <v>616</v>
      </c>
      <c r="F190" s="175">
        <f t="shared" si="6"/>
        <v>10</v>
      </c>
      <c r="G190" s="175" t="str">
        <f t="shared" si="7"/>
        <v>Columbus</v>
      </c>
      <c r="H190" s="175" t="str">
        <f t="shared" si="8"/>
        <v>Columbus, OH</v>
      </c>
      <c r="I190" s="178" t="s">
        <v>1528</v>
      </c>
      <c r="J190" s="27" t="s">
        <v>386</v>
      </c>
      <c r="K190" s="27">
        <v>797</v>
      </c>
      <c r="L190" s="179">
        <v>5708</v>
      </c>
      <c r="M190" s="180" t="s">
        <v>404</v>
      </c>
      <c r="N190" s="181" t="s">
        <v>386</v>
      </c>
      <c r="O190" s="182" t="s">
        <v>1529</v>
      </c>
    </row>
    <row r="191" spans="1:15" ht="12">
      <c r="A191" s="148"/>
      <c r="B191" s="174" t="s">
        <v>628</v>
      </c>
      <c r="C191" s="175" t="s">
        <v>385</v>
      </c>
      <c r="D191" s="176" t="s">
        <v>386</v>
      </c>
      <c r="E191" s="177" t="s">
        <v>616</v>
      </c>
      <c r="F191" s="175">
        <f t="shared" si="6"/>
        <v>10</v>
      </c>
      <c r="G191" s="175" t="str">
        <f t="shared" si="7"/>
        <v>Columbus</v>
      </c>
      <c r="H191" s="175" t="str">
        <f t="shared" si="8"/>
        <v>Columbus, OH</v>
      </c>
      <c r="I191" s="178" t="s">
        <v>1528</v>
      </c>
      <c r="J191" s="27" t="s">
        <v>386</v>
      </c>
      <c r="K191" s="27">
        <v>797</v>
      </c>
      <c r="L191" s="179">
        <v>5708</v>
      </c>
      <c r="M191" s="180" t="s">
        <v>404</v>
      </c>
      <c r="N191" s="181" t="s">
        <v>386</v>
      </c>
      <c r="O191" s="182" t="s">
        <v>1529</v>
      </c>
    </row>
    <row r="192" spans="1:15" ht="12">
      <c r="A192" s="148"/>
      <c r="B192" s="174" t="s">
        <v>629</v>
      </c>
      <c r="C192" s="175" t="s">
        <v>433</v>
      </c>
      <c r="D192" s="176" t="s">
        <v>434</v>
      </c>
      <c r="E192" s="177" t="s">
        <v>630</v>
      </c>
      <c r="F192" s="175">
        <f t="shared" si="6"/>
        <v>9</v>
      </c>
      <c r="G192" s="175" t="str">
        <f t="shared" si="7"/>
        <v>Concord</v>
      </c>
      <c r="H192" s="175" t="str">
        <f t="shared" si="8"/>
        <v>Concord, CA</v>
      </c>
      <c r="I192" s="178" t="s">
        <v>631</v>
      </c>
      <c r="J192" s="27" t="s">
        <v>434</v>
      </c>
      <c r="K192" s="27">
        <v>1237</v>
      </c>
      <c r="L192" s="179">
        <v>2749</v>
      </c>
      <c r="M192" s="178" t="s">
        <v>632</v>
      </c>
      <c r="N192" s="27" t="s">
        <v>434</v>
      </c>
      <c r="O192" s="182" t="s">
        <v>633</v>
      </c>
    </row>
    <row r="193" spans="1:20" ht="12">
      <c r="A193" s="148"/>
      <c r="B193" s="186" t="s">
        <v>634</v>
      </c>
      <c r="C193" s="175" t="s">
        <v>262</v>
      </c>
      <c r="D193" s="176" t="s">
        <v>263</v>
      </c>
      <c r="E193" s="177" t="s">
        <v>630</v>
      </c>
      <c r="F193" s="175">
        <f t="shared" si="6"/>
        <v>9</v>
      </c>
      <c r="G193" s="175" t="str">
        <f t="shared" si="7"/>
        <v>Concord</v>
      </c>
      <c r="H193" s="175" t="str">
        <f t="shared" si="8"/>
        <v>Concord, NH</v>
      </c>
      <c r="I193" s="178" t="s">
        <v>265</v>
      </c>
      <c r="J193" s="27" t="s">
        <v>263</v>
      </c>
      <c r="K193" s="27">
        <v>328</v>
      </c>
      <c r="L193" s="179">
        <v>7554</v>
      </c>
      <c r="M193" s="180" t="s">
        <v>266</v>
      </c>
      <c r="N193" s="181" t="s">
        <v>263</v>
      </c>
      <c r="O193" s="182" t="s">
        <v>267</v>
      </c>
    </row>
    <row r="194" spans="1:20" ht="12">
      <c r="A194" s="148"/>
      <c r="B194" s="174" t="s">
        <v>635</v>
      </c>
      <c r="C194" s="175" t="s">
        <v>1495</v>
      </c>
      <c r="D194" s="176" t="s">
        <v>1496</v>
      </c>
      <c r="E194" s="177" t="s">
        <v>636</v>
      </c>
      <c r="F194" s="175">
        <f t="shared" si="6"/>
        <v>11</v>
      </c>
      <c r="G194" s="175" t="str">
        <f t="shared" si="7"/>
        <v>Concordia</v>
      </c>
      <c r="H194" s="175" t="str">
        <f t="shared" si="8"/>
        <v>Concordia, KS</v>
      </c>
      <c r="I194" s="178" t="s">
        <v>637</v>
      </c>
      <c r="J194" s="27" t="s">
        <v>1496</v>
      </c>
      <c r="K194" s="27">
        <v>1317</v>
      </c>
      <c r="L194" s="179">
        <v>5574</v>
      </c>
      <c r="M194" s="180" t="s">
        <v>638</v>
      </c>
      <c r="N194" s="181" t="s">
        <v>1496</v>
      </c>
      <c r="O194" s="182" t="s">
        <v>639</v>
      </c>
    </row>
    <row r="195" spans="1:20" ht="12">
      <c r="A195" s="148"/>
      <c r="B195" s="174" t="s">
        <v>1641</v>
      </c>
      <c r="C195" s="175" t="s">
        <v>254</v>
      </c>
      <c r="D195" s="176" t="s">
        <v>255</v>
      </c>
      <c r="E195" s="177" t="s">
        <v>1642</v>
      </c>
      <c r="F195" s="175">
        <f t="shared" si="6"/>
        <v>8</v>
      </c>
      <c r="G195" s="175" t="str">
        <f t="shared" si="7"/>
        <v>Conroe</v>
      </c>
      <c r="H195" s="175" t="str">
        <f t="shared" si="8"/>
        <v>Conroe, TX</v>
      </c>
      <c r="I195" s="178" t="s">
        <v>1643</v>
      </c>
      <c r="J195" s="27" t="s">
        <v>255</v>
      </c>
      <c r="K195" s="27">
        <v>2700</v>
      </c>
      <c r="L195" s="179">
        <v>1599</v>
      </c>
      <c r="M195" s="180" t="s">
        <v>1602</v>
      </c>
      <c r="N195" s="181" t="s">
        <v>255</v>
      </c>
      <c r="O195" s="182" t="s">
        <v>1603</v>
      </c>
    </row>
    <row r="196" spans="1:20" ht="12">
      <c r="A196" s="148"/>
      <c r="B196" s="174" t="s">
        <v>1644</v>
      </c>
      <c r="C196" s="175" t="s">
        <v>2343</v>
      </c>
      <c r="D196" s="176" t="s">
        <v>476</v>
      </c>
      <c r="E196" s="177" t="s">
        <v>1645</v>
      </c>
      <c r="F196" s="175">
        <f t="shared" si="6"/>
        <v>12</v>
      </c>
      <c r="G196" s="175" t="str">
        <f t="shared" si="7"/>
        <v>Cookeville</v>
      </c>
      <c r="H196" s="175" t="str">
        <f t="shared" si="8"/>
        <v>Cookeville, TN</v>
      </c>
      <c r="I196" s="178" t="s">
        <v>1512</v>
      </c>
      <c r="J196" s="27" t="s">
        <v>476</v>
      </c>
      <c r="K196" s="27">
        <v>1616</v>
      </c>
      <c r="L196" s="179">
        <v>3729</v>
      </c>
      <c r="M196" s="180" t="s">
        <v>1513</v>
      </c>
      <c r="N196" s="181" t="s">
        <v>476</v>
      </c>
      <c r="O196" s="182" t="s">
        <v>614</v>
      </c>
    </row>
    <row r="197" spans="1:20" ht="12">
      <c r="A197" s="148"/>
      <c r="B197" s="174" t="s">
        <v>1646</v>
      </c>
      <c r="C197" s="175" t="s">
        <v>516</v>
      </c>
      <c r="D197" s="176" t="s">
        <v>517</v>
      </c>
      <c r="E197" s="177" t="s">
        <v>1647</v>
      </c>
      <c r="F197" s="175">
        <f t="shared" si="6"/>
        <v>8</v>
      </c>
      <c r="G197" s="175" t="str">
        <f t="shared" si="7"/>
        <v>Corbin</v>
      </c>
      <c r="H197" s="175" t="str">
        <f t="shared" si="8"/>
        <v>Corbin, KY</v>
      </c>
      <c r="I197" s="178" t="s">
        <v>475</v>
      </c>
      <c r="J197" s="27" t="s">
        <v>476</v>
      </c>
      <c r="K197" s="27">
        <v>1266</v>
      </c>
      <c r="L197" s="179">
        <v>3937</v>
      </c>
      <c r="M197" s="180" t="s">
        <v>477</v>
      </c>
      <c r="N197" s="181" t="s">
        <v>476</v>
      </c>
      <c r="O197" s="182" t="s">
        <v>478</v>
      </c>
    </row>
    <row r="198" spans="1:20" ht="12">
      <c r="A198" s="148"/>
      <c r="B198" s="174" t="s">
        <v>1648</v>
      </c>
      <c r="C198" s="175" t="s">
        <v>254</v>
      </c>
      <c r="D198" s="176" t="s">
        <v>255</v>
      </c>
      <c r="E198" s="177" t="s">
        <v>1649</v>
      </c>
      <c r="F198" s="175">
        <f t="shared" ref="F198:F261" si="9">LEN(E198)</f>
        <v>16</v>
      </c>
      <c r="G198" s="175" t="str">
        <f t="shared" ref="G198:G261" si="10">MID(E198,2,F198-2)</f>
        <v>Corpus Christi</v>
      </c>
      <c r="H198" s="175" t="str">
        <f t="shared" ref="H198:H261" si="11">CONCATENATE(G198,", ",+D198)</f>
        <v>Corpus Christi, TX</v>
      </c>
      <c r="I198" s="178" t="s">
        <v>1650</v>
      </c>
      <c r="J198" s="27" t="s">
        <v>255</v>
      </c>
      <c r="K198" s="27">
        <v>3439</v>
      </c>
      <c r="L198" s="179">
        <v>1016</v>
      </c>
      <c r="M198" s="180" t="s">
        <v>1651</v>
      </c>
      <c r="N198" s="181" t="s">
        <v>255</v>
      </c>
      <c r="O198" s="182" t="s">
        <v>1652</v>
      </c>
      <c r="P198" s="26"/>
      <c r="Q198" s="27"/>
      <c r="R198" s="183"/>
      <c r="S198" s="27"/>
      <c r="T198" s="27"/>
    </row>
    <row r="199" spans="1:20" ht="12">
      <c r="A199" s="148"/>
      <c r="B199" s="174" t="s">
        <v>1653</v>
      </c>
      <c r="C199" s="175" t="s">
        <v>254</v>
      </c>
      <c r="D199" s="176" t="s">
        <v>255</v>
      </c>
      <c r="E199" s="177" t="s">
        <v>1649</v>
      </c>
      <c r="F199" s="175">
        <f t="shared" si="9"/>
        <v>16</v>
      </c>
      <c r="G199" s="175" t="str">
        <f t="shared" si="10"/>
        <v>Corpus Christi</v>
      </c>
      <c r="H199" s="175" t="str">
        <f t="shared" si="11"/>
        <v>Corpus Christi, TX</v>
      </c>
      <c r="I199" s="178" t="s">
        <v>1650</v>
      </c>
      <c r="J199" s="27" t="s">
        <v>255</v>
      </c>
      <c r="K199" s="27">
        <v>3439</v>
      </c>
      <c r="L199" s="179">
        <v>1016</v>
      </c>
      <c r="M199" s="180" t="s">
        <v>1651</v>
      </c>
      <c r="N199" s="181" t="s">
        <v>255</v>
      </c>
      <c r="O199" s="182" t="s">
        <v>1652</v>
      </c>
    </row>
    <row r="200" spans="1:20" ht="12">
      <c r="A200" s="148"/>
      <c r="B200" s="174" t="s">
        <v>1654</v>
      </c>
      <c r="C200" s="175" t="s">
        <v>1322</v>
      </c>
      <c r="D200" s="176" t="s">
        <v>1323</v>
      </c>
      <c r="E200" s="177" t="s">
        <v>1655</v>
      </c>
      <c r="F200" s="175">
        <f t="shared" si="9"/>
        <v>16</v>
      </c>
      <c r="G200" s="175" t="str">
        <f t="shared" si="10"/>
        <v>Council Bluffs</v>
      </c>
      <c r="H200" s="175" t="str">
        <f t="shared" si="11"/>
        <v>Council Bluffs, IA</v>
      </c>
      <c r="I200" s="178" t="s">
        <v>1656</v>
      </c>
      <c r="J200" s="27" t="s">
        <v>448</v>
      </c>
      <c r="K200" s="27">
        <v>1037</v>
      </c>
      <c r="L200" s="179">
        <v>6413</v>
      </c>
      <c r="M200" s="180" t="s">
        <v>1657</v>
      </c>
      <c r="N200" s="181" t="s">
        <v>448</v>
      </c>
      <c r="O200" s="182" t="s">
        <v>1658</v>
      </c>
    </row>
    <row r="201" spans="1:20" ht="12">
      <c r="A201" s="148"/>
      <c r="B201" s="174" t="s">
        <v>1659</v>
      </c>
      <c r="C201" s="175" t="s">
        <v>433</v>
      </c>
      <c r="D201" s="176" t="s">
        <v>434</v>
      </c>
      <c r="E201" s="177" t="s">
        <v>1660</v>
      </c>
      <c r="F201" s="175">
        <f t="shared" si="9"/>
        <v>8</v>
      </c>
      <c r="G201" s="175" t="str">
        <f t="shared" si="10"/>
        <v>Covina</v>
      </c>
      <c r="H201" s="175" t="str">
        <f t="shared" si="11"/>
        <v>Covina, CA</v>
      </c>
      <c r="I201" s="178" t="s">
        <v>462</v>
      </c>
      <c r="J201" s="27" t="s">
        <v>434</v>
      </c>
      <c r="K201" s="27">
        <v>1201</v>
      </c>
      <c r="L201" s="179">
        <v>1430</v>
      </c>
      <c r="M201" s="178" t="s">
        <v>437</v>
      </c>
      <c r="N201" s="27" t="s">
        <v>434</v>
      </c>
      <c r="O201" s="182" t="s">
        <v>438</v>
      </c>
    </row>
    <row r="202" spans="1:20" ht="12">
      <c r="A202" s="148"/>
      <c r="B202" s="174" t="s">
        <v>1661</v>
      </c>
      <c r="C202" s="175" t="s">
        <v>1322</v>
      </c>
      <c r="D202" s="176" t="s">
        <v>1323</v>
      </c>
      <c r="E202" s="177" t="s">
        <v>1662</v>
      </c>
      <c r="F202" s="175">
        <f t="shared" si="9"/>
        <v>9</v>
      </c>
      <c r="G202" s="175" t="str">
        <f t="shared" si="10"/>
        <v>Creston</v>
      </c>
      <c r="H202" s="175" t="str">
        <f t="shared" si="11"/>
        <v>Creston, IA</v>
      </c>
      <c r="I202" s="178" t="s">
        <v>2307</v>
      </c>
      <c r="J202" s="27" t="s">
        <v>1323</v>
      </c>
      <c r="K202" s="27">
        <v>1036</v>
      </c>
      <c r="L202" s="179">
        <v>6497</v>
      </c>
      <c r="M202" s="180" t="s">
        <v>1326</v>
      </c>
      <c r="N202" s="181" t="s">
        <v>1323</v>
      </c>
      <c r="O202" s="182" t="s">
        <v>1327</v>
      </c>
    </row>
    <row r="203" spans="1:20" ht="12">
      <c r="A203" s="148"/>
      <c r="B203" s="174" t="s">
        <v>1663</v>
      </c>
      <c r="C203" s="175" t="s">
        <v>425</v>
      </c>
      <c r="D203" s="176" t="s">
        <v>426</v>
      </c>
      <c r="E203" s="177" t="s">
        <v>1664</v>
      </c>
      <c r="F203" s="175">
        <f t="shared" si="9"/>
        <v>10</v>
      </c>
      <c r="G203" s="175" t="str">
        <f t="shared" si="10"/>
        <v>Culpeper</v>
      </c>
      <c r="H203" s="175" t="str">
        <f t="shared" si="11"/>
        <v>Culpeper, VA</v>
      </c>
      <c r="I203" s="178" t="s">
        <v>1665</v>
      </c>
      <c r="J203" s="27" t="s">
        <v>428</v>
      </c>
      <c r="K203" s="27">
        <v>973</v>
      </c>
      <c r="L203" s="179">
        <v>5006</v>
      </c>
      <c r="M203" s="180" t="s">
        <v>429</v>
      </c>
      <c r="N203" s="181" t="s">
        <v>430</v>
      </c>
      <c r="O203" s="182" t="s">
        <v>431</v>
      </c>
    </row>
    <row r="204" spans="1:20" ht="12">
      <c r="A204" s="148"/>
      <c r="B204" s="174" t="s">
        <v>1666</v>
      </c>
      <c r="C204" s="175" t="s">
        <v>487</v>
      </c>
      <c r="D204" s="176" t="s">
        <v>430</v>
      </c>
      <c r="E204" s="177" t="s">
        <v>1667</v>
      </c>
      <c r="F204" s="175">
        <f t="shared" si="9"/>
        <v>12</v>
      </c>
      <c r="G204" s="175" t="str">
        <f t="shared" si="10"/>
        <v>Cumberland</v>
      </c>
      <c r="H204" s="175" t="str">
        <f t="shared" si="11"/>
        <v>Cumberland, MD</v>
      </c>
      <c r="I204" s="178" t="s">
        <v>455</v>
      </c>
      <c r="J204" s="27" t="s">
        <v>441</v>
      </c>
      <c r="K204" s="27">
        <v>654</v>
      </c>
      <c r="L204" s="179">
        <v>5968</v>
      </c>
      <c r="M204" s="180" t="s">
        <v>456</v>
      </c>
      <c r="N204" s="181" t="s">
        <v>441</v>
      </c>
      <c r="O204" s="182" t="s">
        <v>457</v>
      </c>
    </row>
    <row r="205" spans="1:20" ht="12">
      <c r="A205" s="148"/>
      <c r="B205" s="174" t="s">
        <v>1668</v>
      </c>
      <c r="C205" s="175" t="s">
        <v>254</v>
      </c>
      <c r="D205" s="176" t="s">
        <v>255</v>
      </c>
      <c r="E205" s="177" t="s">
        <v>1669</v>
      </c>
      <c r="F205" s="175">
        <f t="shared" si="9"/>
        <v>8</v>
      </c>
      <c r="G205" s="175" t="str">
        <f t="shared" si="10"/>
        <v>Dallas</v>
      </c>
      <c r="H205" s="175" t="str">
        <f t="shared" si="11"/>
        <v>Dallas, TX</v>
      </c>
      <c r="I205" s="178" t="s">
        <v>503</v>
      </c>
      <c r="J205" s="27" t="s">
        <v>255</v>
      </c>
      <c r="K205" s="27">
        <v>2603</v>
      </c>
      <c r="L205" s="179">
        <v>2407</v>
      </c>
      <c r="M205" s="180" t="s">
        <v>504</v>
      </c>
      <c r="N205" s="181" t="s">
        <v>255</v>
      </c>
      <c r="O205" s="182" t="s">
        <v>505</v>
      </c>
    </row>
    <row r="206" spans="1:20" ht="12">
      <c r="A206" s="148"/>
      <c r="B206" s="174" t="s">
        <v>1670</v>
      </c>
      <c r="C206" s="175" t="s">
        <v>254</v>
      </c>
      <c r="D206" s="176" t="s">
        <v>255</v>
      </c>
      <c r="E206" s="177" t="s">
        <v>1669</v>
      </c>
      <c r="F206" s="175">
        <f t="shared" si="9"/>
        <v>8</v>
      </c>
      <c r="G206" s="175" t="str">
        <f t="shared" si="10"/>
        <v>Dallas</v>
      </c>
      <c r="H206" s="175" t="str">
        <f t="shared" si="11"/>
        <v>Dallas, TX</v>
      </c>
      <c r="I206" s="178" t="s">
        <v>503</v>
      </c>
      <c r="J206" s="27" t="s">
        <v>255</v>
      </c>
      <c r="K206" s="27">
        <v>2603</v>
      </c>
      <c r="L206" s="179">
        <v>2407</v>
      </c>
      <c r="M206" s="180" t="s">
        <v>504</v>
      </c>
      <c r="N206" s="181" t="s">
        <v>255</v>
      </c>
      <c r="O206" s="182" t="s">
        <v>505</v>
      </c>
    </row>
    <row r="207" spans="1:20" ht="12">
      <c r="A207" s="148"/>
      <c r="B207" s="174" t="s">
        <v>1671</v>
      </c>
      <c r="C207" s="175" t="s">
        <v>254</v>
      </c>
      <c r="D207" s="176" t="s">
        <v>255</v>
      </c>
      <c r="E207" s="177" t="s">
        <v>1669</v>
      </c>
      <c r="F207" s="175">
        <f t="shared" si="9"/>
        <v>8</v>
      </c>
      <c r="G207" s="175" t="str">
        <f t="shared" si="10"/>
        <v>Dallas</v>
      </c>
      <c r="H207" s="175" t="str">
        <f t="shared" si="11"/>
        <v>Dallas, TX</v>
      </c>
      <c r="I207" s="178" t="s">
        <v>503</v>
      </c>
      <c r="J207" s="27" t="s">
        <v>255</v>
      </c>
      <c r="K207" s="27">
        <v>2603</v>
      </c>
      <c r="L207" s="179">
        <v>2407</v>
      </c>
      <c r="M207" s="180" t="s">
        <v>504</v>
      </c>
      <c r="N207" s="181" t="s">
        <v>255</v>
      </c>
      <c r="O207" s="182" t="s">
        <v>505</v>
      </c>
    </row>
    <row r="208" spans="1:20" ht="12">
      <c r="A208" s="148"/>
      <c r="B208" s="174" t="s">
        <v>1672</v>
      </c>
      <c r="C208" s="175" t="s">
        <v>254</v>
      </c>
      <c r="D208" s="176" t="s">
        <v>255</v>
      </c>
      <c r="E208" s="177" t="s">
        <v>1669</v>
      </c>
      <c r="F208" s="175">
        <f t="shared" si="9"/>
        <v>8</v>
      </c>
      <c r="G208" s="175" t="str">
        <f t="shared" si="10"/>
        <v>Dallas</v>
      </c>
      <c r="H208" s="175" t="str">
        <f t="shared" si="11"/>
        <v>Dallas, TX</v>
      </c>
      <c r="I208" s="178" t="s">
        <v>503</v>
      </c>
      <c r="J208" s="27" t="s">
        <v>255</v>
      </c>
      <c r="K208" s="27">
        <v>2603</v>
      </c>
      <c r="L208" s="179">
        <v>2407</v>
      </c>
      <c r="M208" s="180" t="s">
        <v>504</v>
      </c>
      <c r="N208" s="181" t="s">
        <v>255</v>
      </c>
      <c r="O208" s="182" t="s">
        <v>505</v>
      </c>
    </row>
    <row r="209" spans="1:20" ht="12">
      <c r="A209" s="148"/>
      <c r="B209" s="174" t="s">
        <v>1673</v>
      </c>
      <c r="C209" s="175" t="s">
        <v>400</v>
      </c>
      <c r="D209" s="176" t="s">
        <v>401</v>
      </c>
      <c r="E209" s="177" t="s">
        <v>1674</v>
      </c>
      <c r="F209" s="175">
        <f t="shared" si="9"/>
        <v>8</v>
      </c>
      <c r="G209" s="175" t="str">
        <f t="shared" si="10"/>
        <v>Dalton</v>
      </c>
      <c r="H209" s="175" t="str">
        <f t="shared" si="11"/>
        <v>Dalton, GA</v>
      </c>
      <c r="I209" s="178" t="s">
        <v>2349</v>
      </c>
      <c r="J209" s="27" t="s">
        <v>476</v>
      </c>
      <c r="K209" s="27">
        <v>1544</v>
      </c>
      <c r="L209" s="179">
        <v>3587</v>
      </c>
      <c r="M209" s="180" t="s">
        <v>2346</v>
      </c>
      <c r="N209" s="181" t="s">
        <v>476</v>
      </c>
      <c r="O209" s="182" t="s">
        <v>2347</v>
      </c>
    </row>
    <row r="210" spans="1:20" ht="12">
      <c r="A210" s="148"/>
      <c r="B210" s="174" t="s">
        <v>1675</v>
      </c>
      <c r="C210" s="175" t="s">
        <v>1322</v>
      </c>
      <c r="D210" s="176" t="s">
        <v>1323</v>
      </c>
      <c r="E210" s="177" t="s">
        <v>1676</v>
      </c>
      <c r="F210" s="175">
        <f t="shared" si="9"/>
        <v>11</v>
      </c>
      <c r="G210" s="175" t="str">
        <f t="shared" si="10"/>
        <v>Davenport</v>
      </c>
      <c r="H210" s="175" t="str">
        <f t="shared" si="11"/>
        <v>Davenport, IA</v>
      </c>
      <c r="I210" s="178" t="s">
        <v>1325</v>
      </c>
      <c r="J210" s="27" t="s">
        <v>1637</v>
      </c>
      <c r="K210" s="27">
        <v>911</v>
      </c>
      <c r="L210" s="179">
        <v>6474</v>
      </c>
      <c r="M210" s="180" t="s">
        <v>1326</v>
      </c>
      <c r="N210" s="181" t="s">
        <v>1323</v>
      </c>
      <c r="O210" s="182" t="s">
        <v>1327</v>
      </c>
    </row>
    <row r="211" spans="1:20" ht="12">
      <c r="A211" s="148"/>
      <c r="B211" s="174" t="s">
        <v>1677</v>
      </c>
      <c r="C211" s="175" t="s">
        <v>1322</v>
      </c>
      <c r="D211" s="176" t="s">
        <v>1323</v>
      </c>
      <c r="E211" s="177" t="s">
        <v>1676</v>
      </c>
      <c r="F211" s="175">
        <f t="shared" si="9"/>
        <v>11</v>
      </c>
      <c r="G211" s="175" t="str">
        <f t="shared" si="10"/>
        <v>Davenport</v>
      </c>
      <c r="H211" s="175" t="str">
        <f t="shared" si="11"/>
        <v>Davenport, IA</v>
      </c>
      <c r="I211" s="178" t="s">
        <v>1325</v>
      </c>
      <c r="J211" s="27" t="s">
        <v>1637</v>
      </c>
      <c r="K211" s="27">
        <v>911</v>
      </c>
      <c r="L211" s="179">
        <v>6474</v>
      </c>
      <c r="M211" s="180" t="s">
        <v>1326</v>
      </c>
      <c r="N211" s="181" t="s">
        <v>1323</v>
      </c>
      <c r="O211" s="182" t="s">
        <v>1327</v>
      </c>
    </row>
    <row r="212" spans="1:20" ht="12">
      <c r="A212" s="148"/>
      <c r="B212" s="174" t="s">
        <v>1678</v>
      </c>
      <c r="C212" s="175" t="s">
        <v>385</v>
      </c>
      <c r="D212" s="176" t="s">
        <v>386</v>
      </c>
      <c r="E212" s="177" t="s">
        <v>1679</v>
      </c>
      <c r="F212" s="175">
        <f t="shared" si="9"/>
        <v>8</v>
      </c>
      <c r="G212" s="175" t="str">
        <f t="shared" si="10"/>
        <v>Dayton</v>
      </c>
      <c r="H212" s="175" t="str">
        <f t="shared" si="11"/>
        <v>Dayton, OH</v>
      </c>
      <c r="I212" s="178" t="s">
        <v>1528</v>
      </c>
      <c r="J212" s="27" t="s">
        <v>386</v>
      </c>
      <c r="K212" s="27">
        <v>797</v>
      </c>
      <c r="L212" s="179">
        <v>5708</v>
      </c>
      <c r="M212" s="180" t="s">
        <v>1680</v>
      </c>
      <c r="N212" s="181" t="s">
        <v>386</v>
      </c>
      <c r="O212" s="182" t="s">
        <v>1681</v>
      </c>
      <c r="P212" s="26"/>
      <c r="Q212" s="27"/>
      <c r="R212" s="183"/>
      <c r="S212" s="27"/>
      <c r="T212" s="27"/>
    </row>
    <row r="213" spans="1:20" ht="12">
      <c r="A213" s="148"/>
      <c r="B213" s="174" t="s">
        <v>1682</v>
      </c>
      <c r="C213" s="175" t="s">
        <v>385</v>
      </c>
      <c r="D213" s="176" t="s">
        <v>386</v>
      </c>
      <c r="E213" s="177" t="s">
        <v>1679</v>
      </c>
      <c r="F213" s="175">
        <f t="shared" si="9"/>
        <v>8</v>
      </c>
      <c r="G213" s="175" t="str">
        <f t="shared" si="10"/>
        <v>Dayton</v>
      </c>
      <c r="H213" s="175" t="str">
        <f t="shared" si="11"/>
        <v>Dayton, OH</v>
      </c>
      <c r="I213" s="178" t="s">
        <v>1683</v>
      </c>
      <c r="J213" s="27" t="s">
        <v>386</v>
      </c>
      <c r="K213" s="27">
        <v>886</v>
      </c>
      <c r="L213" s="179">
        <v>5708</v>
      </c>
      <c r="M213" s="180" t="s">
        <v>1680</v>
      </c>
      <c r="N213" s="181" t="s">
        <v>386</v>
      </c>
      <c r="O213" s="182" t="s">
        <v>1681</v>
      </c>
      <c r="P213" s="26"/>
      <c r="Q213" s="27"/>
      <c r="R213" s="183"/>
      <c r="S213" s="27"/>
      <c r="T213" s="27"/>
    </row>
    <row r="214" spans="1:20" ht="12">
      <c r="A214" s="148"/>
      <c r="B214" s="174" t="s">
        <v>1684</v>
      </c>
      <c r="C214" s="175" t="s">
        <v>493</v>
      </c>
      <c r="D214" s="176" t="s">
        <v>494</v>
      </c>
      <c r="E214" s="177" t="s">
        <v>1685</v>
      </c>
      <c r="F214" s="175">
        <f t="shared" si="9"/>
        <v>18</v>
      </c>
      <c r="G214" s="175" t="str">
        <f t="shared" si="10"/>
        <v>Decatur/Florence</v>
      </c>
      <c r="H214" s="175" t="str">
        <f t="shared" si="11"/>
        <v>Decatur/Florence, AL</v>
      </c>
      <c r="I214" s="178" t="s">
        <v>2345</v>
      </c>
      <c r="J214" s="27" t="s">
        <v>494</v>
      </c>
      <c r="K214" s="27">
        <v>1651</v>
      </c>
      <c r="L214" s="179">
        <v>3323</v>
      </c>
      <c r="M214" s="180" t="s">
        <v>1686</v>
      </c>
      <c r="N214" s="181" t="s">
        <v>494</v>
      </c>
      <c r="O214" s="182" t="s">
        <v>1687</v>
      </c>
      <c r="P214" s="26"/>
      <c r="Q214" s="27"/>
      <c r="R214" s="183"/>
      <c r="S214" s="27"/>
      <c r="T214" s="27"/>
    </row>
    <row r="215" spans="1:20" ht="12">
      <c r="A215" s="148"/>
      <c r="B215" s="174" t="s">
        <v>1688</v>
      </c>
      <c r="C215" s="175" t="s">
        <v>1322</v>
      </c>
      <c r="D215" s="176" t="s">
        <v>1323</v>
      </c>
      <c r="E215" s="177" t="s">
        <v>1689</v>
      </c>
      <c r="F215" s="175">
        <f t="shared" si="9"/>
        <v>9</v>
      </c>
      <c r="G215" s="175" t="str">
        <f t="shared" si="10"/>
        <v>Decorah</v>
      </c>
      <c r="H215" s="175" t="str">
        <f t="shared" si="11"/>
        <v>Decorah, IA</v>
      </c>
      <c r="I215" s="178" t="s">
        <v>1690</v>
      </c>
      <c r="J215" s="27" t="s">
        <v>1691</v>
      </c>
      <c r="K215" s="27">
        <v>692</v>
      </c>
      <c r="L215" s="179">
        <v>7491</v>
      </c>
      <c r="M215" s="180" t="s">
        <v>1326</v>
      </c>
      <c r="N215" s="181" t="s">
        <v>1323</v>
      </c>
      <c r="O215" s="182" t="s">
        <v>1327</v>
      </c>
      <c r="P215" s="26"/>
      <c r="Q215" s="27"/>
      <c r="R215" s="183"/>
      <c r="S215" s="27"/>
      <c r="T215" s="27"/>
    </row>
    <row r="216" spans="1:20" ht="12">
      <c r="A216" s="148"/>
      <c r="B216" s="174" t="s">
        <v>1692</v>
      </c>
      <c r="C216" s="175" t="s">
        <v>254</v>
      </c>
      <c r="D216" s="176" t="s">
        <v>255</v>
      </c>
      <c r="E216" s="177" t="s">
        <v>1693</v>
      </c>
      <c r="F216" s="175">
        <f t="shared" si="9"/>
        <v>8</v>
      </c>
      <c r="G216" s="175" t="str">
        <f t="shared" si="10"/>
        <v>Denton</v>
      </c>
      <c r="H216" s="175" t="str">
        <f t="shared" si="11"/>
        <v>Denton, TX</v>
      </c>
      <c r="I216" s="178" t="s">
        <v>503</v>
      </c>
      <c r="J216" s="27" t="s">
        <v>255</v>
      </c>
      <c r="K216" s="27">
        <v>2603</v>
      </c>
      <c r="L216" s="179">
        <v>2407</v>
      </c>
      <c r="M216" s="180" t="s">
        <v>504</v>
      </c>
      <c r="N216" s="181" t="s">
        <v>255</v>
      </c>
      <c r="O216" s="182" t="s">
        <v>505</v>
      </c>
      <c r="P216" s="26"/>
      <c r="Q216" s="27"/>
      <c r="R216" s="183"/>
      <c r="S216" s="27"/>
      <c r="T216" s="27"/>
    </row>
    <row r="217" spans="1:20" ht="12">
      <c r="A217" s="148"/>
      <c r="B217" s="174" t="s">
        <v>1694</v>
      </c>
      <c r="C217" s="175" t="s">
        <v>393</v>
      </c>
      <c r="D217" s="176" t="s">
        <v>394</v>
      </c>
      <c r="E217" s="177" t="s">
        <v>1695</v>
      </c>
      <c r="F217" s="175">
        <f t="shared" si="9"/>
        <v>8</v>
      </c>
      <c r="G217" s="175" t="str">
        <f t="shared" si="10"/>
        <v>Denver</v>
      </c>
      <c r="H217" s="175" t="str">
        <f t="shared" si="11"/>
        <v>Denver, CO</v>
      </c>
      <c r="I217" s="178" t="s">
        <v>648</v>
      </c>
      <c r="J217" s="27" t="s">
        <v>394</v>
      </c>
      <c r="K217" s="27">
        <v>679</v>
      </c>
      <c r="L217" s="179">
        <v>6020</v>
      </c>
      <c r="M217" s="180" t="s">
        <v>649</v>
      </c>
      <c r="N217" s="181" t="s">
        <v>394</v>
      </c>
      <c r="O217" s="182" t="s">
        <v>650</v>
      </c>
      <c r="P217" s="26"/>
      <c r="Q217" s="27"/>
      <c r="R217" s="183"/>
      <c r="S217" s="27"/>
      <c r="T217" s="27"/>
    </row>
    <row r="218" spans="1:20" ht="12">
      <c r="A218" s="148"/>
      <c r="B218" s="174" t="s">
        <v>1696</v>
      </c>
      <c r="C218" s="175" t="s">
        <v>393</v>
      </c>
      <c r="D218" s="176" t="s">
        <v>394</v>
      </c>
      <c r="E218" s="177" t="s">
        <v>1695</v>
      </c>
      <c r="F218" s="175">
        <f t="shared" si="9"/>
        <v>8</v>
      </c>
      <c r="G218" s="175" t="str">
        <f t="shared" si="10"/>
        <v>Denver</v>
      </c>
      <c r="H218" s="175" t="str">
        <f t="shared" si="11"/>
        <v>Denver, CO</v>
      </c>
      <c r="I218" s="178" t="s">
        <v>648</v>
      </c>
      <c r="J218" s="27" t="s">
        <v>394</v>
      </c>
      <c r="K218" s="27">
        <v>679</v>
      </c>
      <c r="L218" s="179">
        <v>6020</v>
      </c>
      <c r="M218" s="180" t="s">
        <v>649</v>
      </c>
      <c r="N218" s="181" t="s">
        <v>394</v>
      </c>
      <c r="O218" s="182" t="s">
        <v>650</v>
      </c>
    </row>
    <row r="219" spans="1:20" ht="12">
      <c r="A219" s="148"/>
      <c r="B219" s="174" t="s">
        <v>1697</v>
      </c>
      <c r="C219" s="175" t="s">
        <v>393</v>
      </c>
      <c r="D219" s="176" t="s">
        <v>394</v>
      </c>
      <c r="E219" s="177" t="s">
        <v>1695</v>
      </c>
      <c r="F219" s="175">
        <f t="shared" si="9"/>
        <v>8</v>
      </c>
      <c r="G219" s="175" t="str">
        <f t="shared" si="10"/>
        <v>Denver</v>
      </c>
      <c r="H219" s="175" t="str">
        <f t="shared" si="11"/>
        <v>Denver, CO</v>
      </c>
      <c r="I219" s="178" t="s">
        <v>648</v>
      </c>
      <c r="J219" s="27" t="s">
        <v>394</v>
      </c>
      <c r="K219" s="27">
        <v>679</v>
      </c>
      <c r="L219" s="179">
        <v>6020</v>
      </c>
      <c r="M219" s="180" t="s">
        <v>649</v>
      </c>
      <c r="N219" s="181" t="s">
        <v>394</v>
      </c>
      <c r="O219" s="182" t="s">
        <v>650</v>
      </c>
    </row>
    <row r="220" spans="1:20" ht="12">
      <c r="A220" s="148"/>
      <c r="B220" s="174" t="s">
        <v>1698</v>
      </c>
      <c r="C220" s="175" t="s">
        <v>1322</v>
      </c>
      <c r="D220" s="176" t="s">
        <v>1323</v>
      </c>
      <c r="E220" s="177" t="s">
        <v>1699</v>
      </c>
      <c r="F220" s="175">
        <f t="shared" si="9"/>
        <v>12</v>
      </c>
      <c r="G220" s="175" t="str">
        <f t="shared" si="10"/>
        <v>Des Moines</v>
      </c>
      <c r="H220" s="175" t="str">
        <f t="shared" si="11"/>
        <v>Des Moines, IA</v>
      </c>
      <c r="I220" s="178" t="s">
        <v>2307</v>
      </c>
      <c r="J220" s="27" t="s">
        <v>1323</v>
      </c>
      <c r="K220" s="27">
        <v>1036</v>
      </c>
      <c r="L220" s="179">
        <v>6497</v>
      </c>
      <c r="M220" s="180" t="s">
        <v>1326</v>
      </c>
      <c r="N220" s="181" t="s">
        <v>1323</v>
      </c>
      <c r="O220" s="182" t="s">
        <v>1327</v>
      </c>
    </row>
    <row r="221" spans="1:20" ht="12">
      <c r="A221" s="148"/>
      <c r="B221" s="174" t="s">
        <v>1700</v>
      </c>
      <c r="C221" s="175" t="s">
        <v>1322</v>
      </c>
      <c r="D221" s="176" t="s">
        <v>1323</v>
      </c>
      <c r="E221" s="177" t="s">
        <v>1699</v>
      </c>
      <c r="F221" s="175">
        <f t="shared" si="9"/>
        <v>12</v>
      </c>
      <c r="G221" s="175" t="str">
        <f t="shared" si="10"/>
        <v>Des Moines</v>
      </c>
      <c r="H221" s="175" t="str">
        <f t="shared" si="11"/>
        <v>Des Moines, IA</v>
      </c>
      <c r="I221" s="178" t="s">
        <v>2307</v>
      </c>
      <c r="J221" s="27" t="s">
        <v>1323</v>
      </c>
      <c r="K221" s="27">
        <v>1036</v>
      </c>
      <c r="L221" s="179">
        <v>6497</v>
      </c>
      <c r="M221" s="180" t="s">
        <v>1326</v>
      </c>
      <c r="N221" s="181" t="s">
        <v>1323</v>
      </c>
      <c r="O221" s="182" t="s">
        <v>1327</v>
      </c>
    </row>
    <row r="222" spans="1:20" ht="12">
      <c r="A222" s="148"/>
      <c r="B222" s="174" t="s">
        <v>1701</v>
      </c>
      <c r="C222" s="175" t="s">
        <v>1322</v>
      </c>
      <c r="D222" s="176" t="s">
        <v>1323</v>
      </c>
      <c r="E222" s="177" t="s">
        <v>1699</v>
      </c>
      <c r="F222" s="175">
        <f t="shared" si="9"/>
        <v>12</v>
      </c>
      <c r="G222" s="175" t="str">
        <f t="shared" si="10"/>
        <v>Des Moines</v>
      </c>
      <c r="H222" s="175" t="str">
        <f t="shared" si="11"/>
        <v>Des Moines, IA</v>
      </c>
      <c r="I222" s="178" t="s">
        <v>2307</v>
      </c>
      <c r="J222" s="27" t="s">
        <v>1323</v>
      </c>
      <c r="K222" s="27">
        <v>1036</v>
      </c>
      <c r="L222" s="179">
        <v>6497</v>
      </c>
      <c r="M222" s="180" t="s">
        <v>1326</v>
      </c>
      <c r="N222" s="181" t="s">
        <v>1323</v>
      </c>
      <c r="O222" s="182" t="s">
        <v>1327</v>
      </c>
    </row>
    <row r="223" spans="1:20" ht="12">
      <c r="A223" s="148"/>
      <c r="B223" s="174" t="s">
        <v>1702</v>
      </c>
      <c r="C223" s="175" t="s">
        <v>1322</v>
      </c>
      <c r="D223" s="176" t="s">
        <v>1323</v>
      </c>
      <c r="E223" s="177" t="s">
        <v>1699</v>
      </c>
      <c r="F223" s="175">
        <f t="shared" si="9"/>
        <v>12</v>
      </c>
      <c r="G223" s="175" t="str">
        <f t="shared" si="10"/>
        <v>Des Moines</v>
      </c>
      <c r="H223" s="175" t="str">
        <f t="shared" si="11"/>
        <v>Des Moines, IA</v>
      </c>
      <c r="I223" s="178" t="s">
        <v>2307</v>
      </c>
      <c r="J223" s="27" t="s">
        <v>1323</v>
      </c>
      <c r="K223" s="27">
        <v>1036</v>
      </c>
      <c r="L223" s="179">
        <v>6497</v>
      </c>
      <c r="M223" s="180" t="s">
        <v>1326</v>
      </c>
      <c r="N223" s="181" t="s">
        <v>1323</v>
      </c>
      <c r="O223" s="182" t="s">
        <v>1327</v>
      </c>
    </row>
    <row r="224" spans="1:20" ht="12">
      <c r="A224" s="148"/>
      <c r="B224" s="174" t="s">
        <v>1703</v>
      </c>
      <c r="C224" s="175" t="s">
        <v>1615</v>
      </c>
      <c r="D224" s="176" t="s">
        <v>1616</v>
      </c>
      <c r="E224" s="177" t="s">
        <v>1704</v>
      </c>
      <c r="F224" s="175">
        <f t="shared" si="9"/>
        <v>15</v>
      </c>
      <c r="G224" s="175" t="str">
        <f t="shared" si="10"/>
        <v>Detroit Lakes</v>
      </c>
      <c r="H224" s="175" t="str">
        <f t="shared" si="11"/>
        <v>Detroit Lakes, MN</v>
      </c>
      <c r="I224" s="178" t="s">
        <v>1705</v>
      </c>
      <c r="J224" s="27" t="s">
        <v>251</v>
      </c>
      <c r="K224" s="27">
        <v>537</v>
      </c>
      <c r="L224" s="179">
        <v>9254</v>
      </c>
      <c r="M224" s="180" t="s">
        <v>250</v>
      </c>
      <c r="N224" s="181" t="s">
        <v>251</v>
      </c>
      <c r="O224" s="182" t="s">
        <v>252</v>
      </c>
    </row>
    <row r="225" spans="1:15" ht="12">
      <c r="A225" s="148"/>
      <c r="B225" s="174" t="s">
        <v>1706</v>
      </c>
      <c r="C225" s="175" t="s">
        <v>480</v>
      </c>
      <c r="D225" s="176" t="s">
        <v>481</v>
      </c>
      <c r="E225" s="177" t="s">
        <v>1707</v>
      </c>
      <c r="F225" s="175">
        <f t="shared" si="9"/>
        <v>9</v>
      </c>
      <c r="G225" s="175" t="str">
        <f t="shared" si="10"/>
        <v>Detroit</v>
      </c>
      <c r="H225" s="175" t="str">
        <f t="shared" si="11"/>
        <v>Detroit, MI</v>
      </c>
      <c r="I225" s="178" t="s">
        <v>483</v>
      </c>
      <c r="J225" s="27" t="s">
        <v>481</v>
      </c>
      <c r="K225" s="27">
        <v>626</v>
      </c>
      <c r="L225" s="179">
        <v>6569</v>
      </c>
      <c r="M225" s="178" t="s">
        <v>484</v>
      </c>
      <c r="N225" s="27" t="s">
        <v>481</v>
      </c>
      <c r="O225" s="182" t="s">
        <v>485</v>
      </c>
    </row>
    <row r="226" spans="1:15" ht="12">
      <c r="A226" s="148"/>
      <c r="B226" s="174" t="s">
        <v>1708</v>
      </c>
      <c r="C226" s="175" t="s">
        <v>480</v>
      </c>
      <c r="D226" s="176" t="s">
        <v>481</v>
      </c>
      <c r="E226" s="177" t="s">
        <v>1707</v>
      </c>
      <c r="F226" s="175">
        <f t="shared" si="9"/>
        <v>9</v>
      </c>
      <c r="G226" s="175" t="str">
        <f t="shared" si="10"/>
        <v>Detroit</v>
      </c>
      <c r="H226" s="175" t="str">
        <f t="shared" si="11"/>
        <v>Detroit, MI</v>
      </c>
      <c r="I226" s="178" t="s">
        <v>483</v>
      </c>
      <c r="J226" s="27" t="s">
        <v>481</v>
      </c>
      <c r="K226" s="27">
        <v>626</v>
      </c>
      <c r="L226" s="179">
        <v>6569</v>
      </c>
      <c r="M226" s="178" t="s">
        <v>484</v>
      </c>
      <c r="N226" s="27" t="s">
        <v>481</v>
      </c>
      <c r="O226" s="182" t="s">
        <v>485</v>
      </c>
    </row>
    <row r="227" spans="1:15" ht="12">
      <c r="A227" s="148"/>
      <c r="B227" s="174" t="s">
        <v>1709</v>
      </c>
      <c r="C227" s="175" t="s">
        <v>1434</v>
      </c>
      <c r="D227" s="176" t="s">
        <v>251</v>
      </c>
      <c r="E227" s="177" t="s">
        <v>1710</v>
      </c>
      <c r="F227" s="175">
        <f t="shared" si="9"/>
        <v>13</v>
      </c>
      <c r="G227" s="175" t="str">
        <f t="shared" si="10"/>
        <v>Devils Lake</v>
      </c>
      <c r="H227" s="175" t="str">
        <f t="shared" si="11"/>
        <v>Devils Lake, ND</v>
      </c>
      <c r="I227" s="178" t="s">
        <v>1705</v>
      </c>
      <c r="J227" s="27" t="s">
        <v>251</v>
      </c>
      <c r="K227" s="27">
        <v>537</v>
      </c>
      <c r="L227" s="179">
        <v>9254</v>
      </c>
      <c r="M227" s="180" t="s">
        <v>250</v>
      </c>
      <c r="N227" s="181" t="s">
        <v>251</v>
      </c>
      <c r="O227" s="182" t="s">
        <v>252</v>
      </c>
    </row>
    <row r="228" spans="1:15" ht="12">
      <c r="A228" s="148"/>
      <c r="B228" s="174" t="s">
        <v>1711</v>
      </c>
      <c r="C228" s="175" t="s">
        <v>1434</v>
      </c>
      <c r="D228" s="176" t="s">
        <v>251</v>
      </c>
      <c r="E228" s="177" t="s">
        <v>1712</v>
      </c>
      <c r="F228" s="175">
        <f t="shared" si="9"/>
        <v>11</v>
      </c>
      <c r="G228" s="175" t="str">
        <f t="shared" si="10"/>
        <v>Dickinson</v>
      </c>
      <c r="H228" s="175" t="str">
        <f t="shared" si="11"/>
        <v>Dickinson, ND</v>
      </c>
      <c r="I228" s="178" t="s">
        <v>1632</v>
      </c>
      <c r="J228" s="27" t="s">
        <v>251</v>
      </c>
      <c r="K228" s="27">
        <v>488</v>
      </c>
      <c r="L228" s="179">
        <v>8968</v>
      </c>
      <c r="M228" s="180" t="s">
        <v>1633</v>
      </c>
      <c r="N228" s="181" t="s">
        <v>251</v>
      </c>
      <c r="O228" s="182" t="s">
        <v>1634</v>
      </c>
    </row>
    <row r="229" spans="1:15" ht="12">
      <c r="A229" s="148"/>
      <c r="B229" s="174" t="s">
        <v>1713</v>
      </c>
      <c r="C229" s="175" t="s">
        <v>1495</v>
      </c>
      <c r="D229" s="176" t="s">
        <v>1496</v>
      </c>
      <c r="E229" s="177" t="s">
        <v>1714</v>
      </c>
      <c r="F229" s="175">
        <f t="shared" si="9"/>
        <v>12</v>
      </c>
      <c r="G229" s="175" t="str">
        <f t="shared" si="10"/>
        <v>Dodge City</v>
      </c>
      <c r="H229" s="175" t="str">
        <f t="shared" si="11"/>
        <v>Dodge City, KS</v>
      </c>
      <c r="I229" s="178" t="s">
        <v>1715</v>
      </c>
      <c r="J229" s="27" t="s">
        <v>1496</v>
      </c>
      <c r="K229" s="27">
        <v>1465</v>
      </c>
      <c r="L229" s="179">
        <v>5001</v>
      </c>
      <c r="M229" s="180" t="s">
        <v>1716</v>
      </c>
      <c r="N229" s="181" t="s">
        <v>1496</v>
      </c>
      <c r="O229" s="182" t="s">
        <v>1717</v>
      </c>
    </row>
    <row r="230" spans="1:15" ht="12">
      <c r="A230" s="148"/>
      <c r="B230" s="174" t="s">
        <v>1718</v>
      </c>
      <c r="C230" s="175" t="s">
        <v>493</v>
      </c>
      <c r="D230" s="176" t="s">
        <v>494</v>
      </c>
      <c r="E230" s="177" t="s">
        <v>1719</v>
      </c>
      <c r="F230" s="175">
        <f t="shared" si="9"/>
        <v>8</v>
      </c>
      <c r="G230" s="175" t="str">
        <f t="shared" si="10"/>
        <v>Dothan</v>
      </c>
      <c r="H230" s="175" t="str">
        <f t="shared" si="11"/>
        <v>Dothan, AL</v>
      </c>
      <c r="I230" s="178" t="s">
        <v>1720</v>
      </c>
      <c r="J230" s="27" t="s">
        <v>494</v>
      </c>
      <c r="K230" s="27">
        <v>2212</v>
      </c>
      <c r="L230" s="179">
        <v>2224</v>
      </c>
      <c r="M230" s="178" t="s">
        <v>1721</v>
      </c>
      <c r="N230" s="27" t="s">
        <v>494</v>
      </c>
      <c r="O230" s="187" t="s">
        <v>1722</v>
      </c>
    </row>
    <row r="231" spans="1:15" ht="12">
      <c r="A231" s="148"/>
      <c r="B231" s="174" t="s">
        <v>1723</v>
      </c>
      <c r="C231" s="175" t="s">
        <v>1724</v>
      </c>
      <c r="D231" s="176" t="s">
        <v>1725</v>
      </c>
      <c r="E231" s="177" t="s">
        <v>1726</v>
      </c>
      <c r="F231" s="175">
        <f t="shared" si="9"/>
        <v>7</v>
      </c>
      <c r="G231" s="175" t="str">
        <f t="shared" si="10"/>
        <v>Dover</v>
      </c>
      <c r="H231" s="175" t="str">
        <f t="shared" si="11"/>
        <v>Dover, DE</v>
      </c>
      <c r="I231" s="178" t="s">
        <v>489</v>
      </c>
      <c r="J231" s="27" t="s">
        <v>430</v>
      </c>
      <c r="K231" s="27">
        <v>1137</v>
      </c>
      <c r="L231" s="179">
        <v>4707</v>
      </c>
      <c r="M231" s="180" t="s">
        <v>490</v>
      </c>
      <c r="N231" s="181" t="s">
        <v>430</v>
      </c>
      <c r="O231" s="182" t="s">
        <v>491</v>
      </c>
    </row>
    <row r="232" spans="1:15" ht="12">
      <c r="A232" s="148"/>
      <c r="B232" s="186" t="s">
        <v>1727</v>
      </c>
      <c r="C232" s="175" t="s">
        <v>1537</v>
      </c>
      <c r="D232" s="176" t="s">
        <v>1538</v>
      </c>
      <c r="E232" s="177" t="s">
        <v>1726</v>
      </c>
      <c r="F232" s="175">
        <f t="shared" si="9"/>
        <v>7</v>
      </c>
      <c r="G232" s="175" t="str">
        <f t="shared" si="10"/>
        <v>Dover</v>
      </c>
      <c r="H232" s="175" t="str">
        <f t="shared" si="11"/>
        <v>Dover, NJ</v>
      </c>
      <c r="I232" s="178" t="s">
        <v>443</v>
      </c>
      <c r="J232" s="27" t="s">
        <v>441</v>
      </c>
      <c r="K232" s="27">
        <v>773</v>
      </c>
      <c r="L232" s="179">
        <v>5785</v>
      </c>
      <c r="M232" s="178" t="s">
        <v>444</v>
      </c>
      <c r="N232" s="27" t="s">
        <v>441</v>
      </c>
      <c r="O232" s="182" t="s">
        <v>445</v>
      </c>
    </row>
    <row r="233" spans="1:15" ht="12">
      <c r="A233" s="148"/>
      <c r="B233" s="174" t="s">
        <v>1728</v>
      </c>
      <c r="C233" s="175" t="s">
        <v>440</v>
      </c>
      <c r="D233" s="176" t="s">
        <v>441</v>
      </c>
      <c r="E233" s="177" t="s">
        <v>1729</v>
      </c>
      <c r="F233" s="175">
        <f t="shared" si="9"/>
        <v>12</v>
      </c>
      <c r="G233" s="175" t="str">
        <f t="shared" si="10"/>
        <v>Doylestown</v>
      </c>
      <c r="H233" s="175" t="str">
        <f t="shared" si="11"/>
        <v>Doylestown, PA</v>
      </c>
      <c r="I233" s="178" t="s">
        <v>1353</v>
      </c>
      <c r="J233" s="27" t="s">
        <v>441</v>
      </c>
      <c r="K233" s="27">
        <v>1101</v>
      </c>
      <c r="L233" s="179">
        <v>4954</v>
      </c>
      <c r="M233" s="180" t="s">
        <v>1354</v>
      </c>
      <c r="N233" s="181" t="s">
        <v>441</v>
      </c>
      <c r="O233" s="182" t="s">
        <v>1355</v>
      </c>
    </row>
    <row r="234" spans="1:15" ht="12">
      <c r="A234" s="148"/>
      <c r="B234" s="174" t="s">
        <v>1730</v>
      </c>
      <c r="C234" s="175" t="s">
        <v>440</v>
      </c>
      <c r="D234" s="176" t="s">
        <v>441</v>
      </c>
      <c r="E234" s="177" t="s">
        <v>1731</v>
      </c>
      <c r="F234" s="175">
        <f t="shared" si="9"/>
        <v>9</v>
      </c>
      <c r="G234" s="175" t="str">
        <f t="shared" si="10"/>
        <v>Du Bois</v>
      </c>
      <c r="H234" s="175" t="str">
        <f t="shared" si="11"/>
        <v>Du Bois, PA</v>
      </c>
      <c r="I234" s="178" t="s">
        <v>1732</v>
      </c>
      <c r="J234" s="27" t="s">
        <v>441</v>
      </c>
      <c r="K234" s="27">
        <v>622</v>
      </c>
      <c r="L234" s="179">
        <v>6087</v>
      </c>
      <c r="M234" s="180" t="s">
        <v>456</v>
      </c>
      <c r="N234" s="181" t="s">
        <v>441</v>
      </c>
      <c r="O234" s="182" t="s">
        <v>457</v>
      </c>
    </row>
    <row r="235" spans="1:15" ht="12">
      <c r="A235" s="148"/>
      <c r="B235" s="174" t="s">
        <v>1733</v>
      </c>
      <c r="C235" s="175" t="s">
        <v>1322</v>
      </c>
      <c r="D235" s="176" t="s">
        <v>1323</v>
      </c>
      <c r="E235" s="177" t="s">
        <v>1734</v>
      </c>
      <c r="F235" s="175">
        <f t="shared" si="9"/>
        <v>9</v>
      </c>
      <c r="G235" s="175" t="str">
        <f t="shared" si="10"/>
        <v>Dubuque</v>
      </c>
      <c r="H235" s="175" t="str">
        <f t="shared" si="11"/>
        <v>Dubuque, IA</v>
      </c>
      <c r="I235" s="178" t="s">
        <v>1735</v>
      </c>
      <c r="J235" s="27" t="s">
        <v>1323</v>
      </c>
      <c r="K235" s="27">
        <v>593</v>
      </c>
      <c r="L235" s="179">
        <v>7327</v>
      </c>
      <c r="M235" s="180" t="s">
        <v>1326</v>
      </c>
      <c r="N235" s="181" t="s">
        <v>1323</v>
      </c>
      <c r="O235" s="182" t="s">
        <v>1327</v>
      </c>
    </row>
    <row r="236" spans="1:15" ht="12">
      <c r="A236" s="148"/>
      <c r="B236" s="174" t="s">
        <v>1736</v>
      </c>
      <c r="C236" s="175" t="s">
        <v>1615</v>
      </c>
      <c r="D236" s="176" t="s">
        <v>1616</v>
      </c>
      <c r="E236" s="177" t="s">
        <v>1737</v>
      </c>
      <c r="F236" s="175">
        <f t="shared" si="9"/>
        <v>8</v>
      </c>
      <c r="G236" s="175" t="str">
        <f t="shared" si="10"/>
        <v>Duluth</v>
      </c>
      <c r="H236" s="175" t="str">
        <f t="shared" si="11"/>
        <v>Duluth, MN</v>
      </c>
      <c r="I236" s="178" t="s">
        <v>1738</v>
      </c>
      <c r="J236" s="27" t="s">
        <v>1616</v>
      </c>
      <c r="K236" s="27">
        <v>180</v>
      </c>
      <c r="L236" s="179">
        <v>9818</v>
      </c>
      <c r="M236" s="180" t="s">
        <v>1619</v>
      </c>
      <c r="N236" s="181" t="s">
        <v>1616</v>
      </c>
      <c r="O236" s="182" t="s">
        <v>1620</v>
      </c>
    </row>
    <row r="237" spans="1:15" ht="12">
      <c r="A237" s="148"/>
      <c r="B237" s="174" t="s">
        <v>1739</v>
      </c>
      <c r="C237" s="175" t="s">
        <v>1615</v>
      </c>
      <c r="D237" s="176" t="s">
        <v>1616</v>
      </c>
      <c r="E237" s="177" t="s">
        <v>1737</v>
      </c>
      <c r="F237" s="175">
        <f t="shared" si="9"/>
        <v>8</v>
      </c>
      <c r="G237" s="175" t="str">
        <f t="shared" si="10"/>
        <v>Duluth</v>
      </c>
      <c r="H237" s="175" t="str">
        <f t="shared" si="11"/>
        <v>Duluth, MN</v>
      </c>
      <c r="I237" s="178" t="s">
        <v>1738</v>
      </c>
      <c r="J237" s="27" t="s">
        <v>1616</v>
      </c>
      <c r="K237" s="27">
        <v>180</v>
      </c>
      <c r="L237" s="179">
        <v>9818</v>
      </c>
      <c r="M237" s="180" t="s">
        <v>1619</v>
      </c>
      <c r="N237" s="181" t="s">
        <v>1616</v>
      </c>
      <c r="O237" s="182" t="s">
        <v>1620</v>
      </c>
    </row>
    <row r="238" spans="1:15" ht="12">
      <c r="A238" s="148"/>
      <c r="B238" s="174" t="s">
        <v>1740</v>
      </c>
      <c r="C238" s="175" t="s">
        <v>1615</v>
      </c>
      <c r="D238" s="176" t="s">
        <v>1616</v>
      </c>
      <c r="E238" s="177" t="s">
        <v>1737</v>
      </c>
      <c r="F238" s="175">
        <f t="shared" si="9"/>
        <v>8</v>
      </c>
      <c r="G238" s="175" t="str">
        <f t="shared" si="10"/>
        <v>Duluth</v>
      </c>
      <c r="H238" s="175" t="str">
        <f t="shared" si="11"/>
        <v>Duluth, MN</v>
      </c>
      <c r="I238" s="178" t="s">
        <v>1738</v>
      </c>
      <c r="J238" s="27" t="s">
        <v>1616</v>
      </c>
      <c r="K238" s="27">
        <v>180</v>
      </c>
      <c r="L238" s="179">
        <v>9818</v>
      </c>
      <c r="M238" s="180" t="s">
        <v>1619</v>
      </c>
      <c r="N238" s="181" t="s">
        <v>1616</v>
      </c>
      <c r="O238" s="182" t="s">
        <v>1620</v>
      </c>
    </row>
    <row r="239" spans="1:15" ht="12">
      <c r="A239" s="148"/>
      <c r="B239" s="174" t="s">
        <v>1741</v>
      </c>
      <c r="C239" s="175" t="s">
        <v>393</v>
      </c>
      <c r="D239" s="176" t="s">
        <v>394</v>
      </c>
      <c r="E239" s="177" t="s">
        <v>1742</v>
      </c>
      <c r="F239" s="175">
        <f t="shared" si="9"/>
        <v>9</v>
      </c>
      <c r="G239" s="175" t="str">
        <f t="shared" si="10"/>
        <v>Durango</v>
      </c>
      <c r="H239" s="175" t="str">
        <f t="shared" si="11"/>
        <v>Durango, CO</v>
      </c>
      <c r="I239" s="178" t="s">
        <v>1743</v>
      </c>
      <c r="J239" s="27" t="s">
        <v>394</v>
      </c>
      <c r="K239" s="27">
        <v>1183</v>
      </c>
      <c r="L239" s="179">
        <v>5548</v>
      </c>
      <c r="M239" s="178" t="s">
        <v>1744</v>
      </c>
      <c r="N239" s="27" t="s">
        <v>394</v>
      </c>
      <c r="O239" s="182" t="s">
        <v>1745</v>
      </c>
    </row>
    <row r="240" spans="1:15" ht="12">
      <c r="A240" s="148"/>
      <c r="B240" s="174" t="s">
        <v>1746</v>
      </c>
      <c r="C240" s="175" t="s">
        <v>500</v>
      </c>
      <c r="D240" s="176" t="s">
        <v>501</v>
      </c>
      <c r="E240" s="177" t="s">
        <v>1747</v>
      </c>
      <c r="F240" s="175">
        <f t="shared" si="9"/>
        <v>8</v>
      </c>
      <c r="G240" s="175" t="str">
        <f t="shared" si="10"/>
        <v>Durant</v>
      </c>
      <c r="H240" s="175" t="str">
        <f t="shared" si="11"/>
        <v>Durant, OK</v>
      </c>
      <c r="I240" s="178" t="s">
        <v>503</v>
      </c>
      <c r="J240" s="27" t="s">
        <v>255</v>
      </c>
      <c r="K240" s="27">
        <v>2603</v>
      </c>
      <c r="L240" s="179">
        <v>2407</v>
      </c>
      <c r="M240" s="180" t="s">
        <v>504</v>
      </c>
      <c r="N240" s="181" t="s">
        <v>255</v>
      </c>
      <c r="O240" s="182" t="s">
        <v>505</v>
      </c>
    </row>
    <row r="241" spans="1:20" ht="12">
      <c r="A241" s="148"/>
      <c r="B241" s="174" t="s">
        <v>2301</v>
      </c>
      <c r="C241" s="175" t="s">
        <v>472</v>
      </c>
      <c r="D241" s="176" t="s">
        <v>473</v>
      </c>
      <c r="E241" s="177" t="s">
        <v>2302</v>
      </c>
      <c r="F241" s="175">
        <f t="shared" si="9"/>
        <v>8</v>
      </c>
      <c r="G241" s="175" t="str">
        <f t="shared" si="10"/>
        <v>Durham</v>
      </c>
      <c r="H241" s="175" t="str">
        <f t="shared" si="11"/>
        <v>Durham, NC</v>
      </c>
      <c r="I241" s="178" t="s">
        <v>2303</v>
      </c>
      <c r="J241" s="27" t="s">
        <v>473</v>
      </c>
      <c r="K241" s="27">
        <v>1417</v>
      </c>
      <c r="L241" s="179">
        <v>3457</v>
      </c>
      <c r="M241" s="180" t="s">
        <v>521</v>
      </c>
      <c r="N241" s="181" t="s">
        <v>473</v>
      </c>
      <c r="O241" s="182" t="s">
        <v>522</v>
      </c>
    </row>
    <row r="242" spans="1:20" ht="12">
      <c r="A242" s="148"/>
      <c r="B242" s="174" t="s">
        <v>523</v>
      </c>
      <c r="C242" s="175" t="s">
        <v>1636</v>
      </c>
      <c r="D242" s="176" t="s">
        <v>1637</v>
      </c>
      <c r="E242" s="177" t="s">
        <v>524</v>
      </c>
      <c r="F242" s="175">
        <f t="shared" si="9"/>
        <v>18</v>
      </c>
      <c r="G242" s="175" t="str">
        <f t="shared" si="10"/>
        <v>East Saint Louis</v>
      </c>
      <c r="H242" s="175" t="str">
        <f t="shared" si="11"/>
        <v>East Saint Louis, IL</v>
      </c>
      <c r="I242" s="178" t="s">
        <v>1369</v>
      </c>
      <c r="J242" s="27" t="s">
        <v>1367</v>
      </c>
      <c r="K242" s="27">
        <v>1534</v>
      </c>
      <c r="L242" s="179">
        <v>4758</v>
      </c>
      <c r="M242" s="178" t="s">
        <v>1370</v>
      </c>
      <c r="N242" s="27" t="s">
        <v>1367</v>
      </c>
      <c r="O242" s="182" t="s">
        <v>1371</v>
      </c>
    </row>
    <row r="243" spans="1:20" ht="12">
      <c r="A243" s="148"/>
      <c r="B243" s="174" t="s">
        <v>525</v>
      </c>
      <c r="C243" s="175" t="s">
        <v>1636</v>
      </c>
      <c r="D243" s="176" t="s">
        <v>1637</v>
      </c>
      <c r="E243" s="177" t="s">
        <v>524</v>
      </c>
      <c r="F243" s="175">
        <f t="shared" si="9"/>
        <v>18</v>
      </c>
      <c r="G243" s="175" t="str">
        <f t="shared" si="10"/>
        <v>East Saint Louis</v>
      </c>
      <c r="H243" s="175" t="str">
        <f t="shared" si="11"/>
        <v>East Saint Louis, IL</v>
      </c>
      <c r="I243" s="178" t="s">
        <v>1369</v>
      </c>
      <c r="J243" s="27" t="s">
        <v>1367</v>
      </c>
      <c r="K243" s="27">
        <v>1534</v>
      </c>
      <c r="L243" s="179">
        <v>4758</v>
      </c>
      <c r="M243" s="178" t="s">
        <v>1370</v>
      </c>
      <c r="N243" s="27" t="s">
        <v>1367</v>
      </c>
      <c r="O243" s="182" t="s">
        <v>1371</v>
      </c>
    </row>
    <row r="244" spans="1:20" ht="12">
      <c r="A244" s="148"/>
      <c r="B244" s="174" t="s">
        <v>526</v>
      </c>
      <c r="C244" s="175" t="s">
        <v>487</v>
      </c>
      <c r="D244" s="176" t="s">
        <v>430</v>
      </c>
      <c r="E244" s="177" t="s">
        <v>527</v>
      </c>
      <c r="F244" s="175">
        <f t="shared" si="9"/>
        <v>8</v>
      </c>
      <c r="G244" s="175" t="str">
        <f t="shared" si="10"/>
        <v>Easton</v>
      </c>
      <c r="H244" s="175" t="str">
        <f t="shared" si="11"/>
        <v>Easton, MD</v>
      </c>
      <c r="I244" s="178" t="s">
        <v>427</v>
      </c>
      <c r="J244" s="27" t="s">
        <v>428</v>
      </c>
      <c r="K244" s="27">
        <v>1549</v>
      </c>
      <c r="L244" s="179">
        <v>4047</v>
      </c>
      <c r="M244" s="180" t="s">
        <v>429</v>
      </c>
      <c r="N244" s="181" t="s">
        <v>430</v>
      </c>
      <c r="O244" s="182" t="s">
        <v>431</v>
      </c>
    </row>
    <row r="245" spans="1:20" ht="12">
      <c r="A245" s="148"/>
      <c r="B245" s="174" t="s">
        <v>528</v>
      </c>
      <c r="C245" s="175" t="s">
        <v>42</v>
      </c>
      <c r="D245" s="176" t="s">
        <v>1691</v>
      </c>
      <c r="E245" s="177" t="s">
        <v>43</v>
      </c>
      <c r="F245" s="175">
        <f t="shared" si="9"/>
        <v>12</v>
      </c>
      <c r="G245" s="175" t="str">
        <f t="shared" si="10"/>
        <v>Eau Claire</v>
      </c>
      <c r="H245" s="175" t="str">
        <f t="shared" si="11"/>
        <v>Eau Claire, WI</v>
      </c>
      <c r="I245" s="178" t="s">
        <v>44</v>
      </c>
      <c r="J245" s="27" t="s">
        <v>1616</v>
      </c>
      <c r="K245" s="27">
        <v>682</v>
      </c>
      <c r="L245" s="179">
        <v>7981</v>
      </c>
      <c r="M245" s="178" t="s">
        <v>675</v>
      </c>
      <c r="N245" s="27" t="s">
        <v>1616</v>
      </c>
      <c r="O245" s="182" t="s">
        <v>676</v>
      </c>
    </row>
    <row r="246" spans="1:20" ht="12">
      <c r="A246" s="148"/>
      <c r="B246" s="174" t="s">
        <v>45</v>
      </c>
      <c r="C246" s="175" t="s">
        <v>1636</v>
      </c>
      <c r="D246" s="176" t="s">
        <v>1637</v>
      </c>
      <c r="E246" s="177" t="s">
        <v>46</v>
      </c>
      <c r="F246" s="175">
        <f t="shared" si="9"/>
        <v>11</v>
      </c>
      <c r="G246" s="175" t="str">
        <f t="shared" si="10"/>
        <v>Effingham</v>
      </c>
      <c r="H246" s="175" t="str">
        <f t="shared" si="11"/>
        <v>Effingham, IL</v>
      </c>
      <c r="I246" s="178" t="s">
        <v>1369</v>
      </c>
      <c r="J246" s="27" t="s">
        <v>1367</v>
      </c>
      <c r="K246" s="27">
        <v>1534</v>
      </c>
      <c r="L246" s="179">
        <v>4758</v>
      </c>
      <c r="M246" s="178" t="s">
        <v>1370</v>
      </c>
      <c r="N246" s="27" t="s">
        <v>1367</v>
      </c>
      <c r="O246" s="182" t="s">
        <v>1371</v>
      </c>
    </row>
    <row r="247" spans="1:20" ht="12">
      <c r="A247" s="148"/>
      <c r="B247" s="174" t="s">
        <v>47</v>
      </c>
      <c r="C247" s="175" t="s">
        <v>254</v>
      </c>
      <c r="D247" s="176" t="s">
        <v>255</v>
      </c>
      <c r="E247" s="177" t="s">
        <v>48</v>
      </c>
      <c r="F247" s="175">
        <f t="shared" si="9"/>
        <v>9</v>
      </c>
      <c r="G247" s="175" t="str">
        <f t="shared" si="10"/>
        <v>El Paso</v>
      </c>
      <c r="H247" s="175" t="str">
        <f t="shared" si="11"/>
        <v>El Paso, TX</v>
      </c>
      <c r="I247" s="178" t="s">
        <v>49</v>
      </c>
      <c r="J247" s="27" t="s">
        <v>255</v>
      </c>
      <c r="K247" s="27">
        <v>2163</v>
      </c>
      <c r="L247" s="179">
        <v>2751</v>
      </c>
      <c r="M247" s="180" t="s">
        <v>50</v>
      </c>
      <c r="N247" s="181" t="s">
        <v>255</v>
      </c>
      <c r="O247" s="182" t="s">
        <v>51</v>
      </c>
    </row>
    <row r="248" spans="1:20" ht="12">
      <c r="A248" s="148"/>
      <c r="B248" s="174" t="s">
        <v>52</v>
      </c>
      <c r="C248" s="175" t="s">
        <v>254</v>
      </c>
      <c r="D248" s="176" t="s">
        <v>255</v>
      </c>
      <c r="E248" s="177" t="s">
        <v>48</v>
      </c>
      <c r="F248" s="175">
        <f t="shared" si="9"/>
        <v>9</v>
      </c>
      <c r="G248" s="175" t="str">
        <f t="shared" si="10"/>
        <v>El Paso</v>
      </c>
      <c r="H248" s="175" t="str">
        <f t="shared" si="11"/>
        <v>El Paso, TX</v>
      </c>
      <c r="I248" s="178" t="s">
        <v>53</v>
      </c>
      <c r="J248" s="27" t="s">
        <v>255</v>
      </c>
      <c r="K248" s="27">
        <v>2094</v>
      </c>
      <c r="L248" s="179">
        <v>2708</v>
      </c>
      <c r="M248" s="180" t="s">
        <v>50</v>
      </c>
      <c r="N248" s="181" t="s">
        <v>255</v>
      </c>
      <c r="O248" s="182" t="s">
        <v>51</v>
      </c>
    </row>
    <row r="249" spans="1:20" ht="12">
      <c r="A249" s="148"/>
      <c r="B249" s="174" t="s">
        <v>54</v>
      </c>
      <c r="C249" s="175" t="s">
        <v>472</v>
      </c>
      <c r="D249" s="176" t="s">
        <v>473</v>
      </c>
      <c r="E249" s="177" t="s">
        <v>55</v>
      </c>
      <c r="F249" s="175">
        <f t="shared" si="9"/>
        <v>16</v>
      </c>
      <c r="G249" s="175" t="str">
        <f t="shared" si="10"/>
        <v>Elizabeth City</v>
      </c>
      <c r="H249" s="175" t="str">
        <f t="shared" si="11"/>
        <v>Elizabeth City, NC</v>
      </c>
      <c r="I249" s="178" t="s">
        <v>56</v>
      </c>
      <c r="J249" s="27" t="s">
        <v>426</v>
      </c>
      <c r="K249" s="27">
        <v>1422</v>
      </c>
      <c r="L249" s="179">
        <v>3495</v>
      </c>
      <c r="M249" s="180" t="s">
        <v>57</v>
      </c>
      <c r="N249" s="181" t="s">
        <v>426</v>
      </c>
      <c r="O249" s="182" t="s">
        <v>58</v>
      </c>
    </row>
    <row r="250" spans="1:20" ht="12">
      <c r="A250" s="148"/>
      <c r="B250" s="186" t="s">
        <v>59</v>
      </c>
      <c r="C250" s="175" t="s">
        <v>1537</v>
      </c>
      <c r="D250" s="176" t="s">
        <v>1538</v>
      </c>
      <c r="E250" s="177" t="s">
        <v>60</v>
      </c>
      <c r="F250" s="175">
        <f t="shared" si="9"/>
        <v>11</v>
      </c>
      <c r="G250" s="175" t="str">
        <f t="shared" si="10"/>
        <v>Elizabeth</v>
      </c>
      <c r="H250" s="175" t="str">
        <f t="shared" si="11"/>
        <v>Elizabeth, NJ</v>
      </c>
      <c r="I250" s="178" t="s">
        <v>61</v>
      </c>
      <c r="J250" s="27" t="s">
        <v>1538</v>
      </c>
      <c r="K250" s="27">
        <v>1201</v>
      </c>
      <c r="L250" s="179">
        <v>4888</v>
      </c>
      <c r="M250" s="180" t="s">
        <v>62</v>
      </c>
      <c r="N250" s="181" t="s">
        <v>1538</v>
      </c>
      <c r="O250" s="182" t="s">
        <v>63</v>
      </c>
    </row>
    <row r="251" spans="1:20" ht="12">
      <c r="A251" s="148"/>
      <c r="B251" s="174" t="s">
        <v>64</v>
      </c>
      <c r="C251" s="175" t="s">
        <v>516</v>
      </c>
      <c r="D251" s="176" t="s">
        <v>517</v>
      </c>
      <c r="E251" s="177" t="s">
        <v>65</v>
      </c>
      <c r="F251" s="175">
        <f t="shared" si="9"/>
        <v>15</v>
      </c>
      <c r="G251" s="175" t="str">
        <f t="shared" si="10"/>
        <v>Elizabethtown</v>
      </c>
      <c r="H251" s="175" t="str">
        <f t="shared" si="11"/>
        <v>Elizabethtown, KY</v>
      </c>
      <c r="I251" s="178" t="s">
        <v>1512</v>
      </c>
      <c r="J251" s="27" t="s">
        <v>476</v>
      </c>
      <c r="K251" s="27">
        <v>1616</v>
      </c>
      <c r="L251" s="179">
        <v>3729</v>
      </c>
      <c r="M251" s="180" t="s">
        <v>1513</v>
      </c>
      <c r="N251" s="181" t="s">
        <v>476</v>
      </c>
      <c r="O251" s="182" t="s">
        <v>614</v>
      </c>
    </row>
    <row r="252" spans="1:20" ht="12">
      <c r="A252" s="148"/>
      <c r="B252" s="174" t="s">
        <v>66</v>
      </c>
      <c r="C252" s="175" t="s">
        <v>1390</v>
      </c>
      <c r="D252" s="176" t="s">
        <v>1391</v>
      </c>
      <c r="E252" s="177" t="s">
        <v>67</v>
      </c>
      <c r="F252" s="175">
        <f t="shared" si="9"/>
        <v>6</v>
      </c>
      <c r="G252" s="175" t="str">
        <f t="shared" si="10"/>
        <v>Elko</v>
      </c>
      <c r="H252" s="175" t="str">
        <f t="shared" si="11"/>
        <v>Elko, NV</v>
      </c>
      <c r="I252" s="178" t="s">
        <v>1025</v>
      </c>
      <c r="J252" s="27" t="s">
        <v>1391</v>
      </c>
      <c r="K252" s="27">
        <v>457</v>
      </c>
      <c r="L252" s="179">
        <v>7077</v>
      </c>
      <c r="M252" s="180" t="s">
        <v>1394</v>
      </c>
      <c r="N252" s="181" t="s">
        <v>1391</v>
      </c>
      <c r="O252" s="182" t="s">
        <v>1395</v>
      </c>
    </row>
    <row r="253" spans="1:20" ht="12">
      <c r="A253" s="148"/>
      <c r="B253" s="174" t="s">
        <v>1026</v>
      </c>
      <c r="C253" s="175" t="s">
        <v>487</v>
      </c>
      <c r="D253" s="176" t="s">
        <v>430</v>
      </c>
      <c r="E253" s="177" t="s">
        <v>1027</v>
      </c>
      <c r="F253" s="175">
        <f t="shared" si="9"/>
        <v>8</v>
      </c>
      <c r="G253" s="175" t="str">
        <f t="shared" si="10"/>
        <v>Elkton</v>
      </c>
      <c r="H253" s="175" t="str">
        <f t="shared" si="11"/>
        <v>Elkton, MD</v>
      </c>
      <c r="I253" s="178" t="s">
        <v>1028</v>
      </c>
      <c r="J253" s="27" t="s">
        <v>1725</v>
      </c>
      <c r="K253" s="27">
        <v>1046</v>
      </c>
      <c r="L253" s="179">
        <v>4937</v>
      </c>
      <c r="M253" s="180" t="s">
        <v>1029</v>
      </c>
      <c r="N253" s="181" t="s">
        <v>1725</v>
      </c>
      <c r="O253" s="182" t="s">
        <v>1030</v>
      </c>
    </row>
    <row r="254" spans="1:20" ht="12">
      <c r="A254" s="148"/>
      <c r="B254" s="186" t="s">
        <v>1031</v>
      </c>
      <c r="C254" s="175" t="s">
        <v>1544</v>
      </c>
      <c r="D254" s="176" t="s">
        <v>1545</v>
      </c>
      <c r="E254" s="177" t="s">
        <v>1032</v>
      </c>
      <c r="F254" s="175">
        <f t="shared" si="9"/>
        <v>11</v>
      </c>
      <c r="G254" s="175" t="str">
        <f t="shared" si="10"/>
        <v>Ellsworth</v>
      </c>
      <c r="H254" s="175" t="str">
        <f t="shared" si="11"/>
        <v>Ellsworth, ME</v>
      </c>
      <c r="I254" s="178" t="s">
        <v>1547</v>
      </c>
      <c r="J254" s="27" t="s">
        <v>1545</v>
      </c>
      <c r="K254" s="27">
        <v>268</v>
      </c>
      <c r="L254" s="179">
        <v>7378</v>
      </c>
      <c r="M254" s="180" t="s">
        <v>1548</v>
      </c>
      <c r="N254" s="181" t="s">
        <v>1545</v>
      </c>
      <c r="O254" s="182" t="s">
        <v>1549</v>
      </c>
    </row>
    <row r="255" spans="1:20" ht="12">
      <c r="A255" s="148"/>
      <c r="B255" s="174" t="s">
        <v>1033</v>
      </c>
      <c r="C255" s="175" t="s">
        <v>407</v>
      </c>
      <c r="D255" s="176" t="s">
        <v>408</v>
      </c>
      <c r="E255" s="177" t="s">
        <v>1034</v>
      </c>
      <c r="F255" s="175">
        <f t="shared" si="9"/>
        <v>8</v>
      </c>
      <c r="G255" s="175" t="str">
        <f t="shared" si="10"/>
        <v>Elmira</v>
      </c>
      <c r="H255" s="175" t="str">
        <f t="shared" si="11"/>
        <v>Elmira, NY</v>
      </c>
      <c r="I255" s="178" t="s">
        <v>1426</v>
      </c>
      <c r="J255" s="27" t="s">
        <v>408</v>
      </c>
      <c r="K255" s="27">
        <v>337</v>
      </c>
      <c r="L255" s="179">
        <v>7273</v>
      </c>
      <c r="M255" s="180" t="s">
        <v>1035</v>
      </c>
      <c r="N255" s="181" t="s">
        <v>408</v>
      </c>
      <c r="O255" s="182" t="s">
        <v>1036</v>
      </c>
      <c r="P255" s="26"/>
      <c r="Q255" s="27"/>
      <c r="R255" s="183"/>
      <c r="S255" s="27"/>
      <c r="T255" s="27"/>
    </row>
    <row r="256" spans="1:20" ht="12">
      <c r="A256" s="148"/>
      <c r="B256" s="174" t="s">
        <v>1037</v>
      </c>
      <c r="C256" s="175" t="s">
        <v>1390</v>
      </c>
      <c r="D256" s="176" t="s">
        <v>1391</v>
      </c>
      <c r="E256" s="177" t="s">
        <v>1038</v>
      </c>
      <c r="F256" s="175">
        <f t="shared" si="9"/>
        <v>5</v>
      </c>
      <c r="G256" s="175" t="str">
        <f t="shared" si="10"/>
        <v>Ely</v>
      </c>
      <c r="H256" s="175" t="str">
        <f t="shared" si="11"/>
        <v>Ely, NV</v>
      </c>
      <c r="I256" s="178" t="s">
        <v>1039</v>
      </c>
      <c r="J256" s="27" t="s">
        <v>1391</v>
      </c>
      <c r="K256" s="27">
        <v>208</v>
      </c>
      <c r="L256" s="179">
        <v>7621</v>
      </c>
      <c r="M256" s="180" t="s">
        <v>1394</v>
      </c>
      <c r="N256" s="181" t="s">
        <v>1391</v>
      </c>
      <c r="O256" s="182" t="s">
        <v>1395</v>
      </c>
      <c r="P256" s="26"/>
      <c r="Q256" s="27"/>
      <c r="R256" s="183"/>
      <c r="S256" s="27"/>
      <c r="T256" s="27"/>
    </row>
    <row r="257" spans="1:20" ht="12">
      <c r="A257" s="148"/>
      <c r="B257" s="174" t="s">
        <v>1040</v>
      </c>
      <c r="C257" s="175" t="s">
        <v>1495</v>
      </c>
      <c r="D257" s="176" t="s">
        <v>1496</v>
      </c>
      <c r="E257" s="177" t="s">
        <v>1041</v>
      </c>
      <c r="F257" s="175">
        <f t="shared" si="9"/>
        <v>9</v>
      </c>
      <c r="G257" s="175" t="str">
        <f t="shared" si="10"/>
        <v>Emporia</v>
      </c>
      <c r="H257" s="175" t="str">
        <f t="shared" si="11"/>
        <v>Emporia, KS</v>
      </c>
      <c r="I257" s="178" t="s">
        <v>1042</v>
      </c>
      <c r="J257" s="27" t="s">
        <v>1496</v>
      </c>
      <c r="K257" s="27">
        <v>1628</v>
      </c>
      <c r="L257" s="179">
        <v>4791</v>
      </c>
      <c r="M257" s="180" t="s">
        <v>1716</v>
      </c>
      <c r="N257" s="181" t="s">
        <v>1496</v>
      </c>
      <c r="O257" s="182" t="s">
        <v>1717</v>
      </c>
      <c r="P257" s="26"/>
      <c r="Q257" s="27"/>
      <c r="R257" s="183"/>
      <c r="S257" s="27"/>
      <c r="T257" s="27"/>
    </row>
    <row r="258" spans="1:20" ht="12">
      <c r="A258" s="148"/>
      <c r="B258" s="174" t="s">
        <v>1043</v>
      </c>
      <c r="C258" s="175" t="s">
        <v>500</v>
      </c>
      <c r="D258" s="176" t="s">
        <v>501</v>
      </c>
      <c r="E258" s="177" t="s">
        <v>1044</v>
      </c>
      <c r="F258" s="175">
        <f t="shared" si="9"/>
        <v>6</v>
      </c>
      <c r="G258" s="175" t="str">
        <f t="shared" si="10"/>
        <v>Enid</v>
      </c>
      <c r="H258" s="175" t="str">
        <f t="shared" si="11"/>
        <v>Enid, OK</v>
      </c>
      <c r="I258" s="178" t="s">
        <v>597</v>
      </c>
      <c r="J258" s="27" t="s">
        <v>501</v>
      </c>
      <c r="K258" s="27">
        <v>1859</v>
      </c>
      <c r="L258" s="179">
        <v>3659</v>
      </c>
      <c r="M258" s="180" t="s">
        <v>689</v>
      </c>
      <c r="N258" s="181" t="s">
        <v>501</v>
      </c>
      <c r="O258" s="182" t="s">
        <v>690</v>
      </c>
      <c r="P258" s="26"/>
      <c r="Q258" s="27"/>
      <c r="R258" s="183"/>
      <c r="S258" s="27"/>
      <c r="T258" s="27"/>
    </row>
    <row r="259" spans="1:20" ht="12">
      <c r="A259" s="148"/>
      <c r="B259" s="174" t="s">
        <v>1045</v>
      </c>
      <c r="C259" s="175" t="s">
        <v>440</v>
      </c>
      <c r="D259" s="176" t="s">
        <v>441</v>
      </c>
      <c r="E259" s="177" t="s">
        <v>529</v>
      </c>
      <c r="F259" s="175">
        <f t="shared" si="9"/>
        <v>6</v>
      </c>
      <c r="G259" s="175" t="str">
        <f t="shared" si="10"/>
        <v>Erie</v>
      </c>
      <c r="H259" s="175" t="str">
        <f t="shared" si="11"/>
        <v>Erie, PA</v>
      </c>
      <c r="I259" s="178" t="s">
        <v>669</v>
      </c>
      <c r="J259" s="27" t="s">
        <v>441</v>
      </c>
      <c r="K259" s="27">
        <v>550</v>
      </c>
      <c r="L259" s="179">
        <v>6279</v>
      </c>
      <c r="M259" s="180" t="s">
        <v>670</v>
      </c>
      <c r="N259" s="181" t="s">
        <v>441</v>
      </c>
      <c r="O259" s="182" t="s">
        <v>671</v>
      </c>
      <c r="P259" s="26"/>
      <c r="Q259" s="27"/>
      <c r="R259" s="183"/>
      <c r="S259" s="27"/>
      <c r="T259" s="27"/>
    </row>
    <row r="260" spans="1:20" ht="12">
      <c r="A260" s="148"/>
      <c r="B260" s="174" t="s">
        <v>530</v>
      </c>
      <c r="C260" s="175" t="s">
        <v>440</v>
      </c>
      <c r="D260" s="176" t="s">
        <v>441</v>
      </c>
      <c r="E260" s="177" t="s">
        <v>529</v>
      </c>
      <c r="F260" s="175">
        <f t="shared" si="9"/>
        <v>6</v>
      </c>
      <c r="G260" s="175" t="str">
        <f t="shared" si="10"/>
        <v>Erie</v>
      </c>
      <c r="H260" s="175" t="str">
        <f t="shared" si="11"/>
        <v>Erie, PA</v>
      </c>
      <c r="I260" s="178" t="s">
        <v>669</v>
      </c>
      <c r="J260" s="27" t="s">
        <v>441</v>
      </c>
      <c r="K260" s="27">
        <v>550</v>
      </c>
      <c r="L260" s="179">
        <v>6279</v>
      </c>
      <c r="M260" s="180" t="s">
        <v>670</v>
      </c>
      <c r="N260" s="181" t="s">
        <v>441</v>
      </c>
      <c r="O260" s="182" t="s">
        <v>671</v>
      </c>
    </row>
    <row r="261" spans="1:20" ht="12">
      <c r="A261" s="148"/>
      <c r="B261" s="174" t="s">
        <v>531</v>
      </c>
      <c r="C261" s="175" t="s">
        <v>1622</v>
      </c>
      <c r="D261" s="176" t="s">
        <v>1623</v>
      </c>
      <c r="E261" s="177" t="s">
        <v>532</v>
      </c>
      <c r="F261" s="175">
        <f t="shared" si="9"/>
        <v>8</v>
      </c>
      <c r="G261" s="175" t="str">
        <f t="shared" si="10"/>
        <v>Eugene</v>
      </c>
      <c r="H261" s="175" t="str">
        <f t="shared" si="11"/>
        <v>Eugene, OR</v>
      </c>
      <c r="I261" s="178" t="s">
        <v>533</v>
      </c>
      <c r="J261" s="27" t="s">
        <v>1623</v>
      </c>
      <c r="K261" s="27">
        <v>300</v>
      </c>
      <c r="L261" s="179">
        <v>4546</v>
      </c>
      <c r="M261" s="180" t="s">
        <v>534</v>
      </c>
      <c r="N261" s="181" t="s">
        <v>1623</v>
      </c>
      <c r="O261" s="182" t="s">
        <v>535</v>
      </c>
    </row>
    <row r="262" spans="1:20" ht="12">
      <c r="A262" s="148"/>
      <c r="B262" s="174" t="s">
        <v>536</v>
      </c>
      <c r="C262" s="175" t="s">
        <v>433</v>
      </c>
      <c r="D262" s="176" t="s">
        <v>434</v>
      </c>
      <c r="E262" s="177" t="s">
        <v>537</v>
      </c>
      <c r="F262" s="175">
        <f t="shared" ref="F262:F325" si="12">LEN(E262)</f>
        <v>8</v>
      </c>
      <c r="G262" s="175" t="str">
        <f t="shared" ref="G262:G325" si="13">MID(E262,2,F262-2)</f>
        <v>Eureka</v>
      </c>
      <c r="H262" s="175" t="str">
        <f t="shared" ref="H262:H325" si="14">CONCATENATE(G262,", ",+D262)</f>
        <v>Eureka, CA</v>
      </c>
      <c r="I262" s="178" t="s">
        <v>538</v>
      </c>
      <c r="J262" s="27" t="s">
        <v>434</v>
      </c>
      <c r="K262" s="188">
        <v>725</v>
      </c>
      <c r="L262" s="179">
        <v>4496</v>
      </c>
      <c r="M262" s="180" t="s">
        <v>539</v>
      </c>
      <c r="N262" s="181" t="s">
        <v>1623</v>
      </c>
      <c r="O262" s="182" t="s">
        <v>540</v>
      </c>
    </row>
    <row r="263" spans="1:20" ht="12">
      <c r="A263" s="148"/>
      <c r="B263" s="174" t="s">
        <v>541</v>
      </c>
      <c r="C263" s="175" t="s">
        <v>1636</v>
      </c>
      <c r="D263" s="176" t="s">
        <v>1637</v>
      </c>
      <c r="E263" s="177" t="s">
        <v>542</v>
      </c>
      <c r="F263" s="175">
        <f t="shared" si="12"/>
        <v>10</v>
      </c>
      <c r="G263" s="175" t="str">
        <f t="shared" si="13"/>
        <v>Evanston</v>
      </c>
      <c r="H263" s="175" t="str">
        <f t="shared" si="14"/>
        <v>Evanston, IL</v>
      </c>
      <c r="I263" s="178" t="s">
        <v>2359</v>
      </c>
      <c r="J263" s="27" t="s">
        <v>1637</v>
      </c>
      <c r="K263" s="27">
        <v>752</v>
      </c>
      <c r="L263" s="179">
        <v>6536</v>
      </c>
      <c r="M263" s="178" t="s">
        <v>2360</v>
      </c>
      <c r="N263" s="27" t="s">
        <v>1637</v>
      </c>
      <c r="O263" s="182" t="s">
        <v>2361</v>
      </c>
    </row>
    <row r="264" spans="1:20" ht="12">
      <c r="A264" s="148"/>
      <c r="B264" s="174" t="s">
        <v>543</v>
      </c>
      <c r="C264" s="175" t="s">
        <v>2269</v>
      </c>
      <c r="D264" s="176" t="s">
        <v>2270</v>
      </c>
      <c r="E264" s="177" t="s">
        <v>2387</v>
      </c>
      <c r="F264" s="175">
        <f t="shared" si="12"/>
        <v>12</v>
      </c>
      <c r="G264" s="175" t="str">
        <f t="shared" si="13"/>
        <v>Evansville</v>
      </c>
      <c r="H264" s="175" t="str">
        <f t="shared" si="14"/>
        <v>Evansville, IN</v>
      </c>
      <c r="I264" s="178" t="s">
        <v>1374</v>
      </c>
      <c r="J264" s="27" t="s">
        <v>2270</v>
      </c>
      <c r="K264" s="27">
        <v>1376</v>
      </c>
      <c r="L264" s="179">
        <v>4708</v>
      </c>
      <c r="M264" s="178" t="s">
        <v>1375</v>
      </c>
      <c r="N264" s="27" t="s">
        <v>2270</v>
      </c>
      <c r="O264" s="182" t="s">
        <v>1376</v>
      </c>
    </row>
    <row r="265" spans="1:20" ht="12">
      <c r="A265" s="148"/>
      <c r="B265" s="174" t="s">
        <v>2388</v>
      </c>
      <c r="C265" s="175" t="s">
        <v>2269</v>
      </c>
      <c r="D265" s="176" t="s">
        <v>2270</v>
      </c>
      <c r="E265" s="177" t="s">
        <v>2387</v>
      </c>
      <c r="F265" s="175">
        <f t="shared" si="12"/>
        <v>12</v>
      </c>
      <c r="G265" s="175" t="str">
        <f t="shared" si="13"/>
        <v>Evansville</v>
      </c>
      <c r="H265" s="175" t="str">
        <f t="shared" si="14"/>
        <v>Evansville, IN</v>
      </c>
      <c r="I265" s="178" t="s">
        <v>1374</v>
      </c>
      <c r="J265" s="27" t="s">
        <v>2270</v>
      </c>
      <c r="K265" s="27">
        <v>1376</v>
      </c>
      <c r="L265" s="179">
        <v>4708</v>
      </c>
      <c r="M265" s="178" t="s">
        <v>1375</v>
      </c>
      <c r="N265" s="27" t="s">
        <v>2270</v>
      </c>
      <c r="O265" s="182" t="s">
        <v>1376</v>
      </c>
    </row>
    <row r="266" spans="1:20" ht="12">
      <c r="A266" s="148"/>
      <c r="B266" s="174" t="s">
        <v>2389</v>
      </c>
      <c r="C266" s="175" t="s">
        <v>584</v>
      </c>
      <c r="D266" s="176" t="s">
        <v>1627</v>
      </c>
      <c r="E266" s="177" t="s">
        <v>2390</v>
      </c>
      <c r="F266" s="175">
        <f t="shared" si="12"/>
        <v>9</v>
      </c>
      <c r="G266" s="175" t="str">
        <f t="shared" si="13"/>
        <v>Everett</v>
      </c>
      <c r="H266" s="175" t="str">
        <f t="shared" si="14"/>
        <v>Everett, WA</v>
      </c>
      <c r="I266" s="178" t="s">
        <v>2391</v>
      </c>
      <c r="J266" s="27" t="s">
        <v>1627</v>
      </c>
      <c r="K266" s="27">
        <v>6</v>
      </c>
      <c r="L266" s="179">
        <v>5858</v>
      </c>
      <c r="M266" s="180" t="s">
        <v>2392</v>
      </c>
      <c r="N266" s="181" t="s">
        <v>1627</v>
      </c>
      <c r="O266" s="182" t="s">
        <v>2393</v>
      </c>
    </row>
    <row r="267" spans="1:20" ht="12">
      <c r="A267" s="148"/>
      <c r="B267" s="174" t="s">
        <v>2394</v>
      </c>
      <c r="C267" s="175" t="s">
        <v>493</v>
      </c>
      <c r="D267" s="176" t="s">
        <v>494</v>
      </c>
      <c r="E267" s="177" t="s">
        <v>2395</v>
      </c>
      <c r="F267" s="175">
        <f t="shared" si="12"/>
        <v>11</v>
      </c>
      <c r="G267" s="175" t="str">
        <f t="shared" si="13"/>
        <v>Evergreen</v>
      </c>
      <c r="H267" s="175" t="str">
        <f t="shared" si="14"/>
        <v>Evergreen, AL</v>
      </c>
      <c r="I267" s="178" t="s">
        <v>1720</v>
      </c>
      <c r="J267" s="27" t="s">
        <v>494</v>
      </c>
      <c r="K267" s="27">
        <v>2212</v>
      </c>
      <c r="L267" s="179">
        <v>2224</v>
      </c>
      <c r="M267" s="178" t="s">
        <v>1721</v>
      </c>
      <c r="N267" s="27" t="s">
        <v>494</v>
      </c>
      <c r="O267" s="187" t="s">
        <v>1722</v>
      </c>
    </row>
    <row r="268" spans="1:20" ht="12">
      <c r="A268" s="148"/>
      <c r="B268" s="174" t="s">
        <v>2396</v>
      </c>
      <c r="C268" s="175" t="s">
        <v>464</v>
      </c>
      <c r="D268" s="176" t="s">
        <v>465</v>
      </c>
      <c r="E268" s="177" t="s">
        <v>2397</v>
      </c>
      <c r="F268" s="175">
        <f t="shared" si="12"/>
        <v>11</v>
      </c>
      <c r="G268" s="175" t="str">
        <f t="shared" si="13"/>
        <v>Fairbanks</v>
      </c>
      <c r="H268" s="175" t="str">
        <f t="shared" si="14"/>
        <v>Fairbanks, AK</v>
      </c>
      <c r="I268" s="178" t="s">
        <v>2398</v>
      </c>
      <c r="J268" s="27" t="s">
        <v>465</v>
      </c>
      <c r="K268" s="27">
        <v>84</v>
      </c>
      <c r="L268" s="179">
        <v>13940</v>
      </c>
      <c r="M268" s="178" t="s">
        <v>2399</v>
      </c>
      <c r="N268" s="27" t="s">
        <v>465</v>
      </c>
      <c r="O268" s="187" t="s">
        <v>2400</v>
      </c>
    </row>
    <row r="269" spans="1:20" ht="12">
      <c r="A269" s="148"/>
      <c r="B269" s="174" t="s">
        <v>1902</v>
      </c>
      <c r="C269" s="175" t="s">
        <v>407</v>
      </c>
      <c r="D269" s="176" t="s">
        <v>408</v>
      </c>
      <c r="E269" s="177" t="s">
        <v>1903</v>
      </c>
      <c r="F269" s="175">
        <f t="shared" si="12"/>
        <v>14</v>
      </c>
      <c r="G269" s="175" t="str">
        <f t="shared" si="13"/>
        <v>Far Rockaway</v>
      </c>
      <c r="H269" s="175" t="str">
        <f t="shared" si="14"/>
        <v>Far Rockaway, NY</v>
      </c>
      <c r="I269" s="178" t="s">
        <v>1904</v>
      </c>
      <c r="J269" s="27" t="s">
        <v>408</v>
      </c>
      <c r="K269" s="27">
        <v>706</v>
      </c>
      <c r="L269" s="179">
        <v>5647</v>
      </c>
      <c r="M269" s="178" t="s">
        <v>684</v>
      </c>
      <c r="N269" s="27" t="s">
        <v>681</v>
      </c>
      <c r="O269" s="182" t="s">
        <v>685</v>
      </c>
    </row>
    <row r="270" spans="1:20" ht="12">
      <c r="A270" s="148"/>
      <c r="B270" s="174" t="s">
        <v>1905</v>
      </c>
      <c r="C270" s="175" t="s">
        <v>1434</v>
      </c>
      <c r="D270" s="176" t="s">
        <v>251</v>
      </c>
      <c r="E270" s="177" t="s">
        <v>1906</v>
      </c>
      <c r="F270" s="175">
        <f t="shared" si="12"/>
        <v>7</v>
      </c>
      <c r="G270" s="175" t="str">
        <f t="shared" si="13"/>
        <v>Fargo</v>
      </c>
      <c r="H270" s="175" t="str">
        <f t="shared" si="14"/>
        <v>Fargo, ND</v>
      </c>
      <c r="I270" s="178" t="s">
        <v>1705</v>
      </c>
      <c r="J270" s="27" t="s">
        <v>251</v>
      </c>
      <c r="K270" s="27">
        <v>537</v>
      </c>
      <c r="L270" s="179">
        <v>9254</v>
      </c>
      <c r="M270" s="180" t="s">
        <v>250</v>
      </c>
      <c r="N270" s="181" t="s">
        <v>251</v>
      </c>
      <c r="O270" s="182" t="s">
        <v>252</v>
      </c>
      <c r="P270" s="26"/>
      <c r="Q270" s="27"/>
      <c r="R270" s="183"/>
      <c r="S270" s="27"/>
      <c r="T270" s="27"/>
    </row>
    <row r="271" spans="1:20" ht="12">
      <c r="A271" s="148"/>
      <c r="B271" s="174" t="s">
        <v>1907</v>
      </c>
      <c r="C271" s="175" t="s">
        <v>1434</v>
      </c>
      <c r="D271" s="176" t="s">
        <v>251</v>
      </c>
      <c r="E271" s="177" t="s">
        <v>1906</v>
      </c>
      <c r="F271" s="175">
        <f t="shared" si="12"/>
        <v>7</v>
      </c>
      <c r="G271" s="175" t="str">
        <f t="shared" si="13"/>
        <v>Fargo</v>
      </c>
      <c r="H271" s="175" t="str">
        <f t="shared" si="14"/>
        <v>Fargo, ND</v>
      </c>
      <c r="I271" s="178" t="s">
        <v>1705</v>
      </c>
      <c r="J271" s="27" t="s">
        <v>251</v>
      </c>
      <c r="K271" s="27">
        <v>537</v>
      </c>
      <c r="L271" s="179">
        <v>9254</v>
      </c>
      <c r="M271" s="180" t="s">
        <v>250</v>
      </c>
      <c r="N271" s="181" t="s">
        <v>251</v>
      </c>
      <c r="O271" s="182" t="s">
        <v>252</v>
      </c>
      <c r="P271" s="26"/>
      <c r="Q271" s="27"/>
      <c r="R271" s="183"/>
      <c r="S271" s="27"/>
      <c r="T271" s="27"/>
    </row>
    <row r="272" spans="1:20" ht="12">
      <c r="A272" s="148"/>
      <c r="B272" s="174" t="s">
        <v>1908</v>
      </c>
      <c r="C272" s="175" t="s">
        <v>415</v>
      </c>
      <c r="D272" s="176" t="s">
        <v>416</v>
      </c>
      <c r="E272" s="177" t="s">
        <v>1909</v>
      </c>
      <c r="F272" s="175">
        <f t="shared" si="12"/>
        <v>12</v>
      </c>
      <c r="G272" s="175" t="str">
        <f t="shared" si="13"/>
        <v>Farmington</v>
      </c>
      <c r="H272" s="175" t="str">
        <f t="shared" si="14"/>
        <v>Farmington, NM</v>
      </c>
      <c r="I272" s="178" t="s">
        <v>1743</v>
      </c>
      <c r="J272" s="27" t="s">
        <v>394</v>
      </c>
      <c r="K272" s="27">
        <v>1183</v>
      </c>
      <c r="L272" s="179">
        <v>5548</v>
      </c>
      <c r="M272" s="178" t="s">
        <v>1744</v>
      </c>
      <c r="N272" s="27" t="s">
        <v>394</v>
      </c>
      <c r="O272" s="182" t="s">
        <v>1745</v>
      </c>
      <c r="P272" s="26"/>
      <c r="Q272" s="27"/>
      <c r="R272" s="183"/>
      <c r="S272" s="27"/>
      <c r="T272" s="27"/>
    </row>
    <row r="273" spans="1:15" ht="12">
      <c r="A273" s="148"/>
      <c r="B273" s="174" t="s">
        <v>1910</v>
      </c>
      <c r="C273" s="175" t="s">
        <v>425</v>
      </c>
      <c r="D273" s="176" t="s">
        <v>426</v>
      </c>
      <c r="E273" s="177" t="s">
        <v>1911</v>
      </c>
      <c r="F273" s="175">
        <f t="shared" si="12"/>
        <v>11</v>
      </c>
      <c r="G273" s="175" t="str">
        <f t="shared" si="13"/>
        <v>Farmville</v>
      </c>
      <c r="H273" s="175" t="str">
        <f t="shared" si="14"/>
        <v>Farmville, VA</v>
      </c>
      <c r="I273" s="178" t="s">
        <v>2339</v>
      </c>
      <c r="J273" s="27" t="s">
        <v>426</v>
      </c>
      <c r="K273" s="27">
        <v>1348</v>
      </c>
      <c r="L273" s="179">
        <v>3963</v>
      </c>
      <c r="M273" s="180" t="s">
        <v>2340</v>
      </c>
      <c r="N273" s="181" t="s">
        <v>426</v>
      </c>
      <c r="O273" s="182" t="s">
        <v>2341</v>
      </c>
    </row>
    <row r="274" spans="1:15" ht="12">
      <c r="A274" s="148"/>
      <c r="B274" s="174" t="s">
        <v>1912</v>
      </c>
      <c r="C274" s="175" t="s">
        <v>1578</v>
      </c>
      <c r="D274" s="176" t="s">
        <v>1579</v>
      </c>
      <c r="E274" s="177" t="s">
        <v>1913</v>
      </c>
      <c r="F274" s="175">
        <f t="shared" si="12"/>
        <v>14</v>
      </c>
      <c r="G274" s="175" t="str">
        <f t="shared" si="13"/>
        <v>Fayetteville</v>
      </c>
      <c r="H274" s="175" t="str">
        <f t="shared" si="14"/>
        <v>Fayetteville, AR</v>
      </c>
      <c r="I274" s="178" t="s">
        <v>1914</v>
      </c>
      <c r="J274" s="27" t="s">
        <v>1367</v>
      </c>
      <c r="K274" s="27">
        <v>1320</v>
      </c>
      <c r="L274" s="179">
        <v>4638</v>
      </c>
      <c r="M274" s="180" t="s">
        <v>1640</v>
      </c>
      <c r="N274" s="181" t="s">
        <v>1367</v>
      </c>
      <c r="O274" s="182" t="s">
        <v>1915</v>
      </c>
    </row>
    <row r="275" spans="1:15" ht="12">
      <c r="A275" s="148"/>
      <c r="B275" s="174" t="s">
        <v>1916</v>
      </c>
      <c r="C275" s="175" t="s">
        <v>472</v>
      </c>
      <c r="D275" s="176" t="s">
        <v>473</v>
      </c>
      <c r="E275" s="177" t="s">
        <v>1913</v>
      </c>
      <c r="F275" s="175">
        <f t="shared" si="12"/>
        <v>14</v>
      </c>
      <c r="G275" s="175" t="str">
        <f t="shared" si="13"/>
        <v>Fayetteville</v>
      </c>
      <c r="H275" s="175" t="str">
        <f t="shared" si="14"/>
        <v>Fayetteville, NC</v>
      </c>
      <c r="I275" s="178" t="s">
        <v>2336</v>
      </c>
      <c r="J275" s="27" t="s">
        <v>473</v>
      </c>
      <c r="K275" s="27">
        <v>1582</v>
      </c>
      <c r="L275" s="179">
        <v>3341</v>
      </c>
      <c r="M275" s="180" t="s">
        <v>2332</v>
      </c>
      <c r="N275" s="181" t="s">
        <v>473</v>
      </c>
      <c r="O275" s="182" t="s">
        <v>2333</v>
      </c>
    </row>
    <row r="276" spans="1:15" ht="12">
      <c r="A276" s="148"/>
      <c r="B276" s="174" t="s">
        <v>1917</v>
      </c>
      <c r="C276" s="175" t="s">
        <v>1300</v>
      </c>
      <c r="D276" s="176" t="s">
        <v>1301</v>
      </c>
      <c r="E276" s="177" t="s">
        <v>1918</v>
      </c>
      <c r="F276" s="175">
        <f t="shared" si="12"/>
        <v>11</v>
      </c>
      <c r="G276" s="175" t="str">
        <f t="shared" si="13"/>
        <v>Flagstaff</v>
      </c>
      <c r="H276" s="175" t="str">
        <f t="shared" si="14"/>
        <v>Flagstaff, AZ</v>
      </c>
      <c r="I276" s="178" t="s">
        <v>1919</v>
      </c>
      <c r="J276" s="27" t="s">
        <v>1301</v>
      </c>
      <c r="K276" s="27">
        <v>145</v>
      </c>
      <c r="L276" s="179">
        <v>7131</v>
      </c>
      <c r="M276" s="178" t="s">
        <v>1920</v>
      </c>
      <c r="N276" s="27" t="s">
        <v>1301</v>
      </c>
      <c r="O276" s="182" t="s">
        <v>1921</v>
      </c>
    </row>
    <row r="277" spans="1:15" ht="12">
      <c r="A277" s="148"/>
      <c r="B277" s="174" t="s">
        <v>1922</v>
      </c>
      <c r="C277" s="175" t="s">
        <v>1366</v>
      </c>
      <c r="D277" s="176" t="s">
        <v>1367</v>
      </c>
      <c r="E277" s="177" t="s">
        <v>1923</v>
      </c>
      <c r="F277" s="175">
        <f t="shared" si="12"/>
        <v>12</v>
      </c>
      <c r="G277" s="175" t="str">
        <f t="shared" si="13"/>
        <v>Flat River</v>
      </c>
      <c r="H277" s="175" t="str">
        <f t="shared" si="14"/>
        <v>Flat River, MO</v>
      </c>
      <c r="I277" s="178" t="s">
        <v>1369</v>
      </c>
      <c r="J277" s="27" t="s">
        <v>1367</v>
      </c>
      <c r="K277" s="27">
        <v>1534</v>
      </c>
      <c r="L277" s="179">
        <v>4758</v>
      </c>
      <c r="M277" s="178" t="s">
        <v>1370</v>
      </c>
      <c r="N277" s="27" t="s">
        <v>1367</v>
      </c>
      <c r="O277" s="182" t="s">
        <v>1371</v>
      </c>
    </row>
    <row r="278" spans="1:15" ht="12">
      <c r="A278" s="148"/>
      <c r="B278" s="174" t="s">
        <v>1924</v>
      </c>
      <c r="C278" s="175" t="s">
        <v>480</v>
      </c>
      <c r="D278" s="176" t="s">
        <v>481</v>
      </c>
      <c r="E278" s="177" t="s">
        <v>1925</v>
      </c>
      <c r="F278" s="175">
        <f t="shared" si="12"/>
        <v>7</v>
      </c>
      <c r="G278" s="175" t="str">
        <f t="shared" si="13"/>
        <v>Flint</v>
      </c>
      <c r="H278" s="175" t="str">
        <f t="shared" si="14"/>
        <v>Flint, MI</v>
      </c>
      <c r="I278" s="178" t="s">
        <v>1926</v>
      </c>
      <c r="J278" s="27" t="s">
        <v>481</v>
      </c>
      <c r="K278" s="27">
        <v>490</v>
      </c>
      <c r="L278" s="179">
        <v>7101</v>
      </c>
      <c r="M278" s="180" t="s">
        <v>1927</v>
      </c>
      <c r="N278" s="181" t="s">
        <v>481</v>
      </c>
      <c r="O278" s="182" t="s">
        <v>1928</v>
      </c>
    </row>
    <row r="279" spans="1:15" ht="12">
      <c r="A279" s="148"/>
      <c r="B279" s="174" t="s">
        <v>1929</v>
      </c>
      <c r="C279" s="175" t="s">
        <v>480</v>
      </c>
      <c r="D279" s="176" t="s">
        <v>481</v>
      </c>
      <c r="E279" s="177" t="s">
        <v>1925</v>
      </c>
      <c r="F279" s="175">
        <f t="shared" si="12"/>
        <v>7</v>
      </c>
      <c r="G279" s="175" t="str">
        <f t="shared" si="13"/>
        <v>Flint</v>
      </c>
      <c r="H279" s="175" t="str">
        <f t="shared" si="14"/>
        <v>Flint, MI</v>
      </c>
      <c r="I279" s="178" t="s">
        <v>1930</v>
      </c>
      <c r="J279" s="27" t="s">
        <v>481</v>
      </c>
      <c r="K279" s="27">
        <v>483</v>
      </c>
      <c r="L279" s="179">
        <v>6979</v>
      </c>
      <c r="M279" s="180" t="s">
        <v>1927</v>
      </c>
      <c r="N279" s="181" t="s">
        <v>481</v>
      </c>
      <c r="O279" s="182" t="s">
        <v>1928</v>
      </c>
    </row>
    <row r="280" spans="1:15" ht="12">
      <c r="A280" s="148"/>
      <c r="B280" s="174" t="s">
        <v>1931</v>
      </c>
      <c r="C280" s="175" t="s">
        <v>274</v>
      </c>
      <c r="D280" s="176" t="s">
        <v>275</v>
      </c>
      <c r="E280" s="177" t="s">
        <v>1932</v>
      </c>
      <c r="F280" s="175">
        <f t="shared" si="12"/>
        <v>10</v>
      </c>
      <c r="G280" s="175" t="str">
        <f t="shared" si="13"/>
        <v>Florence</v>
      </c>
      <c r="H280" s="175" t="str">
        <f t="shared" si="14"/>
        <v>Florence, SC</v>
      </c>
      <c r="I280" s="178" t="s">
        <v>1933</v>
      </c>
      <c r="J280" s="27" t="s">
        <v>473</v>
      </c>
      <c r="K280" s="27">
        <v>1926</v>
      </c>
      <c r="L280" s="179">
        <v>2470</v>
      </c>
      <c r="M280" s="178" t="s">
        <v>278</v>
      </c>
      <c r="N280" s="27" t="s">
        <v>275</v>
      </c>
      <c r="O280" s="182" t="s">
        <v>279</v>
      </c>
    </row>
    <row r="281" spans="1:15" ht="12">
      <c r="A281" s="148"/>
      <c r="B281" s="174" t="s">
        <v>1934</v>
      </c>
      <c r="C281" s="175" t="s">
        <v>407</v>
      </c>
      <c r="D281" s="176" t="s">
        <v>408</v>
      </c>
      <c r="E281" s="177" t="s">
        <v>1935</v>
      </c>
      <c r="F281" s="175">
        <f t="shared" si="12"/>
        <v>10</v>
      </c>
      <c r="G281" s="175" t="str">
        <f t="shared" si="13"/>
        <v>Flushing</v>
      </c>
      <c r="H281" s="175" t="str">
        <f t="shared" si="14"/>
        <v>Flushing, NY</v>
      </c>
      <c r="I281" s="178" t="s">
        <v>1936</v>
      </c>
      <c r="J281" s="27" t="s">
        <v>408</v>
      </c>
      <c r="K281" s="27">
        <v>921</v>
      </c>
      <c r="L281" s="179">
        <v>5027</v>
      </c>
      <c r="M281" s="180" t="s">
        <v>2266</v>
      </c>
      <c r="N281" s="181" t="s">
        <v>408</v>
      </c>
      <c r="O281" s="182" t="s">
        <v>1287</v>
      </c>
    </row>
    <row r="282" spans="1:15" ht="12">
      <c r="A282" s="148"/>
      <c r="B282" s="174" t="s">
        <v>1937</v>
      </c>
      <c r="C282" s="175" t="s">
        <v>1322</v>
      </c>
      <c r="D282" s="176" t="s">
        <v>1323</v>
      </c>
      <c r="E282" s="177" t="s">
        <v>1938</v>
      </c>
      <c r="F282" s="175">
        <f t="shared" si="12"/>
        <v>12</v>
      </c>
      <c r="G282" s="175" t="str">
        <f t="shared" si="13"/>
        <v>Fort Dodge</v>
      </c>
      <c r="H282" s="175" t="str">
        <f t="shared" si="14"/>
        <v>Fort Dodge, IA</v>
      </c>
      <c r="I282" s="178" t="s">
        <v>1386</v>
      </c>
      <c r="J282" s="27" t="s">
        <v>1323</v>
      </c>
      <c r="K282" s="27">
        <v>907</v>
      </c>
      <c r="L282" s="179">
        <v>6893</v>
      </c>
      <c r="M282" s="178" t="s">
        <v>1387</v>
      </c>
      <c r="N282" s="27" t="s">
        <v>1323</v>
      </c>
      <c r="O282" s="182" t="s">
        <v>1388</v>
      </c>
    </row>
    <row r="283" spans="1:15" ht="12">
      <c r="A283" s="148"/>
      <c r="B283" s="174" t="s">
        <v>1939</v>
      </c>
      <c r="C283" s="175" t="s">
        <v>661</v>
      </c>
      <c r="D283" s="176" t="s">
        <v>662</v>
      </c>
      <c r="E283" s="177" t="s">
        <v>1940</v>
      </c>
      <c r="F283" s="175">
        <f t="shared" si="12"/>
        <v>17</v>
      </c>
      <c r="G283" s="175" t="str">
        <f t="shared" si="13"/>
        <v>Fort Lauderdale</v>
      </c>
      <c r="H283" s="175" t="str">
        <f t="shared" si="14"/>
        <v>Fort Lauderdale, FL</v>
      </c>
      <c r="I283" s="178" t="s">
        <v>1941</v>
      </c>
      <c r="J283" s="27" t="s">
        <v>662</v>
      </c>
      <c r="K283" s="27">
        <v>4198</v>
      </c>
      <c r="L283" s="179">
        <v>200</v>
      </c>
      <c r="M283" s="180" t="s">
        <v>1942</v>
      </c>
      <c r="N283" s="181" t="s">
        <v>662</v>
      </c>
      <c r="O283" s="182" t="s">
        <v>1943</v>
      </c>
    </row>
    <row r="284" spans="1:15" ht="12">
      <c r="A284" s="148"/>
      <c r="B284" s="174" t="s">
        <v>1944</v>
      </c>
      <c r="C284" s="175" t="s">
        <v>393</v>
      </c>
      <c r="D284" s="176" t="s">
        <v>394</v>
      </c>
      <c r="E284" s="177" t="s">
        <v>1945</v>
      </c>
      <c r="F284" s="175">
        <f t="shared" si="12"/>
        <v>13</v>
      </c>
      <c r="G284" s="175" t="str">
        <f t="shared" si="13"/>
        <v>Fort Morgan</v>
      </c>
      <c r="H284" s="175" t="str">
        <f t="shared" si="14"/>
        <v>Fort Morgan, CO</v>
      </c>
      <c r="I284" s="178" t="s">
        <v>1503</v>
      </c>
      <c r="J284" s="27" t="s">
        <v>394</v>
      </c>
      <c r="K284" s="27">
        <v>419</v>
      </c>
      <c r="L284" s="179">
        <v>6415</v>
      </c>
      <c r="M284" s="178" t="s">
        <v>397</v>
      </c>
      <c r="N284" s="27" t="s">
        <v>394</v>
      </c>
      <c r="O284" s="182" t="s">
        <v>398</v>
      </c>
    </row>
    <row r="285" spans="1:15" ht="12">
      <c r="A285" s="148"/>
      <c r="B285" s="174" t="s">
        <v>1946</v>
      </c>
      <c r="C285" s="175" t="s">
        <v>661</v>
      </c>
      <c r="D285" s="176" t="s">
        <v>662</v>
      </c>
      <c r="E285" s="177" t="s">
        <v>1947</v>
      </c>
      <c r="F285" s="175">
        <f t="shared" si="12"/>
        <v>12</v>
      </c>
      <c r="G285" s="175" t="str">
        <f t="shared" si="13"/>
        <v>Fort Myers</v>
      </c>
      <c r="H285" s="175" t="str">
        <f t="shared" si="14"/>
        <v>Fort Myers, FL</v>
      </c>
      <c r="I285" s="178" t="s">
        <v>1948</v>
      </c>
      <c r="J285" s="27" t="s">
        <v>662</v>
      </c>
      <c r="K285" s="27">
        <v>3855</v>
      </c>
      <c r="L285" s="179">
        <v>418</v>
      </c>
      <c r="M285" s="178" t="s">
        <v>665</v>
      </c>
      <c r="N285" s="27" t="s">
        <v>662</v>
      </c>
      <c r="O285" s="182" t="s">
        <v>666</v>
      </c>
    </row>
    <row r="286" spans="1:15" ht="12">
      <c r="A286" s="148"/>
      <c r="B286" s="174" t="s">
        <v>1949</v>
      </c>
      <c r="C286" s="175" t="s">
        <v>661</v>
      </c>
      <c r="D286" s="176" t="s">
        <v>662</v>
      </c>
      <c r="E286" s="177" t="s">
        <v>1950</v>
      </c>
      <c r="F286" s="175">
        <f t="shared" si="12"/>
        <v>13</v>
      </c>
      <c r="G286" s="175" t="str">
        <f t="shared" si="13"/>
        <v>Fort Pierce</v>
      </c>
      <c r="H286" s="175" t="str">
        <f t="shared" si="14"/>
        <v>Fort Pierce, FL</v>
      </c>
      <c r="I286" s="178" t="s">
        <v>664</v>
      </c>
      <c r="J286" s="27" t="s">
        <v>662</v>
      </c>
      <c r="K286" s="27">
        <v>3427</v>
      </c>
      <c r="L286" s="179">
        <v>725</v>
      </c>
      <c r="M286" s="178" t="s">
        <v>665</v>
      </c>
      <c r="N286" s="27" t="s">
        <v>662</v>
      </c>
      <c r="O286" s="182" t="s">
        <v>666</v>
      </c>
    </row>
    <row r="287" spans="1:15" ht="12">
      <c r="A287" s="148"/>
      <c r="B287" s="174" t="s">
        <v>1951</v>
      </c>
      <c r="C287" s="175" t="s">
        <v>1495</v>
      </c>
      <c r="D287" s="176" t="s">
        <v>1496</v>
      </c>
      <c r="E287" s="177" t="s">
        <v>1952</v>
      </c>
      <c r="F287" s="175">
        <f t="shared" si="12"/>
        <v>12</v>
      </c>
      <c r="G287" s="175" t="str">
        <f t="shared" si="13"/>
        <v>Fort Scott</v>
      </c>
      <c r="H287" s="175" t="str">
        <f t="shared" si="14"/>
        <v>Fort Scott, KS</v>
      </c>
      <c r="I287" s="178" t="s">
        <v>1914</v>
      </c>
      <c r="J287" s="27" t="s">
        <v>1367</v>
      </c>
      <c r="K287" s="27">
        <v>1320</v>
      </c>
      <c r="L287" s="179">
        <v>4638</v>
      </c>
      <c r="M287" s="180" t="s">
        <v>1640</v>
      </c>
      <c r="N287" s="181" t="s">
        <v>1367</v>
      </c>
      <c r="O287" s="182" t="s">
        <v>1915</v>
      </c>
    </row>
    <row r="288" spans="1:15" ht="12">
      <c r="A288" s="148"/>
      <c r="B288" s="174" t="s">
        <v>1953</v>
      </c>
      <c r="C288" s="175" t="s">
        <v>1578</v>
      </c>
      <c r="D288" s="176" t="s">
        <v>1579</v>
      </c>
      <c r="E288" s="177" t="s">
        <v>1954</v>
      </c>
      <c r="F288" s="175">
        <f t="shared" si="12"/>
        <v>12</v>
      </c>
      <c r="G288" s="175" t="str">
        <f t="shared" si="13"/>
        <v>Fort Smith</v>
      </c>
      <c r="H288" s="175" t="str">
        <f t="shared" si="14"/>
        <v>Fort Smith, AR</v>
      </c>
      <c r="I288" s="178" t="s">
        <v>1955</v>
      </c>
      <c r="J288" s="27" t="s">
        <v>1579</v>
      </c>
      <c r="K288" s="27">
        <v>1894</v>
      </c>
      <c r="L288" s="179">
        <v>3478</v>
      </c>
      <c r="M288" s="178" t="s">
        <v>1956</v>
      </c>
      <c r="N288" s="27" t="s">
        <v>1579</v>
      </c>
      <c r="O288" s="182" t="s">
        <v>1957</v>
      </c>
    </row>
    <row r="289" spans="1:15" ht="12">
      <c r="A289" s="148"/>
      <c r="B289" s="174" t="s">
        <v>1958</v>
      </c>
      <c r="C289" s="175" t="s">
        <v>2269</v>
      </c>
      <c r="D289" s="176" t="s">
        <v>2270</v>
      </c>
      <c r="E289" s="177" t="s">
        <v>1959</v>
      </c>
      <c r="F289" s="175">
        <f t="shared" si="12"/>
        <v>12</v>
      </c>
      <c r="G289" s="175" t="str">
        <f t="shared" si="13"/>
        <v>Fort Wayne</v>
      </c>
      <c r="H289" s="175" t="str">
        <f t="shared" si="14"/>
        <v>Fort Wayne, IN</v>
      </c>
      <c r="I289" s="178" t="s">
        <v>1960</v>
      </c>
      <c r="J289" s="27" t="s">
        <v>2270</v>
      </c>
      <c r="K289" s="27">
        <v>728</v>
      </c>
      <c r="L289" s="179">
        <v>6331</v>
      </c>
      <c r="M289" s="178" t="s">
        <v>1961</v>
      </c>
      <c r="N289" s="27" t="s">
        <v>2270</v>
      </c>
      <c r="O289" s="182" t="s">
        <v>1962</v>
      </c>
    </row>
    <row r="290" spans="1:15" ht="12">
      <c r="A290" s="148"/>
      <c r="B290" s="174" t="s">
        <v>1963</v>
      </c>
      <c r="C290" s="175" t="s">
        <v>2269</v>
      </c>
      <c r="D290" s="176" t="s">
        <v>2270</v>
      </c>
      <c r="E290" s="177" t="s">
        <v>1959</v>
      </c>
      <c r="F290" s="175">
        <f t="shared" si="12"/>
        <v>12</v>
      </c>
      <c r="G290" s="175" t="str">
        <f t="shared" si="13"/>
        <v>Fort Wayne</v>
      </c>
      <c r="H290" s="175" t="str">
        <f t="shared" si="14"/>
        <v>Fort Wayne, IN</v>
      </c>
      <c r="I290" s="178" t="s">
        <v>1964</v>
      </c>
      <c r="J290" s="27" t="s">
        <v>2270</v>
      </c>
      <c r="K290" s="27">
        <v>824</v>
      </c>
      <c r="L290" s="179">
        <v>6273</v>
      </c>
      <c r="M290" s="178" t="s">
        <v>1961</v>
      </c>
      <c r="N290" s="27" t="s">
        <v>2270</v>
      </c>
      <c r="O290" s="182" t="s">
        <v>1962</v>
      </c>
    </row>
    <row r="291" spans="1:15" ht="12">
      <c r="A291" s="148"/>
      <c r="B291" s="174" t="s">
        <v>1965</v>
      </c>
      <c r="C291" s="175" t="s">
        <v>254</v>
      </c>
      <c r="D291" s="176" t="s">
        <v>255</v>
      </c>
      <c r="E291" s="177" t="s">
        <v>1966</v>
      </c>
      <c r="F291" s="175">
        <f t="shared" si="12"/>
        <v>12</v>
      </c>
      <c r="G291" s="175" t="str">
        <f t="shared" si="13"/>
        <v>Fort Worth</v>
      </c>
      <c r="H291" s="175" t="str">
        <f t="shared" si="14"/>
        <v>Fort Worth, TX</v>
      </c>
      <c r="I291" s="178" t="s">
        <v>503</v>
      </c>
      <c r="J291" s="27" t="s">
        <v>255</v>
      </c>
      <c r="K291" s="27">
        <v>2603</v>
      </c>
      <c r="L291" s="179">
        <v>2407</v>
      </c>
      <c r="M291" s="180" t="s">
        <v>504</v>
      </c>
      <c r="N291" s="181" t="s">
        <v>255</v>
      </c>
      <c r="O291" s="182" t="s">
        <v>505</v>
      </c>
    </row>
    <row r="292" spans="1:15" ht="12">
      <c r="A292" s="148"/>
      <c r="B292" s="174" t="s">
        <v>1967</v>
      </c>
      <c r="C292" s="175" t="s">
        <v>254</v>
      </c>
      <c r="D292" s="176" t="s">
        <v>255</v>
      </c>
      <c r="E292" s="177" t="s">
        <v>1966</v>
      </c>
      <c r="F292" s="175">
        <f t="shared" si="12"/>
        <v>12</v>
      </c>
      <c r="G292" s="175" t="str">
        <f t="shared" si="13"/>
        <v>Fort Worth</v>
      </c>
      <c r="H292" s="175" t="str">
        <f t="shared" si="14"/>
        <v>Fort Worth, TX</v>
      </c>
      <c r="I292" s="178" t="s">
        <v>503</v>
      </c>
      <c r="J292" s="27" t="s">
        <v>255</v>
      </c>
      <c r="K292" s="27">
        <v>2603</v>
      </c>
      <c r="L292" s="179">
        <v>2407</v>
      </c>
      <c r="M292" s="180" t="s">
        <v>504</v>
      </c>
      <c r="N292" s="181" t="s">
        <v>255</v>
      </c>
      <c r="O292" s="182" t="s">
        <v>505</v>
      </c>
    </row>
    <row r="293" spans="1:15" ht="12">
      <c r="A293" s="148"/>
      <c r="B293" s="186" t="s">
        <v>1968</v>
      </c>
      <c r="C293" s="175" t="s">
        <v>2288</v>
      </c>
      <c r="D293" s="176" t="s">
        <v>2289</v>
      </c>
      <c r="E293" s="177" t="s">
        <v>1969</v>
      </c>
      <c r="F293" s="175">
        <f t="shared" si="12"/>
        <v>12</v>
      </c>
      <c r="G293" s="175" t="str">
        <f t="shared" si="13"/>
        <v>Framingham</v>
      </c>
      <c r="H293" s="175" t="str">
        <f t="shared" si="14"/>
        <v>Framingham, MA</v>
      </c>
      <c r="I293" s="178" t="s">
        <v>640</v>
      </c>
      <c r="J293" s="27" t="s">
        <v>2289</v>
      </c>
      <c r="K293" s="27">
        <v>333</v>
      </c>
      <c r="L293" s="179">
        <v>6979</v>
      </c>
      <c r="M293" s="180" t="s">
        <v>641</v>
      </c>
      <c r="N293" s="181" t="s">
        <v>2289</v>
      </c>
      <c r="O293" s="182" t="s">
        <v>642</v>
      </c>
    </row>
    <row r="294" spans="1:15" ht="12">
      <c r="A294" s="148"/>
      <c r="B294" s="174" t="s">
        <v>1970</v>
      </c>
      <c r="C294" s="175" t="s">
        <v>516</v>
      </c>
      <c r="D294" s="176" t="s">
        <v>517</v>
      </c>
      <c r="E294" s="177" t="s">
        <v>1971</v>
      </c>
      <c r="F294" s="175">
        <f t="shared" si="12"/>
        <v>11</v>
      </c>
      <c r="G294" s="175" t="str">
        <f t="shared" si="13"/>
        <v>Frankfort</v>
      </c>
      <c r="H294" s="175" t="str">
        <f t="shared" si="14"/>
        <v>Frankfort, KY</v>
      </c>
      <c r="I294" s="178" t="s">
        <v>1514</v>
      </c>
      <c r="J294" s="27" t="s">
        <v>517</v>
      </c>
      <c r="K294" s="27">
        <v>1140</v>
      </c>
      <c r="L294" s="179">
        <v>4783</v>
      </c>
      <c r="M294" s="180" t="s">
        <v>1515</v>
      </c>
      <c r="N294" s="181" t="s">
        <v>517</v>
      </c>
      <c r="O294" s="182" t="s">
        <v>1516</v>
      </c>
    </row>
    <row r="295" spans="1:15" ht="12">
      <c r="A295" s="148"/>
      <c r="B295" s="174" t="s">
        <v>1972</v>
      </c>
      <c r="C295" s="175" t="s">
        <v>487</v>
      </c>
      <c r="D295" s="176" t="s">
        <v>430</v>
      </c>
      <c r="E295" s="177" t="s">
        <v>1973</v>
      </c>
      <c r="F295" s="175">
        <f t="shared" si="12"/>
        <v>11</v>
      </c>
      <c r="G295" s="175" t="str">
        <f t="shared" si="13"/>
        <v>Frederick</v>
      </c>
      <c r="H295" s="175" t="str">
        <f t="shared" si="14"/>
        <v>Frederick, MD</v>
      </c>
      <c r="I295" s="178" t="s">
        <v>489</v>
      </c>
      <c r="J295" s="27" t="s">
        <v>430</v>
      </c>
      <c r="K295" s="27">
        <v>1137</v>
      </c>
      <c r="L295" s="179">
        <v>4707</v>
      </c>
      <c r="M295" s="180" t="s">
        <v>490</v>
      </c>
      <c r="N295" s="181" t="s">
        <v>430</v>
      </c>
      <c r="O295" s="182" t="s">
        <v>491</v>
      </c>
    </row>
    <row r="296" spans="1:15" ht="12">
      <c r="A296" s="148"/>
      <c r="B296" s="174" t="s">
        <v>1974</v>
      </c>
      <c r="C296" s="175" t="s">
        <v>425</v>
      </c>
      <c r="D296" s="176" t="s">
        <v>426</v>
      </c>
      <c r="E296" s="177" t="s">
        <v>1975</v>
      </c>
      <c r="F296" s="175">
        <f t="shared" si="12"/>
        <v>16</v>
      </c>
      <c r="G296" s="175" t="str">
        <f t="shared" si="13"/>
        <v>Fredericksburg</v>
      </c>
      <c r="H296" s="175" t="str">
        <f t="shared" si="14"/>
        <v>Fredericksburg, VA</v>
      </c>
      <c r="I296" s="178" t="s">
        <v>2339</v>
      </c>
      <c r="J296" s="27" t="s">
        <v>426</v>
      </c>
      <c r="K296" s="27">
        <v>1348</v>
      </c>
      <c r="L296" s="179">
        <v>3963</v>
      </c>
      <c r="M296" s="180" t="s">
        <v>2340</v>
      </c>
      <c r="N296" s="181" t="s">
        <v>426</v>
      </c>
      <c r="O296" s="182" t="s">
        <v>2341</v>
      </c>
    </row>
    <row r="297" spans="1:15" ht="12">
      <c r="A297" s="148"/>
      <c r="B297" s="174" t="s">
        <v>1976</v>
      </c>
      <c r="C297" s="175" t="s">
        <v>425</v>
      </c>
      <c r="D297" s="176" t="s">
        <v>426</v>
      </c>
      <c r="E297" s="177" t="s">
        <v>1975</v>
      </c>
      <c r="F297" s="175">
        <f t="shared" si="12"/>
        <v>16</v>
      </c>
      <c r="G297" s="175" t="str">
        <f t="shared" si="13"/>
        <v>Fredericksburg</v>
      </c>
      <c r="H297" s="175" t="str">
        <f t="shared" si="14"/>
        <v>Fredericksburg, VA</v>
      </c>
      <c r="I297" s="178" t="s">
        <v>2339</v>
      </c>
      <c r="J297" s="27" t="s">
        <v>426</v>
      </c>
      <c r="K297" s="27">
        <v>1348</v>
      </c>
      <c r="L297" s="179">
        <v>3963</v>
      </c>
      <c r="M297" s="180" t="s">
        <v>2340</v>
      </c>
      <c r="N297" s="181" t="s">
        <v>426</v>
      </c>
      <c r="O297" s="182" t="s">
        <v>2341</v>
      </c>
    </row>
    <row r="298" spans="1:15" ht="12">
      <c r="A298" s="148"/>
      <c r="B298" s="174" t="s">
        <v>1977</v>
      </c>
      <c r="C298" s="175" t="s">
        <v>433</v>
      </c>
      <c r="D298" s="176" t="s">
        <v>434</v>
      </c>
      <c r="E298" s="177" t="s">
        <v>1978</v>
      </c>
      <c r="F298" s="175">
        <f t="shared" si="12"/>
        <v>8</v>
      </c>
      <c r="G298" s="175" t="str">
        <f t="shared" si="13"/>
        <v>Fresno</v>
      </c>
      <c r="H298" s="175" t="str">
        <f t="shared" si="14"/>
        <v>Fresno, CA</v>
      </c>
      <c r="I298" s="178" t="s">
        <v>1569</v>
      </c>
      <c r="J298" s="27" t="s">
        <v>434</v>
      </c>
      <c r="K298" s="27">
        <v>1967</v>
      </c>
      <c r="L298" s="179">
        <v>2556</v>
      </c>
      <c r="M298" s="178" t="s">
        <v>1565</v>
      </c>
      <c r="N298" s="27" t="s">
        <v>434</v>
      </c>
      <c r="O298" s="182" t="s">
        <v>1566</v>
      </c>
    </row>
    <row r="299" spans="1:15" ht="12">
      <c r="A299" s="148"/>
      <c r="B299" s="174" t="s">
        <v>1979</v>
      </c>
      <c r="C299" s="175" t="s">
        <v>433</v>
      </c>
      <c r="D299" s="176" t="s">
        <v>434</v>
      </c>
      <c r="E299" s="177" t="s">
        <v>1978</v>
      </c>
      <c r="F299" s="175">
        <f t="shared" si="12"/>
        <v>8</v>
      </c>
      <c r="G299" s="175" t="str">
        <f t="shared" si="13"/>
        <v>Fresno</v>
      </c>
      <c r="H299" s="175" t="str">
        <f t="shared" si="14"/>
        <v>Fresno, CA</v>
      </c>
      <c r="I299" s="178" t="s">
        <v>1569</v>
      </c>
      <c r="J299" s="27" t="s">
        <v>434</v>
      </c>
      <c r="K299" s="27">
        <v>1967</v>
      </c>
      <c r="L299" s="179">
        <v>2556</v>
      </c>
      <c r="M299" s="178" t="s">
        <v>1565</v>
      </c>
      <c r="N299" s="27" t="s">
        <v>434</v>
      </c>
      <c r="O299" s="182" t="s">
        <v>1566</v>
      </c>
    </row>
    <row r="300" spans="1:15" ht="12">
      <c r="A300" s="148"/>
      <c r="B300" s="174" t="s">
        <v>1980</v>
      </c>
      <c r="C300" s="175" t="s">
        <v>493</v>
      </c>
      <c r="D300" s="176" t="s">
        <v>494</v>
      </c>
      <c r="E300" s="177" t="s">
        <v>1981</v>
      </c>
      <c r="F300" s="175">
        <f t="shared" si="12"/>
        <v>9</v>
      </c>
      <c r="G300" s="175" t="str">
        <f t="shared" si="13"/>
        <v>Gadsden</v>
      </c>
      <c r="H300" s="175" t="str">
        <f t="shared" si="14"/>
        <v>Gadsden, AL</v>
      </c>
      <c r="I300" s="178" t="s">
        <v>1532</v>
      </c>
      <c r="J300" s="27" t="s">
        <v>401</v>
      </c>
      <c r="K300" s="27">
        <v>1667</v>
      </c>
      <c r="L300" s="179">
        <v>2991</v>
      </c>
      <c r="M300" s="178" t="s">
        <v>1525</v>
      </c>
      <c r="N300" s="27" t="s">
        <v>401</v>
      </c>
      <c r="O300" s="182" t="s">
        <v>1526</v>
      </c>
    </row>
    <row r="301" spans="1:15" ht="12">
      <c r="A301" s="148"/>
      <c r="B301" s="174" t="s">
        <v>1982</v>
      </c>
      <c r="C301" s="175" t="s">
        <v>661</v>
      </c>
      <c r="D301" s="176" t="s">
        <v>662</v>
      </c>
      <c r="E301" s="177" t="s">
        <v>1983</v>
      </c>
      <c r="F301" s="175">
        <f t="shared" si="12"/>
        <v>13</v>
      </c>
      <c r="G301" s="175" t="str">
        <f t="shared" si="13"/>
        <v>Gainesville</v>
      </c>
      <c r="H301" s="175" t="str">
        <f t="shared" si="14"/>
        <v>Gainesville, FL</v>
      </c>
      <c r="I301" s="178" t="s">
        <v>1984</v>
      </c>
      <c r="J301" s="27" t="s">
        <v>662</v>
      </c>
      <c r="K301" s="27">
        <v>2609</v>
      </c>
      <c r="L301" s="179">
        <v>1267</v>
      </c>
      <c r="M301" s="178" t="s">
        <v>1985</v>
      </c>
      <c r="N301" s="27" t="s">
        <v>662</v>
      </c>
      <c r="O301" s="182" t="s">
        <v>1986</v>
      </c>
    </row>
    <row r="302" spans="1:15" ht="12">
      <c r="A302" s="148"/>
      <c r="B302" s="174" t="s">
        <v>1987</v>
      </c>
      <c r="C302" s="175" t="s">
        <v>400</v>
      </c>
      <c r="D302" s="176" t="s">
        <v>401</v>
      </c>
      <c r="E302" s="177" t="s">
        <v>1983</v>
      </c>
      <c r="F302" s="175">
        <f t="shared" si="12"/>
        <v>13</v>
      </c>
      <c r="G302" s="175" t="str">
        <f t="shared" si="13"/>
        <v>Gainesville</v>
      </c>
      <c r="H302" s="175" t="str">
        <f t="shared" si="14"/>
        <v>Gainesville, GA</v>
      </c>
      <c r="I302" s="178" t="s">
        <v>2331</v>
      </c>
      <c r="J302" s="27" t="s">
        <v>275</v>
      </c>
      <c r="K302" s="27">
        <v>1473</v>
      </c>
      <c r="L302" s="179">
        <v>3272</v>
      </c>
      <c r="M302" s="178" t="s">
        <v>1525</v>
      </c>
      <c r="N302" s="27" t="s">
        <v>401</v>
      </c>
      <c r="O302" s="182" t="s">
        <v>1526</v>
      </c>
    </row>
    <row r="303" spans="1:15" ht="12">
      <c r="A303" s="148"/>
      <c r="B303" s="174" t="s">
        <v>1988</v>
      </c>
      <c r="C303" s="175" t="s">
        <v>1636</v>
      </c>
      <c r="D303" s="176" t="s">
        <v>1637</v>
      </c>
      <c r="E303" s="177" t="s">
        <v>1989</v>
      </c>
      <c r="F303" s="175">
        <f t="shared" si="12"/>
        <v>11</v>
      </c>
      <c r="G303" s="175" t="str">
        <f t="shared" si="13"/>
        <v>Galesburg</v>
      </c>
      <c r="H303" s="175" t="str">
        <f t="shared" si="14"/>
        <v>Galesburg, IL</v>
      </c>
      <c r="I303" s="178" t="s">
        <v>1325</v>
      </c>
      <c r="J303" s="27" t="s">
        <v>1637</v>
      </c>
      <c r="K303" s="27">
        <v>911</v>
      </c>
      <c r="L303" s="179">
        <v>6474</v>
      </c>
      <c r="M303" s="178" t="s">
        <v>1990</v>
      </c>
      <c r="N303" s="27" t="s">
        <v>1637</v>
      </c>
      <c r="O303" s="182" t="s">
        <v>1991</v>
      </c>
    </row>
    <row r="304" spans="1:15" ht="12">
      <c r="A304" s="148"/>
      <c r="B304" s="174" t="s">
        <v>1992</v>
      </c>
      <c r="C304" s="175" t="s">
        <v>415</v>
      </c>
      <c r="D304" s="176" t="s">
        <v>416</v>
      </c>
      <c r="E304" s="177" t="s">
        <v>1993</v>
      </c>
      <c r="F304" s="175">
        <f t="shared" si="12"/>
        <v>8</v>
      </c>
      <c r="G304" s="175" t="str">
        <f t="shared" si="13"/>
        <v>Gallup</v>
      </c>
      <c r="H304" s="175" t="str">
        <f t="shared" si="14"/>
        <v>Gallup, NM</v>
      </c>
      <c r="I304" s="178" t="s">
        <v>418</v>
      </c>
      <c r="J304" s="27" t="s">
        <v>416</v>
      </c>
      <c r="K304" s="27">
        <v>1244</v>
      </c>
      <c r="L304" s="179">
        <v>4425</v>
      </c>
      <c r="M304" s="180" t="s">
        <v>419</v>
      </c>
      <c r="N304" s="181" t="s">
        <v>416</v>
      </c>
      <c r="O304" s="182" t="s">
        <v>420</v>
      </c>
    </row>
    <row r="305" spans="1:15" ht="12">
      <c r="A305" s="148"/>
      <c r="B305" s="174" t="s">
        <v>1994</v>
      </c>
      <c r="C305" s="175" t="s">
        <v>254</v>
      </c>
      <c r="D305" s="176" t="s">
        <v>255</v>
      </c>
      <c r="E305" s="177" t="s">
        <v>1995</v>
      </c>
      <c r="F305" s="175">
        <f t="shared" si="12"/>
        <v>11</v>
      </c>
      <c r="G305" s="175" t="str">
        <f t="shared" si="13"/>
        <v>Galveston</v>
      </c>
      <c r="H305" s="175" t="str">
        <f t="shared" si="14"/>
        <v>Galveston, TX</v>
      </c>
      <c r="I305" s="178" t="s">
        <v>1996</v>
      </c>
      <c r="J305" s="27" t="s">
        <v>255</v>
      </c>
      <c r="K305" s="27">
        <v>2994</v>
      </c>
      <c r="L305" s="179">
        <v>1263</v>
      </c>
      <c r="M305" s="180" t="s">
        <v>1602</v>
      </c>
      <c r="N305" s="181" t="s">
        <v>255</v>
      </c>
      <c r="O305" s="182" t="s">
        <v>1603</v>
      </c>
    </row>
    <row r="306" spans="1:15" ht="12">
      <c r="A306" s="148"/>
      <c r="B306" s="174" t="s">
        <v>1997</v>
      </c>
      <c r="C306" s="175" t="s">
        <v>2269</v>
      </c>
      <c r="D306" s="176" t="s">
        <v>2270</v>
      </c>
      <c r="E306" s="177" t="s">
        <v>1998</v>
      </c>
      <c r="F306" s="175">
        <f t="shared" si="12"/>
        <v>6</v>
      </c>
      <c r="G306" s="175" t="str">
        <f t="shared" si="13"/>
        <v>Gary</v>
      </c>
      <c r="H306" s="175" t="str">
        <f t="shared" si="14"/>
        <v>Gary, IN</v>
      </c>
      <c r="I306" s="178" t="s">
        <v>1960</v>
      </c>
      <c r="J306" s="27" t="s">
        <v>2270</v>
      </c>
      <c r="K306" s="27">
        <v>728</v>
      </c>
      <c r="L306" s="179">
        <v>6331</v>
      </c>
      <c r="M306" s="178" t="s">
        <v>1999</v>
      </c>
      <c r="N306" s="27" t="s">
        <v>2270</v>
      </c>
      <c r="O306" s="182" t="s">
        <v>2000</v>
      </c>
    </row>
    <row r="307" spans="1:15" ht="12">
      <c r="A307" s="148"/>
      <c r="B307" s="174" t="s">
        <v>2001</v>
      </c>
      <c r="C307" s="175" t="s">
        <v>2269</v>
      </c>
      <c r="D307" s="176" t="s">
        <v>2270</v>
      </c>
      <c r="E307" s="177" t="s">
        <v>1998</v>
      </c>
      <c r="F307" s="175">
        <f t="shared" si="12"/>
        <v>6</v>
      </c>
      <c r="G307" s="175" t="str">
        <f t="shared" si="13"/>
        <v>Gary</v>
      </c>
      <c r="H307" s="175" t="str">
        <f t="shared" si="14"/>
        <v>Gary, IN</v>
      </c>
      <c r="I307" s="178" t="s">
        <v>2359</v>
      </c>
      <c r="J307" s="27" t="s">
        <v>1637</v>
      </c>
      <c r="K307" s="27">
        <v>752</v>
      </c>
      <c r="L307" s="179">
        <v>6536</v>
      </c>
      <c r="M307" s="178" t="s">
        <v>2360</v>
      </c>
      <c r="N307" s="27" t="s">
        <v>1637</v>
      </c>
      <c r="O307" s="182" t="s">
        <v>2361</v>
      </c>
    </row>
    <row r="308" spans="1:15" ht="12">
      <c r="A308" s="148"/>
      <c r="B308" s="174" t="s">
        <v>2002</v>
      </c>
      <c r="C308" s="175" t="s">
        <v>1606</v>
      </c>
      <c r="D308" s="176" t="s">
        <v>1519</v>
      </c>
      <c r="E308" s="177" t="s">
        <v>2003</v>
      </c>
      <c r="F308" s="175">
        <f t="shared" si="12"/>
        <v>10</v>
      </c>
      <c r="G308" s="175" t="str">
        <f t="shared" si="13"/>
        <v>Gassaway</v>
      </c>
      <c r="H308" s="175" t="str">
        <f t="shared" si="14"/>
        <v>Gassaway, WV</v>
      </c>
      <c r="I308" s="178" t="s">
        <v>1308</v>
      </c>
      <c r="J308" s="27" t="s">
        <v>1519</v>
      </c>
      <c r="K308" s="27">
        <v>1031</v>
      </c>
      <c r="L308" s="179">
        <v>4646</v>
      </c>
      <c r="M308" s="180" t="s">
        <v>1520</v>
      </c>
      <c r="N308" s="181" t="s">
        <v>1519</v>
      </c>
      <c r="O308" s="182" t="s">
        <v>1521</v>
      </c>
    </row>
    <row r="309" spans="1:15" ht="12">
      <c r="A309" s="148"/>
      <c r="B309" s="174" t="s">
        <v>2004</v>
      </c>
      <c r="C309" s="175" t="s">
        <v>254</v>
      </c>
      <c r="D309" s="176" t="s">
        <v>255</v>
      </c>
      <c r="E309" s="177" t="s">
        <v>2005</v>
      </c>
      <c r="F309" s="175">
        <f t="shared" si="12"/>
        <v>10</v>
      </c>
      <c r="G309" s="175" t="str">
        <f t="shared" si="13"/>
        <v>Giddings</v>
      </c>
      <c r="H309" s="175" t="str">
        <f t="shared" si="14"/>
        <v>Giddings, TX</v>
      </c>
      <c r="I309" s="178" t="s">
        <v>1561</v>
      </c>
      <c r="J309" s="27" t="s">
        <v>255</v>
      </c>
      <c r="K309" s="27">
        <v>3016</v>
      </c>
      <c r="L309" s="179">
        <v>1688</v>
      </c>
      <c r="M309" s="180" t="s">
        <v>1558</v>
      </c>
      <c r="N309" s="181" t="s">
        <v>255</v>
      </c>
      <c r="O309" s="182" t="s">
        <v>1559</v>
      </c>
    </row>
    <row r="310" spans="1:15" ht="12">
      <c r="A310" s="148"/>
      <c r="B310" s="174" t="s">
        <v>2006</v>
      </c>
      <c r="C310" s="175" t="s">
        <v>1402</v>
      </c>
      <c r="D310" s="176" t="s">
        <v>1403</v>
      </c>
      <c r="E310" s="177" t="s">
        <v>2007</v>
      </c>
      <c r="F310" s="175">
        <f t="shared" si="12"/>
        <v>10</v>
      </c>
      <c r="G310" s="175" t="str">
        <f t="shared" si="13"/>
        <v>Gillette</v>
      </c>
      <c r="H310" s="175" t="str">
        <f t="shared" si="14"/>
        <v>Gillette, WY</v>
      </c>
      <c r="I310" s="178" t="s">
        <v>2008</v>
      </c>
      <c r="J310" s="27" t="s">
        <v>1403</v>
      </c>
      <c r="K310" s="27">
        <v>445</v>
      </c>
      <c r="L310" s="179">
        <v>7682</v>
      </c>
      <c r="M310" s="180" t="s">
        <v>1406</v>
      </c>
      <c r="N310" s="181" t="s">
        <v>1403</v>
      </c>
      <c r="O310" s="182" t="s">
        <v>2304</v>
      </c>
    </row>
    <row r="311" spans="1:15" ht="12">
      <c r="A311" s="148"/>
      <c r="B311" s="174" t="s">
        <v>2009</v>
      </c>
      <c r="C311" s="175" t="s">
        <v>433</v>
      </c>
      <c r="D311" s="176" t="s">
        <v>434</v>
      </c>
      <c r="E311" s="177" t="s">
        <v>2010</v>
      </c>
      <c r="F311" s="175">
        <f t="shared" si="12"/>
        <v>8</v>
      </c>
      <c r="G311" s="175" t="str">
        <f t="shared" si="13"/>
        <v>Gilroy</v>
      </c>
      <c r="H311" s="175" t="str">
        <f t="shared" si="14"/>
        <v>Gilroy, CA</v>
      </c>
      <c r="I311" s="178" t="s">
        <v>1409</v>
      </c>
      <c r="J311" s="27" t="s">
        <v>434</v>
      </c>
      <c r="K311" s="27">
        <v>145</v>
      </c>
      <c r="L311" s="179">
        <v>3016</v>
      </c>
      <c r="M311" s="178" t="s">
        <v>1410</v>
      </c>
      <c r="N311" s="27" t="s">
        <v>434</v>
      </c>
      <c r="O311" s="182" t="s">
        <v>1411</v>
      </c>
    </row>
    <row r="312" spans="1:15" ht="12">
      <c r="A312" s="148"/>
      <c r="B312" s="174" t="s">
        <v>2011</v>
      </c>
      <c r="C312" s="175" t="s">
        <v>433</v>
      </c>
      <c r="D312" s="176" t="s">
        <v>434</v>
      </c>
      <c r="E312" s="177" t="s">
        <v>2012</v>
      </c>
      <c r="F312" s="175">
        <f t="shared" si="12"/>
        <v>10</v>
      </c>
      <c r="G312" s="175" t="str">
        <f t="shared" si="13"/>
        <v>Glendale</v>
      </c>
      <c r="H312" s="175" t="str">
        <f t="shared" si="14"/>
        <v>Glendale, CA</v>
      </c>
      <c r="I312" s="178" t="s">
        <v>436</v>
      </c>
      <c r="J312" s="27" t="s">
        <v>434</v>
      </c>
      <c r="K312" s="27">
        <v>1537</v>
      </c>
      <c r="L312" s="179">
        <v>1154</v>
      </c>
      <c r="M312" s="178" t="s">
        <v>437</v>
      </c>
      <c r="N312" s="27" t="s">
        <v>434</v>
      </c>
      <c r="O312" s="182" t="s">
        <v>438</v>
      </c>
    </row>
    <row r="313" spans="1:15" ht="12">
      <c r="A313" s="148"/>
      <c r="B313" s="174" t="s">
        <v>2013</v>
      </c>
      <c r="C313" s="175" t="s">
        <v>407</v>
      </c>
      <c r="D313" s="176" t="s">
        <v>408</v>
      </c>
      <c r="E313" s="177" t="s">
        <v>2014</v>
      </c>
      <c r="F313" s="175">
        <f t="shared" si="12"/>
        <v>13</v>
      </c>
      <c r="G313" s="175" t="str">
        <f t="shared" si="13"/>
        <v>Glens Falls</v>
      </c>
      <c r="H313" s="175" t="str">
        <f t="shared" si="14"/>
        <v>Glens Falls, NY</v>
      </c>
      <c r="I313" s="178" t="s">
        <v>1329</v>
      </c>
      <c r="J313" s="27" t="s">
        <v>1612</v>
      </c>
      <c r="K313" s="27">
        <v>388</v>
      </c>
      <c r="L313" s="179">
        <v>7771</v>
      </c>
      <c r="M313" s="180" t="s">
        <v>1330</v>
      </c>
      <c r="N313" s="181" t="s">
        <v>1612</v>
      </c>
      <c r="O313" s="182" t="s">
        <v>1331</v>
      </c>
    </row>
    <row r="314" spans="1:15" ht="12">
      <c r="A314" s="148"/>
      <c r="B314" s="174" t="s">
        <v>2015</v>
      </c>
      <c r="C314" s="175" t="s">
        <v>393</v>
      </c>
      <c r="D314" s="176" t="s">
        <v>394</v>
      </c>
      <c r="E314" s="177" t="s">
        <v>2016</v>
      </c>
      <c r="F314" s="175">
        <f t="shared" si="12"/>
        <v>18</v>
      </c>
      <c r="G314" s="175" t="str">
        <f t="shared" si="13"/>
        <v>Glenwood Springs</v>
      </c>
      <c r="H314" s="175" t="str">
        <f t="shared" si="14"/>
        <v>Glenwood Springs, CO</v>
      </c>
      <c r="I314" s="178" t="s">
        <v>1743</v>
      </c>
      <c r="J314" s="27" t="s">
        <v>394</v>
      </c>
      <c r="K314" s="27">
        <v>1183</v>
      </c>
      <c r="L314" s="179">
        <v>5548</v>
      </c>
      <c r="M314" s="178" t="s">
        <v>1744</v>
      </c>
      <c r="N314" s="27" t="s">
        <v>394</v>
      </c>
      <c r="O314" s="182" t="s">
        <v>1745</v>
      </c>
    </row>
    <row r="315" spans="1:15" ht="12">
      <c r="A315" s="148"/>
      <c r="B315" s="174" t="s">
        <v>2017</v>
      </c>
      <c r="C315" s="175" t="s">
        <v>1300</v>
      </c>
      <c r="D315" s="176" t="s">
        <v>1301</v>
      </c>
      <c r="E315" s="177" t="s">
        <v>2018</v>
      </c>
      <c r="F315" s="175">
        <f t="shared" si="12"/>
        <v>7</v>
      </c>
      <c r="G315" s="175" t="str">
        <f t="shared" si="13"/>
        <v>Globe</v>
      </c>
      <c r="H315" s="175" t="str">
        <f t="shared" si="14"/>
        <v>Globe, AZ</v>
      </c>
      <c r="I315" s="178" t="s">
        <v>1398</v>
      </c>
      <c r="J315" s="27" t="s">
        <v>1301</v>
      </c>
      <c r="K315" s="27">
        <v>2954</v>
      </c>
      <c r="L315" s="179">
        <v>1678</v>
      </c>
      <c r="M315" s="178" t="s">
        <v>1399</v>
      </c>
      <c r="N315" s="27" t="s">
        <v>1301</v>
      </c>
      <c r="O315" s="182" t="s">
        <v>1400</v>
      </c>
    </row>
    <row r="316" spans="1:15" ht="12">
      <c r="A316" s="148"/>
      <c r="B316" s="174" t="s">
        <v>2019</v>
      </c>
      <c r="C316" s="175" t="s">
        <v>393</v>
      </c>
      <c r="D316" s="176" t="s">
        <v>394</v>
      </c>
      <c r="E316" s="177" t="s">
        <v>2020</v>
      </c>
      <c r="F316" s="175">
        <f t="shared" si="12"/>
        <v>15</v>
      </c>
      <c r="G316" s="175" t="str">
        <f t="shared" si="13"/>
        <v>Golden/Dillon</v>
      </c>
      <c r="H316" s="175" t="str">
        <f t="shared" si="14"/>
        <v>Golden/Dillon, CO</v>
      </c>
      <c r="I316" s="178" t="s">
        <v>648</v>
      </c>
      <c r="J316" s="27" t="s">
        <v>394</v>
      </c>
      <c r="K316" s="27">
        <v>679</v>
      </c>
      <c r="L316" s="179">
        <v>6020</v>
      </c>
      <c r="M316" s="180" t="s">
        <v>649</v>
      </c>
      <c r="N316" s="181" t="s">
        <v>394</v>
      </c>
      <c r="O316" s="182" t="s">
        <v>650</v>
      </c>
    </row>
    <row r="317" spans="1:15" ht="12">
      <c r="A317" s="148"/>
      <c r="B317" s="174" t="s">
        <v>2021</v>
      </c>
      <c r="C317" s="175" t="s">
        <v>1434</v>
      </c>
      <c r="D317" s="176" t="s">
        <v>251</v>
      </c>
      <c r="E317" s="177" t="s">
        <v>2022</v>
      </c>
      <c r="F317" s="175">
        <f t="shared" si="12"/>
        <v>13</v>
      </c>
      <c r="G317" s="175" t="str">
        <f t="shared" si="13"/>
        <v>Grand Forks</v>
      </c>
      <c r="H317" s="175" t="str">
        <f t="shared" si="14"/>
        <v>Grand Forks, ND</v>
      </c>
      <c r="I317" s="178" t="s">
        <v>1705</v>
      </c>
      <c r="J317" s="27" t="s">
        <v>251</v>
      </c>
      <c r="K317" s="27">
        <v>537</v>
      </c>
      <c r="L317" s="179">
        <v>9254</v>
      </c>
      <c r="M317" s="180" t="s">
        <v>250</v>
      </c>
      <c r="N317" s="181" t="s">
        <v>251</v>
      </c>
      <c r="O317" s="182" t="s">
        <v>252</v>
      </c>
    </row>
    <row r="318" spans="1:15" ht="12">
      <c r="A318" s="148"/>
      <c r="B318" s="174" t="s">
        <v>2023</v>
      </c>
      <c r="C318" s="175" t="s">
        <v>447</v>
      </c>
      <c r="D318" s="176" t="s">
        <v>448</v>
      </c>
      <c r="E318" s="177" t="s">
        <v>2024</v>
      </c>
      <c r="F318" s="175">
        <f t="shared" si="12"/>
        <v>14</v>
      </c>
      <c r="G318" s="175" t="str">
        <f t="shared" si="13"/>
        <v>Grand Island</v>
      </c>
      <c r="H318" s="175" t="str">
        <f t="shared" si="14"/>
        <v>Grand Island, NE</v>
      </c>
      <c r="I318" s="178" t="s">
        <v>623</v>
      </c>
      <c r="J318" s="27" t="s">
        <v>448</v>
      </c>
      <c r="K318" s="27">
        <v>997</v>
      </c>
      <c r="L318" s="179">
        <v>6421</v>
      </c>
      <c r="M318" s="180" t="s">
        <v>624</v>
      </c>
      <c r="N318" s="181" t="s">
        <v>448</v>
      </c>
      <c r="O318" s="182" t="s">
        <v>625</v>
      </c>
    </row>
    <row r="319" spans="1:15" ht="12">
      <c r="A319" s="148"/>
      <c r="B319" s="174" t="s">
        <v>2025</v>
      </c>
      <c r="C319" s="175" t="s">
        <v>393</v>
      </c>
      <c r="D319" s="176" t="s">
        <v>394</v>
      </c>
      <c r="E319" s="177" t="s">
        <v>2026</v>
      </c>
      <c r="F319" s="175">
        <f t="shared" si="12"/>
        <v>16</v>
      </c>
      <c r="G319" s="175" t="str">
        <f t="shared" si="13"/>
        <v>Grand Junction</v>
      </c>
      <c r="H319" s="175" t="str">
        <f t="shared" si="14"/>
        <v>Grand Junction, CO</v>
      </c>
      <c r="I319" s="178" t="s">
        <v>1743</v>
      </c>
      <c r="J319" s="27" t="s">
        <v>394</v>
      </c>
      <c r="K319" s="27">
        <v>1183</v>
      </c>
      <c r="L319" s="179">
        <v>5548</v>
      </c>
      <c r="M319" s="178" t="s">
        <v>1744</v>
      </c>
      <c r="N319" s="27" t="s">
        <v>394</v>
      </c>
      <c r="O319" s="182" t="s">
        <v>1745</v>
      </c>
    </row>
    <row r="320" spans="1:15" ht="12">
      <c r="A320" s="148"/>
      <c r="B320" s="174" t="s">
        <v>2027</v>
      </c>
      <c r="C320" s="175" t="s">
        <v>480</v>
      </c>
      <c r="D320" s="176" t="s">
        <v>481</v>
      </c>
      <c r="E320" s="177" t="s">
        <v>2028</v>
      </c>
      <c r="F320" s="175">
        <f t="shared" si="12"/>
        <v>14</v>
      </c>
      <c r="G320" s="175" t="str">
        <f t="shared" si="13"/>
        <v>Grand Rapids</v>
      </c>
      <c r="H320" s="175" t="str">
        <f t="shared" si="14"/>
        <v>Grand Rapids, MI</v>
      </c>
      <c r="I320" s="178" t="s">
        <v>2029</v>
      </c>
      <c r="J320" s="27" t="s">
        <v>481</v>
      </c>
      <c r="K320" s="27">
        <v>431</v>
      </c>
      <c r="L320" s="179">
        <v>6924</v>
      </c>
      <c r="M320" s="180" t="s">
        <v>2030</v>
      </c>
      <c r="N320" s="181" t="s">
        <v>481</v>
      </c>
      <c r="O320" s="182" t="s">
        <v>2031</v>
      </c>
    </row>
    <row r="321" spans="1:15" ht="12">
      <c r="A321" s="148"/>
      <c r="B321" s="174" t="s">
        <v>2032</v>
      </c>
      <c r="C321" s="175" t="s">
        <v>480</v>
      </c>
      <c r="D321" s="176" t="s">
        <v>481</v>
      </c>
      <c r="E321" s="177" t="s">
        <v>2028</v>
      </c>
      <c r="F321" s="175">
        <f t="shared" si="12"/>
        <v>14</v>
      </c>
      <c r="G321" s="175" t="str">
        <f t="shared" si="13"/>
        <v>Grand Rapids</v>
      </c>
      <c r="H321" s="175" t="str">
        <f t="shared" si="14"/>
        <v>Grand Rapids, MI</v>
      </c>
      <c r="I321" s="178" t="s">
        <v>2033</v>
      </c>
      <c r="J321" s="27" t="s">
        <v>481</v>
      </c>
      <c r="K321" s="27">
        <v>534</v>
      </c>
      <c r="L321" s="179">
        <v>6973</v>
      </c>
      <c r="M321" s="180" t="s">
        <v>2030</v>
      </c>
      <c r="N321" s="181" t="s">
        <v>481</v>
      </c>
      <c r="O321" s="182" t="s">
        <v>2031</v>
      </c>
    </row>
    <row r="322" spans="1:15" ht="12">
      <c r="A322" s="148"/>
      <c r="B322" s="174" t="s">
        <v>2034</v>
      </c>
      <c r="C322" s="175" t="s">
        <v>1415</v>
      </c>
      <c r="D322" s="176" t="s">
        <v>1416</v>
      </c>
      <c r="E322" s="177" t="s">
        <v>2035</v>
      </c>
      <c r="F322" s="175">
        <f t="shared" si="12"/>
        <v>13</v>
      </c>
      <c r="G322" s="175" t="str">
        <f t="shared" si="13"/>
        <v>Great Falls</v>
      </c>
      <c r="H322" s="175" t="str">
        <f t="shared" si="14"/>
        <v>Great Falls, MT</v>
      </c>
      <c r="I322" s="178" t="s">
        <v>2036</v>
      </c>
      <c r="J322" s="27" t="s">
        <v>1416</v>
      </c>
      <c r="K322" s="27">
        <v>388</v>
      </c>
      <c r="L322" s="179">
        <v>7741</v>
      </c>
      <c r="M322" s="180" t="s">
        <v>2037</v>
      </c>
      <c r="N322" s="181" t="s">
        <v>1416</v>
      </c>
      <c r="O322" s="182" t="s">
        <v>2038</v>
      </c>
    </row>
    <row r="323" spans="1:15" ht="12">
      <c r="A323" s="148"/>
      <c r="B323" s="174" t="s">
        <v>2039</v>
      </c>
      <c r="C323" s="175" t="s">
        <v>407</v>
      </c>
      <c r="D323" s="176" t="s">
        <v>408</v>
      </c>
      <c r="E323" s="177" t="s">
        <v>2040</v>
      </c>
      <c r="F323" s="175">
        <f t="shared" si="12"/>
        <v>12</v>
      </c>
      <c r="G323" s="175" t="str">
        <f t="shared" si="13"/>
        <v>Great Neck</v>
      </c>
      <c r="H323" s="175" t="str">
        <f t="shared" si="14"/>
        <v>Great Neck, NY</v>
      </c>
      <c r="I323" s="178" t="s">
        <v>2265</v>
      </c>
      <c r="J323" s="27" t="s">
        <v>408</v>
      </c>
      <c r="K323" s="27">
        <v>1052</v>
      </c>
      <c r="L323" s="179">
        <v>4910</v>
      </c>
      <c r="M323" s="180" t="s">
        <v>2266</v>
      </c>
      <c r="N323" s="181" t="s">
        <v>408</v>
      </c>
      <c r="O323" s="182" t="s">
        <v>1287</v>
      </c>
    </row>
    <row r="324" spans="1:15" ht="12">
      <c r="A324" s="148"/>
      <c r="B324" s="174" t="s">
        <v>2041</v>
      </c>
      <c r="C324" s="175" t="s">
        <v>393</v>
      </c>
      <c r="D324" s="176" t="s">
        <v>394</v>
      </c>
      <c r="E324" s="177" t="s">
        <v>2042</v>
      </c>
      <c r="F324" s="175">
        <f t="shared" si="12"/>
        <v>9</v>
      </c>
      <c r="G324" s="175" t="str">
        <f t="shared" si="13"/>
        <v>Greeley</v>
      </c>
      <c r="H324" s="175" t="str">
        <f t="shared" si="14"/>
        <v>Greeley, CO</v>
      </c>
      <c r="I324" s="178" t="s">
        <v>648</v>
      </c>
      <c r="J324" s="27" t="s">
        <v>394</v>
      </c>
      <c r="K324" s="27">
        <v>679</v>
      </c>
      <c r="L324" s="179">
        <v>6020</v>
      </c>
      <c r="M324" s="180" t="s">
        <v>649</v>
      </c>
      <c r="N324" s="181" t="s">
        <v>394</v>
      </c>
      <c r="O324" s="182" t="s">
        <v>650</v>
      </c>
    </row>
    <row r="325" spans="1:15" ht="12">
      <c r="A325" s="148"/>
      <c r="B325" s="174" t="s">
        <v>2043</v>
      </c>
      <c r="C325" s="175" t="s">
        <v>42</v>
      </c>
      <c r="D325" s="176" t="s">
        <v>1691</v>
      </c>
      <c r="E325" s="177" t="s">
        <v>2044</v>
      </c>
      <c r="F325" s="175">
        <f t="shared" si="12"/>
        <v>11</v>
      </c>
      <c r="G325" s="175" t="str">
        <f t="shared" si="13"/>
        <v>Green Bay</v>
      </c>
      <c r="H325" s="175" t="str">
        <f t="shared" si="14"/>
        <v>Green Bay, WI</v>
      </c>
      <c r="I325" s="178" t="s">
        <v>2045</v>
      </c>
      <c r="J325" s="27" t="s">
        <v>1691</v>
      </c>
      <c r="K325" s="27">
        <v>381</v>
      </c>
      <c r="L325" s="179">
        <v>8089</v>
      </c>
      <c r="M325" s="180" t="s">
        <v>2046</v>
      </c>
      <c r="N325" s="181" t="s">
        <v>1691</v>
      </c>
      <c r="O325" s="182" t="s">
        <v>2047</v>
      </c>
    </row>
    <row r="326" spans="1:15" ht="12">
      <c r="A326" s="148"/>
      <c r="B326" s="174" t="s">
        <v>2048</v>
      </c>
      <c r="C326" s="175" t="s">
        <v>42</v>
      </c>
      <c r="D326" s="176" t="s">
        <v>1691</v>
      </c>
      <c r="E326" s="177" t="s">
        <v>2044</v>
      </c>
      <c r="F326" s="175">
        <f t="shared" ref="F326:F389" si="15">LEN(E326)</f>
        <v>11</v>
      </c>
      <c r="G326" s="175" t="str">
        <f t="shared" ref="G326:G389" si="16">MID(E326,2,F326-2)</f>
        <v>Green Bay</v>
      </c>
      <c r="H326" s="175" t="str">
        <f t="shared" ref="H326:H389" si="17">CONCATENATE(G326,", ",+D326)</f>
        <v>Green Bay, WI</v>
      </c>
      <c r="I326" s="178" t="s">
        <v>2045</v>
      </c>
      <c r="J326" s="27" t="s">
        <v>1691</v>
      </c>
      <c r="K326" s="27">
        <v>381</v>
      </c>
      <c r="L326" s="179">
        <v>8089</v>
      </c>
      <c r="M326" s="180" t="s">
        <v>2046</v>
      </c>
      <c r="N326" s="181" t="s">
        <v>1691</v>
      </c>
      <c r="O326" s="182" t="s">
        <v>2047</v>
      </c>
    </row>
    <row r="327" spans="1:15" ht="12">
      <c r="A327" s="148"/>
      <c r="B327" s="174" t="s">
        <v>2049</v>
      </c>
      <c r="C327" s="175" t="s">
        <v>42</v>
      </c>
      <c r="D327" s="176" t="s">
        <v>1691</v>
      </c>
      <c r="E327" s="177" t="s">
        <v>2044</v>
      </c>
      <c r="F327" s="175">
        <f t="shared" si="15"/>
        <v>11</v>
      </c>
      <c r="G327" s="175" t="str">
        <f t="shared" si="16"/>
        <v>Green Bay</v>
      </c>
      <c r="H327" s="175" t="str">
        <f t="shared" si="17"/>
        <v>Green Bay, WI</v>
      </c>
      <c r="I327" s="178" t="s">
        <v>2045</v>
      </c>
      <c r="J327" s="27" t="s">
        <v>1691</v>
      </c>
      <c r="K327" s="27">
        <v>381</v>
      </c>
      <c r="L327" s="179">
        <v>8089</v>
      </c>
      <c r="M327" s="180" t="s">
        <v>2046</v>
      </c>
      <c r="N327" s="181" t="s">
        <v>1691</v>
      </c>
      <c r="O327" s="182" t="s">
        <v>2047</v>
      </c>
    </row>
    <row r="328" spans="1:15" ht="12">
      <c r="A328" s="148"/>
      <c r="B328" s="186" t="s">
        <v>2050</v>
      </c>
      <c r="C328" s="175" t="s">
        <v>2288</v>
      </c>
      <c r="D328" s="176" t="s">
        <v>2289</v>
      </c>
      <c r="E328" s="177" t="s">
        <v>2051</v>
      </c>
      <c r="F328" s="175">
        <f t="shared" si="15"/>
        <v>12</v>
      </c>
      <c r="G328" s="175" t="str">
        <f t="shared" si="16"/>
        <v>Greenfield</v>
      </c>
      <c r="H328" s="175" t="str">
        <f t="shared" si="17"/>
        <v>Greenfield, MA</v>
      </c>
      <c r="I328" s="178" t="s">
        <v>640</v>
      </c>
      <c r="J328" s="27" t="s">
        <v>2289</v>
      </c>
      <c r="K328" s="27">
        <v>333</v>
      </c>
      <c r="L328" s="179">
        <v>6979</v>
      </c>
      <c r="M328" s="180" t="s">
        <v>641</v>
      </c>
      <c r="N328" s="181" t="s">
        <v>2289</v>
      </c>
      <c r="O328" s="182" t="s">
        <v>642</v>
      </c>
    </row>
    <row r="329" spans="1:15" ht="12">
      <c r="A329" s="148"/>
      <c r="B329" s="174" t="s">
        <v>2052</v>
      </c>
      <c r="C329" s="175" t="s">
        <v>472</v>
      </c>
      <c r="D329" s="176" t="s">
        <v>473</v>
      </c>
      <c r="E329" s="177" t="s">
        <v>2053</v>
      </c>
      <c r="F329" s="175">
        <f t="shared" si="15"/>
        <v>12</v>
      </c>
      <c r="G329" s="175" t="str">
        <f t="shared" si="16"/>
        <v>Greensboro</v>
      </c>
      <c r="H329" s="175" t="str">
        <f t="shared" si="17"/>
        <v>Greensboro, NC</v>
      </c>
      <c r="I329" s="178" t="s">
        <v>2054</v>
      </c>
      <c r="J329" s="27" t="s">
        <v>473</v>
      </c>
      <c r="K329" s="27">
        <v>1253</v>
      </c>
      <c r="L329" s="179">
        <v>3865</v>
      </c>
      <c r="M329" s="180" t="s">
        <v>2055</v>
      </c>
      <c r="N329" s="181" t="s">
        <v>473</v>
      </c>
      <c r="O329" s="182" t="s">
        <v>2056</v>
      </c>
    </row>
    <row r="330" spans="1:15" ht="12">
      <c r="A330" s="148"/>
      <c r="B330" s="174" t="s">
        <v>2057</v>
      </c>
      <c r="C330" s="175" t="s">
        <v>472</v>
      </c>
      <c r="D330" s="176" t="s">
        <v>473</v>
      </c>
      <c r="E330" s="177" t="s">
        <v>2053</v>
      </c>
      <c r="F330" s="175">
        <f t="shared" si="15"/>
        <v>12</v>
      </c>
      <c r="G330" s="175" t="str">
        <f t="shared" si="16"/>
        <v>Greensboro</v>
      </c>
      <c r="H330" s="175" t="str">
        <f t="shared" si="17"/>
        <v>Greensboro, NC</v>
      </c>
      <c r="I330" s="178" t="s">
        <v>2054</v>
      </c>
      <c r="J330" s="27" t="s">
        <v>473</v>
      </c>
      <c r="K330" s="27">
        <v>1253</v>
      </c>
      <c r="L330" s="179">
        <v>3865</v>
      </c>
      <c r="M330" s="180" t="s">
        <v>2055</v>
      </c>
      <c r="N330" s="181" t="s">
        <v>473</v>
      </c>
      <c r="O330" s="182" t="s">
        <v>2056</v>
      </c>
    </row>
    <row r="331" spans="1:15" ht="12">
      <c r="A331" s="148"/>
      <c r="B331" s="174" t="s">
        <v>2058</v>
      </c>
      <c r="C331" s="175" t="s">
        <v>472</v>
      </c>
      <c r="D331" s="176" t="s">
        <v>473</v>
      </c>
      <c r="E331" s="177" t="s">
        <v>2053</v>
      </c>
      <c r="F331" s="175">
        <f t="shared" si="15"/>
        <v>12</v>
      </c>
      <c r="G331" s="175" t="str">
        <f t="shared" si="16"/>
        <v>Greensboro</v>
      </c>
      <c r="H331" s="175" t="str">
        <f t="shared" si="17"/>
        <v>Greensboro, NC</v>
      </c>
      <c r="I331" s="178" t="s">
        <v>2054</v>
      </c>
      <c r="J331" s="27" t="s">
        <v>473</v>
      </c>
      <c r="K331" s="27">
        <v>1253</v>
      </c>
      <c r="L331" s="179">
        <v>3865</v>
      </c>
      <c r="M331" s="180" t="s">
        <v>2055</v>
      </c>
      <c r="N331" s="181" t="s">
        <v>473</v>
      </c>
      <c r="O331" s="182" t="s">
        <v>2056</v>
      </c>
    </row>
    <row r="332" spans="1:15" ht="12">
      <c r="A332" s="148"/>
      <c r="B332" s="174" t="s">
        <v>2059</v>
      </c>
      <c r="C332" s="175" t="s">
        <v>440</v>
      </c>
      <c r="D332" s="176" t="s">
        <v>441</v>
      </c>
      <c r="E332" s="177" t="s">
        <v>2060</v>
      </c>
      <c r="F332" s="175">
        <f t="shared" si="15"/>
        <v>12</v>
      </c>
      <c r="G332" s="175" t="str">
        <f t="shared" si="16"/>
        <v>Greensburg</v>
      </c>
      <c r="H332" s="175" t="str">
        <f t="shared" si="17"/>
        <v>Greensburg, PA</v>
      </c>
      <c r="I332" s="178" t="s">
        <v>455</v>
      </c>
      <c r="J332" s="27" t="s">
        <v>441</v>
      </c>
      <c r="K332" s="27">
        <v>654</v>
      </c>
      <c r="L332" s="179">
        <v>5968</v>
      </c>
      <c r="M332" s="180" t="s">
        <v>456</v>
      </c>
      <c r="N332" s="181" t="s">
        <v>441</v>
      </c>
      <c r="O332" s="182" t="s">
        <v>457</v>
      </c>
    </row>
    <row r="333" spans="1:15" ht="12">
      <c r="A333" s="148"/>
      <c r="B333" s="174" t="s">
        <v>2061</v>
      </c>
      <c r="C333" s="175" t="s">
        <v>621</v>
      </c>
      <c r="D333" s="176" t="s">
        <v>1335</v>
      </c>
      <c r="E333" s="177" t="s">
        <v>2062</v>
      </c>
      <c r="F333" s="175">
        <f t="shared" si="15"/>
        <v>12</v>
      </c>
      <c r="G333" s="175" t="str">
        <f t="shared" si="16"/>
        <v>Greenville</v>
      </c>
      <c r="H333" s="175" t="str">
        <f t="shared" si="17"/>
        <v>Greenville, MS</v>
      </c>
      <c r="I333" s="178" t="s">
        <v>2063</v>
      </c>
      <c r="J333" s="27" t="s">
        <v>1335</v>
      </c>
      <c r="K333" s="27">
        <v>2215</v>
      </c>
      <c r="L333" s="179">
        <v>2467</v>
      </c>
      <c r="M333" s="180" t="s">
        <v>1336</v>
      </c>
      <c r="N333" s="181" t="s">
        <v>1335</v>
      </c>
      <c r="O333" s="182" t="s">
        <v>1337</v>
      </c>
    </row>
    <row r="334" spans="1:15" ht="12">
      <c r="A334" s="148"/>
      <c r="B334" s="174" t="s">
        <v>2064</v>
      </c>
      <c r="C334" s="175" t="s">
        <v>274</v>
      </c>
      <c r="D334" s="176" t="s">
        <v>275</v>
      </c>
      <c r="E334" s="177" t="s">
        <v>2062</v>
      </c>
      <c r="F334" s="175">
        <f t="shared" si="15"/>
        <v>12</v>
      </c>
      <c r="G334" s="175" t="str">
        <f t="shared" si="16"/>
        <v>Greenville</v>
      </c>
      <c r="H334" s="175" t="str">
        <f t="shared" si="17"/>
        <v>Greenville, SC</v>
      </c>
      <c r="I334" s="178" t="s">
        <v>2331</v>
      </c>
      <c r="J334" s="27" t="s">
        <v>275</v>
      </c>
      <c r="K334" s="27">
        <v>1473</v>
      </c>
      <c r="L334" s="179">
        <v>3272</v>
      </c>
      <c r="M334" s="180" t="s">
        <v>2332</v>
      </c>
      <c r="N334" s="181" t="s">
        <v>473</v>
      </c>
      <c r="O334" s="182" t="s">
        <v>2333</v>
      </c>
    </row>
    <row r="335" spans="1:15" ht="12">
      <c r="A335" s="148"/>
      <c r="B335" s="174" t="s">
        <v>2065</v>
      </c>
      <c r="C335" s="175" t="s">
        <v>254</v>
      </c>
      <c r="D335" s="176" t="s">
        <v>255</v>
      </c>
      <c r="E335" s="177" t="s">
        <v>2062</v>
      </c>
      <c r="F335" s="175">
        <f t="shared" si="15"/>
        <v>12</v>
      </c>
      <c r="G335" s="175" t="str">
        <f t="shared" si="16"/>
        <v>Greenville</v>
      </c>
      <c r="H335" s="175" t="str">
        <f t="shared" si="17"/>
        <v>Greenville, TX</v>
      </c>
      <c r="I335" s="178" t="s">
        <v>503</v>
      </c>
      <c r="J335" s="27" t="s">
        <v>255</v>
      </c>
      <c r="K335" s="27">
        <v>2603</v>
      </c>
      <c r="L335" s="179">
        <v>2407</v>
      </c>
      <c r="M335" s="180" t="s">
        <v>504</v>
      </c>
      <c r="N335" s="181" t="s">
        <v>255</v>
      </c>
      <c r="O335" s="182" t="s">
        <v>505</v>
      </c>
    </row>
    <row r="336" spans="1:15" ht="12">
      <c r="A336" s="148"/>
      <c r="B336" s="174" t="s">
        <v>2066</v>
      </c>
      <c r="C336" s="175" t="s">
        <v>621</v>
      </c>
      <c r="D336" s="176" t="s">
        <v>1335</v>
      </c>
      <c r="E336" s="177" t="s">
        <v>2067</v>
      </c>
      <c r="F336" s="175">
        <f t="shared" si="15"/>
        <v>9</v>
      </c>
      <c r="G336" s="175" t="str">
        <f t="shared" si="16"/>
        <v>Grenada</v>
      </c>
      <c r="H336" s="175" t="str">
        <f t="shared" si="17"/>
        <v>Grenada, MS</v>
      </c>
      <c r="I336" s="178" t="s">
        <v>1334</v>
      </c>
      <c r="J336" s="27" t="s">
        <v>1335</v>
      </c>
      <c r="K336" s="27">
        <v>2138</v>
      </c>
      <c r="L336" s="179">
        <v>2444</v>
      </c>
      <c r="M336" s="180" t="s">
        <v>2068</v>
      </c>
      <c r="N336" s="181" t="s">
        <v>1335</v>
      </c>
      <c r="O336" s="182" t="s">
        <v>2069</v>
      </c>
    </row>
    <row r="337" spans="1:15" ht="12">
      <c r="A337" s="148"/>
      <c r="B337" s="174" t="s">
        <v>2070</v>
      </c>
      <c r="C337" s="175" t="s">
        <v>621</v>
      </c>
      <c r="D337" s="176" t="s">
        <v>1335</v>
      </c>
      <c r="E337" s="177" t="s">
        <v>2071</v>
      </c>
      <c r="F337" s="175">
        <f t="shared" si="15"/>
        <v>10</v>
      </c>
      <c r="G337" s="175" t="str">
        <f t="shared" si="16"/>
        <v>Gulfport</v>
      </c>
      <c r="H337" s="175" t="str">
        <f t="shared" si="17"/>
        <v>Gulfport, MS</v>
      </c>
      <c r="I337" s="178" t="s">
        <v>2072</v>
      </c>
      <c r="J337" s="27" t="s">
        <v>282</v>
      </c>
      <c r="K337" s="27">
        <v>2655</v>
      </c>
      <c r="L337" s="179">
        <v>1513</v>
      </c>
      <c r="M337" s="180" t="s">
        <v>2073</v>
      </c>
      <c r="N337" s="181" t="s">
        <v>282</v>
      </c>
      <c r="O337" s="182" t="s">
        <v>2074</v>
      </c>
    </row>
    <row r="338" spans="1:15" ht="12">
      <c r="A338" s="148"/>
      <c r="B338" s="174" t="s">
        <v>2075</v>
      </c>
      <c r="C338" s="175" t="s">
        <v>500</v>
      </c>
      <c r="D338" s="176" t="s">
        <v>501</v>
      </c>
      <c r="E338" s="177" t="s">
        <v>2076</v>
      </c>
      <c r="F338" s="175">
        <f t="shared" si="15"/>
        <v>8</v>
      </c>
      <c r="G338" s="175" t="str">
        <f t="shared" si="16"/>
        <v>Guymon</v>
      </c>
      <c r="H338" s="175" t="str">
        <f t="shared" si="17"/>
        <v>Guymon, OK</v>
      </c>
      <c r="I338" s="178" t="s">
        <v>270</v>
      </c>
      <c r="J338" s="27" t="s">
        <v>255</v>
      </c>
      <c r="K338" s="27">
        <v>1354</v>
      </c>
      <c r="L338" s="179">
        <v>4258</v>
      </c>
      <c r="M338" s="180" t="s">
        <v>689</v>
      </c>
      <c r="N338" s="181" t="s">
        <v>501</v>
      </c>
      <c r="O338" s="182" t="s">
        <v>690</v>
      </c>
    </row>
    <row r="339" spans="1:15" ht="12">
      <c r="A339" s="148"/>
      <c r="B339" s="186" t="s">
        <v>2077</v>
      </c>
      <c r="C339" s="175" t="s">
        <v>1537</v>
      </c>
      <c r="D339" s="176" t="s">
        <v>1538</v>
      </c>
      <c r="E339" s="177" t="s">
        <v>2078</v>
      </c>
      <c r="F339" s="175">
        <f t="shared" si="15"/>
        <v>12</v>
      </c>
      <c r="G339" s="175" t="str">
        <f t="shared" si="16"/>
        <v>Hackensack</v>
      </c>
      <c r="H339" s="175" t="str">
        <f t="shared" si="17"/>
        <v>Hackensack, NJ</v>
      </c>
      <c r="I339" s="178" t="s">
        <v>61</v>
      </c>
      <c r="J339" s="27" t="s">
        <v>1538</v>
      </c>
      <c r="K339" s="27">
        <v>1201</v>
      </c>
      <c r="L339" s="179">
        <v>4888</v>
      </c>
      <c r="M339" s="180" t="s">
        <v>62</v>
      </c>
      <c r="N339" s="181" t="s">
        <v>1538</v>
      </c>
      <c r="O339" s="182" t="s">
        <v>63</v>
      </c>
    </row>
    <row r="340" spans="1:15" ht="12">
      <c r="A340" s="148"/>
      <c r="B340" s="174" t="s">
        <v>2079</v>
      </c>
      <c r="C340" s="175" t="s">
        <v>281</v>
      </c>
      <c r="D340" s="176" t="s">
        <v>282</v>
      </c>
      <c r="E340" s="177" t="s">
        <v>2080</v>
      </c>
      <c r="F340" s="175">
        <f t="shared" si="15"/>
        <v>9</v>
      </c>
      <c r="G340" s="175" t="str">
        <f t="shared" si="16"/>
        <v>Hammond</v>
      </c>
      <c r="H340" s="175" t="str">
        <f t="shared" si="17"/>
        <v>Hammond, LA</v>
      </c>
      <c r="I340" s="178" t="s">
        <v>1588</v>
      </c>
      <c r="J340" s="27" t="s">
        <v>282</v>
      </c>
      <c r="K340" s="27">
        <v>2690</v>
      </c>
      <c r="L340" s="179">
        <v>1669</v>
      </c>
      <c r="M340" s="180" t="s">
        <v>1589</v>
      </c>
      <c r="N340" s="181" t="s">
        <v>282</v>
      </c>
      <c r="O340" s="182" t="s">
        <v>1590</v>
      </c>
    </row>
    <row r="341" spans="1:15" ht="12">
      <c r="A341" s="148"/>
      <c r="B341" s="174" t="s">
        <v>2081</v>
      </c>
      <c r="C341" s="175" t="s">
        <v>1366</v>
      </c>
      <c r="D341" s="176" t="s">
        <v>1367</v>
      </c>
      <c r="E341" s="177" t="s">
        <v>2082</v>
      </c>
      <c r="F341" s="175">
        <f t="shared" si="15"/>
        <v>10</v>
      </c>
      <c r="G341" s="175" t="str">
        <f t="shared" si="16"/>
        <v>Hannibal</v>
      </c>
      <c r="H341" s="175" t="str">
        <f t="shared" si="17"/>
        <v>Hannibal, MO</v>
      </c>
      <c r="I341" s="178" t="s">
        <v>1507</v>
      </c>
      <c r="J341" s="27" t="s">
        <v>1367</v>
      </c>
      <c r="K341" s="27">
        <v>1189</v>
      </c>
      <c r="L341" s="179">
        <v>5212</v>
      </c>
      <c r="M341" s="178" t="s">
        <v>1370</v>
      </c>
      <c r="N341" s="27" t="s">
        <v>1367</v>
      </c>
      <c r="O341" s="182" t="s">
        <v>1371</v>
      </c>
    </row>
    <row r="342" spans="1:15" ht="12">
      <c r="A342" s="148"/>
      <c r="B342" s="174" t="s">
        <v>2083</v>
      </c>
      <c r="C342" s="175" t="s">
        <v>440</v>
      </c>
      <c r="D342" s="176" t="s">
        <v>441</v>
      </c>
      <c r="E342" s="177" t="s">
        <v>2084</v>
      </c>
      <c r="F342" s="175">
        <f t="shared" si="15"/>
        <v>12</v>
      </c>
      <c r="G342" s="175" t="str">
        <f t="shared" si="16"/>
        <v>Harrisburg</v>
      </c>
      <c r="H342" s="175" t="str">
        <f t="shared" si="17"/>
        <v>Harrisburg, PA</v>
      </c>
      <c r="I342" s="178" t="s">
        <v>2315</v>
      </c>
      <c r="J342" s="27" t="s">
        <v>441</v>
      </c>
      <c r="K342" s="27">
        <v>962</v>
      </c>
      <c r="L342" s="179">
        <v>5347</v>
      </c>
      <c r="M342" s="180" t="s">
        <v>2316</v>
      </c>
      <c r="N342" s="181" t="s">
        <v>441</v>
      </c>
      <c r="O342" s="182" t="s">
        <v>2317</v>
      </c>
    </row>
    <row r="343" spans="1:15" ht="12">
      <c r="A343" s="148"/>
      <c r="B343" s="174" t="s">
        <v>2085</v>
      </c>
      <c r="C343" s="175" t="s">
        <v>440</v>
      </c>
      <c r="D343" s="176" t="s">
        <v>441</v>
      </c>
      <c r="E343" s="177" t="s">
        <v>2084</v>
      </c>
      <c r="F343" s="175">
        <f t="shared" si="15"/>
        <v>12</v>
      </c>
      <c r="G343" s="175" t="str">
        <f t="shared" si="16"/>
        <v>Harrisburg</v>
      </c>
      <c r="H343" s="175" t="str">
        <f t="shared" si="17"/>
        <v>Harrisburg, PA</v>
      </c>
      <c r="I343" s="178" t="s">
        <v>2315</v>
      </c>
      <c r="J343" s="27" t="s">
        <v>441</v>
      </c>
      <c r="K343" s="27">
        <v>962</v>
      </c>
      <c r="L343" s="179">
        <v>5347</v>
      </c>
      <c r="M343" s="180" t="s">
        <v>2316</v>
      </c>
      <c r="N343" s="181" t="s">
        <v>441</v>
      </c>
      <c r="O343" s="182" t="s">
        <v>2317</v>
      </c>
    </row>
    <row r="344" spans="1:15" ht="12">
      <c r="A344" s="148"/>
      <c r="B344" s="174" t="s">
        <v>2086</v>
      </c>
      <c r="C344" s="175" t="s">
        <v>1578</v>
      </c>
      <c r="D344" s="176" t="s">
        <v>1579</v>
      </c>
      <c r="E344" s="177" t="s">
        <v>2176</v>
      </c>
      <c r="F344" s="175">
        <f t="shared" si="15"/>
        <v>10</v>
      </c>
      <c r="G344" s="175" t="str">
        <f t="shared" si="16"/>
        <v>Harrison</v>
      </c>
      <c r="H344" s="175" t="str">
        <f t="shared" si="17"/>
        <v>Harrison, AR</v>
      </c>
      <c r="I344" s="178" t="s">
        <v>1955</v>
      </c>
      <c r="J344" s="27" t="s">
        <v>1579</v>
      </c>
      <c r="K344" s="27">
        <v>1894</v>
      </c>
      <c r="L344" s="179">
        <v>3478</v>
      </c>
      <c r="M344" s="178" t="s">
        <v>1956</v>
      </c>
      <c r="N344" s="27" t="s">
        <v>1579</v>
      </c>
      <c r="O344" s="182" t="s">
        <v>1957</v>
      </c>
    </row>
    <row r="345" spans="1:15" ht="12">
      <c r="A345" s="148"/>
      <c r="B345" s="174" t="s">
        <v>2177</v>
      </c>
      <c r="C345" s="175" t="s">
        <v>425</v>
      </c>
      <c r="D345" s="176" t="s">
        <v>426</v>
      </c>
      <c r="E345" s="177" t="s">
        <v>2178</v>
      </c>
      <c r="F345" s="175">
        <f t="shared" si="15"/>
        <v>14</v>
      </c>
      <c r="G345" s="175" t="str">
        <f t="shared" si="16"/>
        <v>Harrisonburg</v>
      </c>
      <c r="H345" s="175" t="str">
        <f t="shared" si="17"/>
        <v>Harrisonburg, VA</v>
      </c>
      <c r="I345" s="178" t="s">
        <v>1665</v>
      </c>
      <c r="J345" s="27" t="s">
        <v>428</v>
      </c>
      <c r="K345" s="27">
        <v>973</v>
      </c>
      <c r="L345" s="179">
        <v>5006</v>
      </c>
      <c r="M345" s="180" t="s">
        <v>429</v>
      </c>
      <c r="N345" s="181" t="s">
        <v>430</v>
      </c>
      <c r="O345" s="182" t="s">
        <v>431</v>
      </c>
    </row>
    <row r="346" spans="1:15" ht="12">
      <c r="A346" s="148"/>
      <c r="B346" s="174" t="s">
        <v>2179</v>
      </c>
      <c r="C346" s="175" t="s">
        <v>1366</v>
      </c>
      <c r="D346" s="176" t="s">
        <v>1367</v>
      </c>
      <c r="E346" s="177" t="s">
        <v>2180</v>
      </c>
      <c r="F346" s="175">
        <f t="shared" si="15"/>
        <v>15</v>
      </c>
      <c r="G346" s="175" t="str">
        <f t="shared" si="16"/>
        <v>Harrisonville</v>
      </c>
      <c r="H346" s="175" t="str">
        <f t="shared" si="17"/>
        <v>Harrisonville, MO</v>
      </c>
      <c r="I346" s="178" t="s">
        <v>1914</v>
      </c>
      <c r="J346" s="27" t="s">
        <v>1367</v>
      </c>
      <c r="K346" s="27">
        <v>1320</v>
      </c>
      <c r="L346" s="179">
        <v>4638</v>
      </c>
      <c r="M346" s="180" t="s">
        <v>1640</v>
      </c>
      <c r="N346" s="181" t="s">
        <v>1367</v>
      </c>
      <c r="O346" s="182" t="s">
        <v>1915</v>
      </c>
    </row>
    <row r="347" spans="1:15" ht="12">
      <c r="A347" s="148"/>
      <c r="B347" s="186" t="s">
        <v>2181</v>
      </c>
      <c r="C347" s="175" t="s">
        <v>680</v>
      </c>
      <c r="D347" s="176" t="s">
        <v>681</v>
      </c>
      <c r="E347" s="177" t="s">
        <v>2182</v>
      </c>
      <c r="F347" s="175">
        <f t="shared" si="15"/>
        <v>10</v>
      </c>
      <c r="G347" s="175" t="str">
        <f t="shared" si="16"/>
        <v>Hartford</v>
      </c>
      <c r="H347" s="175" t="str">
        <f t="shared" si="17"/>
        <v>Hartford, CT</v>
      </c>
      <c r="I347" s="178" t="s">
        <v>640</v>
      </c>
      <c r="J347" s="27" t="s">
        <v>2289</v>
      </c>
      <c r="K347" s="27">
        <v>333</v>
      </c>
      <c r="L347" s="179">
        <v>6979</v>
      </c>
      <c r="M347" s="178" t="s">
        <v>744</v>
      </c>
      <c r="N347" s="27" t="s">
        <v>681</v>
      </c>
      <c r="O347" s="182" t="s">
        <v>745</v>
      </c>
    </row>
    <row r="348" spans="1:15" ht="12">
      <c r="A348" s="148"/>
      <c r="B348" s="186" t="s">
        <v>746</v>
      </c>
      <c r="C348" s="175" t="s">
        <v>680</v>
      </c>
      <c r="D348" s="176" t="s">
        <v>681</v>
      </c>
      <c r="E348" s="177" t="s">
        <v>2182</v>
      </c>
      <c r="F348" s="175">
        <f t="shared" si="15"/>
        <v>10</v>
      </c>
      <c r="G348" s="175" t="str">
        <f t="shared" si="16"/>
        <v>Hartford</v>
      </c>
      <c r="H348" s="175" t="str">
        <f t="shared" si="17"/>
        <v>Hartford, CT</v>
      </c>
      <c r="I348" s="178" t="s">
        <v>747</v>
      </c>
      <c r="J348" s="27" t="s">
        <v>681</v>
      </c>
      <c r="K348" s="27">
        <v>677</v>
      </c>
      <c r="L348" s="179">
        <v>6151</v>
      </c>
      <c r="M348" s="178" t="s">
        <v>744</v>
      </c>
      <c r="N348" s="27" t="s">
        <v>681</v>
      </c>
      <c r="O348" s="182" t="s">
        <v>745</v>
      </c>
    </row>
    <row r="349" spans="1:15" ht="12">
      <c r="A349" s="148"/>
      <c r="B349" s="174" t="s">
        <v>748</v>
      </c>
      <c r="C349" s="175" t="s">
        <v>447</v>
      </c>
      <c r="D349" s="176" t="s">
        <v>448</v>
      </c>
      <c r="E349" s="177" t="s">
        <v>749</v>
      </c>
      <c r="F349" s="175">
        <f t="shared" si="15"/>
        <v>10</v>
      </c>
      <c r="G349" s="175" t="str">
        <f t="shared" si="16"/>
        <v>Hastings</v>
      </c>
      <c r="H349" s="175" t="str">
        <f t="shared" si="17"/>
        <v>Hastings, NE</v>
      </c>
      <c r="I349" s="178" t="s">
        <v>623</v>
      </c>
      <c r="J349" s="27" t="s">
        <v>448</v>
      </c>
      <c r="K349" s="27">
        <v>997</v>
      </c>
      <c r="L349" s="179">
        <v>6421</v>
      </c>
      <c r="M349" s="180" t="s">
        <v>624</v>
      </c>
      <c r="N349" s="181" t="s">
        <v>448</v>
      </c>
      <c r="O349" s="182" t="s">
        <v>625</v>
      </c>
    </row>
    <row r="350" spans="1:15" ht="12">
      <c r="A350" s="148"/>
      <c r="B350" s="174" t="s">
        <v>750</v>
      </c>
      <c r="C350" s="175" t="s">
        <v>621</v>
      </c>
      <c r="D350" s="176" t="s">
        <v>1335</v>
      </c>
      <c r="E350" s="177" t="s">
        <v>751</v>
      </c>
      <c r="F350" s="175">
        <f t="shared" si="15"/>
        <v>13</v>
      </c>
      <c r="G350" s="175" t="str">
        <f t="shared" si="16"/>
        <v>Hattiesburg</v>
      </c>
      <c r="H350" s="175" t="str">
        <f t="shared" si="17"/>
        <v>Hattiesburg, MS</v>
      </c>
      <c r="I350" s="178" t="s">
        <v>752</v>
      </c>
      <c r="J350" s="27" t="s">
        <v>494</v>
      </c>
      <c r="K350" s="27">
        <v>2627</v>
      </c>
      <c r="L350" s="179">
        <v>1702</v>
      </c>
      <c r="M350" s="180" t="s">
        <v>753</v>
      </c>
      <c r="N350" s="181" t="s">
        <v>494</v>
      </c>
      <c r="O350" s="182" t="s">
        <v>754</v>
      </c>
    </row>
    <row r="351" spans="1:15" ht="12">
      <c r="A351" s="148"/>
      <c r="B351" s="174" t="s">
        <v>755</v>
      </c>
      <c r="C351" s="175" t="s">
        <v>1415</v>
      </c>
      <c r="D351" s="176" t="s">
        <v>1416</v>
      </c>
      <c r="E351" s="177" t="s">
        <v>756</v>
      </c>
      <c r="F351" s="175">
        <f t="shared" si="15"/>
        <v>7</v>
      </c>
      <c r="G351" s="175" t="str">
        <f t="shared" si="16"/>
        <v>Havre</v>
      </c>
      <c r="H351" s="175" t="str">
        <f t="shared" si="17"/>
        <v>Havre, MT</v>
      </c>
      <c r="I351" s="178" t="s">
        <v>2036</v>
      </c>
      <c r="J351" s="27" t="s">
        <v>1416</v>
      </c>
      <c r="K351" s="27">
        <v>388</v>
      </c>
      <c r="L351" s="179">
        <v>7741</v>
      </c>
      <c r="M351" s="180" t="s">
        <v>2037</v>
      </c>
      <c r="N351" s="181" t="s">
        <v>1416</v>
      </c>
      <c r="O351" s="182" t="s">
        <v>2038</v>
      </c>
    </row>
    <row r="352" spans="1:15" ht="12">
      <c r="A352" s="148"/>
      <c r="B352" s="174" t="s">
        <v>757</v>
      </c>
      <c r="C352" s="175" t="s">
        <v>1495</v>
      </c>
      <c r="D352" s="176" t="s">
        <v>1496</v>
      </c>
      <c r="E352" s="177" t="s">
        <v>758</v>
      </c>
      <c r="F352" s="175">
        <f t="shared" si="15"/>
        <v>6</v>
      </c>
      <c r="G352" s="175" t="str">
        <f t="shared" si="16"/>
        <v>Hays</v>
      </c>
      <c r="H352" s="175" t="str">
        <f t="shared" si="17"/>
        <v>Hays, KS</v>
      </c>
      <c r="I352" s="178" t="s">
        <v>1715</v>
      </c>
      <c r="J352" s="27" t="s">
        <v>1496</v>
      </c>
      <c r="K352" s="27">
        <v>1465</v>
      </c>
      <c r="L352" s="179">
        <v>5001</v>
      </c>
      <c r="M352" s="180" t="s">
        <v>1716</v>
      </c>
      <c r="N352" s="181" t="s">
        <v>1496</v>
      </c>
      <c r="O352" s="182" t="s">
        <v>1717</v>
      </c>
    </row>
    <row r="353" spans="1:15" ht="12">
      <c r="A353" s="148"/>
      <c r="B353" s="174" t="s">
        <v>759</v>
      </c>
      <c r="C353" s="175" t="s">
        <v>516</v>
      </c>
      <c r="D353" s="176" t="s">
        <v>517</v>
      </c>
      <c r="E353" s="177" t="s">
        <v>760</v>
      </c>
      <c r="F353" s="175">
        <f t="shared" si="15"/>
        <v>8</v>
      </c>
      <c r="G353" s="175" t="str">
        <f t="shared" si="16"/>
        <v>Hazard</v>
      </c>
      <c r="H353" s="175" t="str">
        <f t="shared" si="17"/>
        <v>Hazard, KY</v>
      </c>
      <c r="I353" s="178" t="s">
        <v>1518</v>
      </c>
      <c r="J353" s="27" t="s">
        <v>1519</v>
      </c>
      <c r="K353" s="27">
        <v>1005</v>
      </c>
      <c r="L353" s="179">
        <v>4665</v>
      </c>
      <c r="M353" s="180" t="s">
        <v>1520</v>
      </c>
      <c r="N353" s="181" t="s">
        <v>1519</v>
      </c>
      <c r="O353" s="182" t="s">
        <v>1521</v>
      </c>
    </row>
    <row r="354" spans="1:15" ht="12">
      <c r="A354" s="148"/>
      <c r="B354" s="174" t="s">
        <v>761</v>
      </c>
      <c r="C354" s="175" t="s">
        <v>516</v>
      </c>
      <c r="D354" s="176" t="s">
        <v>517</v>
      </c>
      <c r="E354" s="177" t="s">
        <v>760</v>
      </c>
      <c r="F354" s="175">
        <f t="shared" si="15"/>
        <v>8</v>
      </c>
      <c r="G354" s="175" t="str">
        <f t="shared" si="16"/>
        <v>Hazard</v>
      </c>
      <c r="H354" s="175" t="str">
        <f t="shared" si="17"/>
        <v>Hazard, KY</v>
      </c>
      <c r="I354" s="178" t="s">
        <v>1518</v>
      </c>
      <c r="J354" s="27" t="s">
        <v>1519</v>
      </c>
      <c r="K354" s="27">
        <v>1005</v>
      </c>
      <c r="L354" s="179">
        <v>4665</v>
      </c>
      <c r="M354" s="180" t="s">
        <v>1520</v>
      </c>
      <c r="N354" s="181" t="s">
        <v>1519</v>
      </c>
      <c r="O354" s="182" t="s">
        <v>1521</v>
      </c>
    </row>
    <row r="355" spans="1:15" ht="12">
      <c r="A355" s="148"/>
      <c r="B355" s="174" t="s">
        <v>762</v>
      </c>
      <c r="C355" s="175" t="s">
        <v>440</v>
      </c>
      <c r="D355" s="176" t="s">
        <v>441</v>
      </c>
      <c r="E355" s="177" t="s">
        <v>763</v>
      </c>
      <c r="F355" s="175">
        <f t="shared" si="15"/>
        <v>10</v>
      </c>
      <c r="G355" s="175" t="str">
        <f t="shared" si="16"/>
        <v>Hazleton</v>
      </c>
      <c r="H355" s="175" t="str">
        <f t="shared" si="17"/>
        <v>Hazleton, PA</v>
      </c>
      <c r="I355" s="178" t="s">
        <v>764</v>
      </c>
      <c r="J355" s="27" t="s">
        <v>441</v>
      </c>
      <c r="K355" s="27">
        <v>539</v>
      </c>
      <c r="L355" s="179">
        <v>6291</v>
      </c>
      <c r="M355" s="180" t="s">
        <v>1427</v>
      </c>
      <c r="N355" s="181" t="s">
        <v>441</v>
      </c>
      <c r="O355" s="182" t="s">
        <v>1428</v>
      </c>
    </row>
    <row r="356" spans="1:15" ht="12">
      <c r="A356" s="148"/>
      <c r="B356" s="174" t="s">
        <v>765</v>
      </c>
      <c r="C356" s="175" t="s">
        <v>1415</v>
      </c>
      <c r="D356" s="176" t="s">
        <v>1416</v>
      </c>
      <c r="E356" s="177" t="s">
        <v>766</v>
      </c>
      <c r="F356" s="175">
        <f t="shared" si="15"/>
        <v>8</v>
      </c>
      <c r="G356" s="175" t="str">
        <f t="shared" si="16"/>
        <v>Helena</v>
      </c>
      <c r="H356" s="175" t="str">
        <f t="shared" si="17"/>
        <v>Helena, MT</v>
      </c>
      <c r="I356" s="178" t="s">
        <v>767</v>
      </c>
      <c r="J356" s="27" t="s">
        <v>1416</v>
      </c>
      <c r="K356" s="27">
        <v>386</v>
      </c>
      <c r="L356" s="179">
        <v>8031</v>
      </c>
      <c r="M356" s="180" t="s">
        <v>1345</v>
      </c>
      <c r="N356" s="181" t="s">
        <v>1416</v>
      </c>
      <c r="O356" s="182" t="s">
        <v>1346</v>
      </c>
    </row>
    <row r="357" spans="1:15" ht="12">
      <c r="A357" s="148"/>
      <c r="B357" s="174" t="s">
        <v>768</v>
      </c>
      <c r="C357" s="175" t="s">
        <v>516</v>
      </c>
      <c r="D357" s="176" t="s">
        <v>517</v>
      </c>
      <c r="E357" s="177" t="s">
        <v>769</v>
      </c>
      <c r="F357" s="175">
        <f t="shared" si="15"/>
        <v>11</v>
      </c>
      <c r="G357" s="175" t="str">
        <f t="shared" si="16"/>
        <v>Henderson</v>
      </c>
      <c r="H357" s="175" t="str">
        <f t="shared" si="17"/>
        <v>Henderson, KY</v>
      </c>
      <c r="I357" s="178" t="s">
        <v>1374</v>
      </c>
      <c r="J357" s="27" t="s">
        <v>2270</v>
      </c>
      <c r="K357" s="27">
        <v>1376</v>
      </c>
      <c r="L357" s="179">
        <v>4708</v>
      </c>
      <c r="M357" s="178" t="s">
        <v>1375</v>
      </c>
      <c r="N357" s="27" t="s">
        <v>2270</v>
      </c>
      <c r="O357" s="182" t="s">
        <v>1376</v>
      </c>
    </row>
    <row r="358" spans="1:15" ht="12">
      <c r="A358" s="148"/>
      <c r="B358" s="174" t="s">
        <v>770</v>
      </c>
      <c r="C358" s="175" t="s">
        <v>472</v>
      </c>
      <c r="D358" s="176" t="s">
        <v>473</v>
      </c>
      <c r="E358" s="177" t="s">
        <v>771</v>
      </c>
      <c r="F358" s="175">
        <f t="shared" si="15"/>
        <v>9</v>
      </c>
      <c r="G358" s="175" t="str">
        <f t="shared" si="16"/>
        <v>Hickory</v>
      </c>
      <c r="H358" s="175" t="str">
        <f t="shared" si="17"/>
        <v>Hickory, NC</v>
      </c>
      <c r="I358" s="178" t="s">
        <v>2054</v>
      </c>
      <c r="J358" s="27" t="s">
        <v>473</v>
      </c>
      <c r="K358" s="27">
        <v>1253</v>
      </c>
      <c r="L358" s="179">
        <v>3865</v>
      </c>
      <c r="M358" s="180" t="s">
        <v>2055</v>
      </c>
      <c r="N358" s="181" t="s">
        <v>473</v>
      </c>
      <c r="O358" s="182" t="s">
        <v>2056</v>
      </c>
    </row>
    <row r="359" spans="1:15" ht="12">
      <c r="A359" s="148"/>
      <c r="B359" s="174" t="s">
        <v>772</v>
      </c>
      <c r="C359" s="175" t="s">
        <v>407</v>
      </c>
      <c r="D359" s="176" t="s">
        <v>408</v>
      </c>
      <c r="E359" s="177" t="s">
        <v>773</v>
      </c>
      <c r="F359" s="175">
        <f t="shared" si="15"/>
        <v>12</v>
      </c>
      <c r="G359" s="175" t="str">
        <f t="shared" si="16"/>
        <v>Hicksville</v>
      </c>
      <c r="H359" s="175" t="str">
        <f t="shared" si="17"/>
        <v>Hicksville, NY</v>
      </c>
      <c r="I359" s="178" t="s">
        <v>1904</v>
      </c>
      <c r="J359" s="27" t="s">
        <v>408</v>
      </c>
      <c r="K359" s="27">
        <v>706</v>
      </c>
      <c r="L359" s="179">
        <v>5647</v>
      </c>
      <c r="M359" s="178" t="s">
        <v>684</v>
      </c>
      <c r="N359" s="27" t="s">
        <v>681</v>
      </c>
      <c r="O359" s="182" t="s">
        <v>685</v>
      </c>
    </row>
    <row r="360" spans="1:15" ht="12">
      <c r="A360" s="148"/>
      <c r="B360" s="174" t="s">
        <v>774</v>
      </c>
      <c r="C360" s="175" t="s">
        <v>407</v>
      </c>
      <c r="D360" s="176" t="s">
        <v>408</v>
      </c>
      <c r="E360" s="177" t="s">
        <v>773</v>
      </c>
      <c r="F360" s="175">
        <f t="shared" si="15"/>
        <v>12</v>
      </c>
      <c r="G360" s="175" t="str">
        <f t="shared" si="16"/>
        <v>Hicksville</v>
      </c>
      <c r="H360" s="175" t="str">
        <f t="shared" si="17"/>
        <v>Hicksville, NY</v>
      </c>
      <c r="I360" s="178" t="s">
        <v>1904</v>
      </c>
      <c r="J360" s="27" t="s">
        <v>408</v>
      </c>
      <c r="K360" s="27">
        <v>706</v>
      </c>
      <c r="L360" s="179">
        <v>5647</v>
      </c>
      <c r="M360" s="178" t="s">
        <v>684</v>
      </c>
      <c r="N360" s="27" t="s">
        <v>681</v>
      </c>
      <c r="O360" s="182" t="s">
        <v>685</v>
      </c>
    </row>
    <row r="361" spans="1:15" ht="12">
      <c r="A361" s="148"/>
      <c r="B361" s="174" t="s">
        <v>775</v>
      </c>
      <c r="C361" s="175" t="s">
        <v>776</v>
      </c>
      <c r="D361" s="176" t="s">
        <v>777</v>
      </c>
      <c r="E361" s="177" t="s">
        <v>778</v>
      </c>
      <c r="F361" s="175">
        <f t="shared" si="15"/>
        <v>10</v>
      </c>
      <c r="G361" s="175" t="str">
        <f t="shared" si="16"/>
        <v>Honolulu</v>
      </c>
      <c r="H361" s="175" t="str">
        <f t="shared" si="17"/>
        <v>Honolulu, HI</v>
      </c>
      <c r="I361" s="178" t="s">
        <v>779</v>
      </c>
      <c r="J361" s="27" t="s">
        <v>777</v>
      </c>
      <c r="K361" s="27">
        <v>3284</v>
      </c>
      <c r="L361" s="179">
        <v>0</v>
      </c>
      <c r="M361" s="178" t="s">
        <v>780</v>
      </c>
      <c r="N361" s="27" t="s">
        <v>777</v>
      </c>
      <c r="O361" s="182" t="s">
        <v>781</v>
      </c>
    </row>
    <row r="362" spans="1:15" ht="12">
      <c r="A362" s="148"/>
      <c r="B362" s="174" t="s">
        <v>782</v>
      </c>
      <c r="C362" s="175" t="s">
        <v>776</v>
      </c>
      <c r="D362" s="176" t="s">
        <v>777</v>
      </c>
      <c r="E362" s="177" t="s">
        <v>778</v>
      </c>
      <c r="F362" s="175">
        <f t="shared" si="15"/>
        <v>10</v>
      </c>
      <c r="G362" s="175" t="str">
        <f t="shared" si="16"/>
        <v>Honolulu</v>
      </c>
      <c r="H362" s="175" t="str">
        <f t="shared" si="17"/>
        <v>Honolulu, HI</v>
      </c>
      <c r="I362" s="178" t="s">
        <v>783</v>
      </c>
      <c r="J362" s="27" t="s">
        <v>777</v>
      </c>
      <c r="K362" s="27">
        <v>4474</v>
      </c>
      <c r="L362" s="179">
        <v>0</v>
      </c>
      <c r="M362" s="178" t="s">
        <v>780</v>
      </c>
      <c r="N362" s="27" t="s">
        <v>777</v>
      </c>
      <c r="O362" s="182" t="s">
        <v>781</v>
      </c>
    </row>
    <row r="363" spans="1:15" ht="12">
      <c r="A363" s="148"/>
      <c r="B363" s="174" t="s">
        <v>784</v>
      </c>
      <c r="C363" s="175" t="s">
        <v>1622</v>
      </c>
      <c r="D363" s="176" t="s">
        <v>1623</v>
      </c>
      <c r="E363" s="177" t="s">
        <v>785</v>
      </c>
      <c r="F363" s="175">
        <f t="shared" si="15"/>
        <v>12</v>
      </c>
      <c r="G363" s="175" t="str">
        <f t="shared" si="16"/>
        <v>Hood River</v>
      </c>
      <c r="H363" s="175" t="str">
        <f t="shared" si="17"/>
        <v>Hood River, OR</v>
      </c>
      <c r="I363" s="178" t="s">
        <v>786</v>
      </c>
      <c r="J363" s="27" t="s">
        <v>1623</v>
      </c>
      <c r="K363" s="27">
        <v>247</v>
      </c>
      <c r="L363" s="179">
        <v>4927</v>
      </c>
      <c r="M363" s="178" t="s">
        <v>787</v>
      </c>
      <c r="N363" s="27" t="s">
        <v>1623</v>
      </c>
      <c r="O363" s="182" t="s">
        <v>788</v>
      </c>
    </row>
    <row r="364" spans="1:15" ht="12">
      <c r="A364" s="148"/>
      <c r="B364" s="174" t="s">
        <v>789</v>
      </c>
      <c r="C364" s="175" t="s">
        <v>1578</v>
      </c>
      <c r="D364" s="176" t="s">
        <v>1579</v>
      </c>
      <c r="E364" s="177" t="s">
        <v>790</v>
      </c>
      <c r="F364" s="175">
        <f t="shared" si="15"/>
        <v>6</v>
      </c>
      <c r="G364" s="175" t="str">
        <f t="shared" si="16"/>
        <v>Hope</v>
      </c>
      <c r="H364" s="175" t="str">
        <f t="shared" si="17"/>
        <v>Hope, AR</v>
      </c>
      <c r="I364" s="178" t="s">
        <v>1351</v>
      </c>
      <c r="J364" s="27" t="s">
        <v>1579</v>
      </c>
      <c r="K364" s="27">
        <v>2005</v>
      </c>
      <c r="L364" s="179">
        <v>3155</v>
      </c>
      <c r="M364" s="178" t="s">
        <v>1582</v>
      </c>
      <c r="N364" s="27" t="s">
        <v>1579</v>
      </c>
      <c r="O364" s="182" t="s">
        <v>1583</v>
      </c>
    </row>
    <row r="365" spans="1:15" ht="12">
      <c r="A365" s="148"/>
      <c r="B365" s="174" t="s">
        <v>791</v>
      </c>
      <c r="C365" s="175" t="s">
        <v>1578</v>
      </c>
      <c r="D365" s="176" t="s">
        <v>1579</v>
      </c>
      <c r="E365" s="177" t="s">
        <v>792</v>
      </c>
      <c r="F365" s="175">
        <f t="shared" si="15"/>
        <v>13</v>
      </c>
      <c r="G365" s="175" t="str">
        <f t="shared" si="16"/>
        <v>Hot Springs</v>
      </c>
      <c r="H365" s="175" t="str">
        <f t="shared" si="17"/>
        <v>Hot Springs, AR</v>
      </c>
      <c r="I365" s="178" t="s">
        <v>1351</v>
      </c>
      <c r="J365" s="27" t="s">
        <v>1579</v>
      </c>
      <c r="K365" s="27">
        <v>2005</v>
      </c>
      <c r="L365" s="179">
        <v>3155</v>
      </c>
      <c r="M365" s="178" t="s">
        <v>1582</v>
      </c>
      <c r="N365" s="27" t="s">
        <v>1579</v>
      </c>
      <c r="O365" s="182" t="s">
        <v>1583</v>
      </c>
    </row>
    <row r="366" spans="1:15" ht="12">
      <c r="A366" s="148"/>
      <c r="B366" s="174" t="s">
        <v>793</v>
      </c>
      <c r="C366" s="175" t="s">
        <v>480</v>
      </c>
      <c r="D366" s="176" t="s">
        <v>481</v>
      </c>
      <c r="E366" s="177" t="s">
        <v>794</v>
      </c>
      <c r="F366" s="175">
        <f t="shared" si="15"/>
        <v>10</v>
      </c>
      <c r="G366" s="175" t="str">
        <f t="shared" si="16"/>
        <v>Houghton</v>
      </c>
      <c r="H366" s="175" t="str">
        <f t="shared" si="17"/>
        <v>Houghton, MI</v>
      </c>
      <c r="I366" s="178" t="s">
        <v>795</v>
      </c>
      <c r="J366" s="27" t="s">
        <v>481</v>
      </c>
      <c r="K366" s="27">
        <v>256</v>
      </c>
      <c r="L366" s="179">
        <v>8218</v>
      </c>
      <c r="M366" s="180" t="s">
        <v>796</v>
      </c>
      <c r="N366" s="181" t="s">
        <v>481</v>
      </c>
      <c r="O366" s="182" t="s">
        <v>797</v>
      </c>
    </row>
    <row r="367" spans="1:15" ht="12">
      <c r="A367" s="148"/>
      <c r="B367" s="174" t="s">
        <v>798</v>
      </c>
      <c r="C367" s="175" t="s">
        <v>254</v>
      </c>
      <c r="D367" s="176" t="s">
        <v>255</v>
      </c>
      <c r="E367" s="177" t="s">
        <v>799</v>
      </c>
      <c r="F367" s="175">
        <f t="shared" si="15"/>
        <v>9</v>
      </c>
      <c r="G367" s="175" t="str">
        <f t="shared" si="16"/>
        <v>Houston</v>
      </c>
      <c r="H367" s="175" t="str">
        <f t="shared" si="17"/>
        <v>Houston, TX</v>
      </c>
      <c r="I367" s="178" t="s">
        <v>1643</v>
      </c>
      <c r="J367" s="27" t="s">
        <v>255</v>
      </c>
      <c r="K367" s="27">
        <v>2700</v>
      </c>
      <c r="L367" s="179">
        <v>1599</v>
      </c>
      <c r="M367" s="180" t="s">
        <v>1602</v>
      </c>
      <c r="N367" s="181" t="s">
        <v>255</v>
      </c>
      <c r="O367" s="182" t="s">
        <v>1603</v>
      </c>
    </row>
    <row r="368" spans="1:15" ht="12">
      <c r="A368" s="148"/>
      <c r="B368" s="174" t="s">
        <v>800</v>
      </c>
      <c r="C368" s="175" t="s">
        <v>254</v>
      </c>
      <c r="D368" s="176" t="s">
        <v>255</v>
      </c>
      <c r="E368" s="177" t="s">
        <v>799</v>
      </c>
      <c r="F368" s="175">
        <f t="shared" si="15"/>
        <v>9</v>
      </c>
      <c r="G368" s="175" t="str">
        <f t="shared" si="16"/>
        <v>Houston</v>
      </c>
      <c r="H368" s="175" t="str">
        <f t="shared" si="17"/>
        <v>Houston, TX</v>
      </c>
      <c r="I368" s="178" t="s">
        <v>1643</v>
      </c>
      <c r="J368" s="27" t="s">
        <v>255</v>
      </c>
      <c r="K368" s="27">
        <v>2700</v>
      </c>
      <c r="L368" s="179">
        <v>1599</v>
      </c>
      <c r="M368" s="180" t="s">
        <v>1602</v>
      </c>
      <c r="N368" s="181" t="s">
        <v>255</v>
      </c>
      <c r="O368" s="182" t="s">
        <v>1603</v>
      </c>
    </row>
    <row r="369" spans="1:15" ht="12">
      <c r="A369" s="148"/>
      <c r="B369" s="174" t="s">
        <v>801</v>
      </c>
      <c r="C369" s="175" t="s">
        <v>254</v>
      </c>
      <c r="D369" s="176" t="s">
        <v>255</v>
      </c>
      <c r="E369" s="177" t="s">
        <v>799</v>
      </c>
      <c r="F369" s="175">
        <f t="shared" si="15"/>
        <v>9</v>
      </c>
      <c r="G369" s="175" t="str">
        <f t="shared" si="16"/>
        <v>Houston</v>
      </c>
      <c r="H369" s="175" t="str">
        <f t="shared" si="17"/>
        <v>Houston, TX</v>
      </c>
      <c r="I369" s="178" t="s">
        <v>1643</v>
      </c>
      <c r="J369" s="27" t="s">
        <v>255</v>
      </c>
      <c r="K369" s="27">
        <v>2700</v>
      </c>
      <c r="L369" s="179">
        <v>1599</v>
      </c>
      <c r="M369" s="180" t="s">
        <v>1602</v>
      </c>
      <c r="N369" s="181" t="s">
        <v>255</v>
      </c>
      <c r="O369" s="182" t="s">
        <v>1603</v>
      </c>
    </row>
    <row r="370" spans="1:15" ht="12">
      <c r="A370" s="148"/>
      <c r="B370" s="174" t="s">
        <v>802</v>
      </c>
      <c r="C370" s="175" t="s">
        <v>254</v>
      </c>
      <c r="D370" s="176" t="s">
        <v>255</v>
      </c>
      <c r="E370" s="177" t="s">
        <v>799</v>
      </c>
      <c r="F370" s="175">
        <f t="shared" si="15"/>
        <v>9</v>
      </c>
      <c r="G370" s="175" t="str">
        <f t="shared" si="16"/>
        <v>Houston</v>
      </c>
      <c r="H370" s="175" t="str">
        <f t="shared" si="17"/>
        <v>Houston, TX</v>
      </c>
      <c r="I370" s="178" t="s">
        <v>1643</v>
      </c>
      <c r="J370" s="27" t="s">
        <v>255</v>
      </c>
      <c r="K370" s="27">
        <v>2700</v>
      </c>
      <c r="L370" s="179">
        <v>1599</v>
      </c>
      <c r="M370" s="180" t="s">
        <v>1602</v>
      </c>
      <c r="N370" s="181" t="s">
        <v>255</v>
      </c>
      <c r="O370" s="182" t="s">
        <v>1603</v>
      </c>
    </row>
    <row r="371" spans="1:15" ht="12">
      <c r="A371" s="148"/>
      <c r="B371" s="174" t="s">
        <v>803</v>
      </c>
      <c r="C371" s="175" t="s">
        <v>1606</v>
      </c>
      <c r="D371" s="176" t="s">
        <v>1519</v>
      </c>
      <c r="E371" s="177" t="s">
        <v>804</v>
      </c>
      <c r="F371" s="175">
        <f t="shared" si="15"/>
        <v>12</v>
      </c>
      <c r="G371" s="175" t="str">
        <f t="shared" si="16"/>
        <v>Huntington</v>
      </c>
      <c r="H371" s="175" t="str">
        <f t="shared" si="17"/>
        <v>Huntington, WV</v>
      </c>
      <c r="I371" s="178" t="s">
        <v>1308</v>
      </c>
      <c r="J371" s="27" t="s">
        <v>1519</v>
      </c>
      <c r="K371" s="27">
        <v>1031</v>
      </c>
      <c r="L371" s="179">
        <v>4646</v>
      </c>
      <c r="M371" s="180" t="s">
        <v>1520</v>
      </c>
      <c r="N371" s="181" t="s">
        <v>1519</v>
      </c>
      <c r="O371" s="182" t="s">
        <v>1521</v>
      </c>
    </row>
    <row r="372" spans="1:15" ht="12">
      <c r="A372" s="148"/>
      <c r="B372" s="174" t="s">
        <v>805</v>
      </c>
      <c r="C372" s="175" t="s">
        <v>1606</v>
      </c>
      <c r="D372" s="176" t="s">
        <v>1519</v>
      </c>
      <c r="E372" s="177" t="s">
        <v>804</v>
      </c>
      <c r="F372" s="175">
        <f t="shared" si="15"/>
        <v>12</v>
      </c>
      <c r="G372" s="175" t="str">
        <f t="shared" si="16"/>
        <v>Huntington</v>
      </c>
      <c r="H372" s="175" t="str">
        <f t="shared" si="17"/>
        <v>Huntington, WV</v>
      </c>
      <c r="I372" s="178" t="s">
        <v>1518</v>
      </c>
      <c r="J372" s="27" t="s">
        <v>1519</v>
      </c>
      <c r="K372" s="27">
        <v>1005</v>
      </c>
      <c r="L372" s="179">
        <v>4665</v>
      </c>
      <c r="M372" s="180" t="s">
        <v>1520</v>
      </c>
      <c r="N372" s="181" t="s">
        <v>1519</v>
      </c>
      <c r="O372" s="182" t="s">
        <v>1521</v>
      </c>
    </row>
    <row r="373" spans="1:15" ht="12">
      <c r="A373" s="148"/>
      <c r="B373" s="174" t="s">
        <v>806</v>
      </c>
      <c r="C373" s="175" t="s">
        <v>493</v>
      </c>
      <c r="D373" s="176" t="s">
        <v>494</v>
      </c>
      <c r="E373" s="177" t="s">
        <v>807</v>
      </c>
      <c r="F373" s="175">
        <f t="shared" si="15"/>
        <v>12</v>
      </c>
      <c r="G373" s="175" t="str">
        <f t="shared" si="16"/>
        <v>Huntsville</v>
      </c>
      <c r="H373" s="175" t="str">
        <f t="shared" si="17"/>
        <v>Huntsville, AL</v>
      </c>
      <c r="I373" s="178" t="s">
        <v>2349</v>
      </c>
      <c r="J373" s="27" t="s">
        <v>476</v>
      </c>
      <c r="K373" s="27">
        <v>1544</v>
      </c>
      <c r="L373" s="179">
        <v>3587</v>
      </c>
      <c r="M373" s="180" t="s">
        <v>2346</v>
      </c>
      <c r="N373" s="181" t="s">
        <v>476</v>
      </c>
      <c r="O373" s="182" t="s">
        <v>2347</v>
      </c>
    </row>
    <row r="374" spans="1:15" ht="12">
      <c r="A374" s="148"/>
      <c r="B374" s="174" t="s">
        <v>808</v>
      </c>
      <c r="C374" s="175" t="s">
        <v>493</v>
      </c>
      <c r="D374" s="176" t="s">
        <v>494</v>
      </c>
      <c r="E374" s="177" t="s">
        <v>807</v>
      </c>
      <c r="F374" s="175">
        <f t="shared" si="15"/>
        <v>12</v>
      </c>
      <c r="G374" s="175" t="str">
        <f t="shared" si="16"/>
        <v>Huntsville</v>
      </c>
      <c r="H374" s="175" t="str">
        <f t="shared" si="17"/>
        <v>Huntsville, AL</v>
      </c>
      <c r="I374" s="178" t="s">
        <v>2345</v>
      </c>
      <c r="J374" s="27" t="s">
        <v>494</v>
      </c>
      <c r="K374" s="27">
        <v>1651</v>
      </c>
      <c r="L374" s="179">
        <v>3323</v>
      </c>
      <c r="M374" s="180" t="s">
        <v>1686</v>
      </c>
      <c r="N374" s="181" t="s">
        <v>494</v>
      </c>
      <c r="O374" s="182" t="s">
        <v>1687</v>
      </c>
    </row>
    <row r="375" spans="1:15" ht="12">
      <c r="A375" s="148"/>
      <c r="B375" s="174" t="s">
        <v>809</v>
      </c>
      <c r="C375" s="175" t="s">
        <v>1495</v>
      </c>
      <c r="D375" s="176" t="s">
        <v>1496</v>
      </c>
      <c r="E375" s="177" t="s">
        <v>810</v>
      </c>
      <c r="F375" s="175">
        <f t="shared" si="15"/>
        <v>12</v>
      </c>
      <c r="G375" s="175" t="str">
        <f t="shared" si="16"/>
        <v>Hutchinson</v>
      </c>
      <c r="H375" s="175" t="str">
        <f t="shared" si="17"/>
        <v>Hutchinson, KS</v>
      </c>
      <c r="I375" s="178" t="s">
        <v>1042</v>
      </c>
      <c r="J375" s="27" t="s">
        <v>1496</v>
      </c>
      <c r="K375" s="27">
        <v>1628</v>
      </c>
      <c r="L375" s="179">
        <v>4791</v>
      </c>
      <c r="M375" s="180" t="s">
        <v>1716</v>
      </c>
      <c r="N375" s="181" t="s">
        <v>1496</v>
      </c>
      <c r="O375" s="182" t="s">
        <v>1717</v>
      </c>
    </row>
    <row r="376" spans="1:15" ht="12">
      <c r="A376" s="148"/>
      <c r="B376" s="186" t="s">
        <v>811</v>
      </c>
      <c r="C376" s="175" t="s">
        <v>2288</v>
      </c>
      <c r="D376" s="176" t="s">
        <v>2289</v>
      </c>
      <c r="E376" s="177" t="s">
        <v>74</v>
      </c>
      <c r="F376" s="175">
        <f t="shared" si="15"/>
        <v>9</v>
      </c>
      <c r="G376" s="175" t="str">
        <f t="shared" si="16"/>
        <v>Hyannis</v>
      </c>
      <c r="H376" s="175" t="str">
        <f t="shared" si="17"/>
        <v>Hyannis, MA</v>
      </c>
      <c r="I376" s="178" t="s">
        <v>2258</v>
      </c>
      <c r="J376" s="27" t="s">
        <v>2259</v>
      </c>
      <c r="K376" s="27">
        <v>606</v>
      </c>
      <c r="L376" s="179">
        <v>5884</v>
      </c>
      <c r="M376" s="180" t="s">
        <v>2260</v>
      </c>
      <c r="N376" s="181" t="s">
        <v>2259</v>
      </c>
      <c r="O376" s="182" t="s">
        <v>2261</v>
      </c>
    </row>
    <row r="377" spans="1:15" ht="12">
      <c r="A377" s="148"/>
      <c r="B377" s="174" t="s">
        <v>75</v>
      </c>
      <c r="C377" s="175" t="s">
        <v>2280</v>
      </c>
      <c r="D377" s="176" t="s">
        <v>2281</v>
      </c>
      <c r="E377" s="177" t="s">
        <v>76</v>
      </c>
      <c r="F377" s="175">
        <f t="shared" si="15"/>
        <v>13</v>
      </c>
      <c r="G377" s="175" t="str">
        <f t="shared" si="16"/>
        <v>Idaho Falls</v>
      </c>
      <c r="H377" s="175" t="str">
        <f t="shared" si="17"/>
        <v>Idaho Falls, ID</v>
      </c>
      <c r="I377" s="178" t="s">
        <v>77</v>
      </c>
      <c r="J377" s="27" t="s">
        <v>2281</v>
      </c>
      <c r="K377" s="27">
        <v>421</v>
      </c>
      <c r="L377" s="179">
        <v>7180</v>
      </c>
      <c r="M377" s="180" t="s">
        <v>78</v>
      </c>
      <c r="N377" s="181" t="s">
        <v>2281</v>
      </c>
      <c r="O377" s="182" t="s">
        <v>79</v>
      </c>
    </row>
    <row r="378" spans="1:15" ht="12">
      <c r="A378" s="148"/>
      <c r="B378" s="174" t="s">
        <v>80</v>
      </c>
      <c r="C378" s="175" t="s">
        <v>1495</v>
      </c>
      <c r="D378" s="176" t="s">
        <v>1496</v>
      </c>
      <c r="E378" s="177" t="s">
        <v>81</v>
      </c>
      <c r="F378" s="175">
        <f t="shared" si="15"/>
        <v>14</v>
      </c>
      <c r="G378" s="175" t="str">
        <f t="shared" si="16"/>
        <v>Independence</v>
      </c>
      <c r="H378" s="175" t="str">
        <f t="shared" si="17"/>
        <v>Independence, KS</v>
      </c>
      <c r="I378" s="178" t="s">
        <v>1914</v>
      </c>
      <c r="J378" s="27" t="s">
        <v>1367</v>
      </c>
      <c r="K378" s="27">
        <v>1320</v>
      </c>
      <c r="L378" s="179">
        <v>4638</v>
      </c>
      <c r="M378" s="180" t="s">
        <v>1640</v>
      </c>
      <c r="N378" s="181" t="s">
        <v>1367</v>
      </c>
      <c r="O378" s="182" t="s">
        <v>1915</v>
      </c>
    </row>
    <row r="379" spans="1:15" ht="12">
      <c r="A379" s="148"/>
      <c r="B379" s="174" t="s">
        <v>82</v>
      </c>
      <c r="C379" s="175" t="s">
        <v>440</v>
      </c>
      <c r="D379" s="176" t="s">
        <v>441</v>
      </c>
      <c r="E379" s="177" t="s">
        <v>2269</v>
      </c>
      <c r="F379" s="175">
        <f t="shared" si="15"/>
        <v>9</v>
      </c>
      <c r="G379" s="175" t="str">
        <f t="shared" si="16"/>
        <v>Indiana</v>
      </c>
      <c r="H379" s="175" t="str">
        <f t="shared" si="17"/>
        <v>Indiana, PA</v>
      </c>
      <c r="I379" s="178" t="s">
        <v>455</v>
      </c>
      <c r="J379" s="27" t="s">
        <v>441</v>
      </c>
      <c r="K379" s="27">
        <v>654</v>
      </c>
      <c r="L379" s="179">
        <v>5968</v>
      </c>
      <c r="M379" s="180" t="s">
        <v>456</v>
      </c>
      <c r="N379" s="181" t="s">
        <v>441</v>
      </c>
      <c r="O379" s="182" t="s">
        <v>457</v>
      </c>
    </row>
    <row r="380" spans="1:15" ht="12">
      <c r="A380" s="148"/>
      <c r="B380" s="174" t="s">
        <v>83</v>
      </c>
      <c r="C380" s="175" t="s">
        <v>2269</v>
      </c>
      <c r="D380" s="176" t="s">
        <v>2270</v>
      </c>
      <c r="E380" s="177" t="s">
        <v>84</v>
      </c>
      <c r="F380" s="175">
        <f t="shared" si="15"/>
        <v>14</v>
      </c>
      <c r="G380" s="175" t="str">
        <f t="shared" si="16"/>
        <v>Indianapolis</v>
      </c>
      <c r="H380" s="175" t="str">
        <f t="shared" si="17"/>
        <v>Indianapolis, IN</v>
      </c>
      <c r="I380" s="178" t="s">
        <v>2271</v>
      </c>
      <c r="J380" s="27" t="s">
        <v>2270</v>
      </c>
      <c r="K380" s="27">
        <v>1014</v>
      </c>
      <c r="L380" s="179">
        <v>5615</v>
      </c>
      <c r="M380" s="178" t="s">
        <v>2272</v>
      </c>
      <c r="N380" s="27" t="s">
        <v>2270</v>
      </c>
      <c r="O380" s="182" t="s">
        <v>2273</v>
      </c>
    </row>
    <row r="381" spans="1:15" ht="12">
      <c r="A381" s="148"/>
      <c r="B381" s="174" t="s">
        <v>85</v>
      </c>
      <c r="C381" s="175" t="s">
        <v>2269</v>
      </c>
      <c r="D381" s="176" t="s">
        <v>2270</v>
      </c>
      <c r="E381" s="177" t="s">
        <v>84</v>
      </c>
      <c r="F381" s="175">
        <f t="shared" si="15"/>
        <v>14</v>
      </c>
      <c r="G381" s="175" t="str">
        <f t="shared" si="16"/>
        <v>Indianapolis</v>
      </c>
      <c r="H381" s="175" t="str">
        <f t="shared" si="17"/>
        <v>Indianapolis, IN</v>
      </c>
      <c r="I381" s="178" t="s">
        <v>2271</v>
      </c>
      <c r="J381" s="27" t="s">
        <v>2270</v>
      </c>
      <c r="K381" s="27">
        <v>1014</v>
      </c>
      <c r="L381" s="179">
        <v>5615</v>
      </c>
      <c r="M381" s="178" t="s">
        <v>2272</v>
      </c>
      <c r="N381" s="27" t="s">
        <v>2270</v>
      </c>
      <c r="O381" s="182" t="s">
        <v>2273</v>
      </c>
    </row>
    <row r="382" spans="1:15" ht="12">
      <c r="A382" s="148"/>
      <c r="B382" s="174" t="s">
        <v>86</v>
      </c>
      <c r="C382" s="175" t="s">
        <v>2269</v>
      </c>
      <c r="D382" s="176" t="s">
        <v>2270</v>
      </c>
      <c r="E382" s="177" t="s">
        <v>84</v>
      </c>
      <c r="F382" s="175">
        <f t="shared" si="15"/>
        <v>14</v>
      </c>
      <c r="G382" s="175" t="str">
        <f t="shared" si="16"/>
        <v>Indianapolis</v>
      </c>
      <c r="H382" s="175" t="str">
        <f t="shared" si="17"/>
        <v>Indianapolis, IN</v>
      </c>
      <c r="I382" s="178" t="s">
        <v>2271</v>
      </c>
      <c r="J382" s="27" t="s">
        <v>2270</v>
      </c>
      <c r="K382" s="27">
        <v>1014</v>
      </c>
      <c r="L382" s="179">
        <v>5615</v>
      </c>
      <c r="M382" s="178" t="s">
        <v>2272</v>
      </c>
      <c r="N382" s="27" t="s">
        <v>2270</v>
      </c>
      <c r="O382" s="182" t="s">
        <v>2273</v>
      </c>
    </row>
    <row r="383" spans="1:15" ht="12">
      <c r="A383" s="148"/>
      <c r="B383" s="174" t="s">
        <v>87</v>
      </c>
      <c r="C383" s="175" t="s">
        <v>433</v>
      </c>
      <c r="D383" s="176" t="s">
        <v>434</v>
      </c>
      <c r="E383" s="177" t="s">
        <v>88</v>
      </c>
      <c r="F383" s="175">
        <f t="shared" si="15"/>
        <v>11</v>
      </c>
      <c r="G383" s="175" t="str">
        <f t="shared" si="16"/>
        <v>Inglewood</v>
      </c>
      <c r="H383" s="175" t="str">
        <f t="shared" si="17"/>
        <v>Inglewood, CA</v>
      </c>
      <c r="I383" s="178" t="s">
        <v>89</v>
      </c>
      <c r="J383" s="27" t="s">
        <v>434</v>
      </c>
      <c r="K383" s="27">
        <v>727</v>
      </c>
      <c r="L383" s="179">
        <v>1458</v>
      </c>
      <c r="M383" s="178" t="s">
        <v>437</v>
      </c>
      <c r="N383" s="27" t="s">
        <v>434</v>
      </c>
      <c r="O383" s="182" t="s">
        <v>438</v>
      </c>
    </row>
    <row r="384" spans="1:15" ht="12">
      <c r="A384" s="148"/>
      <c r="B384" s="174" t="s">
        <v>90</v>
      </c>
      <c r="C384" s="175" t="s">
        <v>480</v>
      </c>
      <c r="D384" s="176" t="s">
        <v>481</v>
      </c>
      <c r="E384" s="177" t="s">
        <v>91</v>
      </c>
      <c r="F384" s="175">
        <f t="shared" si="15"/>
        <v>15</v>
      </c>
      <c r="G384" s="175" t="str">
        <f t="shared" si="16"/>
        <v>Iron Mountain</v>
      </c>
      <c r="H384" s="175" t="str">
        <f t="shared" si="17"/>
        <v>Iron Mountain, MI</v>
      </c>
      <c r="I384" s="178" t="s">
        <v>92</v>
      </c>
      <c r="J384" s="27" t="s">
        <v>481</v>
      </c>
      <c r="K384" s="27">
        <v>155</v>
      </c>
      <c r="L384" s="179">
        <v>9567</v>
      </c>
      <c r="M384" s="180" t="s">
        <v>796</v>
      </c>
      <c r="N384" s="181" t="s">
        <v>481</v>
      </c>
      <c r="O384" s="182" t="s">
        <v>797</v>
      </c>
    </row>
    <row r="385" spans="1:15" ht="12">
      <c r="A385" s="148"/>
      <c r="B385" s="174" t="s">
        <v>93</v>
      </c>
      <c r="C385" s="175" t="s">
        <v>407</v>
      </c>
      <c r="D385" s="176" t="s">
        <v>408</v>
      </c>
      <c r="E385" s="177" t="s">
        <v>94</v>
      </c>
      <c r="F385" s="175">
        <f t="shared" si="15"/>
        <v>8</v>
      </c>
      <c r="G385" s="175" t="str">
        <f t="shared" si="16"/>
        <v>Ithaca</v>
      </c>
      <c r="H385" s="175" t="str">
        <f t="shared" si="17"/>
        <v>Ithaca, NY</v>
      </c>
      <c r="I385" s="178" t="s">
        <v>95</v>
      </c>
      <c r="J385" s="27" t="s">
        <v>408</v>
      </c>
      <c r="K385" s="27">
        <v>438</v>
      </c>
      <c r="L385" s="179">
        <v>6834</v>
      </c>
      <c r="M385" s="180" t="s">
        <v>1035</v>
      </c>
      <c r="N385" s="181" t="s">
        <v>408</v>
      </c>
      <c r="O385" s="182" t="s">
        <v>1036</v>
      </c>
    </row>
    <row r="386" spans="1:15" ht="12">
      <c r="A386" s="148"/>
      <c r="B386" s="174" t="s">
        <v>96</v>
      </c>
      <c r="C386" s="175" t="s">
        <v>480</v>
      </c>
      <c r="D386" s="176" t="s">
        <v>481</v>
      </c>
      <c r="E386" s="177" t="s">
        <v>97</v>
      </c>
      <c r="F386" s="175">
        <f t="shared" si="15"/>
        <v>9</v>
      </c>
      <c r="G386" s="175" t="str">
        <f t="shared" si="16"/>
        <v>Jackson</v>
      </c>
      <c r="H386" s="175" t="str">
        <f t="shared" si="17"/>
        <v>Jackson, MI</v>
      </c>
      <c r="I386" s="178" t="s">
        <v>657</v>
      </c>
      <c r="J386" s="27" t="s">
        <v>386</v>
      </c>
      <c r="K386" s="27">
        <v>610</v>
      </c>
      <c r="L386" s="179">
        <v>6579</v>
      </c>
      <c r="M386" s="180" t="s">
        <v>658</v>
      </c>
      <c r="N386" s="181" t="s">
        <v>386</v>
      </c>
      <c r="O386" s="182" t="s">
        <v>659</v>
      </c>
    </row>
    <row r="387" spans="1:15" ht="12">
      <c r="A387" s="148"/>
      <c r="B387" s="174" t="s">
        <v>98</v>
      </c>
      <c r="C387" s="175" t="s">
        <v>621</v>
      </c>
      <c r="D387" s="176" t="s">
        <v>1335</v>
      </c>
      <c r="E387" s="177" t="s">
        <v>97</v>
      </c>
      <c r="F387" s="175">
        <f t="shared" si="15"/>
        <v>9</v>
      </c>
      <c r="G387" s="175" t="str">
        <f t="shared" si="16"/>
        <v>Jackson</v>
      </c>
      <c r="H387" s="175" t="str">
        <f t="shared" si="17"/>
        <v>Jackson, MS</v>
      </c>
      <c r="I387" s="178" t="s">
        <v>2063</v>
      </c>
      <c r="J387" s="27" t="s">
        <v>1335</v>
      </c>
      <c r="K387" s="27">
        <v>2215</v>
      </c>
      <c r="L387" s="179">
        <v>2467</v>
      </c>
      <c r="M387" s="180" t="s">
        <v>1336</v>
      </c>
      <c r="N387" s="181" t="s">
        <v>1335</v>
      </c>
      <c r="O387" s="182" t="s">
        <v>1337</v>
      </c>
    </row>
    <row r="388" spans="1:15" ht="12">
      <c r="A388" s="148"/>
      <c r="B388" s="174" t="s">
        <v>99</v>
      </c>
      <c r="C388" s="175" t="s">
        <v>621</v>
      </c>
      <c r="D388" s="176" t="s">
        <v>1335</v>
      </c>
      <c r="E388" s="177" t="s">
        <v>97</v>
      </c>
      <c r="F388" s="175">
        <f t="shared" si="15"/>
        <v>9</v>
      </c>
      <c r="G388" s="175" t="str">
        <f t="shared" si="16"/>
        <v>Jackson</v>
      </c>
      <c r="H388" s="175" t="str">
        <f t="shared" si="17"/>
        <v>Jackson, MS</v>
      </c>
      <c r="I388" s="178" t="s">
        <v>2063</v>
      </c>
      <c r="J388" s="27" t="s">
        <v>1335</v>
      </c>
      <c r="K388" s="27">
        <v>2215</v>
      </c>
      <c r="L388" s="179">
        <v>2467</v>
      </c>
      <c r="M388" s="180" t="s">
        <v>1336</v>
      </c>
      <c r="N388" s="181" t="s">
        <v>1335</v>
      </c>
      <c r="O388" s="182" t="s">
        <v>1337</v>
      </c>
    </row>
    <row r="389" spans="1:15" ht="12">
      <c r="A389" s="148"/>
      <c r="B389" s="174" t="s">
        <v>100</v>
      </c>
      <c r="C389" s="175" t="s">
        <v>621</v>
      </c>
      <c r="D389" s="176" t="s">
        <v>1335</v>
      </c>
      <c r="E389" s="177" t="s">
        <v>97</v>
      </c>
      <c r="F389" s="175">
        <f t="shared" si="15"/>
        <v>9</v>
      </c>
      <c r="G389" s="175" t="str">
        <f t="shared" si="16"/>
        <v>Jackson</v>
      </c>
      <c r="H389" s="175" t="str">
        <f t="shared" si="17"/>
        <v>Jackson, MS</v>
      </c>
      <c r="I389" s="178" t="s">
        <v>2063</v>
      </c>
      <c r="J389" s="27" t="s">
        <v>1335</v>
      </c>
      <c r="K389" s="27">
        <v>2215</v>
      </c>
      <c r="L389" s="179">
        <v>2467</v>
      </c>
      <c r="M389" s="180" t="s">
        <v>1336</v>
      </c>
      <c r="N389" s="181" t="s">
        <v>1335</v>
      </c>
      <c r="O389" s="182" t="s">
        <v>1337</v>
      </c>
    </row>
    <row r="390" spans="1:15" ht="12">
      <c r="A390" s="148"/>
      <c r="B390" s="174" t="s">
        <v>101</v>
      </c>
      <c r="C390" s="175" t="s">
        <v>2343</v>
      </c>
      <c r="D390" s="176" t="s">
        <v>476</v>
      </c>
      <c r="E390" s="177" t="s">
        <v>97</v>
      </c>
      <c r="F390" s="175">
        <f t="shared" ref="F390:F453" si="18">LEN(E390)</f>
        <v>9</v>
      </c>
      <c r="G390" s="175" t="str">
        <f t="shared" ref="G390:G453" si="19">MID(E390,2,F390-2)</f>
        <v>Jackson</v>
      </c>
      <c r="H390" s="175" t="str">
        <f t="shared" ref="H390:H453" si="20">CONCATENATE(G390,", ",+D390)</f>
        <v>Jackson, TN</v>
      </c>
      <c r="I390" s="178" t="s">
        <v>2345</v>
      </c>
      <c r="J390" s="27" t="s">
        <v>494</v>
      </c>
      <c r="K390" s="27">
        <v>1651</v>
      </c>
      <c r="L390" s="179">
        <v>3323</v>
      </c>
      <c r="M390" s="180" t="s">
        <v>1686</v>
      </c>
      <c r="N390" s="181" t="s">
        <v>494</v>
      </c>
      <c r="O390" s="182" t="s">
        <v>1687</v>
      </c>
    </row>
    <row r="391" spans="1:15" ht="12">
      <c r="A391" s="148"/>
      <c r="B391" s="174" t="s">
        <v>102</v>
      </c>
      <c r="C391" s="175" t="s">
        <v>1402</v>
      </c>
      <c r="D391" s="176" t="s">
        <v>1403</v>
      </c>
      <c r="E391" s="177" t="s">
        <v>97</v>
      </c>
      <c r="F391" s="175">
        <f t="shared" si="18"/>
        <v>9</v>
      </c>
      <c r="G391" s="175" t="str">
        <f t="shared" si="19"/>
        <v>Jackson</v>
      </c>
      <c r="H391" s="175" t="str">
        <f t="shared" si="20"/>
        <v>Jackson, WY</v>
      </c>
      <c r="I391" s="178" t="s">
        <v>103</v>
      </c>
      <c r="J391" s="27" t="s">
        <v>1403</v>
      </c>
      <c r="K391" s="27">
        <v>479</v>
      </c>
      <c r="L391" s="179">
        <v>7889</v>
      </c>
      <c r="M391" s="180" t="s">
        <v>1406</v>
      </c>
      <c r="N391" s="181" t="s">
        <v>1403</v>
      </c>
      <c r="O391" s="182" t="s">
        <v>2304</v>
      </c>
    </row>
    <row r="392" spans="1:15" ht="12">
      <c r="A392" s="148"/>
      <c r="B392" s="174" t="s">
        <v>104</v>
      </c>
      <c r="C392" s="175" t="s">
        <v>661</v>
      </c>
      <c r="D392" s="176" t="s">
        <v>662</v>
      </c>
      <c r="E392" s="177" t="s">
        <v>105</v>
      </c>
      <c r="F392" s="175">
        <f t="shared" si="18"/>
        <v>14</v>
      </c>
      <c r="G392" s="175" t="str">
        <f t="shared" si="19"/>
        <v>Jacksonville</v>
      </c>
      <c r="H392" s="175" t="str">
        <f t="shared" si="20"/>
        <v>Jacksonville, FL</v>
      </c>
      <c r="I392" s="178" t="s">
        <v>106</v>
      </c>
      <c r="J392" s="27" t="s">
        <v>662</v>
      </c>
      <c r="K392" s="27">
        <v>2551</v>
      </c>
      <c r="L392" s="179">
        <v>1434</v>
      </c>
      <c r="M392" s="178" t="s">
        <v>1985</v>
      </c>
      <c r="N392" s="27" t="s">
        <v>662</v>
      </c>
      <c r="O392" s="182" t="s">
        <v>1986</v>
      </c>
    </row>
    <row r="393" spans="1:15" ht="12">
      <c r="A393" s="148"/>
      <c r="B393" s="174" t="s">
        <v>107</v>
      </c>
      <c r="C393" s="175" t="s">
        <v>661</v>
      </c>
      <c r="D393" s="176" t="s">
        <v>662</v>
      </c>
      <c r="E393" s="177" t="s">
        <v>105</v>
      </c>
      <c r="F393" s="175">
        <f t="shared" si="18"/>
        <v>14</v>
      </c>
      <c r="G393" s="175" t="str">
        <f t="shared" si="19"/>
        <v>Jacksonville</v>
      </c>
      <c r="H393" s="175" t="str">
        <f t="shared" si="20"/>
        <v>Jacksonville, FL</v>
      </c>
      <c r="I393" s="178" t="s">
        <v>106</v>
      </c>
      <c r="J393" s="27" t="s">
        <v>662</v>
      </c>
      <c r="K393" s="27">
        <v>2551</v>
      </c>
      <c r="L393" s="179">
        <v>1434</v>
      </c>
      <c r="M393" s="178" t="s">
        <v>1985</v>
      </c>
      <c r="N393" s="27" t="s">
        <v>662</v>
      </c>
      <c r="O393" s="182" t="s">
        <v>1986</v>
      </c>
    </row>
    <row r="394" spans="1:15" ht="12">
      <c r="A394" s="148"/>
      <c r="B394" s="174" t="s">
        <v>108</v>
      </c>
      <c r="C394" s="175" t="s">
        <v>661</v>
      </c>
      <c r="D394" s="176" t="s">
        <v>662</v>
      </c>
      <c r="E394" s="177" t="s">
        <v>105</v>
      </c>
      <c r="F394" s="175">
        <f t="shared" si="18"/>
        <v>14</v>
      </c>
      <c r="G394" s="175" t="str">
        <f t="shared" si="19"/>
        <v>Jacksonville</v>
      </c>
      <c r="H394" s="175" t="str">
        <f t="shared" si="20"/>
        <v>Jacksonville, FL</v>
      </c>
      <c r="I394" s="178" t="s">
        <v>106</v>
      </c>
      <c r="J394" s="27" t="s">
        <v>662</v>
      </c>
      <c r="K394" s="27">
        <v>2551</v>
      </c>
      <c r="L394" s="179">
        <v>1434</v>
      </c>
      <c r="M394" s="178" t="s">
        <v>1985</v>
      </c>
      <c r="N394" s="27" t="s">
        <v>662</v>
      </c>
      <c r="O394" s="182" t="s">
        <v>1986</v>
      </c>
    </row>
    <row r="395" spans="1:15" ht="12">
      <c r="A395" s="148"/>
      <c r="B395" s="174" t="s">
        <v>109</v>
      </c>
      <c r="C395" s="175" t="s">
        <v>407</v>
      </c>
      <c r="D395" s="176" t="s">
        <v>408</v>
      </c>
      <c r="E395" s="177" t="s">
        <v>110</v>
      </c>
      <c r="F395" s="175">
        <f t="shared" si="18"/>
        <v>9</v>
      </c>
      <c r="G395" s="175" t="str">
        <f t="shared" si="19"/>
        <v>Jamaica</v>
      </c>
      <c r="H395" s="175" t="str">
        <f t="shared" si="20"/>
        <v>Jamaica, NY</v>
      </c>
      <c r="I395" s="178" t="s">
        <v>1936</v>
      </c>
      <c r="J395" s="27" t="s">
        <v>408</v>
      </c>
      <c r="K395" s="27">
        <v>921</v>
      </c>
      <c r="L395" s="179">
        <v>5027</v>
      </c>
      <c r="M395" s="180" t="s">
        <v>2266</v>
      </c>
      <c r="N395" s="181" t="s">
        <v>408</v>
      </c>
      <c r="O395" s="182" t="s">
        <v>1287</v>
      </c>
    </row>
    <row r="396" spans="1:15" ht="12">
      <c r="A396" s="148"/>
      <c r="B396" s="174" t="s">
        <v>111</v>
      </c>
      <c r="C396" s="175" t="s">
        <v>1434</v>
      </c>
      <c r="D396" s="176" t="s">
        <v>251</v>
      </c>
      <c r="E396" s="177" t="s">
        <v>112</v>
      </c>
      <c r="F396" s="175">
        <f t="shared" si="18"/>
        <v>11</v>
      </c>
      <c r="G396" s="175" t="str">
        <f t="shared" si="19"/>
        <v>Jamestown</v>
      </c>
      <c r="H396" s="175" t="str">
        <f t="shared" si="20"/>
        <v>Jamestown, ND</v>
      </c>
      <c r="I396" s="178" t="s">
        <v>1632</v>
      </c>
      <c r="J396" s="27" t="s">
        <v>251</v>
      </c>
      <c r="K396" s="27">
        <v>488</v>
      </c>
      <c r="L396" s="179">
        <v>8968</v>
      </c>
      <c r="M396" s="180" t="s">
        <v>1633</v>
      </c>
      <c r="N396" s="181" t="s">
        <v>251</v>
      </c>
      <c r="O396" s="182" t="s">
        <v>1634</v>
      </c>
    </row>
    <row r="397" spans="1:15" ht="12">
      <c r="A397" s="148"/>
      <c r="B397" s="174" t="s">
        <v>113</v>
      </c>
      <c r="C397" s="175" t="s">
        <v>407</v>
      </c>
      <c r="D397" s="176" t="s">
        <v>408</v>
      </c>
      <c r="E397" s="177" t="s">
        <v>112</v>
      </c>
      <c r="F397" s="175">
        <f t="shared" si="18"/>
        <v>11</v>
      </c>
      <c r="G397" s="175" t="str">
        <f t="shared" si="19"/>
        <v>Jamestown</v>
      </c>
      <c r="H397" s="175" t="str">
        <f t="shared" si="20"/>
        <v>Jamestown, NY</v>
      </c>
      <c r="I397" s="178" t="s">
        <v>669</v>
      </c>
      <c r="J397" s="27" t="s">
        <v>441</v>
      </c>
      <c r="K397" s="27">
        <v>550</v>
      </c>
      <c r="L397" s="179">
        <v>6279</v>
      </c>
      <c r="M397" s="180" t="s">
        <v>670</v>
      </c>
      <c r="N397" s="181" t="s">
        <v>441</v>
      </c>
      <c r="O397" s="182" t="s">
        <v>671</v>
      </c>
    </row>
    <row r="398" spans="1:15" ht="12">
      <c r="A398" s="148"/>
      <c r="B398" s="174" t="s">
        <v>114</v>
      </c>
      <c r="C398" s="175" t="s">
        <v>493</v>
      </c>
      <c r="D398" s="176" t="s">
        <v>494</v>
      </c>
      <c r="E398" s="177" t="s">
        <v>115</v>
      </c>
      <c r="F398" s="175">
        <f t="shared" si="18"/>
        <v>8</v>
      </c>
      <c r="G398" s="175" t="str">
        <f t="shared" si="19"/>
        <v>Jasper</v>
      </c>
      <c r="H398" s="175" t="str">
        <f t="shared" si="20"/>
        <v>Jasper, AL</v>
      </c>
      <c r="I398" s="178" t="s">
        <v>2345</v>
      </c>
      <c r="J398" s="27" t="s">
        <v>494</v>
      </c>
      <c r="K398" s="27">
        <v>1651</v>
      </c>
      <c r="L398" s="179">
        <v>3323</v>
      </c>
      <c r="M398" s="180" t="s">
        <v>1686</v>
      </c>
      <c r="N398" s="181" t="s">
        <v>494</v>
      </c>
      <c r="O398" s="182" t="s">
        <v>1687</v>
      </c>
    </row>
    <row r="399" spans="1:15" ht="12">
      <c r="A399" s="148"/>
      <c r="B399" s="174" t="s">
        <v>116</v>
      </c>
      <c r="C399" s="175" t="s">
        <v>1366</v>
      </c>
      <c r="D399" s="176" t="s">
        <v>1367</v>
      </c>
      <c r="E399" s="177" t="s">
        <v>117</v>
      </c>
      <c r="F399" s="175">
        <f t="shared" si="18"/>
        <v>16</v>
      </c>
      <c r="G399" s="175" t="str">
        <f t="shared" si="19"/>
        <v>Jefferson_City</v>
      </c>
      <c r="H399" s="175" t="str">
        <f t="shared" si="20"/>
        <v>Jefferson_City, MO</v>
      </c>
      <c r="I399" s="178" t="s">
        <v>1369</v>
      </c>
      <c r="J399" s="27" t="s">
        <v>1367</v>
      </c>
      <c r="K399" s="27">
        <v>1534</v>
      </c>
      <c r="L399" s="179">
        <v>4758</v>
      </c>
      <c r="M399" s="178" t="s">
        <v>1370</v>
      </c>
      <c r="N399" s="27" t="s">
        <v>1367</v>
      </c>
      <c r="O399" s="182" t="s">
        <v>1371</v>
      </c>
    </row>
    <row r="400" spans="1:15" ht="12">
      <c r="A400" s="148"/>
      <c r="B400" s="174" t="s">
        <v>118</v>
      </c>
      <c r="C400" s="175" t="s">
        <v>1366</v>
      </c>
      <c r="D400" s="176" t="s">
        <v>1367</v>
      </c>
      <c r="E400" s="177" t="s">
        <v>117</v>
      </c>
      <c r="F400" s="175">
        <f t="shared" si="18"/>
        <v>16</v>
      </c>
      <c r="G400" s="175" t="str">
        <f t="shared" si="19"/>
        <v>Jefferson_City</v>
      </c>
      <c r="H400" s="175" t="str">
        <f t="shared" si="20"/>
        <v>Jefferson_City, MO</v>
      </c>
      <c r="I400" s="178" t="s">
        <v>1507</v>
      </c>
      <c r="J400" s="27" t="s">
        <v>1367</v>
      </c>
      <c r="K400" s="27">
        <v>1189</v>
      </c>
      <c r="L400" s="179">
        <v>5212</v>
      </c>
      <c r="M400" s="178" t="s">
        <v>1370</v>
      </c>
      <c r="N400" s="27" t="s">
        <v>1367</v>
      </c>
      <c r="O400" s="182" t="s">
        <v>1371</v>
      </c>
    </row>
    <row r="401" spans="1:15" ht="12">
      <c r="A401" s="148"/>
      <c r="B401" s="186" t="s">
        <v>119</v>
      </c>
      <c r="C401" s="175" t="s">
        <v>1537</v>
      </c>
      <c r="D401" s="176" t="s">
        <v>1538</v>
      </c>
      <c r="E401" s="177" t="s">
        <v>120</v>
      </c>
      <c r="F401" s="175">
        <f t="shared" si="18"/>
        <v>13</v>
      </c>
      <c r="G401" s="175" t="str">
        <f t="shared" si="19"/>
        <v>Jersey_City</v>
      </c>
      <c r="H401" s="175" t="str">
        <f t="shared" si="20"/>
        <v>Jersey_City, NJ</v>
      </c>
      <c r="I401" s="178" t="s">
        <v>61</v>
      </c>
      <c r="J401" s="27" t="s">
        <v>1538</v>
      </c>
      <c r="K401" s="27">
        <v>1201</v>
      </c>
      <c r="L401" s="179">
        <v>4888</v>
      </c>
      <c r="M401" s="180" t="s">
        <v>62</v>
      </c>
      <c r="N401" s="181" t="s">
        <v>1538</v>
      </c>
      <c r="O401" s="182" t="s">
        <v>63</v>
      </c>
    </row>
    <row r="402" spans="1:15" ht="12">
      <c r="A402" s="148"/>
      <c r="B402" s="174" t="s">
        <v>121</v>
      </c>
      <c r="C402" s="175" t="s">
        <v>2343</v>
      </c>
      <c r="D402" s="176" t="s">
        <v>476</v>
      </c>
      <c r="E402" s="177" t="s">
        <v>122</v>
      </c>
      <c r="F402" s="175">
        <f t="shared" si="18"/>
        <v>14</v>
      </c>
      <c r="G402" s="175" t="str">
        <f t="shared" si="19"/>
        <v>Johnson City</v>
      </c>
      <c r="H402" s="175" t="str">
        <f t="shared" si="20"/>
        <v>Johnson City, TN</v>
      </c>
      <c r="I402" s="178" t="s">
        <v>510</v>
      </c>
      <c r="J402" s="27" t="s">
        <v>476</v>
      </c>
      <c r="K402" s="27">
        <v>972</v>
      </c>
      <c r="L402" s="179">
        <v>4406</v>
      </c>
      <c r="M402" s="180" t="s">
        <v>477</v>
      </c>
      <c r="N402" s="181" t="s">
        <v>476</v>
      </c>
      <c r="O402" s="182" t="s">
        <v>478</v>
      </c>
    </row>
    <row r="403" spans="1:15" ht="12">
      <c r="A403" s="148"/>
      <c r="B403" s="174" t="s">
        <v>123</v>
      </c>
      <c r="C403" s="175" t="s">
        <v>440</v>
      </c>
      <c r="D403" s="176" t="s">
        <v>441</v>
      </c>
      <c r="E403" s="177" t="s">
        <v>124</v>
      </c>
      <c r="F403" s="175">
        <f t="shared" si="18"/>
        <v>11</v>
      </c>
      <c r="G403" s="175" t="str">
        <f t="shared" si="19"/>
        <v>Johnstown</v>
      </c>
      <c r="H403" s="175" t="str">
        <f t="shared" si="20"/>
        <v>Johnstown, PA</v>
      </c>
      <c r="I403" s="178" t="s">
        <v>455</v>
      </c>
      <c r="J403" s="27" t="s">
        <v>441</v>
      </c>
      <c r="K403" s="27">
        <v>654</v>
      </c>
      <c r="L403" s="179">
        <v>5968</v>
      </c>
      <c r="M403" s="180" t="s">
        <v>456</v>
      </c>
      <c r="N403" s="181" t="s">
        <v>441</v>
      </c>
      <c r="O403" s="182" t="s">
        <v>457</v>
      </c>
    </row>
    <row r="404" spans="1:15" ht="12">
      <c r="A404" s="148"/>
      <c r="B404" s="174" t="s">
        <v>125</v>
      </c>
      <c r="C404" s="175" t="s">
        <v>1578</v>
      </c>
      <c r="D404" s="176" t="s">
        <v>1579</v>
      </c>
      <c r="E404" s="177" t="s">
        <v>126</v>
      </c>
      <c r="F404" s="175">
        <f t="shared" si="18"/>
        <v>11</v>
      </c>
      <c r="G404" s="175" t="str">
        <f t="shared" si="19"/>
        <v>Jonesboro</v>
      </c>
      <c r="H404" s="175" t="str">
        <f t="shared" si="20"/>
        <v>Jonesboro, AR</v>
      </c>
      <c r="I404" s="178" t="s">
        <v>1581</v>
      </c>
      <c r="J404" s="27" t="s">
        <v>1579</v>
      </c>
      <c r="K404" s="27">
        <v>1916</v>
      </c>
      <c r="L404" s="179">
        <v>3228</v>
      </c>
      <c r="M404" s="178" t="s">
        <v>1582</v>
      </c>
      <c r="N404" s="27" t="s">
        <v>1579</v>
      </c>
      <c r="O404" s="182" t="s">
        <v>1583</v>
      </c>
    </row>
    <row r="405" spans="1:15" ht="12">
      <c r="A405" s="148"/>
      <c r="B405" s="174" t="s">
        <v>127</v>
      </c>
      <c r="C405" s="175" t="s">
        <v>1366</v>
      </c>
      <c r="D405" s="176" t="s">
        <v>1367</v>
      </c>
      <c r="E405" s="177" t="s">
        <v>128</v>
      </c>
      <c r="F405" s="175">
        <f t="shared" si="18"/>
        <v>8</v>
      </c>
      <c r="G405" s="175" t="str">
        <f t="shared" si="19"/>
        <v>Joplin</v>
      </c>
      <c r="H405" s="175" t="str">
        <f t="shared" si="20"/>
        <v>Joplin, MO</v>
      </c>
      <c r="I405" s="178" t="s">
        <v>1914</v>
      </c>
      <c r="J405" s="27" t="s">
        <v>1367</v>
      </c>
      <c r="K405" s="27">
        <v>1320</v>
      </c>
      <c r="L405" s="179">
        <v>4638</v>
      </c>
      <c r="M405" s="180" t="s">
        <v>1640</v>
      </c>
      <c r="N405" s="181" t="s">
        <v>1367</v>
      </c>
      <c r="O405" s="182" t="s">
        <v>1915</v>
      </c>
    </row>
    <row r="406" spans="1:15" ht="12">
      <c r="A406" s="148"/>
      <c r="B406" s="174" t="s">
        <v>129</v>
      </c>
      <c r="C406" s="175" t="s">
        <v>464</v>
      </c>
      <c r="D406" s="176" t="s">
        <v>465</v>
      </c>
      <c r="E406" s="177" t="s">
        <v>130</v>
      </c>
      <c r="F406" s="175">
        <f t="shared" si="18"/>
        <v>8</v>
      </c>
      <c r="G406" s="175" t="str">
        <f t="shared" si="19"/>
        <v>Juneau</v>
      </c>
      <c r="H406" s="175" t="str">
        <f t="shared" si="20"/>
        <v>Juneau, AK</v>
      </c>
      <c r="I406" s="178" t="s">
        <v>131</v>
      </c>
      <c r="J406" s="27" t="s">
        <v>465</v>
      </c>
      <c r="K406" s="27">
        <v>0</v>
      </c>
      <c r="L406" s="179">
        <v>8897</v>
      </c>
      <c r="M406" s="178" t="s">
        <v>132</v>
      </c>
      <c r="N406" s="27" t="s">
        <v>465</v>
      </c>
      <c r="O406" s="182" t="s">
        <v>133</v>
      </c>
    </row>
    <row r="407" spans="1:15" ht="12">
      <c r="A407" s="148"/>
      <c r="B407" s="174" t="s">
        <v>134</v>
      </c>
      <c r="C407" s="175" t="s">
        <v>480</v>
      </c>
      <c r="D407" s="176" t="s">
        <v>481</v>
      </c>
      <c r="E407" s="177" t="s">
        <v>135</v>
      </c>
      <c r="F407" s="175">
        <f t="shared" si="18"/>
        <v>11</v>
      </c>
      <c r="G407" s="175" t="str">
        <f t="shared" si="19"/>
        <v>Kalamazoo</v>
      </c>
      <c r="H407" s="175" t="str">
        <f t="shared" si="20"/>
        <v>Kalamazoo, MI</v>
      </c>
      <c r="I407" s="178" t="s">
        <v>1960</v>
      </c>
      <c r="J407" s="27" t="s">
        <v>2270</v>
      </c>
      <c r="K407" s="27">
        <v>728</v>
      </c>
      <c r="L407" s="179">
        <v>6331</v>
      </c>
      <c r="M407" s="178" t="s">
        <v>1999</v>
      </c>
      <c r="N407" s="27" t="s">
        <v>2270</v>
      </c>
      <c r="O407" s="182" t="s">
        <v>2000</v>
      </c>
    </row>
    <row r="408" spans="1:15" ht="12">
      <c r="A408" s="148"/>
      <c r="B408" s="174" t="s">
        <v>136</v>
      </c>
      <c r="C408" s="175" t="s">
        <v>480</v>
      </c>
      <c r="D408" s="176" t="s">
        <v>481</v>
      </c>
      <c r="E408" s="177" t="s">
        <v>135</v>
      </c>
      <c r="F408" s="175">
        <f t="shared" si="18"/>
        <v>11</v>
      </c>
      <c r="G408" s="175" t="str">
        <f t="shared" si="19"/>
        <v>Kalamazoo</v>
      </c>
      <c r="H408" s="175" t="str">
        <f t="shared" si="20"/>
        <v>Kalamazoo, MI</v>
      </c>
      <c r="I408" s="178" t="s">
        <v>1960</v>
      </c>
      <c r="J408" s="27" t="s">
        <v>2270</v>
      </c>
      <c r="K408" s="27">
        <v>728</v>
      </c>
      <c r="L408" s="179">
        <v>6331</v>
      </c>
      <c r="M408" s="178" t="s">
        <v>1999</v>
      </c>
      <c r="N408" s="27" t="s">
        <v>2270</v>
      </c>
      <c r="O408" s="182" t="s">
        <v>2000</v>
      </c>
    </row>
    <row r="409" spans="1:15" ht="12">
      <c r="A409" s="148"/>
      <c r="B409" s="174" t="s">
        <v>137</v>
      </c>
      <c r="C409" s="175" t="s">
        <v>1415</v>
      </c>
      <c r="D409" s="176" t="s">
        <v>1416</v>
      </c>
      <c r="E409" s="177" t="s">
        <v>138</v>
      </c>
      <c r="F409" s="175">
        <f t="shared" si="18"/>
        <v>11</v>
      </c>
      <c r="G409" s="175" t="str">
        <f t="shared" si="19"/>
        <v>Kalispell</v>
      </c>
      <c r="H409" s="175" t="str">
        <f t="shared" si="20"/>
        <v>Kalispell, MT</v>
      </c>
      <c r="I409" s="178" t="s">
        <v>890</v>
      </c>
      <c r="J409" s="27" t="s">
        <v>1416</v>
      </c>
      <c r="K409" s="27">
        <v>149</v>
      </c>
      <c r="L409" s="179">
        <v>8378</v>
      </c>
      <c r="M409" s="180" t="s">
        <v>2037</v>
      </c>
      <c r="N409" s="181" t="s">
        <v>1416</v>
      </c>
      <c r="O409" s="182" t="s">
        <v>2038</v>
      </c>
    </row>
    <row r="410" spans="1:15" ht="12">
      <c r="A410" s="148"/>
      <c r="B410" s="174" t="s">
        <v>891</v>
      </c>
      <c r="C410" s="175" t="s">
        <v>1636</v>
      </c>
      <c r="D410" s="176" t="s">
        <v>1637</v>
      </c>
      <c r="E410" s="177" t="s">
        <v>892</v>
      </c>
      <c r="F410" s="175">
        <f t="shared" si="18"/>
        <v>10</v>
      </c>
      <c r="G410" s="175" t="str">
        <f t="shared" si="19"/>
        <v>Kankakee</v>
      </c>
      <c r="H410" s="175" t="str">
        <f t="shared" si="20"/>
        <v>Kankakee, IL</v>
      </c>
      <c r="I410" s="178" t="s">
        <v>893</v>
      </c>
      <c r="J410" s="27" t="s">
        <v>1637</v>
      </c>
      <c r="K410" s="27">
        <v>982</v>
      </c>
      <c r="L410" s="179">
        <v>6148</v>
      </c>
      <c r="M410" s="178" t="s">
        <v>1990</v>
      </c>
      <c r="N410" s="27" t="s">
        <v>1637</v>
      </c>
      <c r="O410" s="182" t="s">
        <v>1991</v>
      </c>
    </row>
    <row r="411" spans="1:15" ht="12">
      <c r="A411" s="148"/>
      <c r="B411" s="174" t="s">
        <v>894</v>
      </c>
      <c r="C411" s="175" t="s">
        <v>1495</v>
      </c>
      <c r="D411" s="176" t="s">
        <v>1496</v>
      </c>
      <c r="E411" s="177" t="s">
        <v>895</v>
      </c>
      <c r="F411" s="175">
        <f t="shared" si="18"/>
        <v>13</v>
      </c>
      <c r="G411" s="175" t="str">
        <f t="shared" si="19"/>
        <v>Kansas City</v>
      </c>
      <c r="H411" s="175" t="str">
        <f t="shared" si="20"/>
        <v>Kansas City, KS</v>
      </c>
      <c r="I411" s="178" t="s">
        <v>896</v>
      </c>
      <c r="J411" s="27" t="s">
        <v>1496</v>
      </c>
      <c r="K411" s="27">
        <v>1304</v>
      </c>
      <c r="L411" s="179">
        <v>5265</v>
      </c>
      <c r="M411" s="180" t="s">
        <v>2371</v>
      </c>
      <c r="N411" s="181" t="s">
        <v>1367</v>
      </c>
      <c r="O411" s="182" t="s">
        <v>2372</v>
      </c>
    </row>
    <row r="412" spans="1:15" ht="12">
      <c r="A412" s="148"/>
      <c r="B412" s="174" t="s">
        <v>897</v>
      </c>
      <c r="C412" s="175" t="s">
        <v>1495</v>
      </c>
      <c r="D412" s="176" t="s">
        <v>1496</v>
      </c>
      <c r="E412" s="177" t="s">
        <v>895</v>
      </c>
      <c r="F412" s="175">
        <f t="shared" si="18"/>
        <v>13</v>
      </c>
      <c r="G412" s="175" t="str">
        <f t="shared" si="19"/>
        <v>Kansas City</v>
      </c>
      <c r="H412" s="175" t="str">
        <f t="shared" si="20"/>
        <v>Kansas City, KS</v>
      </c>
      <c r="I412" s="178" t="s">
        <v>2370</v>
      </c>
      <c r="J412" s="27" t="s">
        <v>1367</v>
      </c>
      <c r="K412" s="27">
        <v>1288</v>
      </c>
      <c r="L412" s="179">
        <v>5393</v>
      </c>
      <c r="M412" s="180" t="s">
        <v>2371</v>
      </c>
      <c r="N412" s="181" t="s">
        <v>1367</v>
      </c>
      <c r="O412" s="182" t="s">
        <v>2372</v>
      </c>
    </row>
    <row r="413" spans="1:15" ht="12">
      <c r="A413" s="148"/>
      <c r="B413" s="174" t="s">
        <v>898</v>
      </c>
      <c r="C413" s="175" t="s">
        <v>1366</v>
      </c>
      <c r="D413" s="176" t="s">
        <v>1367</v>
      </c>
      <c r="E413" s="177" t="s">
        <v>895</v>
      </c>
      <c r="F413" s="175">
        <f t="shared" si="18"/>
        <v>13</v>
      </c>
      <c r="G413" s="175" t="str">
        <f t="shared" si="19"/>
        <v>Kansas City</v>
      </c>
      <c r="H413" s="175" t="str">
        <f t="shared" si="20"/>
        <v>Kansas City, MO</v>
      </c>
      <c r="I413" s="178" t="s">
        <v>2370</v>
      </c>
      <c r="J413" s="27" t="s">
        <v>1367</v>
      </c>
      <c r="K413" s="27">
        <v>1288</v>
      </c>
      <c r="L413" s="179">
        <v>5393</v>
      </c>
      <c r="M413" s="180" t="s">
        <v>2371</v>
      </c>
      <c r="N413" s="181" t="s">
        <v>1367</v>
      </c>
      <c r="O413" s="182" t="s">
        <v>2372</v>
      </c>
    </row>
    <row r="414" spans="1:15" ht="12">
      <c r="A414" s="148"/>
      <c r="B414" s="174" t="s">
        <v>899</v>
      </c>
      <c r="C414" s="175" t="s">
        <v>1366</v>
      </c>
      <c r="D414" s="176" t="s">
        <v>1367</v>
      </c>
      <c r="E414" s="177" t="s">
        <v>895</v>
      </c>
      <c r="F414" s="175">
        <f t="shared" si="18"/>
        <v>13</v>
      </c>
      <c r="G414" s="175" t="str">
        <f t="shared" si="19"/>
        <v>Kansas City</v>
      </c>
      <c r="H414" s="175" t="str">
        <f t="shared" si="20"/>
        <v>Kansas City, MO</v>
      </c>
      <c r="I414" s="178" t="s">
        <v>2370</v>
      </c>
      <c r="J414" s="27" t="s">
        <v>1367</v>
      </c>
      <c r="K414" s="27">
        <v>1288</v>
      </c>
      <c r="L414" s="179">
        <v>5393</v>
      </c>
      <c r="M414" s="180" t="s">
        <v>2371</v>
      </c>
      <c r="N414" s="181" t="s">
        <v>1367</v>
      </c>
      <c r="O414" s="182" t="s">
        <v>2372</v>
      </c>
    </row>
    <row r="415" spans="1:15" ht="12">
      <c r="A415" s="148"/>
      <c r="B415" s="186" t="s">
        <v>900</v>
      </c>
      <c r="C415" s="175" t="s">
        <v>262</v>
      </c>
      <c r="D415" s="176" t="s">
        <v>263</v>
      </c>
      <c r="E415" s="177" t="s">
        <v>901</v>
      </c>
      <c r="F415" s="175">
        <f t="shared" si="18"/>
        <v>7</v>
      </c>
      <c r="G415" s="175" t="str">
        <f t="shared" si="19"/>
        <v>Keene</v>
      </c>
      <c r="H415" s="175" t="str">
        <f t="shared" si="20"/>
        <v>Keene, NH</v>
      </c>
      <c r="I415" s="178" t="s">
        <v>640</v>
      </c>
      <c r="J415" s="27" t="s">
        <v>2289</v>
      </c>
      <c r="K415" s="27">
        <v>333</v>
      </c>
      <c r="L415" s="179">
        <v>6979</v>
      </c>
      <c r="M415" s="180" t="s">
        <v>266</v>
      </c>
      <c r="N415" s="181" t="s">
        <v>263</v>
      </c>
      <c r="O415" s="182" t="s">
        <v>267</v>
      </c>
    </row>
    <row r="416" spans="1:15" ht="12">
      <c r="A416" s="148"/>
      <c r="B416" s="174" t="s">
        <v>902</v>
      </c>
      <c r="C416" s="175" t="s">
        <v>1402</v>
      </c>
      <c r="D416" s="176" t="s">
        <v>1403</v>
      </c>
      <c r="E416" s="177" t="s">
        <v>903</v>
      </c>
      <c r="F416" s="175">
        <f t="shared" si="18"/>
        <v>10</v>
      </c>
      <c r="G416" s="175" t="str">
        <f t="shared" si="19"/>
        <v>Kemmerer</v>
      </c>
      <c r="H416" s="175" t="str">
        <f t="shared" si="20"/>
        <v>Kemmerer, WY</v>
      </c>
      <c r="I416" s="178" t="s">
        <v>103</v>
      </c>
      <c r="J416" s="27" t="s">
        <v>1403</v>
      </c>
      <c r="K416" s="27">
        <v>479</v>
      </c>
      <c r="L416" s="179">
        <v>7889</v>
      </c>
      <c r="M416" s="180" t="s">
        <v>1406</v>
      </c>
      <c r="N416" s="181" t="s">
        <v>1403</v>
      </c>
      <c r="O416" s="182" t="s">
        <v>2304</v>
      </c>
    </row>
    <row r="417" spans="1:15" ht="12">
      <c r="A417" s="148"/>
      <c r="B417" s="174" t="s">
        <v>904</v>
      </c>
      <c r="C417" s="175" t="s">
        <v>464</v>
      </c>
      <c r="D417" s="176" t="s">
        <v>465</v>
      </c>
      <c r="E417" s="177" t="s">
        <v>905</v>
      </c>
      <c r="F417" s="175">
        <f t="shared" si="18"/>
        <v>11</v>
      </c>
      <c r="G417" s="175" t="str">
        <f t="shared" si="19"/>
        <v>Ketchikan</v>
      </c>
      <c r="H417" s="175" t="str">
        <f t="shared" si="20"/>
        <v>Ketchikan, AK</v>
      </c>
      <c r="I417" s="178" t="s">
        <v>906</v>
      </c>
      <c r="J417" s="27" t="s">
        <v>465</v>
      </c>
      <c r="K417" s="27">
        <v>0</v>
      </c>
      <c r="L417" s="179">
        <v>11456</v>
      </c>
      <c r="M417" s="178" t="s">
        <v>132</v>
      </c>
      <c r="N417" s="27" t="s">
        <v>465</v>
      </c>
      <c r="O417" s="182" t="s">
        <v>133</v>
      </c>
    </row>
    <row r="418" spans="1:15" ht="12">
      <c r="A418" s="148"/>
      <c r="B418" s="174" t="s">
        <v>907</v>
      </c>
      <c r="C418" s="175" t="s">
        <v>1606</v>
      </c>
      <c r="D418" s="176" t="s">
        <v>1519</v>
      </c>
      <c r="E418" s="177" t="s">
        <v>908</v>
      </c>
      <c r="F418" s="175">
        <f t="shared" si="18"/>
        <v>8</v>
      </c>
      <c r="G418" s="175" t="str">
        <f t="shared" si="19"/>
        <v>Keyser</v>
      </c>
      <c r="H418" s="175" t="str">
        <f t="shared" si="20"/>
        <v>Keyser, WV</v>
      </c>
      <c r="I418" s="178" t="s">
        <v>2385</v>
      </c>
      <c r="J418" s="27" t="s">
        <v>1519</v>
      </c>
      <c r="K418" s="27">
        <v>346</v>
      </c>
      <c r="L418" s="179">
        <v>6120</v>
      </c>
      <c r="M418" s="180" t="s">
        <v>2386</v>
      </c>
      <c r="N418" s="181" t="s">
        <v>1519</v>
      </c>
      <c r="O418" s="182" t="s">
        <v>581</v>
      </c>
    </row>
    <row r="419" spans="1:15" ht="12">
      <c r="A419" s="148"/>
      <c r="B419" s="174" t="s">
        <v>909</v>
      </c>
      <c r="C419" s="175" t="s">
        <v>1300</v>
      </c>
      <c r="D419" s="176" t="s">
        <v>1301</v>
      </c>
      <c r="E419" s="177" t="s">
        <v>910</v>
      </c>
      <c r="F419" s="175">
        <f t="shared" si="18"/>
        <v>9</v>
      </c>
      <c r="G419" s="175" t="str">
        <f t="shared" si="19"/>
        <v>Kingman</v>
      </c>
      <c r="H419" s="175" t="str">
        <f t="shared" si="20"/>
        <v>Kingman, AZ</v>
      </c>
      <c r="I419" s="178" t="s">
        <v>911</v>
      </c>
      <c r="J419" s="27" t="s">
        <v>1391</v>
      </c>
      <c r="K419" s="27">
        <v>3201</v>
      </c>
      <c r="L419" s="179">
        <v>2407</v>
      </c>
      <c r="M419" s="180" t="s">
        <v>912</v>
      </c>
      <c r="N419" s="181" t="s">
        <v>1391</v>
      </c>
      <c r="O419" s="182" t="s">
        <v>913</v>
      </c>
    </row>
    <row r="420" spans="1:15" ht="12">
      <c r="A420" s="148"/>
      <c r="B420" s="174" t="s">
        <v>914</v>
      </c>
      <c r="C420" s="175" t="s">
        <v>407</v>
      </c>
      <c r="D420" s="176" t="s">
        <v>408</v>
      </c>
      <c r="E420" s="177" t="s">
        <v>915</v>
      </c>
      <c r="F420" s="175">
        <f t="shared" si="18"/>
        <v>10</v>
      </c>
      <c r="G420" s="175" t="str">
        <f t="shared" si="19"/>
        <v>Kingston</v>
      </c>
      <c r="H420" s="175" t="str">
        <f t="shared" si="20"/>
        <v>Kingston, NY</v>
      </c>
      <c r="I420" s="178" t="s">
        <v>409</v>
      </c>
      <c r="J420" s="27" t="s">
        <v>408</v>
      </c>
      <c r="K420" s="27">
        <v>507</v>
      </c>
      <c r="L420" s="179">
        <v>6894</v>
      </c>
      <c r="M420" s="180" t="s">
        <v>410</v>
      </c>
      <c r="N420" s="181" t="s">
        <v>408</v>
      </c>
      <c r="O420" s="182" t="s">
        <v>411</v>
      </c>
    </row>
    <row r="421" spans="1:15" ht="12">
      <c r="A421" s="148"/>
      <c r="B421" s="174" t="s">
        <v>916</v>
      </c>
      <c r="C421" s="175" t="s">
        <v>472</v>
      </c>
      <c r="D421" s="176" t="s">
        <v>473</v>
      </c>
      <c r="E421" s="177" t="s">
        <v>917</v>
      </c>
      <c r="F421" s="175">
        <f t="shared" si="18"/>
        <v>9</v>
      </c>
      <c r="G421" s="175" t="str">
        <f t="shared" si="19"/>
        <v>Kinston</v>
      </c>
      <c r="H421" s="175" t="str">
        <f t="shared" si="20"/>
        <v>Kinston, NC</v>
      </c>
      <c r="I421" s="178" t="s">
        <v>1933</v>
      </c>
      <c r="J421" s="27" t="s">
        <v>473</v>
      </c>
      <c r="K421" s="27">
        <v>1926</v>
      </c>
      <c r="L421" s="179">
        <v>2470</v>
      </c>
      <c r="M421" s="180" t="s">
        <v>2332</v>
      </c>
      <c r="N421" s="181" t="s">
        <v>473</v>
      </c>
      <c r="O421" s="182" t="s">
        <v>2333</v>
      </c>
    </row>
    <row r="422" spans="1:15" ht="12">
      <c r="A422" s="148"/>
      <c r="B422" s="174" t="s">
        <v>918</v>
      </c>
      <c r="C422" s="175" t="s">
        <v>1366</v>
      </c>
      <c r="D422" s="176" t="s">
        <v>1367</v>
      </c>
      <c r="E422" s="177" t="s">
        <v>919</v>
      </c>
      <c r="F422" s="175">
        <f t="shared" si="18"/>
        <v>12</v>
      </c>
      <c r="G422" s="175" t="str">
        <f t="shared" si="19"/>
        <v>Kirksville</v>
      </c>
      <c r="H422" s="175" t="str">
        <f t="shared" si="20"/>
        <v>Kirksville, MO</v>
      </c>
      <c r="I422" s="178" t="s">
        <v>1325</v>
      </c>
      <c r="J422" s="27" t="s">
        <v>1637</v>
      </c>
      <c r="K422" s="27">
        <v>911</v>
      </c>
      <c r="L422" s="179">
        <v>6474</v>
      </c>
      <c r="M422" s="178" t="s">
        <v>1990</v>
      </c>
      <c r="N422" s="27" t="s">
        <v>1637</v>
      </c>
      <c r="O422" s="182" t="s">
        <v>1991</v>
      </c>
    </row>
    <row r="423" spans="1:15" ht="12">
      <c r="A423" s="148"/>
      <c r="B423" s="174" t="s">
        <v>920</v>
      </c>
      <c r="C423" s="175" t="s">
        <v>440</v>
      </c>
      <c r="D423" s="176" t="s">
        <v>441</v>
      </c>
      <c r="E423" s="177" t="s">
        <v>921</v>
      </c>
      <c r="F423" s="175">
        <f t="shared" si="18"/>
        <v>12</v>
      </c>
      <c r="G423" s="175" t="str">
        <f t="shared" si="19"/>
        <v>Kittanning</v>
      </c>
      <c r="H423" s="175" t="str">
        <f t="shared" si="20"/>
        <v>Kittanning, PA</v>
      </c>
      <c r="I423" s="178" t="s">
        <v>1339</v>
      </c>
      <c r="J423" s="27" t="s">
        <v>386</v>
      </c>
      <c r="K423" s="27">
        <v>497</v>
      </c>
      <c r="L423" s="179">
        <v>6544</v>
      </c>
      <c r="M423" s="180" t="s">
        <v>1340</v>
      </c>
      <c r="N423" s="181" t="s">
        <v>386</v>
      </c>
      <c r="O423" s="182" t="s">
        <v>1341</v>
      </c>
    </row>
    <row r="424" spans="1:15" ht="12">
      <c r="A424" s="148"/>
      <c r="B424" s="186" t="s">
        <v>922</v>
      </c>
      <c r="C424" s="175" t="s">
        <v>1544</v>
      </c>
      <c r="D424" s="176" t="s">
        <v>1545</v>
      </c>
      <c r="E424" s="177" t="s">
        <v>923</v>
      </c>
      <c r="F424" s="175">
        <f t="shared" si="18"/>
        <v>9</v>
      </c>
      <c r="G424" s="175" t="str">
        <f t="shared" si="19"/>
        <v>Kittery</v>
      </c>
      <c r="H424" s="175" t="str">
        <f t="shared" si="20"/>
        <v>Kittery, ME</v>
      </c>
      <c r="I424" s="178" t="s">
        <v>1547</v>
      </c>
      <c r="J424" s="27" t="s">
        <v>1545</v>
      </c>
      <c r="K424" s="27">
        <v>268</v>
      </c>
      <c r="L424" s="179">
        <v>7378</v>
      </c>
      <c r="M424" s="180" t="s">
        <v>1548</v>
      </c>
      <c r="N424" s="181" t="s">
        <v>1545</v>
      </c>
      <c r="O424" s="182" t="s">
        <v>1549</v>
      </c>
    </row>
    <row r="425" spans="1:15" ht="12">
      <c r="A425" s="148"/>
      <c r="B425" s="174" t="s">
        <v>924</v>
      </c>
      <c r="C425" s="175" t="s">
        <v>1622</v>
      </c>
      <c r="D425" s="176" t="s">
        <v>1623</v>
      </c>
      <c r="E425" s="177" t="s">
        <v>925</v>
      </c>
      <c r="F425" s="175">
        <f t="shared" si="18"/>
        <v>15</v>
      </c>
      <c r="G425" s="175" t="str">
        <f t="shared" si="19"/>
        <v>Klamath Falls</v>
      </c>
      <c r="H425" s="175" t="str">
        <f t="shared" si="20"/>
        <v>Klamath Falls, OR</v>
      </c>
      <c r="I425" s="178" t="s">
        <v>926</v>
      </c>
      <c r="J425" s="27" t="s">
        <v>1623</v>
      </c>
      <c r="K425" s="27">
        <v>725</v>
      </c>
      <c r="L425" s="179">
        <v>4611</v>
      </c>
      <c r="M425" s="180" t="s">
        <v>539</v>
      </c>
      <c r="N425" s="181" t="s">
        <v>1623</v>
      </c>
      <c r="O425" s="182" t="s">
        <v>540</v>
      </c>
    </row>
    <row r="426" spans="1:15" ht="12">
      <c r="A426" s="148"/>
      <c r="B426" s="174" t="s">
        <v>927</v>
      </c>
      <c r="C426" s="175" t="s">
        <v>2343</v>
      </c>
      <c r="D426" s="176" t="s">
        <v>476</v>
      </c>
      <c r="E426" s="177" t="s">
        <v>928</v>
      </c>
      <c r="F426" s="175">
        <f t="shared" si="18"/>
        <v>11</v>
      </c>
      <c r="G426" s="175" t="str">
        <f t="shared" si="19"/>
        <v>Knoxville</v>
      </c>
      <c r="H426" s="175" t="str">
        <f t="shared" si="20"/>
        <v>Knoxville, TN</v>
      </c>
      <c r="I426" s="178" t="s">
        <v>475</v>
      </c>
      <c r="J426" s="27" t="s">
        <v>476</v>
      </c>
      <c r="K426" s="27">
        <v>1266</v>
      </c>
      <c r="L426" s="179">
        <v>3937</v>
      </c>
      <c r="M426" s="180" t="s">
        <v>477</v>
      </c>
      <c r="N426" s="181" t="s">
        <v>476</v>
      </c>
      <c r="O426" s="182" t="s">
        <v>478</v>
      </c>
    </row>
    <row r="427" spans="1:15" ht="12">
      <c r="A427" s="148"/>
      <c r="B427" s="174" t="s">
        <v>929</v>
      </c>
      <c r="C427" s="175" t="s">
        <v>2343</v>
      </c>
      <c r="D427" s="176" t="s">
        <v>476</v>
      </c>
      <c r="E427" s="177" t="s">
        <v>928</v>
      </c>
      <c r="F427" s="175">
        <f t="shared" si="18"/>
        <v>11</v>
      </c>
      <c r="G427" s="175" t="str">
        <f t="shared" si="19"/>
        <v>Knoxville</v>
      </c>
      <c r="H427" s="175" t="str">
        <f t="shared" si="20"/>
        <v>Knoxville, TN</v>
      </c>
      <c r="I427" s="178" t="s">
        <v>475</v>
      </c>
      <c r="J427" s="27" t="s">
        <v>476</v>
      </c>
      <c r="K427" s="27">
        <v>1266</v>
      </c>
      <c r="L427" s="179">
        <v>3937</v>
      </c>
      <c r="M427" s="180" t="s">
        <v>477</v>
      </c>
      <c r="N427" s="181" t="s">
        <v>476</v>
      </c>
      <c r="O427" s="182" t="s">
        <v>478</v>
      </c>
    </row>
    <row r="428" spans="1:15" ht="12">
      <c r="A428" s="148"/>
      <c r="B428" s="174" t="s">
        <v>930</v>
      </c>
      <c r="C428" s="175" t="s">
        <v>2343</v>
      </c>
      <c r="D428" s="176" t="s">
        <v>476</v>
      </c>
      <c r="E428" s="177" t="s">
        <v>928</v>
      </c>
      <c r="F428" s="175">
        <f t="shared" si="18"/>
        <v>11</v>
      </c>
      <c r="G428" s="175" t="str">
        <f t="shared" si="19"/>
        <v>Knoxville</v>
      </c>
      <c r="H428" s="175" t="str">
        <f t="shared" si="20"/>
        <v>Knoxville, TN</v>
      </c>
      <c r="I428" s="178" t="s">
        <v>475</v>
      </c>
      <c r="J428" s="27" t="s">
        <v>476</v>
      </c>
      <c r="K428" s="27">
        <v>1266</v>
      </c>
      <c r="L428" s="179">
        <v>3937</v>
      </c>
      <c r="M428" s="180" t="s">
        <v>477</v>
      </c>
      <c r="N428" s="181" t="s">
        <v>476</v>
      </c>
      <c r="O428" s="182" t="s">
        <v>478</v>
      </c>
    </row>
    <row r="429" spans="1:15" ht="12">
      <c r="A429" s="148"/>
      <c r="B429" s="174" t="s">
        <v>931</v>
      </c>
      <c r="C429" s="175" t="s">
        <v>2269</v>
      </c>
      <c r="D429" s="176" t="s">
        <v>2270</v>
      </c>
      <c r="E429" s="177" t="s">
        <v>932</v>
      </c>
      <c r="F429" s="175">
        <f t="shared" si="18"/>
        <v>8</v>
      </c>
      <c r="G429" s="175" t="str">
        <f t="shared" si="19"/>
        <v>Kokomo</v>
      </c>
      <c r="H429" s="175" t="str">
        <f t="shared" si="20"/>
        <v>Kokomo, IN</v>
      </c>
      <c r="I429" s="178" t="s">
        <v>1960</v>
      </c>
      <c r="J429" s="27" t="s">
        <v>2270</v>
      </c>
      <c r="K429" s="27">
        <v>728</v>
      </c>
      <c r="L429" s="179">
        <v>6331</v>
      </c>
      <c r="M429" s="178" t="s">
        <v>1999</v>
      </c>
      <c r="N429" s="27" t="s">
        <v>2270</v>
      </c>
      <c r="O429" s="182" t="s">
        <v>2000</v>
      </c>
    </row>
    <row r="430" spans="1:15" ht="12">
      <c r="A430" s="148"/>
      <c r="B430" s="174" t="s">
        <v>933</v>
      </c>
      <c r="C430" s="175" t="s">
        <v>42</v>
      </c>
      <c r="D430" s="176" t="s">
        <v>1691</v>
      </c>
      <c r="E430" s="177" t="s">
        <v>934</v>
      </c>
      <c r="F430" s="175">
        <f t="shared" si="18"/>
        <v>11</v>
      </c>
      <c r="G430" s="175" t="str">
        <f t="shared" si="19"/>
        <v>La Crosse</v>
      </c>
      <c r="H430" s="175" t="str">
        <f t="shared" si="20"/>
        <v>La Crosse, WI</v>
      </c>
      <c r="I430" s="178" t="s">
        <v>935</v>
      </c>
      <c r="J430" s="27" t="s">
        <v>1691</v>
      </c>
      <c r="K430" s="27">
        <v>485</v>
      </c>
      <c r="L430" s="179">
        <v>7673</v>
      </c>
      <c r="M430" s="180" t="s">
        <v>936</v>
      </c>
      <c r="N430" s="181" t="s">
        <v>1691</v>
      </c>
      <c r="O430" s="182" t="s">
        <v>937</v>
      </c>
    </row>
    <row r="431" spans="1:15" ht="12">
      <c r="A431" s="148"/>
      <c r="B431" s="174" t="s">
        <v>938</v>
      </c>
      <c r="C431" s="175" t="s">
        <v>1636</v>
      </c>
      <c r="D431" s="176" t="s">
        <v>1637</v>
      </c>
      <c r="E431" s="177" t="s">
        <v>939</v>
      </c>
      <c r="F431" s="175">
        <f t="shared" si="18"/>
        <v>10</v>
      </c>
      <c r="G431" s="175" t="str">
        <f t="shared" si="19"/>
        <v>La Salle</v>
      </c>
      <c r="H431" s="175" t="str">
        <f t="shared" si="20"/>
        <v>La Salle, IL</v>
      </c>
      <c r="I431" s="178" t="s">
        <v>1325</v>
      </c>
      <c r="J431" s="27" t="s">
        <v>1637</v>
      </c>
      <c r="K431" s="27">
        <v>911</v>
      </c>
      <c r="L431" s="179">
        <v>6474</v>
      </c>
      <c r="M431" s="178" t="s">
        <v>1990</v>
      </c>
      <c r="N431" s="27" t="s">
        <v>1637</v>
      </c>
      <c r="O431" s="182" t="s">
        <v>1991</v>
      </c>
    </row>
    <row r="432" spans="1:15" ht="12">
      <c r="A432" s="148"/>
      <c r="B432" s="174" t="s">
        <v>940</v>
      </c>
      <c r="C432" s="175" t="s">
        <v>2269</v>
      </c>
      <c r="D432" s="176" t="s">
        <v>2270</v>
      </c>
      <c r="E432" s="177" t="s">
        <v>941</v>
      </c>
      <c r="F432" s="175">
        <f t="shared" si="18"/>
        <v>11</v>
      </c>
      <c r="G432" s="175" t="str">
        <f t="shared" si="19"/>
        <v>Lafayette</v>
      </c>
      <c r="H432" s="175" t="str">
        <f t="shared" si="20"/>
        <v>Lafayette, IN</v>
      </c>
      <c r="I432" s="178" t="s">
        <v>1960</v>
      </c>
      <c r="J432" s="27" t="s">
        <v>2270</v>
      </c>
      <c r="K432" s="27">
        <v>728</v>
      </c>
      <c r="L432" s="179">
        <v>6331</v>
      </c>
      <c r="M432" s="178" t="s">
        <v>1999</v>
      </c>
      <c r="N432" s="27" t="s">
        <v>2270</v>
      </c>
      <c r="O432" s="182" t="s">
        <v>2000</v>
      </c>
    </row>
    <row r="433" spans="1:15" ht="12">
      <c r="A433" s="148"/>
      <c r="B433" s="174" t="s">
        <v>942</v>
      </c>
      <c r="C433" s="175" t="s">
        <v>281</v>
      </c>
      <c r="D433" s="176" t="s">
        <v>282</v>
      </c>
      <c r="E433" s="177" t="s">
        <v>941</v>
      </c>
      <c r="F433" s="175">
        <f t="shared" si="18"/>
        <v>11</v>
      </c>
      <c r="G433" s="175" t="str">
        <f t="shared" si="19"/>
        <v>Lafayette</v>
      </c>
      <c r="H433" s="175" t="str">
        <f t="shared" si="20"/>
        <v>Lafayette, LA</v>
      </c>
      <c r="I433" s="178" t="s">
        <v>1588</v>
      </c>
      <c r="J433" s="27" t="s">
        <v>282</v>
      </c>
      <c r="K433" s="27">
        <v>2690</v>
      </c>
      <c r="L433" s="179">
        <v>1669</v>
      </c>
      <c r="M433" s="180" t="s">
        <v>1589</v>
      </c>
      <c r="N433" s="181" t="s">
        <v>282</v>
      </c>
      <c r="O433" s="182" t="s">
        <v>1590</v>
      </c>
    </row>
    <row r="434" spans="1:15" ht="12">
      <c r="A434" s="148"/>
      <c r="B434" s="174" t="s">
        <v>943</v>
      </c>
      <c r="C434" s="175" t="s">
        <v>281</v>
      </c>
      <c r="D434" s="176" t="s">
        <v>282</v>
      </c>
      <c r="E434" s="177" t="s">
        <v>944</v>
      </c>
      <c r="F434" s="175">
        <f t="shared" si="18"/>
        <v>14</v>
      </c>
      <c r="G434" s="175" t="str">
        <f t="shared" si="19"/>
        <v>Lake Charles</v>
      </c>
      <c r="H434" s="175" t="str">
        <f t="shared" si="20"/>
        <v>Lake Charles, LA</v>
      </c>
      <c r="I434" s="178" t="s">
        <v>945</v>
      </c>
      <c r="J434" s="27" t="s">
        <v>282</v>
      </c>
      <c r="K434" s="27">
        <v>2650</v>
      </c>
      <c r="L434" s="179">
        <v>1616</v>
      </c>
      <c r="M434" s="180" t="s">
        <v>946</v>
      </c>
      <c r="N434" s="181" t="s">
        <v>282</v>
      </c>
      <c r="O434" s="182" t="s">
        <v>947</v>
      </c>
    </row>
    <row r="435" spans="1:15" ht="12">
      <c r="A435" s="148"/>
      <c r="B435" s="174" t="s">
        <v>948</v>
      </c>
      <c r="C435" s="175" t="s">
        <v>661</v>
      </c>
      <c r="D435" s="176" t="s">
        <v>662</v>
      </c>
      <c r="E435" s="177" t="s">
        <v>949</v>
      </c>
      <c r="F435" s="175">
        <f t="shared" si="18"/>
        <v>10</v>
      </c>
      <c r="G435" s="175" t="str">
        <f t="shared" si="19"/>
        <v>Lakeland</v>
      </c>
      <c r="H435" s="175" t="str">
        <f t="shared" si="20"/>
        <v>Lakeland, FL</v>
      </c>
      <c r="I435" s="178" t="s">
        <v>664</v>
      </c>
      <c r="J435" s="27" t="s">
        <v>662</v>
      </c>
      <c r="K435" s="27">
        <v>3427</v>
      </c>
      <c r="L435" s="179">
        <v>725</v>
      </c>
      <c r="M435" s="178" t="s">
        <v>665</v>
      </c>
      <c r="N435" s="27" t="s">
        <v>662</v>
      </c>
      <c r="O435" s="182" t="s">
        <v>666</v>
      </c>
    </row>
    <row r="436" spans="1:15" ht="12">
      <c r="A436" s="148"/>
      <c r="B436" s="186" t="s">
        <v>950</v>
      </c>
      <c r="C436" s="175" t="s">
        <v>1537</v>
      </c>
      <c r="D436" s="176" t="s">
        <v>1538</v>
      </c>
      <c r="E436" s="177" t="s">
        <v>951</v>
      </c>
      <c r="F436" s="175">
        <f t="shared" si="18"/>
        <v>10</v>
      </c>
      <c r="G436" s="175" t="str">
        <f t="shared" si="19"/>
        <v>Lakewood</v>
      </c>
      <c r="H436" s="175" t="str">
        <f t="shared" si="20"/>
        <v>Lakewood, NJ</v>
      </c>
      <c r="I436" s="178" t="s">
        <v>1540</v>
      </c>
      <c r="J436" s="27" t="s">
        <v>1538</v>
      </c>
      <c r="K436" s="27">
        <v>826</v>
      </c>
      <c r="L436" s="179">
        <v>5169</v>
      </c>
      <c r="M436" s="180" t="s">
        <v>1541</v>
      </c>
      <c r="N436" s="181" t="s">
        <v>1538</v>
      </c>
      <c r="O436" s="182" t="s">
        <v>1542</v>
      </c>
    </row>
    <row r="437" spans="1:15" ht="12">
      <c r="A437" s="148"/>
      <c r="B437" s="174" t="s">
        <v>952</v>
      </c>
      <c r="C437" s="175" t="s">
        <v>433</v>
      </c>
      <c r="D437" s="176" t="s">
        <v>434</v>
      </c>
      <c r="E437" s="177" t="s">
        <v>953</v>
      </c>
      <c r="F437" s="175">
        <f t="shared" si="18"/>
        <v>11</v>
      </c>
      <c r="G437" s="175" t="str">
        <f t="shared" si="19"/>
        <v>Lancaster</v>
      </c>
      <c r="H437" s="175" t="str">
        <f t="shared" si="20"/>
        <v>Lancaster, CA</v>
      </c>
      <c r="I437" s="178" t="s">
        <v>954</v>
      </c>
      <c r="J437" s="27" t="s">
        <v>434</v>
      </c>
      <c r="K437" s="27">
        <v>1039</v>
      </c>
      <c r="L437" s="179">
        <v>4310</v>
      </c>
      <c r="M437" s="180" t="s">
        <v>1394</v>
      </c>
      <c r="N437" s="181" t="s">
        <v>1391</v>
      </c>
      <c r="O437" s="182" t="s">
        <v>1395</v>
      </c>
    </row>
    <row r="438" spans="1:15" ht="12">
      <c r="A438" s="148"/>
      <c r="B438" s="174" t="s">
        <v>955</v>
      </c>
      <c r="C438" s="175" t="s">
        <v>440</v>
      </c>
      <c r="D438" s="176" t="s">
        <v>441</v>
      </c>
      <c r="E438" s="177" t="s">
        <v>953</v>
      </c>
      <c r="F438" s="175">
        <f t="shared" si="18"/>
        <v>11</v>
      </c>
      <c r="G438" s="175" t="str">
        <f t="shared" si="19"/>
        <v>Lancaster</v>
      </c>
      <c r="H438" s="175" t="str">
        <f t="shared" si="20"/>
        <v>Lancaster, PA</v>
      </c>
      <c r="I438" s="178" t="s">
        <v>2315</v>
      </c>
      <c r="J438" s="27" t="s">
        <v>441</v>
      </c>
      <c r="K438" s="27">
        <v>962</v>
      </c>
      <c r="L438" s="179">
        <v>5347</v>
      </c>
      <c r="M438" s="180" t="s">
        <v>2316</v>
      </c>
      <c r="N438" s="181" t="s">
        <v>441</v>
      </c>
      <c r="O438" s="182" t="s">
        <v>2317</v>
      </c>
    </row>
    <row r="439" spans="1:15" ht="12">
      <c r="A439" s="148"/>
      <c r="B439" s="174" t="s">
        <v>956</v>
      </c>
      <c r="C439" s="175" t="s">
        <v>440</v>
      </c>
      <c r="D439" s="176" t="s">
        <v>441</v>
      </c>
      <c r="E439" s="177" t="s">
        <v>953</v>
      </c>
      <c r="F439" s="175">
        <f t="shared" si="18"/>
        <v>11</v>
      </c>
      <c r="G439" s="175" t="str">
        <f t="shared" si="19"/>
        <v>Lancaster</v>
      </c>
      <c r="H439" s="175" t="str">
        <f t="shared" si="20"/>
        <v>Lancaster, PA</v>
      </c>
      <c r="I439" s="178" t="s">
        <v>2315</v>
      </c>
      <c r="J439" s="27" t="s">
        <v>441</v>
      </c>
      <c r="K439" s="27">
        <v>962</v>
      </c>
      <c r="L439" s="179">
        <v>5347</v>
      </c>
      <c r="M439" s="180" t="s">
        <v>2316</v>
      </c>
      <c r="N439" s="181" t="s">
        <v>441</v>
      </c>
      <c r="O439" s="182" t="s">
        <v>2317</v>
      </c>
    </row>
    <row r="440" spans="1:15" ht="12">
      <c r="A440" s="148"/>
      <c r="B440" s="174" t="s">
        <v>957</v>
      </c>
      <c r="C440" s="175" t="s">
        <v>480</v>
      </c>
      <c r="D440" s="176" t="s">
        <v>481</v>
      </c>
      <c r="E440" s="177" t="s">
        <v>958</v>
      </c>
      <c r="F440" s="175">
        <f t="shared" si="18"/>
        <v>9</v>
      </c>
      <c r="G440" s="175" t="str">
        <f t="shared" si="19"/>
        <v>Lansing</v>
      </c>
      <c r="H440" s="175" t="str">
        <f t="shared" si="20"/>
        <v>Lansing, MI</v>
      </c>
      <c r="I440" s="178" t="s">
        <v>1930</v>
      </c>
      <c r="J440" s="27" t="s">
        <v>481</v>
      </c>
      <c r="K440" s="27">
        <v>483</v>
      </c>
      <c r="L440" s="179">
        <v>6979</v>
      </c>
      <c r="M440" s="180" t="s">
        <v>959</v>
      </c>
      <c r="N440" s="181" t="s">
        <v>481</v>
      </c>
      <c r="O440" s="182" t="s">
        <v>960</v>
      </c>
    </row>
    <row r="441" spans="1:15" ht="12">
      <c r="A441" s="148"/>
      <c r="B441" s="174" t="s">
        <v>961</v>
      </c>
      <c r="C441" s="175" t="s">
        <v>480</v>
      </c>
      <c r="D441" s="176" t="s">
        <v>481</v>
      </c>
      <c r="E441" s="177" t="s">
        <v>958</v>
      </c>
      <c r="F441" s="175">
        <f t="shared" si="18"/>
        <v>9</v>
      </c>
      <c r="G441" s="175" t="str">
        <f t="shared" si="19"/>
        <v>Lansing</v>
      </c>
      <c r="H441" s="175" t="str">
        <f t="shared" si="20"/>
        <v>Lansing, MI</v>
      </c>
      <c r="I441" s="178" t="s">
        <v>1926</v>
      </c>
      <c r="J441" s="27" t="s">
        <v>481</v>
      </c>
      <c r="K441" s="27">
        <v>490</v>
      </c>
      <c r="L441" s="179">
        <v>7101</v>
      </c>
      <c r="M441" s="180" t="s">
        <v>959</v>
      </c>
      <c r="N441" s="181" t="s">
        <v>481</v>
      </c>
      <c r="O441" s="182" t="s">
        <v>960</v>
      </c>
    </row>
    <row r="442" spans="1:15" ht="12">
      <c r="A442" s="148"/>
      <c r="B442" s="174" t="s">
        <v>962</v>
      </c>
      <c r="C442" s="175" t="s">
        <v>254</v>
      </c>
      <c r="D442" s="176" t="s">
        <v>255</v>
      </c>
      <c r="E442" s="177" t="s">
        <v>963</v>
      </c>
      <c r="F442" s="175">
        <f t="shared" si="18"/>
        <v>17</v>
      </c>
      <c r="G442" s="175" t="str">
        <f t="shared" si="19"/>
        <v>Laredo/Pearsall</v>
      </c>
      <c r="H442" s="175" t="str">
        <f t="shared" si="20"/>
        <v>Laredo/Pearsall, TX</v>
      </c>
      <c r="I442" s="178" t="s">
        <v>964</v>
      </c>
      <c r="J442" s="27" t="s">
        <v>255</v>
      </c>
      <c r="K442" s="27">
        <v>3118</v>
      </c>
      <c r="L442" s="179">
        <v>1296</v>
      </c>
      <c r="M442" s="180" t="s">
        <v>965</v>
      </c>
      <c r="N442" s="181" t="s">
        <v>255</v>
      </c>
      <c r="O442" s="182" t="s">
        <v>966</v>
      </c>
    </row>
    <row r="443" spans="1:15" ht="12">
      <c r="A443" s="148"/>
      <c r="B443" s="174" t="s">
        <v>967</v>
      </c>
      <c r="C443" s="175" t="s">
        <v>415</v>
      </c>
      <c r="D443" s="176" t="s">
        <v>416</v>
      </c>
      <c r="E443" s="177" t="s">
        <v>968</v>
      </c>
      <c r="F443" s="175">
        <f t="shared" si="18"/>
        <v>12</v>
      </c>
      <c r="G443" s="175" t="str">
        <f t="shared" si="19"/>
        <v>Las Cruces</v>
      </c>
      <c r="H443" s="175" t="str">
        <f t="shared" si="20"/>
        <v>Las Cruces, NM</v>
      </c>
      <c r="I443" s="178" t="s">
        <v>53</v>
      </c>
      <c r="J443" s="27" t="s">
        <v>255</v>
      </c>
      <c r="K443" s="27">
        <v>2094</v>
      </c>
      <c r="L443" s="179">
        <v>2708</v>
      </c>
      <c r="M443" s="180" t="s">
        <v>50</v>
      </c>
      <c r="N443" s="181" t="s">
        <v>255</v>
      </c>
      <c r="O443" s="182" t="s">
        <v>51</v>
      </c>
    </row>
    <row r="444" spans="1:15" ht="12">
      <c r="A444" s="148"/>
      <c r="B444" s="174" t="s">
        <v>969</v>
      </c>
      <c r="C444" s="175" t="s">
        <v>415</v>
      </c>
      <c r="D444" s="176" t="s">
        <v>416</v>
      </c>
      <c r="E444" s="177" t="s">
        <v>970</v>
      </c>
      <c r="F444" s="175">
        <f t="shared" si="18"/>
        <v>11</v>
      </c>
      <c r="G444" s="175" t="str">
        <f t="shared" si="19"/>
        <v>Las Vegas</v>
      </c>
      <c r="H444" s="175" t="str">
        <f t="shared" si="20"/>
        <v>Las Vegas, NM</v>
      </c>
      <c r="I444" s="178" t="s">
        <v>2089</v>
      </c>
      <c r="J444" s="27" t="s">
        <v>394</v>
      </c>
      <c r="K444" s="27">
        <v>973</v>
      </c>
      <c r="L444" s="179">
        <v>5413</v>
      </c>
      <c r="M444" s="180" t="s">
        <v>2090</v>
      </c>
      <c r="N444" s="181" t="s">
        <v>394</v>
      </c>
      <c r="O444" s="182" t="s">
        <v>2091</v>
      </c>
    </row>
    <row r="445" spans="1:15" ht="12">
      <c r="A445" s="148"/>
      <c r="B445" s="174" t="s">
        <v>2092</v>
      </c>
      <c r="C445" s="175" t="s">
        <v>1390</v>
      </c>
      <c r="D445" s="176" t="s">
        <v>1391</v>
      </c>
      <c r="E445" s="177" t="s">
        <v>970</v>
      </c>
      <c r="F445" s="175">
        <f t="shared" si="18"/>
        <v>11</v>
      </c>
      <c r="G445" s="175" t="str">
        <f t="shared" si="19"/>
        <v>Las Vegas</v>
      </c>
      <c r="H445" s="175" t="str">
        <f t="shared" si="20"/>
        <v>Las Vegas, NV</v>
      </c>
      <c r="I445" s="178" t="s">
        <v>911</v>
      </c>
      <c r="J445" s="27" t="s">
        <v>1391</v>
      </c>
      <c r="K445" s="27">
        <v>3201</v>
      </c>
      <c r="L445" s="179">
        <v>2407</v>
      </c>
      <c r="M445" s="180" t="s">
        <v>912</v>
      </c>
      <c r="N445" s="181" t="s">
        <v>1391</v>
      </c>
      <c r="O445" s="182" t="s">
        <v>913</v>
      </c>
    </row>
    <row r="446" spans="1:15" ht="12">
      <c r="A446" s="148"/>
      <c r="B446" s="174" t="s">
        <v>2093</v>
      </c>
      <c r="C446" s="175" t="s">
        <v>487</v>
      </c>
      <c r="D446" s="176" t="s">
        <v>430</v>
      </c>
      <c r="E446" s="177" t="s">
        <v>2094</v>
      </c>
      <c r="F446" s="175">
        <f t="shared" si="18"/>
        <v>8</v>
      </c>
      <c r="G446" s="175" t="str">
        <f t="shared" si="19"/>
        <v>Laurel</v>
      </c>
      <c r="H446" s="175" t="str">
        <f t="shared" si="20"/>
        <v>Laurel, MD</v>
      </c>
      <c r="I446" s="178" t="s">
        <v>489</v>
      </c>
      <c r="J446" s="27" t="s">
        <v>430</v>
      </c>
      <c r="K446" s="27">
        <v>1137</v>
      </c>
      <c r="L446" s="179">
        <v>4707</v>
      </c>
      <c r="M446" s="180" t="s">
        <v>490</v>
      </c>
      <c r="N446" s="181" t="s">
        <v>430</v>
      </c>
      <c r="O446" s="182" t="s">
        <v>491</v>
      </c>
    </row>
    <row r="447" spans="1:15" ht="12">
      <c r="A447" s="148"/>
      <c r="B447" s="174" t="s">
        <v>2095</v>
      </c>
      <c r="C447" s="175" t="s">
        <v>2269</v>
      </c>
      <c r="D447" s="176" t="s">
        <v>2270</v>
      </c>
      <c r="E447" s="177" t="s">
        <v>2096</v>
      </c>
      <c r="F447" s="175">
        <f t="shared" si="18"/>
        <v>14</v>
      </c>
      <c r="G447" s="175" t="str">
        <f t="shared" si="19"/>
        <v>Lawrenceburg</v>
      </c>
      <c r="H447" s="175" t="str">
        <f t="shared" si="20"/>
        <v>Lawrenceburg, IN</v>
      </c>
      <c r="I447" s="178" t="s">
        <v>2374</v>
      </c>
      <c r="J447" s="27" t="s">
        <v>517</v>
      </c>
      <c r="K447" s="27">
        <v>996</v>
      </c>
      <c r="L447" s="179">
        <v>5248</v>
      </c>
      <c r="M447" s="180" t="s">
        <v>2375</v>
      </c>
      <c r="N447" s="181" t="s">
        <v>386</v>
      </c>
      <c r="O447" s="182" t="s">
        <v>2376</v>
      </c>
    </row>
    <row r="448" spans="1:15" ht="12">
      <c r="A448" s="148"/>
      <c r="B448" s="174" t="s">
        <v>2097</v>
      </c>
      <c r="C448" s="175" t="s">
        <v>500</v>
      </c>
      <c r="D448" s="176" t="s">
        <v>501</v>
      </c>
      <c r="E448" s="177" t="s">
        <v>2098</v>
      </c>
      <c r="F448" s="175">
        <f t="shared" si="18"/>
        <v>8</v>
      </c>
      <c r="G448" s="175" t="str">
        <f t="shared" si="19"/>
        <v>Lawton</v>
      </c>
      <c r="H448" s="175" t="str">
        <f t="shared" si="20"/>
        <v>Lawton, OK</v>
      </c>
      <c r="I448" s="178" t="s">
        <v>2099</v>
      </c>
      <c r="J448" s="27" t="s">
        <v>255</v>
      </c>
      <c r="K448" s="27">
        <v>2340</v>
      </c>
      <c r="L448" s="179">
        <v>3042</v>
      </c>
      <c r="M448" s="180" t="s">
        <v>2100</v>
      </c>
      <c r="N448" s="181" t="s">
        <v>255</v>
      </c>
      <c r="O448" s="182" t="s">
        <v>2101</v>
      </c>
    </row>
    <row r="449" spans="1:15" ht="12">
      <c r="A449" s="148"/>
      <c r="B449" s="174" t="s">
        <v>2102</v>
      </c>
      <c r="C449" s="175" t="s">
        <v>440</v>
      </c>
      <c r="D449" s="176" t="s">
        <v>441</v>
      </c>
      <c r="E449" s="177" t="s">
        <v>2103</v>
      </c>
      <c r="F449" s="175">
        <f t="shared" si="18"/>
        <v>15</v>
      </c>
      <c r="G449" s="175" t="str">
        <f t="shared" si="19"/>
        <v>Lehigh_Valley</v>
      </c>
      <c r="H449" s="175" t="str">
        <f t="shared" si="20"/>
        <v>Lehigh_Valley, PA</v>
      </c>
      <c r="I449" s="178" t="s">
        <v>443</v>
      </c>
      <c r="J449" s="27" t="s">
        <v>441</v>
      </c>
      <c r="K449" s="27">
        <v>773</v>
      </c>
      <c r="L449" s="179">
        <v>5785</v>
      </c>
      <c r="M449" s="178" t="s">
        <v>444</v>
      </c>
      <c r="N449" s="27" t="s">
        <v>441</v>
      </c>
      <c r="O449" s="182" t="s">
        <v>445</v>
      </c>
    </row>
    <row r="450" spans="1:15" ht="12">
      <c r="A450" s="148"/>
      <c r="B450" s="174" t="s">
        <v>2104</v>
      </c>
      <c r="C450" s="175" t="s">
        <v>1606</v>
      </c>
      <c r="D450" s="176" t="s">
        <v>1519</v>
      </c>
      <c r="E450" s="177" t="s">
        <v>2105</v>
      </c>
      <c r="F450" s="175">
        <f t="shared" si="18"/>
        <v>11</v>
      </c>
      <c r="G450" s="175" t="str">
        <f t="shared" si="19"/>
        <v>Lewisburg</v>
      </c>
      <c r="H450" s="175" t="str">
        <f t="shared" si="20"/>
        <v>Lewisburg, WV</v>
      </c>
      <c r="I450" s="178" t="s">
        <v>1308</v>
      </c>
      <c r="J450" s="27" t="s">
        <v>1519</v>
      </c>
      <c r="K450" s="27">
        <v>1031</v>
      </c>
      <c r="L450" s="179">
        <v>4646</v>
      </c>
      <c r="M450" s="180" t="s">
        <v>1520</v>
      </c>
      <c r="N450" s="181" t="s">
        <v>1519</v>
      </c>
      <c r="O450" s="182" t="s">
        <v>1521</v>
      </c>
    </row>
    <row r="451" spans="1:15" ht="12">
      <c r="A451" s="148"/>
      <c r="B451" s="174" t="s">
        <v>2106</v>
      </c>
      <c r="C451" s="175" t="s">
        <v>2280</v>
      </c>
      <c r="D451" s="176" t="s">
        <v>2281</v>
      </c>
      <c r="E451" s="177" t="s">
        <v>2107</v>
      </c>
      <c r="F451" s="175">
        <f t="shared" si="18"/>
        <v>10</v>
      </c>
      <c r="G451" s="175" t="str">
        <f t="shared" si="19"/>
        <v>Lewiston</v>
      </c>
      <c r="H451" s="175" t="str">
        <f t="shared" si="20"/>
        <v>Lewiston, ID</v>
      </c>
      <c r="I451" s="178" t="s">
        <v>2108</v>
      </c>
      <c r="J451" s="27" t="s">
        <v>2281</v>
      </c>
      <c r="K451" s="27">
        <v>814</v>
      </c>
      <c r="L451" s="179">
        <v>5270</v>
      </c>
      <c r="M451" s="180" t="s">
        <v>1492</v>
      </c>
      <c r="N451" s="181" t="s">
        <v>1627</v>
      </c>
      <c r="O451" s="182" t="s">
        <v>1493</v>
      </c>
    </row>
    <row r="452" spans="1:15" ht="12">
      <c r="A452" s="148"/>
      <c r="B452" s="174" t="s">
        <v>2109</v>
      </c>
      <c r="C452" s="175" t="s">
        <v>516</v>
      </c>
      <c r="D452" s="176" t="s">
        <v>517</v>
      </c>
      <c r="E452" s="177" t="s">
        <v>2110</v>
      </c>
      <c r="F452" s="175">
        <f t="shared" si="18"/>
        <v>11</v>
      </c>
      <c r="G452" s="175" t="str">
        <f t="shared" si="19"/>
        <v>Lexington</v>
      </c>
      <c r="H452" s="175" t="str">
        <f t="shared" si="20"/>
        <v>Lexington, KY</v>
      </c>
      <c r="I452" s="178" t="s">
        <v>1514</v>
      </c>
      <c r="J452" s="27" t="s">
        <v>517</v>
      </c>
      <c r="K452" s="27">
        <v>1140</v>
      </c>
      <c r="L452" s="179">
        <v>4783</v>
      </c>
      <c r="M452" s="180" t="s">
        <v>1515</v>
      </c>
      <c r="N452" s="181" t="s">
        <v>517</v>
      </c>
      <c r="O452" s="182" t="s">
        <v>1516</v>
      </c>
    </row>
    <row r="453" spans="1:15" ht="12">
      <c r="A453" s="148"/>
      <c r="B453" s="174" t="s">
        <v>2111</v>
      </c>
      <c r="C453" s="175" t="s">
        <v>516</v>
      </c>
      <c r="D453" s="176" t="s">
        <v>517</v>
      </c>
      <c r="E453" s="177" t="s">
        <v>2110</v>
      </c>
      <c r="F453" s="175">
        <f t="shared" si="18"/>
        <v>11</v>
      </c>
      <c r="G453" s="175" t="str">
        <f t="shared" si="19"/>
        <v>Lexington</v>
      </c>
      <c r="H453" s="175" t="str">
        <f t="shared" si="20"/>
        <v>Lexington, KY</v>
      </c>
      <c r="I453" s="178" t="s">
        <v>1514</v>
      </c>
      <c r="J453" s="27" t="s">
        <v>517</v>
      </c>
      <c r="K453" s="27">
        <v>1140</v>
      </c>
      <c r="L453" s="179">
        <v>4783</v>
      </c>
      <c r="M453" s="180" t="s">
        <v>1515</v>
      </c>
      <c r="N453" s="181" t="s">
        <v>517</v>
      </c>
      <c r="O453" s="182" t="s">
        <v>1516</v>
      </c>
    </row>
    <row r="454" spans="1:15" ht="12">
      <c r="A454" s="148"/>
      <c r="B454" s="174" t="s">
        <v>2112</v>
      </c>
      <c r="C454" s="175" t="s">
        <v>516</v>
      </c>
      <c r="D454" s="176" t="s">
        <v>517</v>
      </c>
      <c r="E454" s="177" t="s">
        <v>2110</v>
      </c>
      <c r="F454" s="175">
        <f t="shared" ref="F454:F517" si="21">LEN(E454)</f>
        <v>11</v>
      </c>
      <c r="G454" s="175" t="str">
        <f t="shared" ref="G454:G517" si="22">MID(E454,2,F454-2)</f>
        <v>Lexington</v>
      </c>
      <c r="H454" s="175" t="str">
        <f t="shared" ref="H454:H517" si="23">CONCATENATE(G454,", ",+D454)</f>
        <v>Lexington, KY</v>
      </c>
      <c r="I454" s="178" t="s">
        <v>1514</v>
      </c>
      <c r="J454" s="27" t="s">
        <v>517</v>
      </c>
      <c r="K454" s="27">
        <v>1140</v>
      </c>
      <c r="L454" s="179">
        <v>4783</v>
      </c>
      <c r="M454" s="180" t="s">
        <v>1515</v>
      </c>
      <c r="N454" s="181" t="s">
        <v>517</v>
      </c>
      <c r="O454" s="182" t="s">
        <v>1516</v>
      </c>
    </row>
    <row r="455" spans="1:15" ht="12">
      <c r="A455" s="148"/>
      <c r="B455" s="174" t="s">
        <v>2113</v>
      </c>
      <c r="C455" s="175" t="s">
        <v>1495</v>
      </c>
      <c r="D455" s="176" t="s">
        <v>1496</v>
      </c>
      <c r="E455" s="177" t="s">
        <v>2114</v>
      </c>
      <c r="F455" s="175">
        <f t="shared" si="21"/>
        <v>9</v>
      </c>
      <c r="G455" s="175" t="str">
        <f t="shared" si="22"/>
        <v>Liberal</v>
      </c>
      <c r="H455" s="175" t="str">
        <f t="shared" si="23"/>
        <v>Liberal, KS</v>
      </c>
      <c r="I455" s="178" t="s">
        <v>1715</v>
      </c>
      <c r="J455" s="27" t="s">
        <v>1496</v>
      </c>
      <c r="K455" s="27">
        <v>1465</v>
      </c>
      <c r="L455" s="179">
        <v>5001</v>
      </c>
      <c r="M455" s="180" t="s">
        <v>1716</v>
      </c>
      <c r="N455" s="181" t="s">
        <v>1496</v>
      </c>
      <c r="O455" s="182" t="s">
        <v>1717</v>
      </c>
    </row>
    <row r="456" spans="1:15" ht="12">
      <c r="A456" s="148"/>
      <c r="B456" s="174" t="s">
        <v>2115</v>
      </c>
      <c r="C456" s="175" t="s">
        <v>385</v>
      </c>
      <c r="D456" s="176" t="s">
        <v>386</v>
      </c>
      <c r="E456" s="177" t="s">
        <v>2116</v>
      </c>
      <c r="F456" s="175">
        <f t="shared" si="21"/>
        <v>6</v>
      </c>
      <c r="G456" s="175" t="str">
        <f t="shared" si="22"/>
        <v>Lima</v>
      </c>
      <c r="H456" s="175" t="str">
        <f t="shared" si="23"/>
        <v>Lima, OH</v>
      </c>
      <c r="I456" s="178" t="s">
        <v>1683</v>
      </c>
      <c r="J456" s="27" t="s">
        <v>386</v>
      </c>
      <c r="K456" s="27">
        <v>886</v>
      </c>
      <c r="L456" s="179">
        <v>5708</v>
      </c>
      <c r="M456" s="180" t="s">
        <v>1680</v>
      </c>
      <c r="N456" s="181" t="s">
        <v>386</v>
      </c>
      <c r="O456" s="182" t="s">
        <v>1681</v>
      </c>
    </row>
    <row r="457" spans="1:15" ht="12">
      <c r="A457" s="148"/>
      <c r="B457" s="174" t="s">
        <v>2117</v>
      </c>
      <c r="C457" s="175" t="s">
        <v>447</v>
      </c>
      <c r="D457" s="176" t="s">
        <v>448</v>
      </c>
      <c r="E457" s="177" t="s">
        <v>2118</v>
      </c>
      <c r="F457" s="175">
        <f t="shared" si="21"/>
        <v>9</v>
      </c>
      <c r="G457" s="175" t="str">
        <f t="shared" si="22"/>
        <v>Lincoln</v>
      </c>
      <c r="H457" s="175" t="str">
        <f t="shared" si="23"/>
        <v>Lincoln, NE</v>
      </c>
      <c r="I457" s="178" t="s">
        <v>2119</v>
      </c>
      <c r="J457" s="27" t="s">
        <v>448</v>
      </c>
      <c r="K457" s="27">
        <v>1134</v>
      </c>
      <c r="L457" s="179">
        <v>6278</v>
      </c>
      <c r="M457" s="180" t="s">
        <v>624</v>
      </c>
      <c r="N457" s="181" t="s">
        <v>448</v>
      </c>
      <c r="O457" s="182" t="s">
        <v>625</v>
      </c>
    </row>
    <row r="458" spans="1:15" ht="12">
      <c r="A458" s="148"/>
      <c r="B458" s="174" t="s">
        <v>2120</v>
      </c>
      <c r="C458" s="175" t="s">
        <v>447</v>
      </c>
      <c r="D458" s="176" t="s">
        <v>448</v>
      </c>
      <c r="E458" s="177" t="s">
        <v>2118</v>
      </c>
      <c r="F458" s="175">
        <f t="shared" si="21"/>
        <v>9</v>
      </c>
      <c r="G458" s="175" t="str">
        <f t="shared" si="22"/>
        <v>Lincoln</v>
      </c>
      <c r="H458" s="175" t="str">
        <f t="shared" si="23"/>
        <v>Lincoln, NE</v>
      </c>
      <c r="I458" s="178" t="s">
        <v>2119</v>
      </c>
      <c r="J458" s="27" t="s">
        <v>448</v>
      </c>
      <c r="K458" s="27">
        <v>1134</v>
      </c>
      <c r="L458" s="179">
        <v>6278</v>
      </c>
      <c r="M458" s="180" t="s">
        <v>624</v>
      </c>
      <c r="N458" s="181" t="s">
        <v>448</v>
      </c>
      <c r="O458" s="182" t="s">
        <v>625</v>
      </c>
    </row>
    <row r="459" spans="1:15" ht="12">
      <c r="A459" s="148"/>
      <c r="B459" s="174" t="s">
        <v>2121</v>
      </c>
      <c r="C459" s="175" t="s">
        <v>447</v>
      </c>
      <c r="D459" s="176" t="s">
        <v>448</v>
      </c>
      <c r="E459" s="177" t="s">
        <v>2118</v>
      </c>
      <c r="F459" s="175">
        <f t="shared" si="21"/>
        <v>9</v>
      </c>
      <c r="G459" s="175" t="str">
        <f t="shared" si="22"/>
        <v>Lincoln</v>
      </c>
      <c r="H459" s="175" t="str">
        <f t="shared" si="23"/>
        <v>Lincoln, NE</v>
      </c>
      <c r="I459" s="178" t="s">
        <v>2119</v>
      </c>
      <c r="J459" s="27" t="s">
        <v>448</v>
      </c>
      <c r="K459" s="27">
        <v>1134</v>
      </c>
      <c r="L459" s="179">
        <v>6278</v>
      </c>
      <c r="M459" s="180" t="s">
        <v>624</v>
      </c>
      <c r="N459" s="181" t="s">
        <v>448</v>
      </c>
      <c r="O459" s="182" t="s">
        <v>625</v>
      </c>
    </row>
    <row r="460" spans="1:15" ht="12">
      <c r="A460" s="148"/>
      <c r="B460" s="174" t="s">
        <v>2122</v>
      </c>
      <c r="C460" s="175" t="s">
        <v>1578</v>
      </c>
      <c r="D460" s="176" t="s">
        <v>1579</v>
      </c>
      <c r="E460" s="177" t="s">
        <v>2123</v>
      </c>
      <c r="F460" s="175">
        <f t="shared" si="21"/>
        <v>13</v>
      </c>
      <c r="G460" s="175" t="str">
        <f t="shared" si="22"/>
        <v>Little Rock</v>
      </c>
      <c r="H460" s="175" t="str">
        <f t="shared" si="23"/>
        <v>Little Rock, AR</v>
      </c>
      <c r="I460" s="178" t="s">
        <v>1351</v>
      </c>
      <c r="J460" s="27" t="s">
        <v>1579</v>
      </c>
      <c r="K460" s="27">
        <v>2005</v>
      </c>
      <c r="L460" s="179">
        <v>3155</v>
      </c>
      <c r="M460" s="178" t="s">
        <v>1582</v>
      </c>
      <c r="N460" s="27" t="s">
        <v>1579</v>
      </c>
      <c r="O460" s="182" t="s">
        <v>1583</v>
      </c>
    </row>
    <row r="461" spans="1:15" ht="12">
      <c r="A461" s="148"/>
      <c r="B461" s="174" t="s">
        <v>2124</v>
      </c>
      <c r="C461" s="175" t="s">
        <v>1578</v>
      </c>
      <c r="D461" s="176" t="s">
        <v>1579</v>
      </c>
      <c r="E461" s="177" t="s">
        <v>2123</v>
      </c>
      <c r="F461" s="175">
        <f t="shared" si="21"/>
        <v>13</v>
      </c>
      <c r="G461" s="175" t="str">
        <f t="shared" si="22"/>
        <v>Little Rock</v>
      </c>
      <c r="H461" s="175" t="str">
        <f t="shared" si="23"/>
        <v>Little Rock, AR</v>
      </c>
      <c r="I461" s="178" t="s">
        <v>1351</v>
      </c>
      <c r="J461" s="27" t="s">
        <v>1579</v>
      </c>
      <c r="K461" s="27">
        <v>2005</v>
      </c>
      <c r="L461" s="179">
        <v>3155</v>
      </c>
      <c r="M461" s="178" t="s">
        <v>1582</v>
      </c>
      <c r="N461" s="27" t="s">
        <v>1579</v>
      </c>
      <c r="O461" s="182" t="s">
        <v>1583</v>
      </c>
    </row>
    <row r="462" spans="1:15" ht="12">
      <c r="A462" s="148"/>
      <c r="B462" s="174" t="s">
        <v>2125</v>
      </c>
      <c r="C462" s="175" t="s">
        <v>1578</v>
      </c>
      <c r="D462" s="176" t="s">
        <v>1579</v>
      </c>
      <c r="E462" s="177" t="s">
        <v>2123</v>
      </c>
      <c r="F462" s="175">
        <f t="shared" si="21"/>
        <v>13</v>
      </c>
      <c r="G462" s="175" t="str">
        <f t="shared" si="22"/>
        <v>Little Rock</v>
      </c>
      <c r="H462" s="175" t="str">
        <f t="shared" si="23"/>
        <v>Little Rock, AR</v>
      </c>
      <c r="I462" s="178" t="s">
        <v>1351</v>
      </c>
      <c r="J462" s="27" t="s">
        <v>1579</v>
      </c>
      <c r="K462" s="27">
        <v>2005</v>
      </c>
      <c r="L462" s="179">
        <v>3155</v>
      </c>
      <c r="M462" s="178" t="s">
        <v>1582</v>
      </c>
      <c r="N462" s="27" t="s">
        <v>1579</v>
      </c>
      <c r="O462" s="182" t="s">
        <v>1583</v>
      </c>
    </row>
    <row r="463" spans="1:15" ht="12">
      <c r="A463" s="148"/>
      <c r="B463" s="186" t="s">
        <v>2126</v>
      </c>
      <c r="C463" s="175" t="s">
        <v>262</v>
      </c>
      <c r="D463" s="176" t="s">
        <v>263</v>
      </c>
      <c r="E463" s="177" t="s">
        <v>2127</v>
      </c>
      <c r="F463" s="175">
        <f t="shared" si="21"/>
        <v>11</v>
      </c>
      <c r="G463" s="175" t="str">
        <f t="shared" si="22"/>
        <v>Littleton</v>
      </c>
      <c r="H463" s="175" t="str">
        <f t="shared" si="23"/>
        <v>Littleton, NH</v>
      </c>
      <c r="I463" s="178" t="s">
        <v>1329</v>
      </c>
      <c r="J463" s="27" t="s">
        <v>1612</v>
      </c>
      <c r="K463" s="27">
        <v>388</v>
      </c>
      <c r="L463" s="179">
        <v>7771</v>
      </c>
      <c r="M463" s="180" t="s">
        <v>1330</v>
      </c>
      <c r="N463" s="181" t="s">
        <v>1612</v>
      </c>
      <c r="O463" s="182" t="s">
        <v>1331</v>
      </c>
    </row>
    <row r="464" spans="1:15" ht="12">
      <c r="A464" s="148"/>
      <c r="B464" s="174" t="s">
        <v>2128</v>
      </c>
      <c r="C464" s="175" t="s">
        <v>1606</v>
      </c>
      <c r="D464" s="176" t="s">
        <v>1519</v>
      </c>
      <c r="E464" s="177" t="s">
        <v>2129</v>
      </c>
      <c r="F464" s="175">
        <f t="shared" si="21"/>
        <v>7</v>
      </c>
      <c r="G464" s="175" t="str">
        <f t="shared" si="22"/>
        <v>Logan</v>
      </c>
      <c r="H464" s="175" t="str">
        <f t="shared" si="23"/>
        <v>Logan, WV</v>
      </c>
      <c r="I464" s="178" t="s">
        <v>1308</v>
      </c>
      <c r="J464" s="27" t="s">
        <v>1519</v>
      </c>
      <c r="K464" s="27">
        <v>1031</v>
      </c>
      <c r="L464" s="179">
        <v>4646</v>
      </c>
      <c r="M464" s="180" t="s">
        <v>1520</v>
      </c>
      <c r="N464" s="181" t="s">
        <v>1519</v>
      </c>
      <c r="O464" s="182" t="s">
        <v>1521</v>
      </c>
    </row>
    <row r="465" spans="1:15" ht="12">
      <c r="A465" s="148"/>
      <c r="B465" s="174" t="s">
        <v>2130</v>
      </c>
      <c r="C465" s="175" t="s">
        <v>433</v>
      </c>
      <c r="D465" s="176" t="s">
        <v>434</v>
      </c>
      <c r="E465" s="177" t="s">
        <v>2131</v>
      </c>
      <c r="F465" s="175">
        <f t="shared" si="21"/>
        <v>12</v>
      </c>
      <c r="G465" s="175" t="str">
        <f t="shared" si="22"/>
        <v>Long Beach</v>
      </c>
      <c r="H465" s="175" t="str">
        <f t="shared" si="23"/>
        <v>Long Beach, CA</v>
      </c>
      <c r="I465" s="178" t="s">
        <v>462</v>
      </c>
      <c r="J465" s="27" t="s">
        <v>434</v>
      </c>
      <c r="K465" s="27">
        <v>1201</v>
      </c>
      <c r="L465" s="179">
        <v>1430</v>
      </c>
      <c r="M465" s="178" t="s">
        <v>437</v>
      </c>
      <c r="N465" s="27" t="s">
        <v>434</v>
      </c>
      <c r="O465" s="182" t="s">
        <v>438</v>
      </c>
    </row>
    <row r="466" spans="1:15" ht="12">
      <c r="A466" s="148"/>
      <c r="B466" s="174" t="s">
        <v>2132</v>
      </c>
      <c r="C466" s="175" t="s">
        <v>393</v>
      </c>
      <c r="D466" s="176" t="s">
        <v>394</v>
      </c>
      <c r="E466" s="177" t="s">
        <v>2133</v>
      </c>
      <c r="F466" s="175">
        <f t="shared" si="21"/>
        <v>10</v>
      </c>
      <c r="G466" s="175" t="str">
        <f t="shared" si="22"/>
        <v>Longmont</v>
      </c>
      <c r="H466" s="175" t="str">
        <f t="shared" si="23"/>
        <v>Longmont, CO</v>
      </c>
      <c r="I466" s="178" t="s">
        <v>648</v>
      </c>
      <c r="J466" s="27" t="s">
        <v>394</v>
      </c>
      <c r="K466" s="27">
        <v>679</v>
      </c>
      <c r="L466" s="179">
        <v>6020</v>
      </c>
      <c r="M466" s="180" t="s">
        <v>649</v>
      </c>
      <c r="N466" s="181" t="s">
        <v>394</v>
      </c>
      <c r="O466" s="182" t="s">
        <v>650</v>
      </c>
    </row>
    <row r="467" spans="1:15" ht="12">
      <c r="A467" s="148"/>
      <c r="B467" s="174" t="s">
        <v>2134</v>
      </c>
      <c r="C467" s="175" t="s">
        <v>254</v>
      </c>
      <c r="D467" s="176" t="s">
        <v>255</v>
      </c>
      <c r="E467" s="177" t="s">
        <v>2135</v>
      </c>
      <c r="F467" s="175">
        <f t="shared" si="21"/>
        <v>10</v>
      </c>
      <c r="G467" s="175" t="str">
        <f t="shared" si="22"/>
        <v>Longview</v>
      </c>
      <c r="H467" s="175" t="str">
        <f t="shared" si="23"/>
        <v>Longview, TX</v>
      </c>
      <c r="I467" s="178" t="s">
        <v>381</v>
      </c>
      <c r="J467" s="27" t="s">
        <v>282</v>
      </c>
      <c r="K467" s="27">
        <v>2368</v>
      </c>
      <c r="L467" s="179">
        <v>2264</v>
      </c>
      <c r="M467" s="180" t="s">
        <v>382</v>
      </c>
      <c r="N467" s="181" t="s">
        <v>282</v>
      </c>
      <c r="O467" s="182" t="s">
        <v>383</v>
      </c>
    </row>
    <row r="468" spans="1:15" ht="12">
      <c r="A468" s="148"/>
      <c r="B468" s="174" t="s">
        <v>2136</v>
      </c>
      <c r="C468" s="175" t="s">
        <v>433</v>
      </c>
      <c r="D468" s="176" t="s">
        <v>434</v>
      </c>
      <c r="E468" s="177" t="s">
        <v>2137</v>
      </c>
      <c r="F468" s="175">
        <f t="shared" si="21"/>
        <v>13</v>
      </c>
      <c r="G468" s="175" t="str">
        <f t="shared" si="22"/>
        <v>Los Angeles</v>
      </c>
      <c r="H468" s="175" t="str">
        <f t="shared" si="23"/>
        <v>Los Angeles, CA</v>
      </c>
      <c r="I468" s="178" t="s">
        <v>89</v>
      </c>
      <c r="J468" s="27" t="s">
        <v>434</v>
      </c>
      <c r="K468" s="27">
        <v>727</v>
      </c>
      <c r="L468" s="179">
        <v>1458</v>
      </c>
      <c r="M468" s="178" t="s">
        <v>437</v>
      </c>
      <c r="N468" s="27" t="s">
        <v>434</v>
      </c>
      <c r="O468" s="182" t="s">
        <v>438</v>
      </c>
    </row>
    <row r="469" spans="1:15" ht="12">
      <c r="A469" s="148"/>
      <c r="B469" s="174" t="s">
        <v>2138</v>
      </c>
      <c r="C469" s="175" t="s">
        <v>433</v>
      </c>
      <c r="D469" s="176" t="s">
        <v>434</v>
      </c>
      <c r="E469" s="177" t="s">
        <v>2137</v>
      </c>
      <c r="F469" s="175">
        <f t="shared" si="21"/>
        <v>13</v>
      </c>
      <c r="G469" s="175" t="str">
        <f t="shared" si="22"/>
        <v>Los Angeles</v>
      </c>
      <c r="H469" s="175" t="str">
        <f t="shared" si="23"/>
        <v>Los Angeles, CA</v>
      </c>
      <c r="I469" s="178" t="s">
        <v>89</v>
      </c>
      <c r="J469" s="27" t="s">
        <v>434</v>
      </c>
      <c r="K469" s="27">
        <v>727</v>
      </c>
      <c r="L469" s="179">
        <v>1458</v>
      </c>
      <c r="M469" s="178" t="s">
        <v>437</v>
      </c>
      <c r="N469" s="27" t="s">
        <v>434</v>
      </c>
      <c r="O469" s="182" t="s">
        <v>438</v>
      </c>
    </row>
    <row r="470" spans="1:15" ht="12">
      <c r="A470" s="148"/>
      <c r="B470" s="174" t="s">
        <v>2139</v>
      </c>
      <c r="C470" s="175" t="s">
        <v>433</v>
      </c>
      <c r="D470" s="176" t="s">
        <v>434</v>
      </c>
      <c r="E470" s="177" t="s">
        <v>2137</v>
      </c>
      <c r="F470" s="175">
        <f t="shared" si="21"/>
        <v>13</v>
      </c>
      <c r="G470" s="175" t="str">
        <f t="shared" si="22"/>
        <v>Los Angeles</v>
      </c>
      <c r="H470" s="175" t="str">
        <f t="shared" si="23"/>
        <v>Los Angeles, CA</v>
      </c>
      <c r="I470" s="178" t="s">
        <v>89</v>
      </c>
      <c r="J470" s="27" t="s">
        <v>434</v>
      </c>
      <c r="K470" s="27">
        <v>727</v>
      </c>
      <c r="L470" s="179">
        <v>1458</v>
      </c>
      <c r="M470" s="178" t="s">
        <v>437</v>
      </c>
      <c r="N470" s="27" t="s">
        <v>434</v>
      </c>
      <c r="O470" s="182" t="s">
        <v>438</v>
      </c>
    </row>
    <row r="471" spans="1:15" ht="12">
      <c r="A471" s="148"/>
      <c r="B471" s="174" t="s">
        <v>2140</v>
      </c>
      <c r="C471" s="175" t="s">
        <v>516</v>
      </c>
      <c r="D471" s="176" t="s">
        <v>517</v>
      </c>
      <c r="E471" s="177" t="s">
        <v>2141</v>
      </c>
      <c r="F471" s="175">
        <f t="shared" si="21"/>
        <v>12</v>
      </c>
      <c r="G471" s="175" t="str">
        <f t="shared" si="22"/>
        <v>Louisville</v>
      </c>
      <c r="H471" s="175" t="str">
        <f t="shared" si="23"/>
        <v>Louisville, KY</v>
      </c>
      <c r="I471" s="178" t="s">
        <v>653</v>
      </c>
      <c r="J471" s="27" t="s">
        <v>517</v>
      </c>
      <c r="K471" s="27">
        <v>1288</v>
      </c>
      <c r="L471" s="179">
        <v>4514</v>
      </c>
      <c r="M471" s="180" t="s">
        <v>654</v>
      </c>
      <c r="N471" s="181" t="s">
        <v>517</v>
      </c>
      <c r="O471" s="182" t="s">
        <v>655</v>
      </c>
    </row>
    <row r="472" spans="1:15" ht="12">
      <c r="A472" s="148"/>
      <c r="B472" s="174" t="s">
        <v>2142</v>
      </c>
      <c r="C472" s="175" t="s">
        <v>516</v>
      </c>
      <c r="D472" s="176" t="s">
        <v>517</v>
      </c>
      <c r="E472" s="177" t="s">
        <v>2141</v>
      </c>
      <c r="F472" s="175">
        <f t="shared" si="21"/>
        <v>12</v>
      </c>
      <c r="G472" s="175" t="str">
        <f t="shared" si="22"/>
        <v>Louisville</v>
      </c>
      <c r="H472" s="175" t="str">
        <f t="shared" si="23"/>
        <v>Louisville, KY</v>
      </c>
      <c r="I472" s="178" t="s">
        <v>653</v>
      </c>
      <c r="J472" s="27" t="s">
        <v>517</v>
      </c>
      <c r="K472" s="27">
        <v>1288</v>
      </c>
      <c r="L472" s="179">
        <v>4514</v>
      </c>
      <c r="M472" s="180" t="s">
        <v>654</v>
      </c>
      <c r="N472" s="181" t="s">
        <v>517</v>
      </c>
      <c r="O472" s="182" t="s">
        <v>655</v>
      </c>
    </row>
    <row r="473" spans="1:15" ht="12">
      <c r="A473" s="148"/>
      <c r="B473" s="174" t="s">
        <v>2143</v>
      </c>
      <c r="C473" s="175" t="s">
        <v>516</v>
      </c>
      <c r="D473" s="176" t="s">
        <v>517</v>
      </c>
      <c r="E473" s="177" t="s">
        <v>2141</v>
      </c>
      <c r="F473" s="175">
        <f t="shared" si="21"/>
        <v>12</v>
      </c>
      <c r="G473" s="175" t="str">
        <f t="shared" si="22"/>
        <v>Louisville</v>
      </c>
      <c r="H473" s="175" t="str">
        <f t="shared" si="23"/>
        <v>Louisville, KY</v>
      </c>
      <c r="I473" s="178" t="s">
        <v>653</v>
      </c>
      <c r="J473" s="27" t="s">
        <v>517</v>
      </c>
      <c r="K473" s="27">
        <v>1288</v>
      </c>
      <c r="L473" s="179">
        <v>4514</v>
      </c>
      <c r="M473" s="180" t="s">
        <v>654</v>
      </c>
      <c r="N473" s="181" t="s">
        <v>517</v>
      </c>
      <c r="O473" s="182" t="s">
        <v>655</v>
      </c>
    </row>
    <row r="474" spans="1:15" ht="12">
      <c r="A474" s="148"/>
      <c r="B474" s="174" t="s">
        <v>2144</v>
      </c>
      <c r="C474" s="175" t="s">
        <v>254</v>
      </c>
      <c r="D474" s="176" t="s">
        <v>255</v>
      </c>
      <c r="E474" s="177" t="s">
        <v>2145</v>
      </c>
      <c r="F474" s="175">
        <f t="shared" si="21"/>
        <v>9</v>
      </c>
      <c r="G474" s="175" t="str">
        <f t="shared" si="22"/>
        <v>Lubbock</v>
      </c>
      <c r="H474" s="175" t="str">
        <f t="shared" si="23"/>
        <v>Lubbock, TX</v>
      </c>
      <c r="I474" s="178" t="s">
        <v>2365</v>
      </c>
      <c r="J474" s="27" t="s">
        <v>255</v>
      </c>
      <c r="K474" s="27">
        <v>1689</v>
      </c>
      <c r="L474" s="179">
        <v>3431</v>
      </c>
      <c r="M474" s="180" t="s">
        <v>2366</v>
      </c>
      <c r="N474" s="181" t="s">
        <v>255</v>
      </c>
      <c r="O474" s="182" t="s">
        <v>2367</v>
      </c>
    </row>
    <row r="475" spans="1:15" ht="12">
      <c r="A475" s="148"/>
      <c r="B475" s="174" t="s">
        <v>2146</v>
      </c>
      <c r="C475" s="175" t="s">
        <v>254</v>
      </c>
      <c r="D475" s="176" t="s">
        <v>255</v>
      </c>
      <c r="E475" s="177" t="s">
        <v>2145</v>
      </c>
      <c r="F475" s="175">
        <f t="shared" si="21"/>
        <v>9</v>
      </c>
      <c r="G475" s="175" t="str">
        <f t="shared" si="22"/>
        <v>Lubbock</v>
      </c>
      <c r="H475" s="175" t="str">
        <f t="shared" si="23"/>
        <v>Lubbock, TX</v>
      </c>
      <c r="I475" s="178" t="s">
        <v>2365</v>
      </c>
      <c r="J475" s="27" t="s">
        <v>255</v>
      </c>
      <c r="K475" s="27">
        <v>1689</v>
      </c>
      <c r="L475" s="179">
        <v>3431</v>
      </c>
      <c r="M475" s="180" t="s">
        <v>2366</v>
      </c>
      <c r="N475" s="181" t="s">
        <v>255</v>
      </c>
      <c r="O475" s="182" t="s">
        <v>2367</v>
      </c>
    </row>
    <row r="476" spans="1:15" ht="12">
      <c r="A476" s="148"/>
      <c r="B476" s="174" t="s">
        <v>2147</v>
      </c>
      <c r="C476" s="175" t="s">
        <v>254</v>
      </c>
      <c r="D476" s="176" t="s">
        <v>255</v>
      </c>
      <c r="E476" s="177" t="s">
        <v>2148</v>
      </c>
      <c r="F476" s="175">
        <f t="shared" si="21"/>
        <v>8</v>
      </c>
      <c r="G476" s="175" t="str">
        <f t="shared" si="22"/>
        <v>Lufkin</v>
      </c>
      <c r="H476" s="175" t="str">
        <f t="shared" si="23"/>
        <v>Lufkin, TX</v>
      </c>
      <c r="I476" s="178" t="s">
        <v>2149</v>
      </c>
      <c r="J476" s="27" t="s">
        <v>255</v>
      </c>
      <c r="K476" s="27">
        <v>2816</v>
      </c>
      <c r="L476" s="179">
        <v>2179</v>
      </c>
      <c r="M476" s="180" t="s">
        <v>2150</v>
      </c>
      <c r="N476" s="181" t="s">
        <v>255</v>
      </c>
      <c r="O476" s="182" t="s">
        <v>2151</v>
      </c>
    </row>
    <row r="477" spans="1:15" ht="12">
      <c r="A477" s="148"/>
      <c r="B477" s="174" t="s">
        <v>2152</v>
      </c>
      <c r="C477" s="175" t="s">
        <v>425</v>
      </c>
      <c r="D477" s="176" t="s">
        <v>426</v>
      </c>
      <c r="E477" s="177" t="s">
        <v>2153</v>
      </c>
      <c r="F477" s="175">
        <f t="shared" si="21"/>
        <v>11</v>
      </c>
      <c r="G477" s="175" t="str">
        <f t="shared" si="22"/>
        <v>Lynchburg</v>
      </c>
      <c r="H477" s="175" t="str">
        <f t="shared" si="23"/>
        <v>Lynchburg, VA</v>
      </c>
      <c r="I477" s="178" t="s">
        <v>2154</v>
      </c>
      <c r="J477" s="27" t="s">
        <v>426</v>
      </c>
      <c r="K477" s="27">
        <v>1048</v>
      </c>
      <c r="L477" s="179">
        <v>4340</v>
      </c>
      <c r="M477" s="180" t="s">
        <v>2277</v>
      </c>
      <c r="N477" s="181" t="s">
        <v>426</v>
      </c>
      <c r="O477" s="182" t="s">
        <v>2278</v>
      </c>
    </row>
    <row r="478" spans="1:15" ht="12">
      <c r="A478" s="148"/>
      <c r="B478" s="186" t="s">
        <v>2155</v>
      </c>
      <c r="C478" s="175" t="s">
        <v>2288</v>
      </c>
      <c r="D478" s="176" t="s">
        <v>2289</v>
      </c>
      <c r="E478" s="177" t="s">
        <v>2156</v>
      </c>
      <c r="F478" s="175">
        <f t="shared" si="21"/>
        <v>6</v>
      </c>
      <c r="G478" s="175" t="str">
        <f t="shared" si="22"/>
        <v>Lynn</v>
      </c>
      <c r="H478" s="175" t="str">
        <f t="shared" si="23"/>
        <v>Lynn, MA</v>
      </c>
      <c r="I478" s="178" t="s">
        <v>644</v>
      </c>
      <c r="J478" s="27" t="s">
        <v>2289</v>
      </c>
      <c r="K478" s="27">
        <v>678</v>
      </c>
      <c r="L478" s="179">
        <v>5641</v>
      </c>
      <c r="M478" s="180" t="s">
        <v>641</v>
      </c>
      <c r="N478" s="181" t="s">
        <v>2289</v>
      </c>
      <c r="O478" s="182" t="s">
        <v>642</v>
      </c>
    </row>
    <row r="479" spans="1:15" ht="12">
      <c r="A479" s="148"/>
      <c r="B479" s="174" t="s">
        <v>2157</v>
      </c>
      <c r="C479" s="175" t="s">
        <v>480</v>
      </c>
      <c r="D479" s="176" t="s">
        <v>481</v>
      </c>
      <c r="E479" s="177" t="s">
        <v>2158</v>
      </c>
      <c r="F479" s="175">
        <f t="shared" si="21"/>
        <v>15</v>
      </c>
      <c r="G479" s="175" t="str">
        <f t="shared" si="22"/>
        <v>Mackinaw City</v>
      </c>
      <c r="H479" s="175" t="str">
        <f t="shared" si="23"/>
        <v>Mackinaw City, MI</v>
      </c>
      <c r="I479" s="178" t="s">
        <v>2159</v>
      </c>
      <c r="J479" s="27" t="s">
        <v>481</v>
      </c>
      <c r="K479" s="27">
        <v>131</v>
      </c>
      <c r="L479" s="179">
        <v>9316</v>
      </c>
      <c r="M479" s="180" t="s">
        <v>796</v>
      </c>
      <c r="N479" s="181" t="s">
        <v>481</v>
      </c>
      <c r="O479" s="182" t="s">
        <v>797</v>
      </c>
    </row>
    <row r="480" spans="1:15" ht="12">
      <c r="A480" s="148"/>
      <c r="B480" s="174" t="s">
        <v>2160</v>
      </c>
      <c r="C480" s="175" t="s">
        <v>400</v>
      </c>
      <c r="D480" s="176" t="s">
        <v>401</v>
      </c>
      <c r="E480" s="177" t="s">
        <v>2161</v>
      </c>
      <c r="F480" s="175">
        <f t="shared" si="21"/>
        <v>7</v>
      </c>
      <c r="G480" s="175" t="str">
        <f t="shared" si="22"/>
        <v>Macon</v>
      </c>
      <c r="H480" s="175" t="str">
        <f t="shared" si="23"/>
        <v>Macon, GA</v>
      </c>
      <c r="I480" s="178" t="s">
        <v>403</v>
      </c>
      <c r="J480" s="27" t="s">
        <v>401</v>
      </c>
      <c r="K480" s="27">
        <v>2284</v>
      </c>
      <c r="L480" s="179">
        <v>2261</v>
      </c>
      <c r="M480" s="178" t="s">
        <v>2162</v>
      </c>
      <c r="N480" s="27" t="s">
        <v>401</v>
      </c>
      <c r="O480" s="182" t="s">
        <v>2163</v>
      </c>
    </row>
    <row r="481" spans="1:15" ht="12">
      <c r="A481" s="148"/>
      <c r="B481" s="174" t="s">
        <v>2164</v>
      </c>
      <c r="C481" s="175" t="s">
        <v>400</v>
      </c>
      <c r="D481" s="176" t="s">
        <v>401</v>
      </c>
      <c r="E481" s="177" t="s">
        <v>2161</v>
      </c>
      <c r="F481" s="175">
        <f t="shared" si="21"/>
        <v>7</v>
      </c>
      <c r="G481" s="175" t="str">
        <f t="shared" si="22"/>
        <v>Macon</v>
      </c>
      <c r="H481" s="175" t="str">
        <f t="shared" si="23"/>
        <v>Macon, GA</v>
      </c>
      <c r="I481" s="178" t="s">
        <v>403</v>
      </c>
      <c r="J481" s="27" t="s">
        <v>401</v>
      </c>
      <c r="K481" s="27">
        <v>2284</v>
      </c>
      <c r="L481" s="179">
        <v>2261</v>
      </c>
      <c r="M481" s="178" t="s">
        <v>2162</v>
      </c>
      <c r="N481" s="27" t="s">
        <v>401</v>
      </c>
      <c r="O481" s="182" t="s">
        <v>2163</v>
      </c>
    </row>
    <row r="482" spans="1:15" ht="12">
      <c r="A482" s="148"/>
      <c r="B482" s="174" t="s">
        <v>2165</v>
      </c>
      <c r="C482" s="175" t="s">
        <v>400</v>
      </c>
      <c r="D482" s="176" t="s">
        <v>401</v>
      </c>
      <c r="E482" s="177" t="s">
        <v>2161</v>
      </c>
      <c r="F482" s="175">
        <f t="shared" si="21"/>
        <v>7</v>
      </c>
      <c r="G482" s="175" t="str">
        <f t="shared" si="22"/>
        <v>Macon</v>
      </c>
      <c r="H482" s="175" t="str">
        <f t="shared" si="23"/>
        <v>Macon, GA</v>
      </c>
      <c r="I482" s="178" t="s">
        <v>617</v>
      </c>
      <c r="J482" s="27" t="s">
        <v>401</v>
      </c>
      <c r="K482" s="27">
        <v>2125</v>
      </c>
      <c r="L482" s="179">
        <v>2334</v>
      </c>
      <c r="M482" s="178" t="s">
        <v>2162</v>
      </c>
      <c r="N482" s="27" t="s">
        <v>401</v>
      </c>
      <c r="O482" s="182" t="s">
        <v>2163</v>
      </c>
    </row>
    <row r="483" spans="1:15" ht="12">
      <c r="A483" s="148"/>
      <c r="B483" s="174" t="s">
        <v>2166</v>
      </c>
      <c r="C483" s="175" t="s">
        <v>42</v>
      </c>
      <c r="D483" s="176" t="s">
        <v>1691</v>
      </c>
      <c r="E483" s="177" t="s">
        <v>2167</v>
      </c>
      <c r="F483" s="175">
        <f t="shared" si="21"/>
        <v>9</v>
      </c>
      <c r="G483" s="175" t="str">
        <f t="shared" si="22"/>
        <v>Madison</v>
      </c>
      <c r="H483" s="175" t="str">
        <f t="shared" si="23"/>
        <v>Madison, WI</v>
      </c>
      <c r="I483" s="178" t="s">
        <v>1690</v>
      </c>
      <c r="J483" s="27" t="s">
        <v>1691</v>
      </c>
      <c r="K483" s="27">
        <v>692</v>
      </c>
      <c r="L483" s="179">
        <v>7491</v>
      </c>
      <c r="M483" s="180" t="s">
        <v>936</v>
      </c>
      <c r="N483" s="181" t="s">
        <v>1691</v>
      </c>
      <c r="O483" s="182" t="s">
        <v>937</v>
      </c>
    </row>
    <row r="484" spans="1:15" ht="12">
      <c r="A484" s="148"/>
      <c r="B484" s="174" t="s">
        <v>2168</v>
      </c>
      <c r="C484" s="175" t="s">
        <v>42</v>
      </c>
      <c r="D484" s="176" t="s">
        <v>1691</v>
      </c>
      <c r="E484" s="177" t="s">
        <v>2167</v>
      </c>
      <c r="F484" s="175">
        <f t="shared" si="21"/>
        <v>9</v>
      </c>
      <c r="G484" s="175" t="str">
        <f t="shared" si="22"/>
        <v>Madison</v>
      </c>
      <c r="H484" s="175" t="str">
        <f t="shared" si="23"/>
        <v>Madison, WI</v>
      </c>
      <c r="I484" s="178" t="s">
        <v>1690</v>
      </c>
      <c r="J484" s="27" t="s">
        <v>1691</v>
      </c>
      <c r="K484" s="27">
        <v>692</v>
      </c>
      <c r="L484" s="179">
        <v>7491</v>
      </c>
      <c r="M484" s="180" t="s">
        <v>936</v>
      </c>
      <c r="N484" s="181" t="s">
        <v>1691</v>
      </c>
      <c r="O484" s="182" t="s">
        <v>937</v>
      </c>
    </row>
    <row r="485" spans="1:15" ht="12">
      <c r="A485" s="148"/>
      <c r="B485" s="174" t="s">
        <v>2169</v>
      </c>
      <c r="C485" s="175" t="s">
        <v>42</v>
      </c>
      <c r="D485" s="176" t="s">
        <v>1691</v>
      </c>
      <c r="E485" s="177" t="s">
        <v>2167</v>
      </c>
      <c r="F485" s="175">
        <f t="shared" si="21"/>
        <v>9</v>
      </c>
      <c r="G485" s="175" t="str">
        <f t="shared" si="22"/>
        <v>Madison</v>
      </c>
      <c r="H485" s="175" t="str">
        <f t="shared" si="23"/>
        <v>Madison, WI</v>
      </c>
      <c r="I485" s="178" t="s">
        <v>935</v>
      </c>
      <c r="J485" s="27" t="s">
        <v>1691</v>
      </c>
      <c r="K485" s="27">
        <v>485</v>
      </c>
      <c r="L485" s="179">
        <v>7673</v>
      </c>
      <c r="M485" s="180" t="s">
        <v>936</v>
      </c>
      <c r="N485" s="181" t="s">
        <v>1691</v>
      </c>
      <c r="O485" s="182" t="s">
        <v>937</v>
      </c>
    </row>
    <row r="486" spans="1:15" ht="12">
      <c r="A486" s="148"/>
      <c r="B486" s="186" t="s">
        <v>2170</v>
      </c>
      <c r="C486" s="175" t="s">
        <v>262</v>
      </c>
      <c r="D486" s="176" t="s">
        <v>263</v>
      </c>
      <c r="E486" s="177" t="s">
        <v>2171</v>
      </c>
      <c r="F486" s="175">
        <f t="shared" si="21"/>
        <v>12</v>
      </c>
      <c r="G486" s="175" t="str">
        <f t="shared" si="22"/>
        <v>Manchester</v>
      </c>
      <c r="H486" s="175" t="str">
        <f t="shared" si="23"/>
        <v>Manchester, NH</v>
      </c>
      <c r="I486" s="178" t="s">
        <v>640</v>
      </c>
      <c r="J486" s="27" t="s">
        <v>2289</v>
      </c>
      <c r="K486" s="27">
        <v>333</v>
      </c>
      <c r="L486" s="179">
        <v>6979</v>
      </c>
      <c r="M486" s="180" t="s">
        <v>266</v>
      </c>
      <c r="N486" s="181" t="s">
        <v>263</v>
      </c>
      <c r="O486" s="182" t="s">
        <v>267</v>
      </c>
    </row>
    <row r="487" spans="1:15" ht="12">
      <c r="A487" s="148"/>
      <c r="B487" s="186" t="s">
        <v>2172</v>
      </c>
      <c r="C487" s="175" t="s">
        <v>262</v>
      </c>
      <c r="D487" s="176" t="s">
        <v>263</v>
      </c>
      <c r="E487" s="177" t="s">
        <v>2171</v>
      </c>
      <c r="F487" s="175">
        <f t="shared" si="21"/>
        <v>12</v>
      </c>
      <c r="G487" s="175" t="str">
        <f t="shared" si="22"/>
        <v>Manchester</v>
      </c>
      <c r="H487" s="175" t="str">
        <f t="shared" si="23"/>
        <v>Manchester, NH</v>
      </c>
      <c r="I487" s="178" t="s">
        <v>265</v>
      </c>
      <c r="J487" s="27" t="s">
        <v>263</v>
      </c>
      <c r="K487" s="27">
        <v>328</v>
      </c>
      <c r="L487" s="179">
        <v>7554</v>
      </c>
      <c r="M487" s="180" t="s">
        <v>266</v>
      </c>
      <c r="N487" s="181" t="s">
        <v>263</v>
      </c>
      <c r="O487" s="182" t="s">
        <v>267</v>
      </c>
    </row>
    <row r="488" spans="1:15" ht="12">
      <c r="A488" s="148"/>
      <c r="B488" s="174">
        <v>969</v>
      </c>
      <c r="C488" s="175" t="s">
        <v>2173</v>
      </c>
      <c r="D488" s="176" t="s">
        <v>2174</v>
      </c>
      <c r="E488" s="177" t="s">
        <v>2175</v>
      </c>
      <c r="F488" s="175">
        <f t="shared" si="21"/>
        <v>10</v>
      </c>
      <c r="G488" s="175" t="str">
        <f t="shared" si="22"/>
        <v>Mangilao</v>
      </c>
      <c r="H488" s="175" t="str">
        <f t="shared" si="23"/>
        <v>Mangilao, GU</v>
      </c>
      <c r="I488" s="178" t="s">
        <v>1134</v>
      </c>
      <c r="J488" s="27" t="s">
        <v>1135</v>
      </c>
      <c r="K488" s="27">
        <v>5034</v>
      </c>
      <c r="L488" s="179">
        <v>0</v>
      </c>
      <c r="M488" s="178" t="s">
        <v>780</v>
      </c>
      <c r="N488" s="27" t="s">
        <v>777</v>
      </c>
      <c r="O488" s="182" t="s">
        <v>781</v>
      </c>
    </row>
    <row r="489" spans="1:15" ht="12">
      <c r="A489" s="148"/>
      <c r="B489" s="174" t="s">
        <v>1136</v>
      </c>
      <c r="C489" s="175" t="s">
        <v>1615</v>
      </c>
      <c r="D489" s="176" t="s">
        <v>1616</v>
      </c>
      <c r="E489" s="177" t="s">
        <v>1137</v>
      </c>
      <c r="F489" s="175">
        <f t="shared" si="21"/>
        <v>9</v>
      </c>
      <c r="G489" s="175" t="str">
        <f t="shared" si="22"/>
        <v>Mankato</v>
      </c>
      <c r="H489" s="175" t="str">
        <f t="shared" si="23"/>
        <v>Mankato, MN</v>
      </c>
      <c r="I489" s="178" t="s">
        <v>1138</v>
      </c>
      <c r="J489" s="27" t="s">
        <v>1616</v>
      </c>
      <c r="K489" s="27">
        <v>472</v>
      </c>
      <c r="L489" s="179">
        <v>8250</v>
      </c>
      <c r="M489" s="178" t="s">
        <v>675</v>
      </c>
      <c r="N489" s="27" t="s">
        <v>1616</v>
      </c>
      <c r="O489" s="182" t="s">
        <v>676</v>
      </c>
    </row>
    <row r="490" spans="1:15" ht="12">
      <c r="A490" s="148"/>
      <c r="B490" s="174" t="s">
        <v>1139</v>
      </c>
      <c r="C490" s="175" t="s">
        <v>385</v>
      </c>
      <c r="D490" s="176" t="s">
        <v>386</v>
      </c>
      <c r="E490" s="177" t="s">
        <v>1140</v>
      </c>
      <c r="F490" s="175">
        <f t="shared" si="21"/>
        <v>11</v>
      </c>
      <c r="G490" s="175" t="str">
        <f t="shared" si="22"/>
        <v>Mansfield</v>
      </c>
      <c r="H490" s="175" t="str">
        <f t="shared" si="23"/>
        <v>Mansfield, OH</v>
      </c>
      <c r="I490" s="178" t="s">
        <v>1141</v>
      </c>
      <c r="J490" s="27" t="s">
        <v>386</v>
      </c>
      <c r="K490" s="27">
        <v>666</v>
      </c>
      <c r="L490" s="179">
        <v>6258</v>
      </c>
      <c r="M490" s="180" t="s">
        <v>389</v>
      </c>
      <c r="N490" s="181" t="s">
        <v>386</v>
      </c>
      <c r="O490" s="182" t="s">
        <v>390</v>
      </c>
    </row>
    <row r="491" spans="1:15" ht="12">
      <c r="A491" s="148"/>
      <c r="B491" s="174" t="s">
        <v>1142</v>
      </c>
      <c r="C491" s="175" t="s">
        <v>385</v>
      </c>
      <c r="D491" s="176" t="s">
        <v>386</v>
      </c>
      <c r="E491" s="177" t="s">
        <v>1140</v>
      </c>
      <c r="F491" s="175">
        <f t="shared" si="21"/>
        <v>11</v>
      </c>
      <c r="G491" s="175" t="str">
        <f t="shared" si="22"/>
        <v>Mansfield</v>
      </c>
      <c r="H491" s="175" t="str">
        <f t="shared" si="23"/>
        <v>Mansfield, OH</v>
      </c>
      <c r="I491" s="178" t="s">
        <v>1141</v>
      </c>
      <c r="J491" s="27" t="s">
        <v>386</v>
      </c>
      <c r="K491" s="27">
        <v>666</v>
      </c>
      <c r="L491" s="179">
        <v>6258</v>
      </c>
      <c r="M491" s="180" t="s">
        <v>389</v>
      </c>
      <c r="N491" s="181" t="s">
        <v>386</v>
      </c>
      <c r="O491" s="182" t="s">
        <v>390</v>
      </c>
    </row>
    <row r="492" spans="1:15" ht="12">
      <c r="A492" s="148"/>
      <c r="B492" s="174" t="s">
        <v>1143</v>
      </c>
      <c r="C492" s="175" t="s">
        <v>385</v>
      </c>
      <c r="D492" s="176" t="s">
        <v>386</v>
      </c>
      <c r="E492" s="177" t="s">
        <v>1144</v>
      </c>
      <c r="F492" s="175">
        <f t="shared" si="21"/>
        <v>8</v>
      </c>
      <c r="G492" s="175" t="str">
        <f t="shared" si="22"/>
        <v>Marion</v>
      </c>
      <c r="H492" s="175" t="str">
        <f t="shared" si="23"/>
        <v>Marion, OH</v>
      </c>
      <c r="I492" s="178" t="s">
        <v>1683</v>
      </c>
      <c r="J492" s="27" t="s">
        <v>386</v>
      </c>
      <c r="K492" s="27">
        <v>886</v>
      </c>
      <c r="L492" s="179">
        <v>5708</v>
      </c>
      <c r="M492" s="180" t="s">
        <v>1680</v>
      </c>
      <c r="N492" s="181" t="s">
        <v>386</v>
      </c>
      <c r="O492" s="182" t="s">
        <v>1681</v>
      </c>
    </row>
    <row r="493" spans="1:15" ht="12">
      <c r="A493" s="148"/>
      <c r="B493" s="174" t="s">
        <v>1145</v>
      </c>
      <c r="C493" s="175" t="s">
        <v>1606</v>
      </c>
      <c r="D493" s="176" t="s">
        <v>1519</v>
      </c>
      <c r="E493" s="177" t="s">
        <v>1146</v>
      </c>
      <c r="F493" s="175">
        <f t="shared" si="21"/>
        <v>13</v>
      </c>
      <c r="G493" s="175" t="str">
        <f t="shared" si="22"/>
        <v>Martinsburg</v>
      </c>
      <c r="H493" s="175" t="str">
        <f t="shared" si="23"/>
        <v>Martinsburg, WV</v>
      </c>
      <c r="I493" s="178" t="s">
        <v>1665</v>
      </c>
      <c r="J493" s="27" t="s">
        <v>428</v>
      </c>
      <c r="K493" s="27">
        <v>973</v>
      </c>
      <c r="L493" s="179">
        <v>5006</v>
      </c>
      <c r="M493" s="180" t="s">
        <v>429</v>
      </c>
      <c r="N493" s="181" t="s">
        <v>430</v>
      </c>
      <c r="O493" s="182" t="s">
        <v>431</v>
      </c>
    </row>
    <row r="494" spans="1:15" ht="12">
      <c r="A494" s="148"/>
      <c r="B494" s="174" t="s">
        <v>1147</v>
      </c>
      <c r="C494" s="175" t="s">
        <v>433</v>
      </c>
      <c r="D494" s="176" t="s">
        <v>434</v>
      </c>
      <c r="E494" s="177" t="s">
        <v>1148</v>
      </c>
      <c r="F494" s="175">
        <f t="shared" si="21"/>
        <v>12</v>
      </c>
      <c r="G494" s="175" t="str">
        <f t="shared" si="22"/>
        <v>Marysville</v>
      </c>
      <c r="H494" s="175" t="str">
        <f t="shared" si="23"/>
        <v>Marysville, CA</v>
      </c>
      <c r="I494" s="178" t="s">
        <v>631</v>
      </c>
      <c r="J494" s="27" t="s">
        <v>434</v>
      </c>
      <c r="K494" s="27">
        <v>1237</v>
      </c>
      <c r="L494" s="179">
        <v>2749</v>
      </c>
      <c r="M494" s="178" t="s">
        <v>632</v>
      </c>
      <c r="N494" s="27" t="s">
        <v>434</v>
      </c>
      <c r="O494" s="182" t="s">
        <v>633</v>
      </c>
    </row>
    <row r="495" spans="1:15" ht="12">
      <c r="A495" s="148"/>
      <c r="B495" s="174" t="s">
        <v>1149</v>
      </c>
      <c r="C495" s="175" t="s">
        <v>1322</v>
      </c>
      <c r="D495" s="176" t="s">
        <v>1323</v>
      </c>
      <c r="E495" s="177" t="s">
        <v>1150</v>
      </c>
      <c r="F495" s="175">
        <f t="shared" si="21"/>
        <v>12</v>
      </c>
      <c r="G495" s="175" t="str">
        <f t="shared" si="22"/>
        <v>Mason City</v>
      </c>
      <c r="H495" s="175" t="str">
        <f t="shared" si="23"/>
        <v>Mason City, IA</v>
      </c>
      <c r="I495" s="178" t="s">
        <v>2310</v>
      </c>
      <c r="J495" s="27" t="s">
        <v>1323</v>
      </c>
      <c r="K495" s="27">
        <v>702</v>
      </c>
      <c r="L495" s="179">
        <v>7406</v>
      </c>
      <c r="M495" s="180" t="s">
        <v>1326</v>
      </c>
      <c r="N495" s="181" t="s">
        <v>1323</v>
      </c>
      <c r="O495" s="182" t="s">
        <v>1327</v>
      </c>
    </row>
    <row r="496" spans="1:15" ht="12">
      <c r="A496" s="148"/>
      <c r="B496" s="174" t="s">
        <v>1151</v>
      </c>
      <c r="C496" s="175" t="s">
        <v>2343</v>
      </c>
      <c r="D496" s="176" t="s">
        <v>476</v>
      </c>
      <c r="E496" s="177" t="s">
        <v>1152</v>
      </c>
      <c r="F496" s="175">
        <f t="shared" si="21"/>
        <v>11</v>
      </c>
      <c r="G496" s="175" t="str">
        <f t="shared" si="22"/>
        <v>Mc_Kenzie</v>
      </c>
      <c r="H496" s="175" t="str">
        <f t="shared" si="23"/>
        <v>Mc_Kenzie, TN</v>
      </c>
      <c r="I496" s="178" t="s">
        <v>1512</v>
      </c>
      <c r="J496" s="27" t="s">
        <v>476</v>
      </c>
      <c r="K496" s="27">
        <v>1616</v>
      </c>
      <c r="L496" s="179">
        <v>3729</v>
      </c>
      <c r="M496" s="180" t="s">
        <v>1513</v>
      </c>
      <c r="N496" s="181" t="s">
        <v>476</v>
      </c>
      <c r="O496" s="182" t="s">
        <v>614</v>
      </c>
    </row>
    <row r="497" spans="1:15" ht="12">
      <c r="A497" s="148"/>
      <c r="B497" s="174" t="s">
        <v>1153</v>
      </c>
      <c r="C497" s="175" t="s">
        <v>500</v>
      </c>
      <c r="D497" s="176" t="s">
        <v>501</v>
      </c>
      <c r="E497" s="177" t="s">
        <v>1154</v>
      </c>
      <c r="F497" s="175">
        <f t="shared" si="21"/>
        <v>11</v>
      </c>
      <c r="G497" s="175" t="str">
        <f t="shared" si="22"/>
        <v>McAlester</v>
      </c>
      <c r="H497" s="175" t="str">
        <f t="shared" si="23"/>
        <v>McAlester, OK</v>
      </c>
      <c r="I497" s="178" t="s">
        <v>1955</v>
      </c>
      <c r="J497" s="27" t="s">
        <v>1579</v>
      </c>
      <c r="K497" s="27">
        <v>1894</v>
      </c>
      <c r="L497" s="179">
        <v>3478</v>
      </c>
      <c r="M497" s="178" t="s">
        <v>1956</v>
      </c>
      <c r="N497" s="27" t="s">
        <v>1579</v>
      </c>
      <c r="O497" s="182" t="s">
        <v>1957</v>
      </c>
    </row>
    <row r="498" spans="1:15" ht="12">
      <c r="A498" s="148"/>
      <c r="B498" s="174" t="s">
        <v>1119</v>
      </c>
      <c r="C498" s="175" t="s">
        <v>621</v>
      </c>
      <c r="D498" s="176" t="s">
        <v>1335</v>
      </c>
      <c r="E498" s="177" t="s">
        <v>1120</v>
      </c>
      <c r="F498" s="175">
        <f t="shared" si="21"/>
        <v>8</v>
      </c>
      <c r="G498" s="175" t="str">
        <f t="shared" si="22"/>
        <v>McComb</v>
      </c>
      <c r="H498" s="175" t="str">
        <f t="shared" si="23"/>
        <v>McComb, MS</v>
      </c>
      <c r="I498" s="178" t="s">
        <v>2063</v>
      </c>
      <c r="J498" s="27" t="s">
        <v>1335</v>
      </c>
      <c r="K498" s="27">
        <v>2215</v>
      </c>
      <c r="L498" s="179">
        <v>2467</v>
      </c>
      <c r="M498" s="180" t="s">
        <v>1336</v>
      </c>
      <c r="N498" s="181" t="s">
        <v>1335</v>
      </c>
      <c r="O498" s="182" t="s">
        <v>1337</v>
      </c>
    </row>
    <row r="499" spans="1:15" ht="12">
      <c r="A499" s="148"/>
      <c r="B499" s="174" t="s">
        <v>1121</v>
      </c>
      <c r="C499" s="175" t="s">
        <v>447</v>
      </c>
      <c r="D499" s="176" t="s">
        <v>448</v>
      </c>
      <c r="E499" s="177" t="s">
        <v>1122</v>
      </c>
      <c r="F499" s="175">
        <f t="shared" si="21"/>
        <v>8</v>
      </c>
      <c r="G499" s="175" t="str">
        <f t="shared" si="22"/>
        <v>McCook</v>
      </c>
      <c r="H499" s="175" t="str">
        <f t="shared" si="23"/>
        <v>McCook, NE</v>
      </c>
      <c r="I499" s="178" t="s">
        <v>1498</v>
      </c>
      <c r="J499" s="27" t="s">
        <v>1496</v>
      </c>
      <c r="K499" s="27">
        <v>859</v>
      </c>
      <c r="L499" s="179">
        <v>5974</v>
      </c>
      <c r="M499" s="180" t="s">
        <v>1499</v>
      </c>
      <c r="N499" s="181" t="s">
        <v>1496</v>
      </c>
      <c r="O499" s="182" t="s">
        <v>1500</v>
      </c>
    </row>
    <row r="500" spans="1:15" ht="12">
      <c r="A500" s="148"/>
      <c r="B500" s="174" t="s">
        <v>1123</v>
      </c>
      <c r="C500" s="175" t="s">
        <v>1622</v>
      </c>
      <c r="D500" s="176" t="s">
        <v>1623</v>
      </c>
      <c r="E500" s="177" t="s">
        <v>1124</v>
      </c>
      <c r="F500" s="175">
        <f t="shared" si="21"/>
        <v>9</v>
      </c>
      <c r="G500" s="175" t="str">
        <f t="shared" si="22"/>
        <v>Medford</v>
      </c>
      <c r="H500" s="175" t="str">
        <f t="shared" si="23"/>
        <v>Medford, OR</v>
      </c>
      <c r="I500" s="178" t="s">
        <v>926</v>
      </c>
      <c r="J500" s="27" t="s">
        <v>1623</v>
      </c>
      <c r="K500" s="27">
        <v>725</v>
      </c>
      <c r="L500" s="179">
        <v>4611</v>
      </c>
      <c r="M500" s="180" t="s">
        <v>539</v>
      </c>
      <c r="N500" s="181" t="s">
        <v>1623</v>
      </c>
      <c r="O500" s="182" t="s">
        <v>540</v>
      </c>
    </row>
    <row r="501" spans="1:15" ht="12">
      <c r="A501" s="148"/>
      <c r="B501" s="174" t="s">
        <v>1125</v>
      </c>
      <c r="C501" s="175" t="s">
        <v>661</v>
      </c>
      <c r="D501" s="176" t="s">
        <v>662</v>
      </c>
      <c r="E501" s="177" t="s">
        <v>1126</v>
      </c>
      <c r="F501" s="175">
        <f t="shared" si="21"/>
        <v>11</v>
      </c>
      <c r="G501" s="175" t="str">
        <f t="shared" si="22"/>
        <v>Melbourne</v>
      </c>
      <c r="H501" s="175" t="str">
        <f t="shared" si="23"/>
        <v>Melbourne, FL</v>
      </c>
      <c r="I501" s="178" t="s">
        <v>1127</v>
      </c>
      <c r="J501" s="27" t="s">
        <v>662</v>
      </c>
      <c r="K501" s="27">
        <v>3278</v>
      </c>
      <c r="L501" s="179">
        <v>548</v>
      </c>
      <c r="M501" s="178" t="s">
        <v>1128</v>
      </c>
      <c r="N501" s="27" t="s">
        <v>662</v>
      </c>
      <c r="O501" s="182" t="s">
        <v>1129</v>
      </c>
    </row>
    <row r="502" spans="1:15" ht="12">
      <c r="A502" s="148"/>
      <c r="B502" s="174" t="s">
        <v>1130</v>
      </c>
      <c r="C502" s="175" t="s">
        <v>2343</v>
      </c>
      <c r="D502" s="176" t="s">
        <v>476</v>
      </c>
      <c r="E502" s="177" t="s">
        <v>1131</v>
      </c>
      <c r="F502" s="175">
        <f t="shared" si="21"/>
        <v>9</v>
      </c>
      <c r="G502" s="175" t="str">
        <f t="shared" si="22"/>
        <v>Memphis</v>
      </c>
      <c r="H502" s="175" t="str">
        <f t="shared" si="23"/>
        <v>Memphis, TN</v>
      </c>
      <c r="I502" s="178" t="s">
        <v>1132</v>
      </c>
      <c r="J502" s="27" t="s">
        <v>476</v>
      </c>
      <c r="K502" s="27">
        <v>2118</v>
      </c>
      <c r="L502" s="179">
        <v>3082</v>
      </c>
      <c r="M502" s="180" t="s">
        <v>1133</v>
      </c>
      <c r="N502" s="181" t="s">
        <v>476</v>
      </c>
      <c r="O502" s="182" t="s">
        <v>1199</v>
      </c>
    </row>
    <row r="503" spans="1:15" ht="12">
      <c r="A503" s="148"/>
      <c r="B503" s="174" t="s">
        <v>1200</v>
      </c>
      <c r="C503" s="175" t="s">
        <v>2343</v>
      </c>
      <c r="D503" s="176" t="s">
        <v>476</v>
      </c>
      <c r="E503" s="177" t="s">
        <v>1131</v>
      </c>
      <c r="F503" s="175">
        <f t="shared" si="21"/>
        <v>9</v>
      </c>
      <c r="G503" s="175" t="str">
        <f t="shared" si="22"/>
        <v>Memphis</v>
      </c>
      <c r="H503" s="175" t="str">
        <f t="shared" si="23"/>
        <v>Memphis, TN</v>
      </c>
      <c r="I503" s="178" t="s">
        <v>1132</v>
      </c>
      <c r="J503" s="27" t="s">
        <v>476</v>
      </c>
      <c r="K503" s="27">
        <v>2118</v>
      </c>
      <c r="L503" s="179">
        <v>3082</v>
      </c>
      <c r="M503" s="180" t="s">
        <v>1133</v>
      </c>
      <c r="N503" s="181" t="s">
        <v>476</v>
      </c>
      <c r="O503" s="182" t="s">
        <v>1199</v>
      </c>
    </row>
    <row r="504" spans="1:15" ht="12">
      <c r="A504" s="148"/>
      <c r="B504" s="174" t="s">
        <v>1201</v>
      </c>
      <c r="C504" s="175" t="s">
        <v>433</v>
      </c>
      <c r="D504" s="176" t="s">
        <v>434</v>
      </c>
      <c r="E504" s="177" t="s">
        <v>1202</v>
      </c>
      <c r="F504" s="175">
        <f t="shared" si="21"/>
        <v>8</v>
      </c>
      <c r="G504" s="175" t="str">
        <f t="shared" si="22"/>
        <v>Merced</v>
      </c>
      <c r="H504" s="175" t="str">
        <f t="shared" si="23"/>
        <v>Merced, CA</v>
      </c>
      <c r="I504" s="178" t="s">
        <v>631</v>
      </c>
      <c r="J504" s="27" t="s">
        <v>434</v>
      </c>
      <c r="K504" s="27">
        <v>1237</v>
      </c>
      <c r="L504" s="179">
        <v>2749</v>
      </c>
      <c r="M504" s="178" t="s">
        <v>632</v>
      </c>
      <c r="N504" s="27" t="s">
        <v>434</v>
      </c>
      <c r="O504" s="182" t="s">
        <v>633</v>
      </c>
    </row>
    <row r="505" spans="1:15" ht="12">
      <c r="A505" s="148"/>
      <c r="B505" s="174" t="s">
        <v>1203</v>
      </c>
      <c r="C505" s="175" t="s">
        <v>621</v>
      </c>
      <c r="D505" s="176" t="s">
        <v>1335</v>
      </c>
      <c r="E505" s="177" t="s">
        <v>147</v>
      </c>
      <c r="F505" s="175">
        <f t="shared" si="21"/>
        <v>10</v>
      </c>
      <c r="G505" s="175" t="str">
        <f t="shared" si="22"/>
        <v>Meridian</v>
      </c>
      <c r="H505" s="175" t="str">
        <f t="shared" si="23"/>
        <v>Meridian, MS</v>
      </c>
      <c r="I505" s="178" t="s">
        <v>1334</v>
      </c>
      <c r="J505" s="27" t="s">
        <v>1335</v>
      </c>
      <c r="K505" s="27">
        <v>2138</v>
      </c>
      <c r="L505" s="179">
        <v>2444</v>
      </c>
      <c r="M505" s="180" t="s">
        <v>1336</v>
      </c>
      <c r="N505" s="181" t="s">
        <v>1335</v>
      </c>
      <c r="O505" s="182" t="s">
        <v>1337</v>
      </c>
    </row>
    <row r="506" spans="1:15" ht="12">
      <c r="A506" s="148"/>
      <c r="B506" s="174" t="s">
        <v>148</v>
      </c>
      <c r="C506" s="175" t="s">
        <v>661</v>
      </c>
      <c r="D506" s="176" t="s">
        <v>662</v>
      </c>
      <c r="E506" s="177" t="s">
        <v>149</v>
      </c>
      <c r="F506" s="175">
        <f t="shared" si="21"/>
        <v>7</v>
      </c>
      <c r="G506" s="175" t="str">
        <f t="shared" si="22"/>
        <v>Miami</v>
      </c>
      <c r="H506" s="175" t="str">
        <f t="shared" si="23"/>
        <v>Miami, FL</v>
      </c>
      <c r="I506" s="178" t="s">
        <v>150</v>
      </c>
      <c r="J506" s="27" t="s">
        <v>662</v>
      </c>
      <c r="K506" s="27">
        <v>4798</v>
      </c>
      <c r="L506" s="179">
        <v>100</v>
      </c>
      <c r="M506" s="180" t="s">
        <v>1942</v>
      </c>
      <c r="N506" s="181" t="s">
        <v>662</v>
      </c>
      <c r="O506" s="182" t="s">
        <v>1943</v>
      </c>
    </row>
    <row r="507" spans="1:15" ht="12">
      <c r="A507" s="148"/>
      <c r="B507" s="174" t="s">
        <v>151</v>
      </c>
      <c r="C507" s="175" t="s">
        <v>661</v>
      </c>
      <c r="D507" s="176" t="s">
        <v>662</v>
      </c>
      <c r="E507" s="177" t="s">
        <v>149</v>
      </c>
      <c r="F507" s="175">
        <f t="shared" si="21"/>
        <v>7</v>
      </c>
      <c r="G507" s="175" t="str">
        <f t="shared" si="22"/>
        <v>Miami</v>
      </c>
      <c r="H507" s="175" t="str">
        <f t="shared" si="23"/>
        <v>Miami, FL</v>
      </c>
      <c r="I507" s="178" t="s">
        <v>1941</v>
      </c>
      <c r="J507" s="27" t="s">
        <v>662</v>
      </c>
      <c r="K507" s="27">
        <v>4198</v>
      </c>
      <c r="L507" s="179">
        <v>200</v>
      </c>
      <c r="M507" s="180" t="s">
        <v>1942</v>
      </c>
      <c r="N507" s="181" t="s">
        <v>662</v>
      </c>
      <c r="O507" s="182" t="s">
        <v>1943</v>
      </c>
    </row>
    <row r="508" spans="1:15" ht="12">
      <c r="A508" s="148"/>
      <c r="B508" s="174" t="s">
        <v>152</v>
      </c>
      <c r="C508" s="175" t="s">
        <v>661</v>
      </c>
      <c r="D508" s="176" t="s">
        <v>662</v>
      </c>
      <c r="E508" s="177" t="s">
        <v>149</v>
      </c>
      <c r="F508" s="175">
        <f t="shared" si="21"/>
        <v>7</v>
      </c>
      <c r="G508" s="175" t="str">
        <f t="shared" si="22"/>
        <v>Miami</v>
      </c>
      <c r="H508" s="175" t="str">
        <f t="shared" si="23"/>
        <v>Miami, FL</v>
      </c>
      <c r="I508" s="178" t="s">
        <v>1941</v>
      </c>
      <c r="J508" s="27" t="s">
        <v>662</v>
      </c>
      <c r="K508" s="27">
        <v>4198</v>
      </c>
      <c r="L508" s="179">
        <v>200</v>
      </c>
      <c r="M508" s="180" t="s">
        <v>1942</v>
      </c>
      <c r="N508" s="181" t="s">
        <v>662</v>
      </c>
      <c r="O508" s="182" t="s">
        <v>1943</v>
      </c>
    </row>
    <row r="509" spans="1:15" ht="12">
      <c r="A509" s="148"/>
      <c r="B509" s="174" t="s">
        <v>153</v>
      </c>
      <c r="C509" s="175" t="s">
        <v>516</v>
      </c>
      <c r="D509" s="176" t="s">
        <v>517</v>
      </c>
      <c r="E509" s="177" t="s">
        <v>154</v>
      </c>
      <c r="F509" s="175">
        <f t="shared" si="21"/>
        <v>13</v>
      </c>
      <c r="G509" s="175" t="str">
        <f t="shared" si="22"/>
        <v>Middlesboro</v>
      </c>
      <c r="H509" s="175" t="str">
        <f t="shared" si="23"/>
        <v>Middlesboro, KY</v>
      </c>
      <c r="I509" s="178" t="s">
        <v>510</v>
      </c>
      <c r="J509" s="27" t="s">
        <v>476</v>
      </c>
      <c r="K509" s="27">
        <v>972</v>
      </c>
      <c r="L509" s="179">
        <v>4406</v>
      </c>
      <c r="M509" s="180" t="s">
        <v>477</v>
      </c>
      <c r="N509" s="181" t="s">
        <v>476</v>
      </c>
      <c r="O509" s="182" t="s">
        <v>478</v>
      </c>
    </row>
    <row r="510" spans="1:15" ht="12">
      <c r="A510" s="148"/>
      <c r="B510" s="174" t="s">
        <v>155</v>
      </c>
      <c r="C510" s="175" t="s">
        <v>254</v>
      </c>
      <c r="D510" s="176" t="s">
        <v>255</v>
      </c>
      <c r="E510" s="177" t="s">
        <v>156</v>
      </c>
      <c r="F510" s="175">
        <f t="shared" si="21"/>
        <v>9</v>
      </c>
      <c r="G510" s="175" t="str">
        <f t="shared" si="22"/>
        <v>Midland</v>
      </c>
      <c r="H510" s="175" t="str">
        <f t="shared" si="23"/>
        <v>Midland, TX</v>
      </c>
      <c r="I510" s="178" t="s">
        <v>53</v>
      </c>
      <c r="J510" s="27" t="s">
        <v>255</v>
      </c>
      <c r="K510" s="27">
        <v>2094</v>
      </c>
      <c r="L510" s="179">
        <v>2708</v>
      </c>
      <c r="M510" s="180" t="s">
        <v>157</v>
      </c>
      <c r="N510" s="181" t="s">
        <v>255</v>
      </c>
      <c r="O510" s="182" t="s">
        <v>158</v>
      </c>
    </row>
    <row r="511" spans="1:15" ht="12">
      <c r="A511" s="148"/>
      <c r="B511" s="174" t="s">
        <v>159</v>
      </c>
      <c r="C511" s="175" t="s">
        <v>1415</v>
      </c>
      <c r="D511" s="176" t="s">
        <v>1416</v>
      </c>
      <c r="E511" s="177" t="s">
        <v>160</v>
      </c>
      <c r="F511" s="175">
        <f t="shared" si="21"/>
        <v>12</v>
      </c>
      <c r="G511" s="175" t="str">
        <f t="shared" si="22"/>
        <v>Miles City</v>
      </c>
      <c r="H511" s="175" t="str">
        <f t="shared" si="23"/>
        <v>Miles City, MT</v>
      </c>
      <c r="I511" s="178" t="s">
        <v>161</v>
      </c>
      <c r="J511" s="27" t="s">
        <v>1416</v>
      </c>
      <c r="K511" s="27">
        <v>558</v>
      </c>
      <c r="L511" s="179">
        <v>8745</v>
      </c>
      <c r="M511" s="180" t="s">
        <v>2037</v>
      </c>
      <c r="N511" s="181" t="s">
        <v>1416</v>
      </c>
      <c r="O511" s="182" t="s">
        <v>2038</v>
      </c>
    </row>
    <row r="512" spans="1:15" ht="12">
      <c r="A512" s="148"/>
      <c r="B512" s="174" t="s">
        <v>162</v>
      </c>
      <c r="C512" s="175" t="s">
        <v>42</v>
      </c>
      <c r="D512" s="176" t="s">
        <v>1691</v>
      </c>
      <c r="E512" s="177" t="s">
        <v>163</v>
      </c>
      <c r="F512" s="175">
        <f t="shared" si="21"/>
        <v>11</v>
      </c>
      <c r="G512" s="175" t="str">
        <f t="shared" si="22"/>
        <v>Milwaukee</v>
      </c>
      <c r="H512" s="175" t="str">
        <f t="shared" si="23"/>
        <v>Milwaukee, WI</v>
      </c>
      <c r="I512" s="178" t="s">
        <v>935</v>
      </c>
      <c r="J512" s="27" t="s">
        <v>1691</v>
      </c>
      <c r="K512" s="27">
        <v>485</v>
      </c>
      <c r="L512" s="179">
        <v>7673</v>
      </c>
      <c r="M512" s="180" t="s">
        <v>164</v>
      </c>
      <c r="N512" s="181" t="s">
        <v>1691</v>
      </c>
      <c r="O512" s="182" t="s">
        <v>165</v>
      </c>
    </row>
    <row r="513" spans="1:15" ht="12">
      <c r="A513" s="148"/>
      <c r="B513" s="174" t="s">
        <v>166</v>
      </c>
      <c r="C513" s="175" t="s">
        <v>42</v>
      </c>
      <c r="D513" s="176" t="s">
        <v>1691</v>
      </c>
      <c r="E513" s="177" t="s">
        <v>163</v>
      </c>
      <c r="F513" s="175">
        <f t="shared" si="21"/>
        <v>11</v>
      </c>
      <c r="G513" s="175" t="str">
        <f t="shared" si="22"/>
        <v>Milwaukee</v>
      </c>
      <c r="H513" s="175" t="str">
        <f t="shared" si="23"/>
        <v>Milwaukee, WI</v>
      </c>
      <c r="I513" s="178" t="s">
        <v>935</v>
      </c>
      <c r="J513" s="27" t="s">
        <v>1691</v>
      </c>
      <c r="K513" s="27">
        <v>485</v>
      </c>
      <c r="L513" s="179">
        <v>7673</v>
      </c>
      <c r="M513" s="180" t="s">
        <v>164</v>
      </c>
      <c r="N513" s="181" t="s">
        <v>1691</v>
      </c>
      <c r="O513" s="182" t="s">
        <v>165</v>
      </c>
    </row>
    <row r="514" spans="1:15" ht="12">
      <c r="A514" s="148"/>
      <c r="B514" s="174" t="s">
        <v>167</v>
      </c>
      <c r="C514" s="175" t="s">
        <v>42</v>
      </c>
      <c r="D514" s="176" t="s">
        <v>1691</v>
      </c>
      <c r="E514" s="177" t="s">
        <v>163</v>
      </c>
      <c r="F514" s="175">
        <f t="shared" si="21"/>
        <v>11</v>
      </c>
      <c r="G514" s="175" t="str">
        <f t="shared" si="22"/>
        <v>Milwaukee</v>
      </c>
      <c r="H514" s="175" t="str">
        <f t="shared" si="23"/>
        <v>Milwaukee, WI</v>
      </c>
      <c r="I514" s="178" t="s">
        <v>168</v>
      </c>
      <c r="J514" s="27" t="s">
        <v>1691</v>
      </c>
      <c r="K514" s="27">
        <v>479</v>
      </c>
      <c r="L514" s="179">
        <v>7324</v>
      </c>
      <c r="M514" s="180" t="s">
        <v>164</v>
      </c>
      <c r="N514" s="181" t="s">
        <v>1691</v>
      </c>
      <c r="O514" s="182" t="s">
        <v>165</v>
      </c>
    </row>
    <row r="515" spans="1:15" ht="12">
      <c r="A515" s="148"/>
      <c r="B515" s="174" t="s">
        <v>169</v>
      </c>
      <c r="C515" s="175" t="s">
        <v>42</v>
      </c>
      <c r="D515" s="176" t="s">
        <v>1691</v>
      </c>
      <c r="E515" s="177" t="s">
        <v>163</v>
      </c>
      <c r="F515" s="175">
        <f t="shared" si="21"/>
        <v>11</v>
      </c>
      <c r="G515" s="175" t="str">
        <f t="shared" si="22"/>
        <v>Milwaukee</v>
      </c>
      <c r="H515" s="175" t="str">
        <f t="shared" si="23"/>
        <v>Milwaukee, WI</v>
      </c>
      <c r="I515" s="178" t="s">
        <v>168</v>
      </c>
      <c r="J515" s="27" t="s">
        <v>1691</v>
      </c>
      <c r="K515" s="27">
        <v>479</v>
      </c>
      <c r="L515" s="179">
        <v>7324</v>
      </c>
      <c r="M515" s="180" t="s">
        <v>164</v>
      </c>
      <c r="N515" s="181" t="s">
        <v>1691</v>
      </c>
      <c r="O515" s="182" t="s">
        <v>165</v>
      </c>
    </row>
    <row r="516" spans="1:15" ht="12">
      <c r="A516" s="148"/>
      <c r="B516" s="174" t="s">
        <v>170</v>
      </c>
      <c r="C516" s="175" t="s">
        <v>1615</v>
      </c>
      <c r="D516" s="176" t="s">
        <v>1616</v>
      </c>
      <c r="E516" s="177" t="s">
        <v>171</v>
      </c>
      <c r="F516" s="175">
        <f t="shared" si="21"/>
        <v>13</v>
      </c>
      <c r="G516" s="175" t="str">
        <f t="shared" si="22"/>
        <v>Minneapolis</v>
      </c>
      <c r="H516" s="175" t="str">
        <f t="shared" si="23"/>
        <v>Minneapolis, MN</v>
      </c>
      <c r="I516" s="178" t="s">
        <v>44</v>
      </c>
      <c r="J516" s="27" t="s">
        <v>1616</v>
      </c>
      <c r="K516" s="27">
        <v>682</v>
      </c>
      <c r="L516" s="179">
        <v>7981</v>
      </c>
      <c r="M516" s="178" t="s">
        <v>675</v>
      </c>
      <c r="N516" s="27" t="s">
        <v>1616</v>
      </c>
      <c r="O516" s="182" t="s">
        <v>676</v>
      </c>
    </row>
    <row r="517" spans="1:15" ht="12">
      <c r="A517" s="148"/>
      <c r="B517" s="174" t="s">
        <v>172</v>
      </c>
      <c r="C517" s="175" t="s">
        <v>1615</v>
      </c>
      <c r="D517" s="176" t="s">
        <v>1616</v>
      </c>
      <c r="E517" s="177" t="s">
        <v>171</v>
      </c>
      <c r="F517" s="175">
        <f t="shared" si="21"/>
        <v>13</v>
      </c>
      <c r="G517" s="175" t="str">
        <f t="shared" si="22"/>
        <v>Minneapolis</v>
      </c>
      <c r="H517" s="175" t="str">
        <f t="shared" si="23"/>
        <v>Minneapolis, MN</v>
      </c>
      <c r="I517" s="178" t="s">
        <v>44</v>
      </c>
      <c r="J517" s="27" t="s">
        <v>1616</v>
      </c>
      <c r="K517" s="27">
        <v>682</v>
      </c>
      <c r="L517" s="179">
        <v>7981</v>
      </c>
      <c r="M517" s="178" t="s">
        <v>675</v>
      </c>
      <c r="N517" s="27" t="s">
        <v>1616</v>
      </c>
      <c r="O517" s="182" t="s">
        <v>676</v>
      </c>
    </row>
    <row r="518" spans="1:15" ht="12">
      <c r="A518" s="148"/>
      <c r="B518" s="174" t="s">
        <v>173</v>
      </c>
      <c r="C518" s="175" t="s">
        <v>407</v>
      </c>
      <c r="D518" s="176" t="s">
        <v>408</v>
      </c>
      <c r="E518" s="177" t="s">
        <v>174</v>
      </c>
      <c r="F518" s="175">
        <f t="shared" ref="F518:F581" si="24">LEN(E518)</f>
        <v>10</v>
      </c>
      <c r="G518" s="175" t="str">
        <f t="shared" ref="G518:G581" si="25">MID(E518,2,F518-2)</f>
        <v>Minneola</v>
      </c>
      <c r="H518" s="175" t="str">
        <f t="shared" ref="H518:H581" si="26">CONCATENATE(G518,", ",+D518)</f>
        <v>Minneola, NY</v>
      </c>
      <c r="I518" s="178" t="s">
        <v>1936</v>
      </c>
      <c r="J518" s="27" t="s">
        <v>408</v>
      </c>
      <c r="K518" s="27">
        <v>921</v>
      </c>
      <c r="L518" s="179">
        <v>5027</v>
      </c>
      <c r="M518" s="180" t="s">
        <v>2266</v>
      </c>
      <c r="N518" s="181" t="s">
        <v>408</v>
      </c>
      <c r="O518" s="182" t="s">
        <v>1287</v>
      </c>
    </row>
    <row r="519" spans="1:15" ht="12">
      <c r="A519" s="148"/>
      <c r="B519" s="174" t="s">
        <v>175</v>
      </c>
      <c r="C519" s="175" t="s">
        <v>1434</v>
      </c>
      <c r="D519" s="176" t="s">
        <v>251</v>
      </c>
      <c r="E519" s="177" t="s">
        <v>176</v>
      </c>
      <c r="F519" s="175">
        <f t="shared" si="24"/>
        <v>7</v>
      </c>
      <c r="G519" s="175" t="str">
        <f t="shared" si="25"/>
        <v>Minot</v>
      </c>
      <c r="H519" s="175" t="str">
        <f t="shared" si="26"/>
        <v>Minot, ND</v>
      </c>
      <c r="I519" s="178" t="s">
        <v>177</v>
      </c>
      <c r="J519" s="27" t="s">
        <v>251</v>
      </c>
      <c r="K519" s="27">
        <v>548</v>
      </c>
      <c r="L519" s="179">
        <v>9090</v>
      </c>
      <c r="M519" s="180" t="s">
        <v>1633</v>
      </c>
      <c r="N519" s="181" t="s">
        <v>251</v>
      </c>
      <c r="O519" s="182" t="s">
        <v>1634</v>
      </c>
    </row>
    <row r="520" spans="1:15" ht="12">
      <c r="A520" s="148"/>
      <c r="B520" s="174" t="s">
        <v>178</v>
      </c>
      <c r="C520" s="175" t="s">
        <v>1415</v>
      </c>
      <c r="D520" s="176" t="s">
        <v>1416</v>
      </c>
      <c r="E520" s="177" t="s">
        <v>179</v>
      </c>
      <c r="F520" s="175">
        <f t="shared" si="24"/>
        <v>10</v>
      </c>
      <c r="G520" s="175" t="str">
        <f t="shared" si="25"/>
        <v>Missoula</v>
      </c>
      <c r="H520" s="175" t="str">
        <f t="shared" si="26"/>
        <v>Missoula, MT</v>
      </c>
      <c r="I520" s="178" t="s">
        <v>1344</v>
      </c>
      <c r="J520" s="27" t="s">
        <v>1416</v>
      </c>
      <c r="K520" s="27">
        <v>280</v>
      </c>
      <c r="L520" s="179">
        <v>7792</v>
      </c>
      <c r="M520" s="180" t="s">
        <v>1345</v>
      </c>
      <c r="N520" s="181" t="s">
        <v>1416</v>
      </c>
      <c r="O520" s="182" t="s">
        <v>1346</v>
      </c>
    </row>
    <row r="521" spans="1:15" ht="12">
      <c r="A521" s="148"/>
      <c r="B521" s="174" t="s">
        <v>180</v>
      </c>
      <c r="C521" s="175" t="s">
        <v>246</v>
      </c>
      <c r="D521" s="176" t="s">
        <v>247</v>
      </c>
      <c r="E521" s="177" t="s">
        <v>181</v>
      </c>
      <c r="F521" s="175">
        <f t="shared" si="24"/>
        <v>10</v>
      </c>
      <c r="G521" s="175" t="str">
        <f t="shared" si="25"/>
        <v>Mitchell</v>
      </c>
      <c r="H521" s="175" t="str">
        <f t="shared" si="26"/>
        <v>Mitchell, SD</v>
      </c>
      <c r="I521" s="178" t="s">
        <v>450</v>
      </c>
      <c r="J521" s="27" t="s">
        <v>247</v>
      </c>
      <c r="K521" s="27">
        <v>611</v>
      </c>
      <c r="L521" s="179">
        <v>7301</v>
      </c>
      <c r="M521" s="180" t="s">
        <v>451</v>
      </c>
      <c r="N521" s="181" t="s">
        <v>247</v>
      </c>
      <c r="O521" s="182" t="s">
        <v>452</v>
      </c>
    </row>
    <row r="522" spans="1:15" ht="12">
      <c r="A522" s="148"/>
      <c r="B522" s="174" t="s">
        <v>182</v>
      </c>
      <c r="C522" s="175" t="s">
        <v>493</v>
      </c>
      <c r="D522" s="176" t="s">
        <v>494</v>
      </c>
      <c r="E522" s="177" t="s">
        <v>183</v>
      </c>
      <c r="F522" s="175">
        <f t="shared" si="24"/>
        <v>8</v>
      </c>
      <c r="G522" s="175" t="str">
        <f t="shared" si="25"/>
        <v>Mobile</v>
      </c>
      <c r="H522" s="175" t="str">
        <f t="shared" si="26"/>
        <v>Mobile, AL</v>
      </c>
      <c r="I522" s="178" t="s">
        <v>752</v>
      </c>
      <c r="J522" s="27" t="s">
        <v>494</v>
      </c>
      <c r="K522" s="27">
        <v>2627</v>
      </c>
      <c r="L522" s="179">
        <v>1702</v>
      </c>
      <c r="M522" s="180" t="s">
        <v>753</v>
      </c>
      <c r="N522" s="181" t="s">
        <v>494</v>
      </c>
      <c r="O522" s="182" t="s">
        <v>754</v>
      </c>
    </row>
    <row r="523" spans="1:15" ht="12">
      <c r="A523" s="148"/>
      <c r="B523" s="174" t="s">
        <v>184</v>
      </c>
      <c r="C523" s="175" t="s">
        <v>493</v>
      </c>
      <c r="D523" s="176" t="s">
        <v>494</v>
      </c>
      <c r="E523" s="177" t="s">
        <v>183</v>
      </c>
      <c r="F523" s="175">
        <f t="shared" si="24"/>
        <v>8</v>
      </c>
      <c r="G523" s="175" t="str">
        <f t="shared" si="25"/>
        <v>Mobile</v>
      </c>
      <c r="H523" s="175" t="str">
        <f t="shared" si="26"/>
        <v>Mobile, AL</v>
      </c>
      <c r="I523" s="178" t="s">
        <v>752</v>
      </c>
      <c r="J523" s="27" t="s">
        <v>494</v>
      </c>
      <c r="K523" s="27">
        <v>2627</v>
      </c>
      <c r="L523" s="179">
        <v>1702</v>
      </c>
      <c r="M523" s="180" t="s">
        <v>753</v>
      </c>
      <c r="N523" s="181" t="s">
        <v>494</v>
      </c>
      <c r="O523" s="182" t="s">
        <v>754</v>
      </c>
    </row>
    <row r="524" spans="1:15" ht="12">
      <c r="A524" s="148"/>
      <c r="B524" s="174" t="s">
        <v>185</v>
      </c>
      <c r="C524" s="175" t="s">
        <v>246</v>
      </c>
      <c r="D524" s="176" t="s">
        <v>247</v>
      </c>
      <c r="E524" s="177" t="s">
        <v>186</v>
      </c>
      <c r="F524" s="175">
        <f t="shared" si="24"/>
        <v>10</v>
      </c>
      <c r="G524" s="175" t="str">
        <f t="shared" si="25"/>
        <v>Mobridge</v>
      </c>
      <c r="H524" s="175" t="str">
        <f t="shared" si="26"/>
        <v>Mobridge, SD</v>
      </c>
      <c r="I524" s="178" t="s">
        <v>1632</v>
      </c>
      <c r="J524" s="27" t="s">
        <v>251</v>
      </c>
      <c r="K524" s="27">
        <v>488</v>
      </c>
      <c r="L524" s="179">
        <v>8968</v>
      </c>
      <c r="M524" s="180" t="s">
        <v>1633</v>
      </c>
      <c r="N524" s="181" t="s">
        <v>251</v>
      </c>
      <c r="O524" s="182" t="s">
        <v>1634</v>
      </c>
    </row>
    <row r="525" spans="1:15" ht="12">
      <c r="A525" s="148"/>
      <c r="B525" s="174" t="s">
        <v>187</v>
      </c>
      <c r="C525" s="175" t="s">
        <v>281</v>
      </c>
      <c r="D525" s="176" t="s">
        <v>282</v>
      </c>
      <c r="E525" s="177" t="s">
        <v>188</v>
      </c>
      <c r="F525" s="175">
        <f t="shared" si="24"/>
        <v>8</v>
      </c>
      <c r="G525" s="175" t="str">
        <f t="shared" si="25"/>
        <v>Monroe</v>
      </c>
      <c r="H525" s="175" t="str">
        <f t="shared" si="26"/>
        <v>Monroe, LA</v>
      </c>
      <c r="I525" s="178" t="s">
        <v>2063</v>
      </c>
      <c r="J525" s="27" t="s">
        <v>1335</v>
      </c>
      <c r="K525" s="27">
        <v>2215</v>
      </c>
      <c r="L525" s="179">
        <v>2467</v>
      </c>
      <c r="M525" s="180" t="s">
        <v>1336</v>
      </c>
      <c r="N525" s="181" t="s">
        <v>1335</v>
      </c>
      <c r="O525" s="182" t="s">
        <v>1337</v>
      </c>
    </row>
    <row r="526" spans="1:15" ht="12">
      <c r="A526" s="148"/>
      <c r="B526" s="174" t="s">
        <v>189</v>
      </c>
      <c r="C526" s="175" t="s">
        <v>433</v>
      </c>
      <c r="D526" s="176" t="s">
        <v>434</v>
      </c>
      <c r="E526" s="177" t="s">
        <v>190</v>
      </c>
      <c r="F526" s="175">
        <f t="shared" si="24"/>
        <v>10</v>
      </c>
      <c r="G526" s="175" t="str">
        <f t="shared" si="25"/>
        <v>Monterey</v>
      </c>
      <c r="H526" s="175" t="str">
        <f t="shared" si="26"/>
        <v>Monterey, CA</v>
      </c>
      <c r="I526" s="178" t="s">
        <v>191</v>
      </c>
      <c r="J526" s="27" t="s">
        <v>434</v>
      </c>
      <c r="K526" s="27">
        <v>65</v>
      </c>
      <c r="L526" s="179">
        <v>3005</v>
      </c>
      <c r="M526" s="178" t="s">
        <v>192</v>
      </c>
      <c r="N526" s="27" t="s">
        <v>434</v>
      </c>
      <c r="O526" s="182" t="s">
        <v>193</v>
      </c>
    </row>
    <row r="527" spans="1:15" ht="12">
      <c r="A527" s="148"/>
      <c r="B527" s="174" t="s">
        <v>194</v>
      </c>
      <c r="C527" s="175" t="s">
        <v>493</v>
      </c>
      <c r="D527" s="176" t="s">
        <v>494</v>
      </c>
      <c r="E527" s="177" t="s">
        <v>195</v>
      </c>
      <c r="F527" s="175">
        <f t="shared" si="24"/>
        <v>12</v>
      </c>
      <c r="G527" s="175" t="str">
        <f t="shared" si="25"/>
        <v>Montgomery</v>
      </c>
      <c r="H527" s="175" t="str">
        <f t="shared" si="26"/>
        <v>Montgomery, AL</v>
      </c>
      <c r="I527" s="178" t="s">
        <v>403</v>
      </c>
      <c r="J527" s="27" t="s">
        <v>401</v>
      </c>
      <c r="K527" s="27">
        <v>2284</v>
      </c>
      <c r="L527" s="179">
        <v>2261</v>
      </c>
      <c r="M527" s="178" t="s">
        <v>1721</v>
      </c>
      <c r="N527" s="27" t="s">
        <v>494</v>
      </c>
      <c r="O527" s="187" t="s">
        <v>1722</v>
      </c>
    </row>
    <row r="528" spans="1:15" ht="12">
      <c r="A528" s="148"/>
      <c r="B528" s="174" t="s">
        <v>196</v>
      </c>
      <c r="C528" s="175" t="s">
        <v>493</v>
      </c>
      <c r="D528" s="176" t="s">
        <v>494</v>
      </c>
      <c r="E528" s="177" t="s">
        <v>195</v>
      </c>
      <c r="F528" s="175">
        <f t="shared" si="24"/>
        <v>12</v>
      </c>
      <c r="G528" s="175" t="str">
        <f t="shared" si="25"/>
        <v>Montgomery</v>
      </c>
      <c r="H528" s="175" t="str">
        <f t="shared" si="26"/>
        <v>Montgomery, AL</v>
      </c>
      <c r="I528" s="178" t="s">
        <v>1720</v>
      </c>
      <c r="J528" s="27" t="s">
        <v>494</v>
      </c>
      <c r="K528" s="27">
        <v>2212</v>
      </c>
      <c r="L528" s="179">
        <v>2224</v>
      </c>
      <c r="M528" s="178" t="s">
        <v>1721</v>
      </c>
      <c r="N528" s="27" t="s">
        <v>494</v>
      </c>
      <c r="O528" s="187" t="s">
        <v>1722</v>
      </c>
    </row>
    <row r="529" spans="1:15" ht="12">
      <c r="A529" s="148"/>
      <c r="B529" s="174" t="s">
        <v>1069</v>
      </c>
      <c r="C529" s="175" t="s">
        <v>407</v>
      </c>
      <c r="D529" s="176" t="s">
        <v>408</v>
      </c>
      <c r="E529" s="177" t="s">
        <v>1070</v>
      </c>
      <c r="F529" s="175">
        <f t="shared" si="24"/>
        <v>12</v>
      </c>
      <c r="G529" s="175" t="str">
        <f t="shared" si="25"/>
        <v>Monticello</v>
      </c>
      <c r="H529" s="175" t="str">
        <f t="shared" si="26"/>
        <v>Monticello, NY</v>
      </c>
      <c r="I529" s="178" t="s">
        <v>1426</v>
      </c>
      <c r="J529" s="27" t="s">
        <v>408</v>
      </c>
      <c r="K529" s="27">
        <v>337</v>
      </c>
      <c r="L529" s="179">
        <v>7273</v>
      </c>
      <c r="M529" s="180" t="s">
        <v>1427</v>
      </c>
      <c r="N529" s="181" t="s">
        <v>441</v>
      </c>
      <c r="O529" s="182" t="s">
        <v>1428</v>
      </c>
    </row>
    <row r="530" spans="1:15" ht="12">
      <c r="A530" s="148"/>
      <c r="B530" s="186" t="s">
        <v>1071</v>
      </c>
      <c r="C530" s="175" t="s">
        <v>1611</v>
      </c>
      <c r="D530" s="176" t="s">
        <v>1612</v>
      </c>
      <c r="E530" s="177" t="s">
        <v>1072</v>
      </c>
      <c r="F530" s="175">
        <f t="shared" si="24"/>
        <v>12</v>
      </c>
      <c r="G530" s="175" t="str">
        <f t="shared" si="25"/>
        <v>Montpelier</v>
      </c>
      <c r="H530" s="175" t="str">
        <f t="shared" si="26"/>
        <v>Montpelier, VT</v>
      </c>
      <c r="I530" s="178" t="s">
        <v>1329</v>
      </c>
      <c r="J530" s="27" t="s">
        <v>1612</v>
      </c>
      <c r="K530" s="27">
        <v>388</v>
      </c>
      <c r="L530" s="179">
        <v>7771</v>
      </c>
      <c r="M530" s="180" t="s">
        <v>1330</v>
      </c>
      <c r="N530" s="181" t="s">
        <v>1612</v>
      </c>
      <c r="O530" s="182" t="s">
        <v>1331</v>
      </c>
    </row>
    <row r="531" spans="1:15" ht="12">
      <c r="A531" s="148"/>
      <c r="B531" s="174" t="s">
        <v>1073</v>
      </c>
      <c r="C531" s="175" t="s">
        <v>393</v>
      </c>
      <c r="D531" s="176" t="s">
        <v>394</v>
      </c>
      <c r="E531" s="177" t="s">
        <v>1074</v>
      </c>
      <c r="F531" s="175">
        <f t="shared" si="24"/>
        <v>10</v>
      </c>
      <c r="G531" s="175" t="str">
        <f t="shared" si="25"/>
        <v>Montrose</v>
      </c>
      <c r="H531" s="175" t="str">
        <f t="shared" si="26"/>
        <v>Montrose, CO</v>
      </c>
      <c r="I531" s="178" t="s">
        <v>1743</v>
      </c>
      <c r="J531" s="27" t="s">
        <v>394</v>
      </c>
      <c r="K531" s="27">
        <v>1183</v>
      </c>
      <c r="L531" s="179">
        <v>5548</v>
      </c>
      <c r="M531" s="178" t="s">
        <v>1744</v>
      </c>
      <c r="N531" s="27" t="s">
        <v>394</v>
      </c>
      <c r="O531" s="182" t="s">
        <v>1745</v>
      </c>
    </row>
    <row r="532" spans="1:15" ht="12">
      <c r="A532" s="148"/>
      <c r="B532" s="174" t="s">
        <v>1075</v>
      </c>
      <c r="C532" s="175" t="s">
        <v>440</v>
      </c>
      <c r="D532" s="176" t="s">
        <v>441</v>
      </c>
      <c r="E532" s="177" t="s">
        <v>1074</v>
      </c>
      <c r="F532" s="175">
        <f t="shared" si="24"/>
        <v>10</v>
      </c>
      <c r="G532" s="175" t="str">
        <f t="shared" si="25"/>
        <v>Montrose</v>
      </c>
      <c r="H532" s="175" t="str">
        <f t="shared" si="26"/>
        <v>Montrose, PA</v>
      </c>
      <c r="I532" s="178" t="s">
        <v>1426</v>
      </c>
      <c r="J532" s="27" t="s">
        <v>408</v>
      </c>
      <c r="K532" s="27">
        <v>337</v>
      </c>
      <c r="L532" s="179">
        <v>7273</v>
      </c>
      <c r="M532" s="180" t="s">
        <v>1427</v>
      </c>
      <c r="N532" s="181" t="s">
        <v>441</v>
      </c>
      <c r="O532" s="182" t="s">
        <v>1428</v>
      </c>
    </row>
    <row r="533" spans="1:15" ht="12">
      <c r="A533" s="148"/>
      <c r="B533" s="174" t="s">
        <v>1076</v>
      </c>
      <c r="C533" s="175" t="s">
        <v>1606</v>
      </c>
      <c r="D533" s="176" t="s">
        <v>1519</v>
      </c>
      <c r="E533" s="177" t="s">
        <v>1077</v>
      </c>
      <c r="F533" s="175">
        <f t="shared" si="24"/>
        <v>12</v>
      </c>
      <c r="G533" s="175" t="str">
        <f t="shared" si="25"/>
        <v>Morgantown</v>
      </c>
      <c r="H533" s="175" t="str">
        <f t="shared" si="26"/>
        <v>Morgantown, WV</v>
      </c>
      <c r="I533" s="178" t="s">
        <v>455</v>
      </c>
      <c r="J533" s="27" t="s">
        <v>441</v>
      </c>
      <c r="K533" s="27">
        <v>654</v>
      </c>
      <c r="L533" s="179">
        <v>5968</v>
      </c>
      <c r="M533" s="180" t="s">
        <v>456</v>
      </c>
      <c r="N533" s="181" t="s">
        <v>441</v>
      </c>
      <c r="O533" s="182" t="s">
        <v>457</v>
      </c>
    </row>
    <row r="534" spans="1:15" ht="12">
      <c r="A534" s="148"/>
      <c r="B534" s="174" t="s">
        <v>1078</v>
      </c>
      <c r="C534" s="175" t="s">
        <v>2269</v>
      </c>
      <c r="D534" s="176" t="s">
        <v>2270</v>
      </c>
      <c r="E534" s="177" t="s">
        <v>1079</v>
      </c>
      <c r="F534" s="175">
        <f t="shared" si="24"/>
        <v>8</v>
      </c>
      <c r="G534" s="175" t="str">
        <f t="shared" si="25"/>
        <v>Muncie</v>
      </c>
      <c r="H534" s="175" t="str">
        <f t="shared" si="26"/>
        <v>Muncie, IN</v>
      </c>
      <c r="I534" s="178" t="s">
        <v>1683</v>
      </c>
      <c r="J534" s="27" t="s">
        <v>386</v>
      </c>
      <c r="K534" s="27">
        <v>886</v>
      </c>
      <c r="L534" s="179">
        <v>5708</v>
      </c>
      <c r="M534" s="180" t="s">
        <v>1680</v>
      </c>
      <c r="N534" s="181" t="s">
        <v>386</v>
      </c>
      <c r="O534" s="182" t="s">
        <v>1681</v>
      </c>
    </row>
    <row r="535" spans="1:15" ht="12">
      <c r="A535" s="148"/>
      <c r="B535" s="174" t="s">
        <v>1080</v>
      </c>
      <c r="C535" s="175" t="s">
        <v>480</v>
      </c>
      <c r="D535" s="176" t="s">
        <v>481</v>
      </c>
      <c r="E535" s="177" t="s">
        <v>1081</v>
      </c>
      <c r="F535" s="175">
        <f t="shared" si="24"/>
        <v>10</v>
      </c>
      <c r="G535" s="175" t="str">
        <f t="shared" si="25"/>
        <v>Muskegon</v>
      </c>
      <c r="H535" s="175" t="str">
        <f t="shared" si="26"/>
        <v>Muskegon, MI</v>
      </c>
      <c r="I535" s="178" t="s">
        <v>2029</v>
      </c>
      <c r="J535" s="27" t="s">
        <v>481</v>
      </c>
      <c r="K535" s="27">
        <v>431</v>
      </c>
      <c r="L535" s="179">
        <v>6924</v>
      </c>
      <c r="M535" s="180" t="s">
        <v>2030</v>
      </c>
      <c r="N535" s="181" t="s">
        <v>481</v>
      </c>
      <c r="O535" s="182" t="s">
        <v>2031</v>
      </c>
    </row>
    <row r="536" spans="1:15" ht="12">
      <c r="A536" s="148"/>
      <c r="B536" s="174" t="s">
        <v>1082</v>
      </c>
      <c r="C536" s="175" t="s">
        <v>500</v>
      </c>
      <c r="D536" s="176" t="s">
        <v>501</v>
      </c>
      <c r="E536" s="177" t="s">
        <v>1083</v>
      </c>
      <c r="F536" s="175">
        <f t="shared" si="24"/>
        <v>10</v>
      </c>
      <c r="G536" s="175" t="str">
        <f t="shared" si="25"/>
        <v>Muskogee</v>
      </c>
      <c r="H536" s="175" t="str">
        <f t="shared" si="26"/>
        <v>Muskogee, OK</v>
      </c>
      <c r="I536" s="178" t="s">
        <v>1955</v>
      </c>
      <c r="J536" s="27" t="s">
        <v>1579</v>
      </c>
      <c r="K536" s="27">
        <v>1894</v>
      </c>
      <c r="L536" s="179">
        <v>3478</v>
      </c>
      <c r="M536" s="178" t="s">
        <v>1956</v>
      </c>
      <c r="N536" s="27" t="s">
        <v>1579</v>
      </c>
      <c r="O536" s="182" t="s">
        <v>1957</v>
      </c>
    </row>
    <row r="537" spans="1:15" ht="12">
      <c r="A537" s="148"/>
      <c r="B537" s="174" t="s">
        <v>1084</v>
      </c>
      <c r="C537" s="175" t="s">
        <v>385</v>
      </c>
      <c r="D537" s="176" t="s">
        <v>386</v>
      </c>
      <c r="E537" s="177" t="s">
        <v>1085</v>
      </c>
      <c r="F537" s="175">
        <f t="shared" si="24"/>
        <v>10</v>
      </c>
      <c r="G537" s="175" t="str">
        <f t="shared" si="25"/>
        <v>Napoleon</v>
      </c>
      <c r="H537" s="175" t="str">
        <f t="shared" si="26"/>
        <v>Napoleon, OH</v>
      </c>
      <c r="I537" s="178" t="s">
        <v>1964</v>
      </c>
      <c r="J537" s="27" t="s">
        <v>2270</v>
      </c>
      <c r="K537" s="27">
        <v>824</v>
      </c>
      <c r="L537" s="179">
        <v>6273</v>
      </c>
      <c r="M537" s="178" t="s">
        <v>1961</v>
      </c>
      <c r="N537" s="27" t="s">
        <v>2270</v>
      </c>
      <c r="O537" s="182" t="s">
        <v>1962</v>
      </c>
    </row>
    <row r="538" spans="1:15" ht="12">
      <c r="A538" s="148"/>
      <c r="B538" s="174" t="s">
        <v>1086</v>
      </c>
      <c r="C538" s="175" t="s">
        <v>2343</v>
      </c>
      <c r="D538" s="176" t="s">
        <v>476</v>
      </c>
      <c r="E538" s="177" t="s">
        <v>1087</v>
      </c>
      <c r="F538" s="175">
        <f t="shared" si="24"/>
        <v>11</v>
      </c>
      <c r="G538" s="175" t="str">
        <f t="shared" si="25"/>
        <v>Nashville</v>
      </c>
      <c r="H538" s="175" t="str">
        <f t="shared" si="26"/>
        <v>Nashville, TN</v>
      </c>
      <c r="I538" s="178" t="s">
        <v>1512</v>
      </c>
      <c r="J538" s="27" t="s">
        <v>476</v>
      </c>
      <c r="K538" s="27">
        <v>1616</v>
      </c>
      <c r="L538" s="179">
        <v>3729</v>
      </c>
      <c r="M538" s="180" t="s">
        <v>1513</v>
      </c>
      <c r="N538" s="181" t="s">
        <v>476</v>
      </c>
      <c r="O538" s="182" t="s">
        <v>614</v>
      </c>
    </row>
    <row r="539" spans="1:15" ht="12">
      <c r="A539" s="148"/>
      <c r="B539" s="174" t="s">
        <v>1088</v>
      </c>
      <c r="C539" s="175" t="s">
        <v>2343</v>
      </c>
      <c r="D539" s="176" t="s">
        <v>476</v>
      </c>
      <c r="E539" s="177" t="s">
        <v>1087</v>
      </c>
      <c r="F539" s="175">
        <f t="shared" si="24"/>
        <v>11</v>
      </c>
      <c r="G539" s="175" t="str">
        <f t="shared" si="25"/>
        <v>Nashville</v>
      </c>
      <c r="H539" s="175" t="str">
        <f t="shared" si="26"/>
        <v>Nashville, TN</v>
      </c>
      <c r="I539" s="178" t="s">
        <v>1512</v>
      </c>
      <c r="J539" s="27" t="s">
        <v>476</v>
      </c>
      <c r="K539" s="27">
        <v>1616</v>
      </c>
      <c r="L539" s="179">
        <v>3729</v>
      </c>
      <c r="M539" s="180" t="s">
        <v>1513</v>
      </c>
      <c r="N539" s="181" t="s">
        <v>476</v>
      </c>
      <c r="O539" s="182" t="s">
        <v>614</v>
      </c>
    </row>
    <row r="540" spans="1:15" ht="12">
      <c r="A540" s="148"/>
      <c r="B540" s="174" t="s">
        <v>1089</v>
      </c>
      <c r="C540" s="175" t="s">
        <v>2343</v>
      </c>
      <c r="D540" s="176" t="s">
        <v>476</v>
      </c>
      <c r="E540" s="177" t="s">
        <v>1087</v>
      </c>
      <c r="F540" s="175">
        <f t="shared" si="24"/>
        <v>11</v>
      </c>
      <c r="G540" s="175" t="str">
        <f t="shared" si="25"/>
        <v>Nashville</v>
      </c>
      <c r="H540" s="175" t="str">
        <f t="shared" si="26"/>
        <v>Nashville, TN</v>
      </c>
      <c r="I540" s="178" t="s">
        <v>1512</v>
      </c>
      <c r="J540" s="27" t="s">
        <v>476</v>
      </c>
      <c r="K540" s="27">
        <v>1616</v>
      </c>
      <c r="L540" s="179">
        <v>3729</v>
      </c>
      <c r="M540" s="180" t="s">
        <v>1513</v>
      </c>
      <c r="N540" s="181" t="s">
        <v>476</v>
      </c>
      <c r="O540" s="182" t="s">
        <v>614</v>
      </c>
    </row>
    <row r="541" spans="1:15" ht="12">
      <c r="A541" s="148"/>
      <c r="B541" s="174" t="s">
        <v>1090</v>
      </c>
      <c r="C541" s="175" t="s">
        <v>2269</v>
      </c>
      <c r="D541" s="176" t="s">
        <v>2270</v>
      </c>
      <c r="E541" s="177" t="s">
        <v>1091</v>
      </c>
      <c r="F541" s="175">
        <f t="shared" si="24"/>
        <v>12</v>
      </c>
      <c r="G541" s="175" t="str">
        <f t="shared" si="25"/>
        <v>New Albany</v>
      </c>
      <c r="H541" s="175" t="str">
        <f t="shared" si="26"/>
        <v>New Albany, IN</v>
      </c>
      <c r="I541" s="178" t="s">
        <v>653</v>
      </c>
      <c r="J541" s="27" t="s">
        <v>517</v>
      </c>
      <c r="K541" s="27">
        <v>1288</v>
      </c>
      <c r="L541" s="179">
        <v>4514</v>
      </c>
      <c r="M541" s="180" t="s">
        <v>654</v>
      </c>
      <c r="N541" s="181" t="s">
        <v>517</v>
      </c>
      <c r="O541" s="182" t="s">
        <v>655</v>
      </c>
    </row>
    <row r="542" spans="1:15" ht="12">
      <c r="A542" s="148"/>
      <c r="B542" s="186" t="s">
        <v>1092</v>
      </c>
      <c r="C542" s="175" t="s">
        <v>2288</v>
      </c>
      <c r="D542" s="176" t="s">
        <v>2289</v>
      </c>
      <c r="E542" s="177" t="s">
        <v>1093</v>
      </c>
      <c r="F542" s="175">
        <f t="shared" si="24"/>
        <v>13</v>
      </c>
      <c r="G542" s="175" t="str">
        <f t="shared" si="25"/>
        <v>New Bedford</v>
      </c>
      <c r="H542" s="175" t="str">
        <f t="shared" si="26"/>
        <v>New Bedford, MA</v>
      </c>
      <c r="I542" s="178" t="s">
        <v>2258</v>
      </c>
      <c r="J542" s="27" t="s">
        <v>2259</v>
      </c>
      <c r="K542" s="27">
        <v>606</v>
      </c>
      <c r="L542" s="179">
        <v>5884</v>
      </c>
      <c r="M542" s="180" t="s">
        <v>2260</v>
      </c>
      <c r="N542" s="181" t="s">
        <v>2259</v>
      </c>
      <c r="O542" s="182" t="s">
        <v>2261</v>
      </c>
    </row>
    <row r="543" spans="1:15" ht="12">
      <c r="A543" s="148"/>
      <c r="B543" s="186" t="s">
        <v>1094</v>
      </c>
      <c r="C543" s="175" t="s">
        <v>1537</v>
      </c>
      <c r="D543" s="176" t="s">
        <v>1538</v>
      </c>
      <c r="E543" s="177" t="s">
        <v>1095</v>
      </c>
      <c r="F543" s="175">
        <f t="shared" si="24"/>
        <v>15</v>
      </c>
      <c r="G543" s="175" t="str">
        <f t="shared" si="25"/>
        <v>New Brunswick</v>
      </c>
      <c r="H543" s="175" t="str">
        <f t="shared" si="26"/>
        <v>New Brunswick, NJ</v>
      </c>
      <c r="I543" s="178" t="s">
        <v>61</v>
      </c>
      <c r="J543" s="27" t="s">
        <v>1538</v>
      </c>
      <c r="K543" s="27">
        <v>1201</v>
      </c>
      <c r="L543" s="179">
        <v>4888</v>
      </c>
      <c r="M543" s="180" t="s">
        <v>62</v>
      </c>
      <c r="N543" s="181" t="s">
        <v>1538</v>
      </c>
      <c r="O543" s="182" t="s">
        <v>63</v>
      </c>
    </row>
    <row r="544" spans="1:15" ht="12">
      <c r="A544" s="148"/>
      <c r="B544" s="186" t="s">
        <v>1096</v>
      </c>
      <c r="C544" s="175" t="s">
        <v>1537</v>
      </c>
      <c r="D544" s="176" t="s">
        <v>1538</v>
      </c>
      <c r="E544" s="177" t="s">
        <v>1095</v>
      </c>
      <c r="F544" s="175">
        <f t="shared" si="24"/>
        <v>15</v>
      </c>
      <c r="G544" s="175" t="str">
        <f t="shared" si="25"/>
        <v>New Brunswick</v>
      </c>
      <c r="H544" s="175" t="str">
        <f t="shared" si="26"/>
        <v>New Brunswick, NJ</v>
      </c>
      <c r="I544" s="178" t="s">
        <v>61</v>
      </c>
      <c r="J544" s="27" t="s">
        <v>1538</v>
      </c>
      <c r="K544" s="27">
        <v>1201</v>
      </c>
      <c r="L544" s="179">
        <v>4888</v>
      </c>
      <c r="M544" s="180" t="s">
        <v>62</v>
      </c>
      <c r="N544" s="181" t="s">
        <v>1538</v>
      </c>
      <c r="O544" s="182" t="s">
        <v>63</v>
      </c>
    </row>
    <row r="545" spans="1:15" ht="12">
      <c r="A545" s="148"/>
      <c r="B545" s="174" t="s">
        <v>1097</v>
      </c>
      <c r="C545" s="175" t="s">
        <v>440</v>
      </c>
      <c r="D545" s="176" t="s">
        <v>441</v>
      </c>
      <c r="E545" s="177" t="s">
        <v>1098</v>
      </c>
      <c r="F545" s="175">
        <f t="shared" si="24"/>
        <v>12</v>
      </c>
      <c r="G545" s="175" t="str">
        <f t="shared" si="25"/>
        <v>New Castle</v>
      </c>
      <c r="H545" s="175" t="str">
        <f t="shared" si="26"/>
        <v>New Castle, PA</v>
      </c>
      <c r="I545" s="178" t="s">
        <v>455</v>
      </c>
      <c r="J545" s="27" t="s">
        <v>441</v>
      </c>
      <c r="K545" s="27">
        <v>654</v>
      </c>
      <c r="L545" s="179">
        <v>5968</v>
      </c>
      <c r="M545" s="180" t="s">
        <v>456</v>
      </c>
      <c r="N545" s="181" t="s">
        <v>441</v>
      </c>
      <c r="O545" s="182" t="s">
        <v>457</v>
      </c>
    </row>
    <row r="546" spans="1:15" ht="12">
      <c r="A546" s="148"/>
      <c r="B546" s="186" t="s">
        <v>1099</v>
      </c>
      <c r="C546" s="175" t="s">
        <v>680</v>
      </c>
      <c r="D546" s="176" t="s">
        <v>681</v>
      </c>
      <c r="E546" s="177" t="s">
        <v>1100</v>
      </c>
      <c r="F546" s="175">
        <f t="shared" si="24"/>
        <v>11</v>
      </c>
      <c r="G546" s="175" t="str">
        <f t="shared" si="25"/>
        <v>New Haven</v>
      </c>
      <c r="H546" s="175" t="str">
        <f t="shared" si="26"/>
        <v>New Haven, CT</v>
      </c>
      <c r="I546" s="178" t="s">
        <v>747</v>
      </c>
      <c r="J546" s="27" t="s">
        <v>681</v>
      </c>
      <c r="K546" s="27">
        <v>677</v>
      </c>
      <c r="L546" s="179">
        <v>6151</v>
      </c>
      <c r="M546" s="178" t="s">
        <v>744</v>
      </c>
      <c r="N546" s="27" t="s">
        <v>681</v>
      </c>
      <c r="O546" s="182" t="s">
        <v>745</v>
      </c>
    </row>
    <row r="547" spans="1:15" ht="12">
      <c r="A547" s="148"/>
      <c r="B547" s="186" t="s">
        <v>1101</v>
      </c>
      <c r="C547" s="175" t="s">
        <v>680</v>
      </c>
      <c r="D547" s="176" t="s">
        <v>681</v>
      </c>
      <c r="E547" s="177" t="s">
        <v>1100</v>
      </c>
      <c r="F547" s="175">
        <f t="shared" si="24"/>
        <v>11</v>
      </c>
      <c r="G547" s="175" t="str">
        <f t="shared" si="25"/>
        <v>New Haven</v>
      </c>
      <c r="H547" s="175" t="str">
        <f t="shared" si="26"/>
        <v>New Haven, CT</v>
      </c>
      <c r="I547" s="178" t="s">
        <v>747</v>
      </c>
      <c r="J547" s="27" t="s">
        <v>681</v>
      </c>
      <c r="K547" s="27">
        <v>677</v>
      </c>
      <c r="L547" s="179">
        <v>6151</v>
      </c>
      <c r="M547" s="178" t="s">
        <v>744</v>
      </c>
      <c r="N547" s="27" t="s">
        <v>681</v>
      </c>
      <c r="O547" s="182" t="s">
        <v>745</v>
      </c>
    </row>
    <row r="548" spans="1:15" ht="12">
      <c r="A548" s="148"/>
      <c r="B548" s="186" t="s">
        <v>1102</v>
      </c>
      <c r="C548" s="175" t="s">
        <v>680</v>
      </c>
      <c r="D548" s="176" t="s">
        <v>681</v>
      </c>
      <c r="E548" s="177" t="s">
        <v>1103</v>
      </c>
      <c r="F548" s="175">
        <f t="shared" si="24"/>
        <v>12</v>
      </c>
      <c r="G548" s="175" t="str">
        <f t="shared" si="25"/>
        <v>New London</v>
      </c>
      <c r="H548" s="175" t="str">
        <f t="shared" si="26"/>
        <v>New London, CT</v>
      </c>
      <c r="I548" s="178" t="s">
        <v>2258</v>
      </c>
      <c r="J548" s="27" t="s">
        <v>2259</v>
      </c>
      <c r="K548" s="27">
        <v>606</v>
      </c>
      <c r="L548" s="179">
        <v>5884</v>
      </c>
      <c r="M548" s="180" t="s">
        <v>2260</v>
      </c>
      <c r="N548" s="181" t="s">
        <v>2259</v>
      </c>
      <c r="O548" s="182" t="s">
        <v>2261</v>
      </c>
    </row>
    <row r="549" spans="1:15" ht="12">
      <c r="A549" s="148"/>
      <c r="B549" s="174" t="s">
        <v>1104</v>
      </c>
      <c r="C549" s="175" t="s">
        <v>281</v>
      </c>
      <c r="D549" s="176" t="s">
        <v>282</v>
      </c>
      <c r="E549" s="177" t="s">
        <v>1105</v>
      </c>
      <c r="F549" s="175">
        <f t="shared" si="24"/>
        <v>13</v>
      </c>
      <c r="G549" s="175" t="str">
        <f t="shared" si="25"/>
        <v>New Orleans</v>
      </c>
      <c r="H549" s="175" t="str">
        <f t="shared" si="26"/>
        <v>New Orleans, LA</v>
      </c>
      <c r="I549" s="178" t="s">
        <v>2072</v>
      </c>
      <c r="J549" s="27" t="s">
        <v>282</v>
      </c>
      <c r="K549" s="27">
        <v>2655</v>
      </c>
      <c r="L549" s="179">
        <v>1513</v>
      </c>
      <c r="M549" s="180" t="s">
        <v>2073</v>
      </c>
      <c r="N549" s="181" t="s">
        <v>282</v>
      </c>
      <c r="O549" s="182" t="s">
        <v>2074</v>
      </c>
    </row>
    <row r="550" spans="1:15" ht="12">
      <c r="A550" s="148"/>
      <c r="B550" s="174" t="s">
        <v>1106</v>
      </c>
      <c r="C550" s="175" t="s">
        <v>281</v>
      </c>
      <c r="D550" s="176" t="s">
        <v>282</v>
      </c>
      <c r="E550" s="177" t="s">
        <v>1105</v>
      </c>
      <c r="F550" s="175">
        <f t="shared" si="24"/>
        <v>13</v>
      </c>
      <c r="G550" s="175" t="str">
        <f t="shared" si="25"/>
        <v>New Orleans</v>
      </c>
      <c r="H550" s="175" t="str">
        <f t="shared" si="26"/>
        <v>New Orleans, LA</v>
      </c>
      <c r="I550" s="178" t="s">
        <v>2072</v>
      </c>
      <c r="J550" s="27" t="s">
        <v>282</v>
      </c>
      <c r="K550" s="27">
        <v>2655</v>
      </c>
      <c r="L550" s="179">
        <v>1513</v>
      </c>
      <c r="M550" s="180" t="s">
        <v>2073</v>
      </c>
      <c r="N550" s="181" t="s">
        <v>282</v>
      </c>
      <c r="O550" s="182" t="s">
        <v>2074</v>
      </c>
    </row>
    <row r="551" spans="1:15" ht="12">
      <c r="A551" s="148"/>
      <c r="B551" s="174" t="s">
        <v>1107</v>
      </c>
      <c r="C551" s="175" t="s">
        <v>407</v>
      </c>
      <c r="D551" s="176" t="s">
        <v>408</v>
      </c>
      <c r="E551" s="177" t="s">
        <v>1108</v>
      </c>
      <c r="F551" s="175">
        <f t="shared" si="24"/>
        <v>14</v>
      </c>
      <c r="G551" s="175" t="str">
        <f t="shared" si="25"/>
        <v>New Rochelle</v>
      </c>
      <c r="H551" s="175" t="str">
        <f t="shared" si="26"/>
        <v>New Rochelle, NY</v>
      </c>
      <c r="I551" s="178" t="s">
        <v>2265</v>
      </c>
      <c r="J551" s="27" t="s">
        <v>408</v>
      </c>
      <c r="K551" s="27">
        <v>1052</v>
      </c>
      <c r="L551" s="179">
        <v>4910</v>
      </c>
      <c r="M551" s="180" t="s">
        <v>2266</v>
      </c>
      <c r="N551" s="181" t="s">
        <v>408</v>
      </c>
      <c r="O551" s="182" t="s">
        <v>1287</v>
      </c>
    </row>
    <row r="552" spans="1:15" ht="12">
      <c r="A552" s="148"/>
      <c r="B552" s="174" t="s">
        <v>1109</v>
      </c>
      <c r="C552" s="175" t="s">
        <v>407</v>
      </c>
      <c r="D552" s="176" t="s">
        <v>408</v>
      </c>
      <c r="E552" s="177" t="s">
        <v>1110</v>
      </c>
      <c r="F552" s="175">
        <f t="shared" si="24"/>
        <v>10</v>
      </c>
      <c r="G552" s="175" t="str">
        <f t="shared" si="25"/>
        <v>New York</v>
      </c>
      <c r="H552" s="175" t="str">
        <f t="shared" si="26"/>
        <v>New York, NY</v>
      </c>
      <c r="I552" s="178" t="s">
        <v>1111</v>
      </c>
      <c r="J552" s="27" t="s">
        <v>408</v>
      </c>
      <c r="K552" s="27">
        <v>1096</v>
      </c>
      <c r="L552" s="179">
        <v>4805</v>
      </c>
      <c r="M552" s="180" t="s">
        <v>2266</v>
      </c>
      <c r="N552" s="181" t="s">
        <v>408</v>
      </c>
      <c r="O552" s="182" t="s">
        <v>1287</v>
      </c>
    </row>
    <row r="553" spans="1:15" ht="12">
      <c r="A553" s="148"/>
      <c r="B553" s="174" t="s">
        <v>1112</v>
      </c>
      <c r="C553" s="175" t="s">
        <v>407</v>
      </c>
      <c r="D553" s="176" t="s">
        <v>408</v>
      </c>
      <c r="E553" s="177" t="s">
        <v>1110</v>
      </c>
      <c r="F553" s="175">
        <f t="shared" si="24"/>
        <v>10</v>
      </c>
      <c r="G553" s="175" t="str">
        <f t="shared" si="25"/>
        <v>New York</v>
      </c>
      <c r="H553" s="175" t="str">
        <f t="shared" si="26"/>
        <v>New York, NY</v>
      </c>
      <c r="I553" s="178" t="s">
        <v>1111</v>
      </c>
      <c r="J553" s="27" t="s">
        <v>408</v>
      </c>
      <c r="K553" s="27">
        <v>1096</v>
      </c>
      <c r="L553" s="179">
        <v>4805</v>
      </c>
      <c r="M553" s="180" t="s">
        <v>2266</v>
      </c>
      <c r="N553" s="181" t="s">
        <v>408</v>
      </c>
      <c r="O553" s="182" t="s">
        <v>1287</v>
      </c>
    </row>
    <row r="554" spans="1:15" ht="12">
      <c r="A554" s="148"/>
      <c r="B554" s="174" t="s">
        <v>1113</v>
      </c>
      <c r="C554" s="175" t="s">
        <v>407</v>
      </c>
      <c r="D554" s="176" t="s">
        <v>408</v>
      </c>
      <c r="E554" s="177" t="s">
        <v>1110</v>
      </c>
      <c r="F554" s="175">
        <f t="shared" si="24"/>
        <v>10</v>
      </c>
      <c r="G554" s="175" t="str">
        <f t="shared" si="25"/>
        <v>New York</v>
      </c>
      <c r="H554" s="175" t="str">
        <f t="shared" si="26"/>
        <v>New York, NY</v>
      </c>
      <c r="I554" s="178" t="s">
        <v>1111</v>
      </c>
      <c r="J554" s="27" t="s">
        <v>408</v>
      </c>
      <c r="K554" s="27">
        <v>1096</v>
      </c>
      <c r="L554" s="179">
        <v>4805</v>
      </c>
      <c r="M554" s="180" t="s">
        <v>2266</v>
      </c>
      <c r="N554" s="181" t="s">
        <v>408</v>
      </c>
      <c r="O554" s="182" t="s">
        <v>1287</v>
      </c>
    </row>
    <row r="555" spans="1:15" ht="12">
      <c r="A555" s="148"/>
      <c r="B555" s="186" t="s">
        <v>1114</v>
      </c>
      <c r="C555" s="175" t="s">
        <v>1537</v>
      </c>
      <c r="D555" s="176" t="s">
        <v>1538</v>
      </c>
      <c r="E555" s="177" t="s">
        <v>1115</v>
      </c>
      <c r="F555" s="175">
        <f t="shared" si="24"/>
        <v>8</v>
      </c>
      <c r="G555" s="175" t="str">
        <f t="shared" si="25"/>
        <v>Newark</v>
      </c>
      <c r="H555" s="175" t="str">
        <f t="shared" si="26"/>
        <v>Newark, NJ</v>
      </c>
      <c r="I555" s="178" t="s">
        <v>2265</v>
      </c>
      <c r="J555" s="27" t="s">
        <v>408</v>
      </c>
      <c r="K555" s="27">
        <v>1052</v>
      </c>
      <c r="L555" s="179">
        <v>4910</v>
      </c>
      <c r="M555" s="180" t="s">
        <v>62</v>
      </c>
      <c r="N555" s="181" t="s">
        <v>1538</v>
      </c>
      <c r="O555" s="182" t="s">
        <v>63</v>
      </c>
    </row>
    <row r="556" spans="1:15" ht="12">
      <c r="A556" s="148"/>
      <c r="B556" s="186" t="s">
        <v>1116</v>
      </c>
      <c r="C556" s="175" t="s">
        <v>1537</v>
      </c>
      <c r="D556" s="176" t="s">
        <v>1538</v>
      </c>
      <c r="E556" s="177" t="s">
        <v>1115</v>
      </c>
      <c r="F556" s="175">
        <f t="shared" si="24"/>
        <v>8</v>
      </c>
      <c r="G556" s="175" t="str">
        <f t="shared" si="25"/>
        <v>Newark</v>
      </c>
      <c r="H556" s="175" t="str">
        <f t="shared" si="26"/>
        <v>Newark, NJ</v>
      </c>
      <c r="I556" s="178" t="s">
        <v>61</v>
      </c>
      <c r="J556" s="27" t="s">
        <v>1538</v>
      </c>
      <c r="K556" s="27">
        <v>1201</v>
      </c>
      <c r="L556" s="179">
        <v>4888</v>
      </c>
      <c r="M556" s="180" t="s">
        <v>62</v>
      </c>
      <c r="N556" s="181" t="s">
        <v>1538</v>
      </c>
      <c r="O556" s="182" t="s">
        <v>63</v>
      </c>
    </row>
    <row r="557" spans="1:15" ht="12">
      <c r="A557" s="148"/>
      <c r="B557" s="174" t="s">
        <v>1117</v>
      </c>
      <c r="C557" s="175" t="s">
        <v>516</v>
      </c>
      <c r="D557" s="176" t="s">
        <v>517</v>
      </c>
      <c r="E557" s="177" t="s">
        <v>142</v>
      </c>
      <c r="F557" s="175">
        <f t="shared" si="24"/>
        <v>9</v>
      </c>
      <c r="G557" s="175" t="str">
        <f t="shared" si="25"/>
        <v>Newport</v>
      </c>
      <c r="H557" s="175" t="str">
        <f t="shared" si="26"/>
        <v>Newport, KY</v>
      </c>
      <c r="I557" s="178" t="s">
        <v>2374</v>
      </c>
      <c r="J557" s="27" t="s">
        <v>517</v>
      </c>
      <c r="K557" s="27">
        <v>996</v>
      </c>
      <c r="L557" s="179">
        <v>5248</v>
      </c>
      <c r="M557" s="180" t="s">
        <v>2375</v>
      </c>
      <c r="N557" s="181" t="s">
        <v>386</v>
      </c>
      <c r="O557" s="182" t="s">
        <v>2376</v>
      </c>
    </row>
    <row r="558" spans="1:15" ht="12">
      <c r="A558" s="148"/>
      <c r="B558" s="174" t="s">
        <v>143</v>
      </c>
      <c r="C558" s="175" t="s">
        <v>407</v>
      </c>
      <c r="D558" s="176" t="s">
        <v>408</v>
      </c>
      <c r="E558" s="177" t="s">
        <v>144</v>
      </c>
      <c r="F558" s="175">
        <f t="shared" si="24"/>
        <v>15</v>
      </c>
      <c r="G558" s="175" t="str">
        <f t="shared" si="25"/>
        <v>Niagara Falls</v>
      </c>
      <c r="H558" s="175" t="str">
        <f t="shared" si="26"/>
        <v>Niagara Falls, NY</v>
      </c>
      <c r="I558" s="178" t="s">
        <v>1316</v>
      </c>
      <c r="J558" s="27" t="s">
        <v>408</v>
      </c>
      <c r="K558" s="27">
        <v>477</v>
      </c>
      <c r="L558" s="179">
        <v>6747</v>
      </c>
      <c r="M558" s="180" t="s">
        <v>1317</v>
      </c>
      <c r="N558" s="181" t="s">
        <v>408</v>
      </c>
      <c r="O558" s="182" t="s">
        <v>1318</v>
      </c>
    </row>
    <row r="559" spans="1:15" ht="12">
      <c r="A559" s="148"/>
      <c r="B559" s="174" t="s">
        <v>145</v>
      </c>
      <c r="C559" s="175" t="s">
        <v>447</v>
      </c>
      <c r="D559" s="176" t="s">
        <v>448</v>
      </c>
      <c r="E559" s="177" t="s">
        <v>146</v>
      </c>
      <c r="F559" s="175">
        <f t="shared" si="24"/>
        <v>9</v>
      </c>
      <c r="G559" s="175" t="str">
        <f t="shared" si="25"/>
        <v>Norfolk</v>
      </c>
      <c r="H559" s="175" t="str">
        <f t="shared" si="26"/>
        <v>Norfolk, NE</v>
      </c>
      <c r="I559" s="178" t="s">
        <v>1156</v>
      </c>
      <c r="J559" s="27" t="s">
        <v>448</v>
      </c>
      <c r="K559" s="27">
        <v>877</v>
      </c>
      <c r="L559" s="179">
        <v>6873</v>
      </c>
      <c r="M559" s="178" t="s">
        <v>1387</v>
      </c>
      <c r="N559" s="27" t="s">
        <v>1323</v>
      </c>
      <c r="O559" s="182" t="s">
        <v>1388</v>
      </c>
    </row>
    <row r="560" spans="1:15" ht="12">
      <c r="A560" s="148"/>
      <c r="B560" s="174" t="s">
        <v>1157</v>
      </c>
      <c r="C560" s="175" t="s">
        <v>425</v>
      </c>
      <c r="D560" s="176" t="s">
        <v>426</v>
      </c>
      <c r="E560" s="177" t="s">
        <v>146</v>
      </c>
      <c r="F560" s="175">
        <f t="shared" si="24"/>
        <v>9</v>
      </c>
      <c r="G560" s="175" t="str">
        <f t="shared" si="25"/>
        <v>Norfolk</v>
      </c>
      <c r="H560" s="175" t="str">
        <f t="shared" si="26"/>
        <v>Norfolk, VA</v>
      </c>
      <c r="I560" s="178" t="s">
        <v>56</v>
      </c>
      <c r="J560" s="27" t="s">
        <v>426</v>
      </c>
      <c r="K560" s="27">
        <v>1422</v>
      </c>
      <c r="L560" s="179">
        <v>3495</v>
      </c>
      <c r="M560" s="180" t="s">
        <v>57</v>
      </c>
      <c r="N560" s="181" t="s">
        <v>426</v>
      </c>
      <c r="O560" s="182" t="s">
        <v>58</v>
      </c>
    </row>
    <row r="561" spans="1:15" ht="12">
      <c r="A561" s="148"/>
      <c r="B561" s="174" t="s">
        <v>1158</v>
      </c>
      <c r="C561" s="175" t="s">
        <v>425</v>
      </c>
      <c r="D561" s="176" t="s">
        <v>426</v>
      </c>
      <c r="E561" s="177" t="s">
        <v>146</v>
      </c>
      <c r="F561" s="175">
        <f t="shared" si="24"/>
        <v>9</v>
      </c>
      <c r="G561" s="175" t="str">
        <f t="shared" si="25"/>
        <v>Norfolk</v>
      </c>
      <c r="H561" s="175" t="str">
        <f t="shared" si="26"/>
        <v>Norfolk, VA</v>
      </c>
      <c r="I561" s="178" t="s">
        <v>56</v>
      </c>
      <c r="J561" s="27" t="s">
        <v>426</v>
      </c>
      <c r="K561" s="27">
        <v>1422</v>
      </c>
      <c r="L561" s="179">
        <v>3495</v>
      </c>
      <c r="M561" s="180" t="s">
        <v>57</v>
      </c>
      <c r="N561" s="181" t="s">
        <v>426</v>
      </c>
      <c r="O561" s="182" t="s">
        <v>58</v>
      </c>
    </row>
    <row r="562" spans="1:15" ht="12">
      <c r="A562" s="148"/>
      <c r="B562" s="174" t="s">
        <v>1159</v>
      </c>
      <c r="C562" s="175" t="s">
        <v>425</v>
      </c>
      <c r="D562" s="176" t="s">
        <v>426</v>
      </c>
      <c r="E562" s="177" t="s">
        <v>146</v>
      </c>
      <c r="F562" s="175">
        <f t="shared" si="24"/>
        <v>9</v>
      </c>
      <c r="G562" s="175" t="str">
        <f t="shared" si="25"/>
        <v>Norfolk</v>
      </c>
      <c r="H562" s="175" t="str">
        <f t="shared" si="26"/>
        <v>Norfolk, VA</v>
      </c>
      <c r="I562" s="178" t="s">
        <v>56</v>
      </c>
      <c r="J562" s="27" t="s">
        <v>426</v>
      </c>
      <c r="K562" s="27">
        <v>1422</v>
      </c>
      <c r="L562" s="179">
        <v>3495</v>
      </c>
      <c r="M562" s="180" t="s">
        <v>57</v>
      </c>
      <c r="N562" s="181" t="s">
        <v>426</v>
      </c>
      <c r="O562" s="182" t="s">
        <v>58</v>
      </c>
    </row>
    <row r="563" spans="1:15" ht="12">
      <c r="A563" s="148"/>
      <c r="B563" s="174" t="s">
        <v>1160</v>
      </c>
      <c r="C563" s="175" t="s">
        <v>425</v>
      </c>
      <c r="D563" s="176" t="s">
        <v>426</v>
      </c>
      <c r="E563" s="177" t="s">
        <v>146</v>
      </c>
      <c r="F563" s="175">
        <f t="shared" si="24"/>
        <v>9</v>
      </c>
      <c r="G563" s="175" t="str">
        <f t="shared" si="25"/>
        <v>Norfolk</v>
      </c>
      <c r="H563" s="175" t="str">
        <f t="shared" si="26"/>
        <v>Norfolk, VA</v>
      </c>
      <c r="I563" s="178" t="s">
        <v>56</v>
      </c>
      <c r="J563" s="27" t="s">
        <v>426</v>
      </c>
      <c r="K563" s="27">
        <v>1422</v>
      </c>
      <c r="L563" s="179">
        <v>3495</v>
      </c>
      <c r="M563" s="180" t="s">
        <v>57</v>
      </c>
      <c r="N563" s="181" t="s">
        <v>426</v>
      </c>
      <c r="O563" s="182" t="s">
        <v>58</v>
      </c>
    </row>
    <row r="564" spans="1:15" ht="12">
      <c r="A564" s="148"/>
      <c r="B564" s="174" t="s">
        <v>1161</v>
      </c>
      <c r="C564" s="175" t="s">
        <v>1636</v>
      </c>
      <c r="D564" s="176" t="s">
        <v>1637</v>
      </c>
      <c r="E564" s="177" t="s">
        <v>1162</v>
      </c>
      <c r="F564" s="175">
        <f t="shared" si="24"/>
        <v>20</v>
      </c>
      <c r="G564" s="175" t="str">
        <f t="shared" si="25"/>
        <v>North Chicago Sub.</v>
      </c>
      <c r="H564" s="175" t="str">
        <f t="shared" si="26"/>
        <v>North Chicago Sub., IL</v>
      </c>
      <c r="I564" s="178" t="s">
        <v>1163</v>
      </c>
      <c r="J564" s="27" t="s">
        <v>1637</v>
      </c>
      <c r="K564" s="27">
        <v>702</v>
      </c>
      <c r="L564" s="179">
        <v>6969</v>
      </c>
      <c r="M564" s="178" t="s">
        <v>1164</v>
      </c>
      <c r="N564" s="27" t="s">
        <v>1637</v>
      </c>
      <c r="O564" s="182" t="s">
        <v>1165</v>
      </c>
    </row>
    <row r="565" spans="1:15" ht="12">
      <c r="A565" s="148"/>
      <c r="B565" s="174" t="s">
        <v>1166</v>
      </c>
      <c r="C565" s="175" t="s">
        <v>1636</v>
      </c>
      <c r="D565" s="176" t="s">
        <v>1637</v>
      </c>
      <c r="E565" s="177" t="s">
        <v>1162</v>
      </c>
      <c r="F565" s="175">
        <f t="shared" si="24"/>
        <v>20</v>
      </c>
      <c r="G565" s="175" t="str">
        <f t="shared" si="25"/>
        <v>North Chicago Sub.</v>
      </c>
      <c r="H565" s="175" t="str">
        <f t="shared" si="26"/>
        <v>North Chicago Sub., IL</v>
      </c>
      <c r="I565" s="178" t="s">
        <v>1163</v>
      </c>
      <c r="J565" s="27" t="s">
        <v>1637</v>
      </c>
      <c r="K565" s="27">
        <v>702</v>
      </c>
      <c r="L565" s="179">
        <v>6969</v>
      </c>
      <c r="M565" s="178" t="s">
        <v>1164</v>
      </c>
      <c r="N565" s="27" t="s">
        <v>1637</v>
      </c>
      <c r="O565" s="182" t="s">
        <v>1165</v>
      </c>
    </row>
    <row r="566" spans="1:15" ht="12">
      <c r="A566" s="148"/>
      <c r="B566" s="174" t="s">
        <v>1167</v>
      </c>
      <c r="C566" s="175" t="s">
        <v>433</v>
      </c>
      <c r="D566" s="176" t="s">
        <v>434</v>
      </c>
      <c r="E566" s="177" t="s">
        <v>1168</v>
      </c>
      <c r="F566" s="175">
        <f t="shared" si="24"/>
        <v>17</v>
      </c>
      <c r="G566" s="175" t="str">
        <f t="shared" si="25"/>
        <v>North Hollywood</v>
      </c>
      <c r="H566" s="175" t="str">
        <f t="shared" si="26"/>
        <v>North Hollywood, CA</v>
      </c>
      <c r="I566" s="178" t="s">
        <v>436</v>
      </c>
      <c r="J566" s="27" t="s">
        <v>434</v>
      </c>
      <c r="K566" s="27">
        <v>1537</v>
      </c>
      <c r="L566" s="179">
        <v>1154</v>
      </c>
      <c r="M566" s="178" t="s">
        <v>437</v>
      </c>
      <c r="N566" s="27" t="s">
        <v>434</v>
      </c>
      <c r="O566" s="182" t="s">
        <v>438</v>
      </c>
    </row>
    <row r="567" spans="1:15" ht="12">
      <c r="A567" s="148"/>
      <c r="B567" s="174" t="s">
        <v>1169</v>
      </c>
      <c r="C567" s="175" t="s">
        <v>447</v>
      </c>
      <c r="D567" s="176" t="s">
        <v>448</v>
      </c>
      <c r="E567" s="177" t="s">
        <v>1170</v>
      </c>
      <c r="F567" s="175">
        <f t="shared" si="24"/>
        <v>14</v>
      </c>
      <c r="G567" s="175" t="str">
        <f t="shared" si="25"/>
        <v>North_Platte</v>
      </c>
      <c r="H567" s="175" t="str">
        <f t="shared" si="26"/>
        <v>North_Platte, NE</v>
      </c>
      <c r="I567" s="178" t="s">
        <v>1171</v>
      </c>
      <c r="J567" s="27" t="s">
        <v>448</v>
      </c>
      <c r="K567" s="27">
        <v>713</v>
      </c>
      <c r="L567" s="179">
        <v>6859</v>
      </c>
      <c r="M567" s="180" t="s">
        <v>1172</v>
      </c>
      <c r="N567" s="181" t="s">
        <v>448</v>
      </c>
      <c r="O567" s="182" t="s">
        <v>1173</v>
      </c>
    </row>
    <row r="568" spans="1:15" ht="12">
      <c r="A568" s="148"/>
      <c r="B568" s="174" t="s">
        <v>1174</v>
      </c>
      <c r="C568" s="175" t="s">
        <v>425</v>
      </c>
      <c r="D568" s="176" t="s">
        <v>426</v>
      </c>
      <c r="E568" s="177" t="s">
        <v>1175</v>
      </c>
      <c r="F568" s="175">
        <f t="shared" si="24"/>
        <v>13</v>
      </c>
      <c r="G568" s="175" t="str">
        <f t="shared" si="25"/>
        <v>Northern VA</v>
      </c>
      <c r="H568" s="175" t="str">
        <f t="shared" si="26"/>
        <v>Northern VA, VA</v>
      </c>
      <c r="I568" s="178" t="s">
        <v>1665</v>
      </c>
      <c r="J568" s="27" t="s">
        <v>428</v>
      </c>
      <c r="K568" s="27">
        <v>973</v>
      </c>
      <c r="L568" s="179">
        <v>5006</v>
      </c>
      <c r="M568" s="180" t="s">
        <v>429</v>
      </c>
      <c r="N568" s="181" t="s">
        <v>430</v>
      </c>
      <c r="O568" s="182" t="s">
        <v>431</v>
      </c>
    </row>
    <row r="569" spans="1:15" ht="12">
      <c r="A569" s="148"/>
      <c r="B569" s="174" t="s">
        <v>1176</v>
      </c>
      <c r="C569" s="175" t="s">
        <v>425</v>
      </c>
      <c r="D569" s="176" t="s">
        <v>426</v>
      </c>
      <c r="E569" s="177" t="s">
        <v>1175</v>
      </c>
      <c r="F569" s="175">
        <f t="shared" si="24"/>
        <v>13</v>
      </c>
      <c r="G569" s="175" t="str">
        <f t="shared" si="25"/>
        <v>Northern VA</v>
      </c>
      <c r="H569" s="175" t="str">
        <f t="shared" si="26"/>
        <v>Northern VA, VA</v>
      </c>
      <c r="I569" s="178" t="s">
        <v>1665</v>
      </c>
      <c r="J569" s="27" t="s">
        <v>428</v>
      </c>
      <c r="K569" s="27">
        <v>973</v>
      </c>
      <c r="L569" s="179">
        <v>5006</v>
      </c>
      <c r="M569" s="180" t="s">
        <v>429</v>
      </c>
      <c r="N569" s="181" t="s">
        <v>430</v>
      </c>
      <c r="O569" s="182" t="s">
        <v>431</v>
      </c>
    </row>
    <row r="570" spans="1:15" ht="12">
      <c r="A570" s="148"/>
      <c r="B570" s="174" t="s">
        <v>1177</v>
      </c>
      <c r="C570" s="175" t="s">
        <v>1636</v>
      </c>
      <c r="D570" s="176" t="s">
        <v>1637</v>
      </c>
      <c r="E570" s="177" t="s">
        <v>1178</v>
      </c>
      <c r="F570" s="175">
        <f t="shared" si="24"/>
        <v>10</v>
      </c>
      <c r="G570" s="175" t="str">
        <f t="shared" si="25"/>
        <v>Oak Park</v>
      </c>
      <c r="H570" s="175" t="str">
        <f t="shared" si="26"/>
        <v>Oak Park, IL</v>
      </c>
      <c r="I570" s="178" t="s">
        <v>2359</v>
      </c>
      <c r="J570" s="27" t="s">
        <v>1637</v>
      </c>
      <c r="K570" s="27">
        <v>752</v>
      </c>
      <c r="L570" s="179">
        <v>6536</v>
      </c>
      <c r="M570" s="178" t="s">
        <v>2360</v>
      </c>
      <c r="N570" s="27" t="s">
        <v>1637</v>
      </c>
      <c r="O570" s="182" t="s">
        <v>2361</v>
      </c>
    </row>
    <row r="571" spans="1:15" ht="12">
      <c r="A571" s="148"/>
      <c r="B571" s="174" t="s">
        <v>1179</v>
      </c>
      <c r="C571" s="175" t="s">
        <v>433</v>
      </c>
      <c r="D571" s="176" t="s">
        <v>434</v>
      </c>
      <c r="E571" s="177" t="s">
        <v>1180</v>
      </c>
      <c r="F571" s="175">
        <f t="shared" si="24"/>
        <v>9</v>
      </c>
      <c r="G571" s="175" t="str">
        <f t="shared" si="25"/>
        <v>Oakland</v>
      </c>
      <c r="H571" s="175" t="str">
        <f t="shared" si="26"/>
        <v>Oakland, CA</v>
      </c>
      <c r="I571" s="178" t="s">
        <v>1409</v>
      </c>
      <c r="J571" s="27" t="s">
        <v>434</v>
      </c>
      <c r="K571" s="27">
        <v>145</v>
      </c>
      <c r="L571" s="179">
        <v>3016</v>
      </c>
      <c r="M571" s="178" t="s">
        <v>1410</v>
      </c>
      <c r="N571" s="27" t="s">
        <v>434</v>
      </c>
      <c r="O571" s="182" t="s">
        <v>1411</v>
      </c>
    </row>
    <row r="572" spans="1:15" ht="12">
      <c r="A572" s="148"/>
      <c r="B572" s="174" t="s">
        <v>1181</v>
      </c>
      <c r="C572" s="175" t="s">
        <v>661</v>
      </c>
      <c r="D572" s="176" t="s">
        <v>662</v>
      </c>
      <c r="E572" s="177" t="s">
        <v>1182</v>
      </c>
      <c r="F572" s="175">
        <f t="shared" si="24"/>
        <v>7</v>
      </c>
      <c r="G572" s="175" t="str">
        <f t="shared" si="25"/>
        <v>Ocala</v>
      </c>
      <c r="H572" s="175" t="str">
        <f t="shared" si="26"/>
        <v>Ocala, FL</v>
      </c>
      <c r="I572" s="178" t="s">
        <v>1183</v>
      </c>
      <c r="J572" s="27" t="s">
        <v>662</v>
      </c>
      <c r="K572" s="27">
        <v>2919</v>
      </c>
      <c r="L572" s="179">
        <v>909</v>
      </c>
      <c r="M572" s="178" t="s">
        <v>1184</v>
      </c>
      <c r="N572" s="27" t="s">
        <v>662</v>
      </c>
      <c r="O572" s="182" t="s">
        <v>1185</v>
      </c>
    </row>
    <row r="573" spans="1:15" ht="12">
      <c r="A573" s="148"/>
      <c r="B573" s="174" t="s">
        <v>1186</v>
      </c>
      <c r="C573" s="175" t="s">
        <v>1187</v>
      </c>
      <c r="D573" s="176" t="s">
        <v>1188</v>
      </c>
      <c r="E573" s="177" t="s">
        <v>1189</v>
      </c>
      <c r="F573" s="175">
        <f t="shared" si="24"/>
        <v>7</v>
      </c>
      <c r="G573" s="175" t="str">
        <f t="shared" si="25"/>
        <v>Ogden</v>
      </c>
      <c r="H573" s="175" t="str">
        <f t="shared" si="26"/>
        <v>Ogden, UT</v>
      </c>
      <c r="I573" s="178" t="s">
        <v>1190</v>
      </c>
      <c r="J573" s="27" t="s">
        <v>1188</v>
      </c>
      <c r="K573" s="27">
        <v>1047</v>
      </c>
      <c r="L573" s="179">
        <v>5765</v>
      </c>
      <c r="M573" s="180" t="s">
        <v>1191</v>
      </c>
      <c r="N573" s="181" t="s">
        <v>1188</v>
      </c>
      <c r="O573" s="182" t="s">
        <v>1192</v>
      </c>
    </row>
    <row r="574" spans="1:15" ht="12">
      <c r="A574" s="148"/>
      <c r="B574" s="174" t="s">
        <v>1193</v>
      </c>
      <c r="C574" s="175" t="s">
        <v>1187</v>
      </c>
      <c r="D574" s="176" t="s">
        <v>1188</v>
      </c>
      <c r="E574" s="177" t="s">
        <v>1436</v>
      </c>
      <c r="F574" s="175">
        <f t="shared" si="24"/>
        <v>13</v>
      </c>
      <c r="G574" s="175" t="str">
        <f t="shared" si="25"/>
        <v>Ogden/Logan</v>
      </c>
      <c r="H574" s="175" t="str">
        <f t="shared" si="26"/>
        <v>Ogden/Logan, UT</v>
      </c>
      <c r="I574" s="178" t="s">
        <v>1190</v>
      </c>
      <c r="J574" s="27" t="s">
        <v>1188</v>
      </c>
      <c r="K574" s="27">
        <v>1047</v>
      </c>
      <c r="L574" s="179">
        <v>5765</v>
      </c>
      <c r="M574" s="180" t="s">
        <v>1191</v>
      </c>
      <c r="N574" s="181" t="s">
        <v>1188</v>
      </c>
      <c r="O574" s="182" t="s">
        <v>1192</v>
      </c>
    </row>
    <row r="575" spans="1:15" ht="12">
      <c r="A575" s="148"/>
      <c r="B575" s="174" t="s">
        <v>1437</v>
      </c>
      <c r="C575" s="175" t="s">
        <v>440</v>
      </c>
      <c r="D575" s="176" t="s">
        <v>441</v>
      </c>
      <c r="E575" s="177" t="s">
        <v>1438</v>
      </c>
      <c r="F575" s="175">
        <f t="shared" si="24"/>
        <v>10</v>
      </c>
      <c r="G575" s="175" t="str">
        <f t="shared" si="25"/>
        <v>Oil City</v>
      </c>
      <c r="H575" s="175" t="str">
        <f t="shared" si="26"/>
        <v>Oil City, PA</v>
      </c>
      <c r="I575" s="178" t="s">
        <v>1339</v>
      </c>
      <c r="J575" s="27" t="s">
        <v>386</v>
      </c>
      <c r="K575" s="27">
        <v>497</v>
      </c>
      <c r="L575" s="179">
        <v>6544</v>
      </c>
      <c r="M575" s="180" t="s">
        <v>1340</v>
      </c>
      <c r="N575" s="181" t="s">
        <v>386</v>
      </c>
      <c r="O575" s="182" t="s">
        <v>1341</v>
      </c>
    </row>
    <row r="576" spans="1:15" ht="12">
      <c r="A576" s="148"/>
      <c r="B576" s="174" t="s">
        <v>1439</v>
      </c>
      <c r="C576" s="175" t="s">
        <v>500</v>
      </c>
      <c r="D576" s="176" t="s">
        <v>501</v>
      </c>
      <c r="E576" s="177" t="s">
        <v>1440</v>
      </c>
      <c r="F576" s="175">
        <f t="shared" si="24"/>
        <v>15</v>
      </c>
      <c r="G576" s="175" t="str">
        <f t="shared" si="25"/>
        <v>Oklahoma City</v>
      </c>
      <c r="H576" s="175" t="str">
        <f t="shared" si="26"/>
        <v>Oklahoma City, OK</v>
      </c>
      <c r="I576" s="178" t="s">
        <v>597</v>
      </c>
      <c r="J576" s="27" t="s">
        <v>501</v>
      </c>
      <c r="K576" s="27">
        <v>1859</v>
      </c>
      <c r="L576" s="179">
        <v>3659</v>
      </c>
      <c r="M576" s="180" t="s">
        <v>689</v>
      </c>
      <c r="N576" s="181" t="s">
        <v>501</v>
      </c>
      <c r="O576" s="182" t="s">
        <v>690</v>
      </c>
    </row>
    <row r="577" spans="1:15" ht="12">
      <c r="A577" s="148"/>
      <c r="B577" s="174" t="s">
        <v>1441</v>
      </c>
      <c r="C577" s="175" t="s">
        <v>500</v>
      </c>
      <c r="D577" s="176" t="s">
        <v>501</v>
      </c>
      <c r="E577" s="177" t="s">
        <v>1440</v>
      </c>
      <c r="F577" s="175">
        <f t="shared" si="24"/>
        <v>15</v>
      </c>
      <c r="G577" s="175" t="str">
        <f t="shared" si="25"/>
        <v>Oklahoma City</v>
      </c>
      <c r="H577" s="175" t="str">
        <f t="shared" si="26"/>
        <v>Oklahoma City, OK</v>
      </c>
      <c r="I577" s="178" t="s">
        <v>597</v>
      </c>
      <c r="J577" s="27" t="s">
        <v>501</v>
      </c>
      <c r="K577" s="27">
        <v>1859</v>
      </c>
      <c r="L577" s="179">
        <v>3659</v>
      </c>
      <c r="M577" s="180" t="s">
        <v>689</v>
      </c>
      <c r="N577" s="181" t="s">
        <v>501</v>
      </c>
      <c r="O577" s="182" t="s">
        <v>690</v>
      </c>
    </row>
    <row r="578" spans="1:15" ht="12">
      <c r="A578" s="148"/>
      <c r="B578" s="174" t="s">
        <v>1442</v>
      </c>
      <c r="C578" s="175" t="s">
        <v>584</v>
      </c>
      <c r="D578" s="176" t="s">
        <v>1627</v>
      </c>
      <c r="E578" s="177" t="s">
        <v>1443</v>
      </c>
      <c r="F578" s="175">
        <f t="shared" si="24"/>
        <v>9</v>
      </c>
      <c r="G578" s="175" t="str">
        <f t="shared" si="25"/>
        <v>Olympia</v>
      </c>
      <c r="H578" s="175" t="str">
        <f t="shared" si="26"/>
        <v>Olympia, WA</v>
      </c>
      <c r="I578" s="178" t="s">
        <v>1444</v>
      </c>
      <c r="J578" s="27" t="s">
        <v>1627</v>
      </c>
      <c r="K578" s="27">
        <v>101</v>
      </c>
      <c r="L578" s="179">
        <v>5655</v>
      </c>
      <c r="M578" s="180" t="s">
        <v>2392</v>
      </c>
      <c r="N578" s="181" t="s">
        <v>1627</v>
      </c>
      <c r="O578" s="182" t="s">
        <v>2393</v>
      </c>
    </row>
    <row r="579" spans="1:15" ht="12">
      <c r="A579" s="148"/>
      <c r="B579" s="174" t="s">
        <v>1445</v>
      </c>
      <c r="C579" s="175" t="s">
        <v>447</v>
      </c>
      <c r="D579" s="176" t="s">
        <v>448</v>
      </c>
      <c r="E579" s="177" t="s">
        <v>1446</v>
      </c>
      <c r="F579" s="175">
        <f t="shared" si="24"/>
        <v>7</v>
      </c>
      <c r="G579" s="175" t="str">
        <f t="shared" si="25"/>
        <v>Omaha</v>
      </c>
      <c r="H579" s="175" t="str">
        <f t="shared" si="26"/>
        <v>Omaha, NE</v>
      </c>
      <c r="I579" s="178" t="s">
        <v>1447</v>
      </c>
      <c r="J579" s="27" t="s">
        <v>448</v>
      </c>
      <c r="K579" s="27">
        <v>1072</v>
      </c>
      <c r="L579" s="179">
        <v>6300</v>
      </c>
      <c r="M579" s="180" t="s">
        <v>1657</v>
      </c>
      <c r="N579" s="181" t="s">
        <v>448</v>
      </c>
      <c r="O579" s="182" t="s">
        <v>1658</v>
      </c>
    </row>
    <row r="580" spans="1:15" ht="12">
      <c r="A580" s="148"/>
      <c r="B580" s="174" t="s">
        <v>1448</v>
      </c>
      <c r="C580" s="175" t="s">
        <v>447</v>
      </c>
      <c r="D580" s="176" t="s">
        <v>448</v>
      </c>
      <c r="E580" s="177" t="s">
        <v>1446</v>
      </c>
      <c r="F580" s="175">
        <f t="shared" si="24"/>
        <v>7</v>
      </c>
      <c r="G580" s="175" t="str">
        <f t="shared" si="25"/>
        <v>Omaha</v>
      </c>
      <c r="H580" s="175" t="str">
        <f t="shared" si="26"/>
        <v>Omaha, NE</v>
      </c>
      <c r="I580" s="178" t="s">
        <v>1447</v>
      </c>
      <c r="J580" s="27" t="s">
        <v>448</v>
      </c>
      <c r="K580" s="27">
        <v>1072</v>
      </c>
      <c r="L580" s="179">
        <v>6300</v>
      </c>
      <c r="M580" s="180" t="s">
        <v>1657</v>
      </c>
      <c r="N580" s="181" t="s">
        <v>448</v>
      </c>
      <c r="O580" s="182" t="s">
        <v>1658</v>
      </c>
    </row>
    <row r="581" spans="1:15" ht="12">
      <c r="A581" s="148"/>
      <c r="B581" s="174" t="s">
        <v>1449</v>
      </c>
      <c r="C581" s="175" t="s">
        <v>1622</v>
      </c>
      <c r="D581" s="176" t="s">
        <v>1623</v>
      </c>
      <c r="E581" s="177" t="s">
        <v>1450</v>
      </c>
      <c r="F581" s="175">
        <f t="shared" si="24"/>
        <v>9</v>
      </c>
      <c r="G581" s="175" t="str">
        <f t="shared" si="25"/>
        <v>Ontario</v>
      </c>
      <c r="H581" s="175" t="str">
        <f t="shared" si="26"/>
        <v>Ontario, OR</v>
      </c>
      <c r="I581" s="178" t="s">
        <v>2283</v>
      </c>
      <c r="J581" s="27" t="s">
        <v>2281</v>
      </c>
      <c r="K581" s="27">
        <v>754</v>
      </c>
      <c r="L581" s="179">
        <v>5861</v>
      </c>
      <c r="M581" s="180" t="s">
        <v>2284</v>
      </c>
      <c r="N581" s="181" t="s">
        <v>2281</v>
      </c>
      <c r="O581" s="182" t="s">
        <v>2285</v>
      </c>
    </row>
    <row r="582" spans="1:15" ht="12">
      <c r="A582" s="148"/>
      <c r="B582" s="174" t="s">
        <v>1451</v>
      </c>
      <c r="C582" s="175" t="s">
        <v>493</v>
      </c>
      <c r="D582" s="176" t="s">
        <v>494</v>
      </c>
      <c r="E582" s="177" t="s">
        <v>1452</v>
      </c>
      <c r="F582" s="175">
        <f t="shared" ref="F582:F645" si="27">LEN(E582)</f>
        <v>9</v>
      </c>
      <c r="G582" s="175" t="str">
        <f t="shared" ref="G582:G645" si="28">MID(E582,2,F582-2)</f>
        <v>Opelika</v>
      </c>
      <c r="H582" s="175" t="str">
        <f t="shared" ref="H582:H645" si="29">CONCATENATE(G582,", ",+D582)</f>
        <v>Opelika, AL</v>
      </c>
      <c r="I582" s="178" t="s">
        <v>403</v>
      </c>
      <c r="J582" s="27" t="s">
        <v>401</v>
      </c>
      <c r="K582" s="27">
        <v>2284</v>
      </c>
      <c r="L582" s="179">
        <v>2261</v>
      </c>
      <c r="M582" s="180" t="s">
        <v>404</v>
      </c>
      <c r="N582" s="181" t="s">
        <v>401</v>
      </c>
      <c r="O582" s="182" t="s">
        <v>405</v>
      </c>
    </row>
    <row r="583" spans="1:15" ht="12">
      <c r="A583" s="148"/>
      <c r="B583" s="174" t="s">
        <v>1453</v>
      </c>
      <c r="C583" s="175" t="s">
        <v>661</v>
      </c>
      <c r="D583" s="176" t="s">
        <v>662</v>
      </c>
      <c r="E583" s="177" t="s">
        <v>1454</v>
      </c>
      <c r="F583" s="175">
        <f t="shared" si="27"/>
        <v>9</v>
      </c>
      <c r="G583" s="175" t="str">
        <f t="shared" si="28"/>
        <v>Orlando</v>
      </c>
      <c r="H583" s="175" t="str">
        <f t="shared" si="29"/>
        <v>Orlando, FL</v>
      </c>
      <c r="I583" s="178" t="s">
        <v>1455</v>
      </c>
      <c r="J583" s="27" t="s">
        <v>662</v>
      </c>
      <c r="K583" s="27">
        <v>3381</v>
      </c>
      <c r="L583" s="179">
        <v>686</v>
      </c>
      <c r="M583" s="178" t="s">
        <v>1128</v>
      </c>
      <c r="N583" s="27" t="s">
        <v>662</v>
      </c>
      <c r="O583" s="182" t="s">
        <v>1129</v>
      </c>
    </row>
    <row r="584" spans="1:15" ht="12">
      <c r="A584" s="148"/>
      <c r="B584" s="174" t="s">
        <v>1456</v>
      </c>
      <c r="C584" s="175" t="s">
        <v>661</v>
      </c>
      <c r="D584" s="176" t="s">
        <v>662</v>
      </c>
      <c r="E584" s="177" t="s">
        <v>1454</v>
      </c>
      <c r="F584" s="175">
        <f t="shared" si="27"/>
        <v>9</v>
      </c>
      <c r="G584" s="175" t="str">
        <f t="shared" si="28"/>
        <v>Orlando</v>
      </c>
      <c r="H584" s="175" t="str">
        <f t="shared" si="29"/>
        <v>Orlando, FL</v>
      </c>
      <c r="I584" s="178" t="s">
        <v>1455</v>
      </c>
      <c r="J584" s="27" t="s">
        <v>662</v>
      </c>
      <c r="K584" s="27">
        <v>3381</v>
      </c>
      <c r="L584" s="179">
        <v>686</v>
      </c>
      <c r="M584" s="178" t="s">
        <v>1128</v>
      </c>
      <c r="N584" s="27" t="s">
        <v>662</v>
      </c>
      <c r="O584" s="182" t="s">
        <v>1129</v>
      </c>
    </row>
    <row r="585" spans="1:15" ht="12">
      <c r="A585" s="148"/>
      <c r="B585" s="174" t="s">
        <v>1457</v>
      </c>
      <c r="C585" s="175" t="s">
        <v>42</v>
      </c>
      <c r="D585" s="176" t="s">
        <v>1691</v>
      </c>
      <c r="E585" s="177" t="s">
        <v>1458</v>
      </c>
      <c r="F585" s="175">
        <f t="shared" si="27"/>
        <v>9</v>
      </c>
      <c r="G585" s="175" t="str">
        <f t="shared" si="28"/>
        <v>Oshkosh</v>
      </c>
      <c r="H585" s="175" t="str">
        <f t="shared" si="29"/>
        <v>Oshkosh, WI</v>
      </c>
      <c r="I585" s="178" t="s">
        <v>1690</v>
      </c>
      <c r="J585" s="27" t="s">
        <v>1691</v>
      </c>
      <c r="K585" s="27">
        <v>692</v>
      </c>
      <c r="L585" s="179">
        <v>7491</v>
      </c>
      <c r="M585" s="180" t="s">
        <v>936</v>
      </c>
      <c r="N585" s="181" t="s">
        <v>1691</v>
      </c>
      <c r="O585" s="182" t="s">
        <v>937</v>
      </c>
    </row>
    <row r="586" spans="1:15" ht="12">
      <c r="A586" s="148"/>
      <c r="B586" s="174" t="s">
        <v>1459</v>
      </c>
      <c r="C586" s="175" t="s">
        <v>1322</v>
      </c>
      <c r="D586" s="176" t="s">
        <v>1323</v>
      </c>
      <c r="E586" s="177" t="s">
        <v>1460</v>
      </c>
      <c r="F586" s="175">
        <f t="shared" si="27"/>
        <v>9</v>
      </c>
      <c r="G586" s="175" t="str">
        <f t="shared" si="28"/>
        <v>Ottumwa</v>
      </c>
      <c r="H586" s="175" t="str">
        <f t="shared" si="29"/>
        <v>Ottumwa, IA</v>
      </c>
      <c r="I586" s="178" t="s">
        <v>1325</v>
      </c>
      <c r="J586" s="27" t="s">
        <v>1637</v>
      </c>
      <c r="K586" s="27">
        <v>911</v>
      </c>
      <c r="L586" s="179">
        <v>6474</v>
      </c>
      <c r="M586" s="180" t="s">
        <v>1326</v>
      </c>
      <c r="N586" s="181" t="s">
        <v>1323</v>
      </c>
      <c r="O586" s="182" t="s">
        <v>1327</v>
      </c>
    </row>
    <row r="587" spans="1:15" ht="12">
      <c r="A587" s="148"/>
      <c r="B587" s="174" t="s">
        <v>1461</v>
      </c>
      <c r="C587" s="175" t="s">
        <v>516</v>
      </c>
      <c r="D587" s="176" t="s">
        <v>517</v>
      </c>
      <c r="E587" s="177" t="s">
        <v>1462</v>
      </c>
      <c r="F587" s="175">
        <f t="shared" si="27"/>
        <v>11</v>
      </c>
      <c r="G587" s="175" t="str">
        <f t="shared" si="28"/>
        <v>Owensboro</v>
      </c>
      <c r="H587" s="175" t="str">
        <f t="shared" si="29"/>
        <v>Owensboro, KY</v>
      </c>
      <c r="I587" s="178" t="s">
        <v>1512</v>
      </c>
      <c r="J587" s="27" t="s">
        <v>476</v>
      </c>
      <c r="K587" s="27">
        <v>1616</v>
      </c>
      <c r="L587" s="179">
        <v>3729</v>
      </c>
      <c r="M587" s="180" t="s">
        <v>1513</v>
      </c>
      <c r="N587" s="181" t="s">
        <v>476</v>
      </c>
      <c r="O587" s="182" t="s">
        <v>614</v>
      </c>
    </row>
    <row r="588" spans="1:15" ht="12">
      <c r="A588" s="148"/>
      <c r="B588" s="174" t="s">
        <v>1463</v>
      </c>
      <c r="C588" s="175" t="s">
        <v>621</v>
      </c>
      <c r="D588" s="176" t="s">
        <v>1335</v>
      </c>
      <c r="E588" s="177" t="s">
        <v>1464</v>
      </c>
      <c r="F588" s="175">
        <f t="shared" si="27"/>
        <v>8</v>
      </c>
      <c r="G588" s="175" t="str">
        <f t="shared" si="28"/>
        <v>Oxford</v>
      </c>
      <c r="H588" s="175" t="str">
        <f t="shared" si="29"/>
        <v>Oxford, MS</v>
      </c>
      <c r="I588" s="178" t="s">
        <v>1132</v>
      </c>
      <c r="J588" s="27" t="s">
        <v>476</v>
      </c>
      <c r="K588" s="27">
        <v>2118</v>
      </c>
      <c r="L588" s="179">
        <v>3082</v>
      </c>
      <c r="M588" s="180" t="s">
        <v>1133</v>
      </c>
      <c r="N588" s="181" t="s">
        <v>476</v>
      </c>
      <c r="O588" s="182" t="s">
        <v>1199</v>
      </c>
    </row>
    <row r="589" spans="1:15" ht="12">
      <c r="A589" s="148"/>
      <c r="B589" s="174" t="s">
        <v>1465</v>
      </c>
      <c r="C589" s="175" t="s">
        <v>516</v>
      </c>
      <c r="D589" s="176" t="s">
        <v>517</v>
      </c>
      <c r="E589" s="177" t="s">
        <v>1466</v>
      </c>
      <c r="F589" s="175">
        <f t="shared" si="27"/>
        <v>9</v>
      </c>
      <c r="G589" s="175" t="str">
        <f t="shared" si="28"/>
        <v>Paducah</v>
      </c>
      <c r="H589" s="175" t="str">
        <f t="shared" si="29"/>
        <v>Paducah, KY</v>
      </c>
      <c r="I589" s="178" t="s">
        <v>1467</v>
      </c>
      <c r="J589" s="27" t="s">
        <v>517</v>
      </c>
      <c r="K589" s="27">
        <v>1475</v>
      </c>
      <c r="L589" s="179">
        <v>4279</v>
      </c>
      <c r="M589" s="180" t="s">
        <v>1468</v>
      </c>
      <c r="N589" s="181" t="s">
        <v>517</v>
      </c>
      <c r="O589" s="182" t="s">
        <v>2291</v>
      </c>
    </row>
    <row r="590" spans="1:15" ht="12">
      <c r="A590" s="148"/>
      <c r="B590" s="174" t="s">
        <v>2292</v>
      </c>
      <c r="C590" s="175" t="s">
        <v>254</v>
      </c>
      <c r="D590" s="176" t="s">
        <v>255</v>
      </c>
      <c r="E590" s="177" t="s">
        <v>2293</v>
      </c>
      <c r="F590" s="175">
        <f t="shared" si="27"/>
        <v>11</v>
      </c>
      <c r="G590" s="175" t="str">
        <f t="shared" si="28"/>
        <v>Palestine</v>
      </c>
      <c r="H590" s="175" t="str">
        <f t="shared" si="29"/>
        <v>Palestine, TX</v>
      </c>
      <c r="I590" s="178" t="s">
        <v>2149</v>
      </c>
      <c r="J590" s="27" t="s">
        <v>255</v>
      </c>
      <c r="K590" s="27">
        <v>2816</v>
      </c>
      <c r="L590" s="179">
        <v>2179</v>
      </c>
      <c r="M590" s="180" t="s">
        <v>2150</v>
      </c>
      <c r="N590" s="181" t="s">
        <v>255</v>
      </c>
      <c r="O590" s="182" t="s">
        <v>2151</v>
      </c>
    </row>
    <row r="591" spans="1:15" ht="12">
      <c r="A591" s="148"/>
      <c r="B591" s="174" t="s">
        <v>2294</v>
      </c>
      <c r="C591" s="175" t="s">
        <v>433</v>
      </c>
      <c r="D591" s="176" t="s">
        <v>434</v>
      </c>
      <c r="E591" s="177" t="s">
        <v>2295</v>
      </c>
      <c r="F591" s="175">
        <f t="shared" si="27"/>
        <v>14</v>
      </c>
      <c r="G591" s="175" t="str">
        <f t="shared" si="28"/>
        <v>Palm Springs</v>
      </c>
      <c r="H591" s="175" t="str">
        <f t="shared" si="29"/>
        <v>Palm Springs, CA</v>
      </c>
      <c r="I591" s="178" t="s">
        <v>2296</v>
      </c>
      <c r="J591" s="27" t="s">
        <v>434</v>
      </c>
      <c r="K591" s="27">
        <v>984</v>
      </c>
      <c r="L591" s="179">
        <v>1256</v>
      </c>
      <c r="M591" s="178" t="s">
        <v>2297</v>
      </c>
      <c r="N591" s="27" t="s">
        <v>434</v>
      </c>
      <c r="O591" s="182" t="s">
        <v>2298</v>
      </c>
    </row>
    <row r="592" spans="1:15" ht="12">
      <c r="A592" s="148"/>
      <c r="B592" s="174" t="s">
        <v>2299</v>
      </c>
      <c r="C592" s="175" t="s">
        <v>433</v>
      </c>
      <c r="D592" s="176" t="s">
        <v>434</v>
      </c>
      <c r="E592" s="177" t="s">
        <v>598</v>
      </c>
      <c r="F592" s="175">
        <f t="shared" si="27"/>
        <v>11</v>
      </c>
      <c r="G592" s="175" t="str">
        <f t="shared" si="28"/>
        <v>Palo Alto</v>
      </c>
      <c r="H592" s="175" t="str">
        <f t="shared" si="29"/>
        <v>Palo Alto, CA</v>
      </c>
      <c r="I592" s="178" t="s">
        <v>1409</v>
      </c>
      <c r="J592" s="27" t="s">
        <v>434</v>
      </c>
      <c r="K592" s="27">
        <v>145</v>
      </c>
      <c r="L592" s="179">
        <v>3016</v>
      </c>
      <c r="M592" s="178" t="s">
        <v>1410</v>
      </c>
      <c r="N592" s="27" t="s">
        <v>434</v>
      </c>
      <c r="O592" s="182" t="s">
        <v>1411</v>
      </c>
    </row>
    <row r="593" spans="1:15" ht="12">
      <c r="A593" s="148"/>
      <c r="B593" s="174" t="s">
        <v>599</v>
      </c>
      <c r="C593" s="175" t="s">
        <v>661</v>
      </c>
      <c r="D593" s="176" t="s">
        <v>662</v>
      </c>
      <c r="E593" s="177" t="s">
        <v>600</v>
      </c>
      <c r="F593" s="175">
        <f t="shared" si="27"/>
        <v>13</v>
      </c>
      <c r="G593" s="175" t="str">
        <f t="shared" si="28"/>
        <v>Panama City</v>
      </c>
      <c r="H593" s="175" t="str">
        <f t="shared" si="29"/>
        <v>Panama City, FL</v>
      </c>
      <c r="I593" s="178" t="s">
        <v>601</v>
      </c>
      <c r="J593" s="27" t="s">
        <v>662</v>
      </c>
      <c r="K593" s="27">
        <v>2582</v>
      </c>
      <c r="L593" s="179">
        <v>1429</v>
      </c>
      <c r="M593" s="180" t="s">
        <v>602</v>
      </c>
      <c r="N593" s="181" t="s">
        <v>662</v>
      </c>
      <c r="O593" s="182" t="s">
        <v>603</v>
      </c>
    </row>
    <row r="594" spans="1:15" ht="12">
      <c r="A594" s="148"/>
      <c r="B594" s="174" t="s">
        <v>604</v>
      </c>
      <c r="C594" s="175" t="s">
        <v>1606</v>
      </c>
      <c r="D594" s="176" t="s">
        <v>1519</v>
      </c>
      <c r="E594" s="177" t="s">
        <v>605</v>
      </c>
      <c r="F594" s="175">
        <f t="shared" si="27"/>
        <v>13</v>
      </c>
      <c r="G594" s="175" t="str">
        <f t="shared" si="28"/>
        <v>Parkersburg</v>
      </c>
      <c r="H594" s="175" t="str">
        <f t="shared" si="29"/>
        <v>Parkersburg, WV</v>
      </c>
      <c r="I594" s="178" t="s">
        <v>1308</v>
      </c>
      <c r="J594" s="27" t="s">
        <v>1519</v>
      </c>
      <c r="K594" s="27">
        <v>1031</v>
      </c>
      <c r="L594" s="179">
        <v>4646</v>
      </c>
      <c r="M594" s="180" t="s">
        <v>1520</v>
      </c>
      <c r="N594" s="181" t="s">
        <v>1519</v>
      </c>
      <c r="O594" s="182" t="s">
        <v>1521</v>
      </c>
    </row>
    <row r="595" spans="1:15" ht="12">
      <c r="A595" s="148"/>
      <c r="B595" s="174" t="s">
        <v>606</v>
      </c>
      <c r="C595" s="175" t="s">
        <v>433</v>
      </c>
      <c r="D595" s="176" t="s">
        <v>434</v>
      </c>
      <c r="E595" s="177" t="s">
        <v>607</v>
      </c>
      <c r="F595" s="175">
        <f t="shared" si="27"/>
        <v>10</v>
      </c>
      <c r="G595" s="175" t="str">
        <f t="shared" si="28"/>
        <v>Pasadena</v>
      </c>
      <c r="H595" s="175" t="str">
        <f t="shared" si="29"/>
        <v>Pasadena, CA</v>
      </c>
      <c r="I595" s="178" t="s">
        <v>436</v>
      </c>
      <c r="J595" s="27" t="s">
        <v>434</v>
      </c>
      <c r="K595" s="27">
        <v>1537</v>
      </c>
      <c r="L595" s="179">
        <v>1154</v>
      </c>
      <c r="M595" s="178" t="s">
        <v>437</v>
      </c>
      <c r="N595" s="27" t="s">
        <v>434</v>
      </c>
      <c r="O595" s="182" t="s">
        <v>438</v>
      </c>
    </row>
    <row r="596" spans="1:15" ht="12">
      <c r="A596" s="148"/>
      <c r="B596" s="174" t="s">
        <v>608</v>
      </c>
      <c r="C596" s="175" t="s">
        <v>433</v>
      </c>
      <c r="D596" s="176" t="s">
        <v>434</v>
      </c>
      <c r="E596" s="177" t="s">
        <v>607</v>
      </c>
      <c r="F596" s="175">
        <f t="shared" si="27"/>
        <v>10</v>
      </c>
      <c r="G596" s="175" t="str">
        <f t="shared" si="28"/>
        <v>Pasadena</v>
      </c>
      <c r="H596" s="175" t="str">
        <f t="shared" si="29"/>
        <v>Pasadena, CA</v>
      </c>
      <c r="I596" s="178" t="s">
        <v>436</v>
      </c>
      <c r="J596" s="27" t="s">
        <v>434</v>
      </c>
      <c r="K596" s="27">
        <v>1537</v>
      </c>
      <c r="L596" s="179">
        <v>1154</v>
      </c>
      <c r="M596" s="178" t="s">
        <v>437</v>
      </c>
      <c r="N596" s="27" t="s">
        <v>434</v>
      </c>
      <c r="O596" s="182" t="s">
        <v>438</v>
      </c>
    </row>
    <row r="597" spans="1:15" ht="12">
      <c r="A597" s="148"/>
      <c r="B597" s="186" t="s">
        <v>609</v>
      </c>
      <c r="C597" s="175" t="s">
        <v>1537</v>
      </c>
      <c r="D597" s="176" t="s">
        <v>1538</v>
      </c>
      <c r="E597" s="177" t="s">
        <v>610</v>
      </c>
      <c r="F597" s="175">
        <f t="shared" si="27"/>
        <v>10</v>
      </c>
      <c r="G597" s="175" t="str">
        <f t="shared" si="28"/>
        <v>Paterson</v>
      </c>
      <c r="H597" s="175" t="str">
        <f t="shared" si="29"/>
        <v>Paterson, NJ</v>
      </c>
      <c r="I597" s="178" t="s">
        <v>61</v>
      </c>
      <c r="J597" s="27" t="s">
        <v>1538</v>
      </c>
      <c r="K597" s="27">
        <v>1201</v>
      </c>
      <c r="L597" s="179">
        <v>4888</v>
      </c>
      <c r="M597" s="180" t="s">
        <v>62</v>
      </c>
      <c r="N597" s="181" t="s">
        <v>1538</v>
      </c>
      <c r="O597" s="182" t="s">
        <v>63</v>
      </c>
    </row>
    <row r="598" spans="1:15" ht="12">
      <c r="A598" s="148"/>
      <c r="B598" s="186" t="s">
        <v>611</v>
      </c>
      <c r="C598" s="175" t="s">
        <v>1537</v>
      </c>
      <c r="D598" s="176" t="s">
        <v>1538</v>
      </c>
      <c r="E598" s="177" t="s">
        <v>610</v>
      </c>
      <c r="F598" s="175">
        <f t="shared" si="27"/>
        <v>10</v>
      </c>
      <c r="G598" s="175" t="str">
        <f t="shared" si="28"/>
        <v>Paterson</v>
      </c>
      <c r="H598" s="175" t="str">
        <f t="shared" si="29"/>
        <v>Paterson, NJ</v>
      </c>
      <c r="I598" s="178" t="s">
        <v>61</v>
      </c>
      <c r="J598" s="27" t="s">
        <v>1538</v>
      </c>
      <c r="K598" s="27">
        <v>1201</v>
      </c>
      <c r="L598" s="179">
        <v>4888</v>
      </c>
      <c r="M598" s="180" t="s">
        <v>62</v>
      </c>
      <c r="N598" s="181" t="s">
        <v>1538</v>
      </c>
      <c r="O598" s="182" t="s">
        <v>63</v>
      </c>
    </row>
    <row r="599" spans="1:15" ht="12">
      <c r="A599" s="148"/>
      <c r="B599" s="174" t="s">
        <v>612</v>
      </c>
      <c r="C599" s="175" t="s">
        <v>1622</v>
      </c>
      <c r="D599" s="176" t="s">
        <v>1623</v>
      </c>
      <c r="E599" s="177" t="s">
        <v>613</v>
      </c>
      <c r="F599" s="175">
        <f t="shared" si="27"/>
        <v>11</v>
      </c>
      <c r="G599" s="175" t="str">
        <f t="shared" si="28"/>
        <v>Pendleton</v>
      </c>
      <c r="H599" s="175" t="str">
        <f t="shared" si="29"/>
        <v>Pendleton, OR</v>
      </c>
      <c r="I599" s="178" t="s">
        <v>586</v>
      </c>
      <c r="J599" s="27" t="s">
        <v>1623</v>
      </c>
      <c r="K599" s="27">
        <v>701</v>
      </c>
      <c r="L599" s="179">
        <v>5294</v>
      </c>
      <c r="M599" s="180" t="s">
        <v>1626</v>
      </c>
      <c r="N599" s="181" t="s">
        <v>1627</v>
      </c>
      <c r="O599" s="182" t="s">
        <v>1628</v>
      </c>
    </row>
    <row r="600" spans="1:15" ht="12">
      <c r="A600" s="148"/>
      <c r="B600" s="174" t="s">
        <v>2401</v>
      </c>
      <c r="C600" s="175" t="s">
        <v>661</v>
      </c>
      <c r="D600" s="176" t="s">
        <v>662</v>
      </c>
      <c r="E600" s="177" t="s">
        <v>2402</v>
      </c>
      <c r="F600" s="175">
        <f t="shared" si="27"/>
        <v>11</v>
      </c>
      <c r="G600" s="175" t="str">
        <f t="shared" si="28"/>
        <v>Pensacola</v>
      </c>
      <c r="H600" s="175" t="str">
        <f t="shared" si="29"/>
        <v>Pensacola, FL</v>
      </c>
      <c r="I600" s="178" t="s">
        <v>2403</v>
      </c>
      <c r="J600" s="27" t="s">
        <v>662</v>
      </c>
      <c r="K600" s="27">
        <v>2636</v>
      </c>
      <c r="L600" s="179">
        <v>1617</v>
      </c>
      <c r="M600" s="180" t="s">
        <v>753</v>
      </c>
      <c r="N600" s="181" t="s">
        <v>494</v>
      </c>
      <c r="O600" s="182" t="s">
        <v>754</v>
      </c>
    </row>
    <row r="601" spans="1:15" ht="12">
      <c r="A601" s="148"/>
      <c r="B601" s="174" t="s">
        <v>2404</v>
      </c>
      <c r="C601" s="175" t="s">
        <v>1636</v>
      </c>
      <c r="D601" s="176" t="s">
        <v>1637</v>
      </c>
      <c r="E601" s="177" t="s">
        <v>2405</v>
      </c>
      <c r="F601" s="175">
        <f t="shared" si="27"/>
        <v>8</v>
      </c>
      <c r="G601" s="175" t="str">
        <f t="shared" si="28"/>
        <v>Peoria</v>
      </c>
      <c r="H601" s="175" t="str">
        <f t="shared" si="29"/>
        <v>Peoria, IL</v>
      </c>
      <c r="I601" s="178" t="s">
        <v>893</v>
      </c>
      <c r="J601" s="27" t="s">
        <v>1637</v>
      </c>
      <c r="K601" s="27">
        <v>982</v>
      </c>
      <c r="L601" s="179">
        <v>6148</v>
      </c>
      <c r="M601" s="178" t="s">
        <v>1990</v>
      </c>
      <c r="N601" s="27" t="s">
        <v>1637</v>
      </c>
      <c r="O601" s="182" t="s">
        <v>1991</v>
      </c>
    </row>
    <row r="602" spans="1:15" ht="12">
      <c r="A602" s="148"/>
      <c r="B602" s="174" t="s">
        <v>2406</v>
      </c>
      <c r="C602" s="175" t="s">
        <v>1636</v>
      </c>
      <c r="D602" s="176" t="s">
        <v>1637</v>
      </c>
      <c r="E602" s="177" t="s">
        <v>2405</v>
      </c>
      <c r="F602" s="175">
        <f t="shared" si="27"/>
        <v>8</v>
      </c>
      <c r="G602" s="175" t="str">
        <f t="shared" si="28"/>
        <v>Peoria</v>
      </c>
      <c r="H602" s="175" t="str">
        <f t="shared" si="29"/>
        <v>Peoria, IL</v>
      </c>
      <c r="I602" s="178" t="s">
        <v>893</v>
      </c>
      <c r="J602" s="27" t="s">
        <v>1637</v>
      </c>
      <c r="K602" s="27">
        <v>982</v>
      </c>
      <c r="L602" s="179">
        <v>6148</v>
      </c>
      <c r="M602" s="178" t="s">
        <v>1990</v>
      </c>
      <c r="N602" s="27" t="s">
        <v>1637</v>
      </c>
      <c r="O602" s="182" t="s">
        <v>1991</v>
      </c>
    </row>
    <row r="603" spans="1:15" ht="12">
      <c r="A603" s="148"/>
      <c r="B603" s="174" t="s">
        <v>2407</v>
      </c>
      <c r="C603" s="175" t="s">
        <v>425</v>
      </c>
      <c r="D603" s="176" t="s">
        <v>426</v>
      </c>
      <c r="E603" s="177" t="s">
        <v>2408</v>
      </c>
      <c r="F603" s="175">
        <f t="shared" si="27"/>
        <v>12</v>
      </c>
      <c r="G603" s="175" t="str">
        <f t="shared" si="28"/>
        <v>Petersburg</v>
      </c>
      <c r="H603" s="175" t="str">
        <f t="shared" si="29"/>
        <v>Petersburg, VA</v>
      </c>
      <c r="I603" s="178" t="s">
        <v>56</v>
      </c>
      <c r="J603" s="27" t="s">
        <v>426</v>
      </c>
      <c r="K603" s="27">
        <v>1422</v>
      </c>
      <c r="L603" s="179">
        <v>3495</v>
      </c>
      <c r="M603" s="180" t="s">
        <v>57</v>
      </c>
      <c r="N603" s="181" t="s">
        <v>426</v>
      </c>
      <c r="O603" s="182" t="s">
        <v>58</v>
      </c>
    </row>
    <row r="604" spans="1:15" ht="12">
      <c r="A604" s="148"/>
      <c r="B604" s="174" t="s">
        <v>2409</v>
      </c>
      <c r="C604" s="175" t="s">
        <v>1606</v>
      </c>
      <c r="D604" s="176" t="s">
        <v>1519</v>
      </c>
      <c r="E604" s="177" t="s">
        <v>2408</v>
      </c>
      <c r="F604" s="175">
        <f t="shared" si="27"/>
        <v>12</v>
      </c>
      <c r="G604" s="175" t="str">
        <f t="shared" si="28"/>
        <v>Petersburg</v>
      </c>
      <c r="H604" s="175" t="str">
        <f t="shared" si="29"/>
        <v>Petersburg, WV</v>
      </c>
      <c r="I604" s="178" t="s">
        <v>2385</v>
      </c>
      <c r="J604" s="27" t="s">
        <v>1519</v>
      </c>
      <c r="K604" s="27">
        <v>346</v>
      </c>
      <c r="L604" s="179">
        <v>6120</v>
      </c>
      <c r="M604" s="180" t="s">
        <v>2386</v>
      </c>
      <c r="N604" s="181" t="s">
        <v>1519</v>
      </c>
      <c r="O604" s="182" t="s">
        <v>581</v>
      </c>
    </row>
    <row r="605" spans="1:15" ht="12">
      <c r="A605" s="148"/>
      <c r="B605" s="174" t="s">
        <v>2410</v>
      </c>
      <c r="C605" s="175" t="s">
        <v>440</v>
      </c>
      <c r="D605" s="176" t="s">
        <v>441</v>
      </c>
      <c r="E605" s="177" t="s">
        <v>2411</v>
      </c>
      <c r="F605" s="175">
        <f t="shared" si="27"/>
        <v>14</v>
      </c>
      <c r="G605" s="175" t="str">
        <f t="shared" si="28"/>
        <v>Philadelphia</v>
      </c>
      <c r="H605" s="175" t="str">
        <f t="shared" si="29"/>
        <v>Philadelphia, PA</v>
      </c>
      <c r="I605" s="178" t="s">
        <v>1028</v>
      </c>
      <c r="J605" s="27" t="s">
        <v>1725</v>
      </c>
      <c r="K605" s="27">
        <v>1046</v>
      </c>
      <c r="L605" s="179">
        <v>4937</v>
      </c>
      <c r="M605" s="180" t="s">
        <v>1354</v>
      </c>
      <c r="N605" s="181" t="s">
        <v>441</v>
      </c>
      <c r="O605" s="182" t="s">
        <v>1355</v>
      </c>
    </row>
    <row r="606" spans="1:15" ht="12">
      <c r="A606" s="148"/>
      <c r="B606" s="174" t="s">
        <v>2412</v>
      </c>
      <c r="C606" s="175" t="s">
        <v>440</v>
      </c>
      <c r="D606" s="176" t="s">
        <v>441</v>
      </c>
      <c r="E606" s="177" t="s">
        <v>2411</v>
      </c>
      <c r="F606" s="175">
        <f t="shared" si="27"/>
        <v>14</v>
      </c>
      <c r="G606" s="175" t="str">
        <f t="shared" si="28"/>
        <v>Philadelphia</v>
      </c>
      <c r="H606" s="175" t="str">
        <f t="shared" si="29"/>
        <v>Philadelphia, PA</v>
      </c>
      <c r="I606" s="178" t="s">
        <v>1353</v>
      </c>
      <c r="J606" s="27" t="s">
        <v>441</v>
      </c>
      <c r="K606" s="27">
        <v>1101</v>
      </c>
      <c r="L606" s="179">
        <v>4954</v>
      </c>
      <c r="M606" s="180" t="s">
        <v>1354</v>
      </c>
      <c r="N606" s="181" t="s">
        <v>441</v>
      </c>
      <c r="O606" s="182" t="s">
        <v>1355</v>
      </c>
    </row>
    <row r="607" spans="1:15" ht="12">
      <c r="A607" s="148"/>
      <c r="B607" s="174" t="s">
        <v>2413</v>
      </c>
      <c r="C607" s="175" t="s">
        <v>1300</v>
      </c>
      <c r="D607" s="176" t="s">
        <v>1301</v>
      </c>
      <c r="E607" s="177" t="s">
        <v>2414</v>
      </c>
      <c r="F607" s="175">
        <f t="shared" si="27"/>
        <v>9</v>
      </c>
      <c r="G607" s="175" t="str">
        <f t="shared" si="28"/>
        <v>Phoenix</v>
      </c>
      <c r="H607" s="175" t="str">
        <f t="shared" si="29"/>
        <v>Phoenix, AZ</v>
      </c>
      <c r="I607" s="178" t="s">
        <v>2415</v>
      </c>
      <c r="J607" s="27" t="s">
        <v>1301</v>
      </c>
      <c r="K607" s="27">
        <v>4162</v>
      </c>
      <c r="L607" s="179">
        <v>1350</v>
      </c>
      <c r="M607" s="178" t="s">
        <v>2416</v>
      </c>
      <c r="N607" s="27" t="s">
        <v>1301</v>
      </c>
      <c r="O607" s="182" t="s">
        <v>2417</v>
      </c>
    </row>
    <row r="608" spans="1:15" ht="12">
      <c r="A608" s="148"/>
      <c r="B608" s="174" t="s">
        <v>2418</v>
      </c>
      <c r="C608" s="175" t="s">
        <v>1300</v>
      </c>
      <c r="D608" s="176" t="s">
        <v>1301</v>
      </c>
      <c r="E608" s="177" t="s">
        <v>2414</v>
      </c>
      <c r="F608" s="175">
        <f t="shared" si="27"/>
        <v>9</v>
      </c>
      <c r="G608" s="175" t="str">
        <f t="shared" si="28"/>
        <v>Phoenix</v>
      </c>
      <c r="H608" s="175" t="str">
        <f t="shared" si="29"/>
        <v>Phoenix, AZ</v>
      </c>
      <c r="I608" s="178" t="s">
        <v>2415</v>
      </c>
      <c r="J608" s="27" t="s">
        <v>1301</v>
      </c>
      <c r="K608" s="27">
        <v>4162</v>
      </c>
      <c r="L608" s="179">
        <v>1350</v>
      </c>
      <c r="M608" s="178" t="s">
        <v>2416</v>
      </c>
      <c r="N608" s="27" t="s">
        <v>1301</v>
      </c>
      <c r="O608" s="182" t="s">
        <v>2417</v>
      </c>
    </row>
    <row r="609" spans="1:15" ht="12">
      <c r="A609" s="148"/>
      <c r="B609" s="174" t="s">
        <v>2419</v>
      </c>
      <c r="C609" s="175" t="s">
        <v>246</v>
      </c>
      <c r="D609" s="176" t="s">
        <v>247</v>
      </c>
      <c r="E609" s="177" t="s">
        <v>2420</v>
      </c>
      <c r="F609" s="175">
        <f t="shared" si="27"/>
        <v>8</v>
      </c>
      <c r="G609" s="175" t="str">
        <f t="shared" si="28"/>
        <v>Pierre</v>
      </c>
      <c r="H609" s="175" t="str">
        <f t="shared" si="29"/>
        <v>Pierre, SD</v>
      </c>
      <c r="I609" s="178" t="s">
        <v>450</v>
      </c>
      <c r="J609" s="27" t="s">
        <v>247</v>
      </c>
      <c r="K609" s="27">
        <v>611</v>
      </c>
      <c r="L609" s="179">
        <v>7301</v>
      </c>
      <c r="M609" s="180" t="s">
        <v>451</v>
      </c>
      <c r="N609" s="181" t="s">
        <v>247</v>
      </c>
      <c r="O609" s="182" t="s">
        <v>452</v>
      </c>
    </row>
    <row r="610" spans="1:15" ht="12">
      <c r="A610" s="148"/>
      <c r="B610" s="174" t="s">
        <v>2421</v>
      </c>
      <c r="C610" s="175" t="s">
        <v>516</v>
      </c>
      <c r="D610" s="176" t="s">
        <v>517</v>
      </c>
      <c r="E610" s="177" t="s">
        <v>2422</v>
      </c>
      <c r="F610" s="175">
        <f t="shared" si="27"/>
        <v>11</v>
      </c>
      <c r="G610" s="175" t="str">
        <f t="shared" si="28"/>
        <v>Pikeville</v>
      </c>
      <c r="H610" s="175" t="str">
        <f t="shared" si="29"/>
        <v>Pikeville, KY</v>
      </c>
      <c r="I610" s="178" t="s">
        <v>1308</v>
      </c>
      <c r="J610" s="27" t="s">
        <v>1519</v>
      </c>
      <c r="K610" s="27">
        <v>1031</v>
      </c>
      <c r="L610" s="179">
        <v>4646</v>
      </c>
      <c r="M610" s="180" t="s">
        <v>1520</v>
      </c>
      <c r="N610" s="181" t="s">
        <v>1519</v>
      </c>
      <c r="O610" s="182" t="s">
        <v>1521</v>
      </c>
    </row>
    <row r="611" spans="1:15" ht="12">
      <c r="A611" s="148"/>
      <c r="B611" s="174" t="s">
        <v>2423</v>
      </c>
      <c r="C611" s="175" t="s">
        <v>516</v>
      </c>
      <c r="D611" s="176" t="s">
        <v>517</v>
      </c>
      <c r="E611" s="177" t="s">
        <v>2422</v>
      </c>
      <c r="F611" s="175">
        <f t="shared" si="27"/>
        <v>11</v>
      </c>
      <c r="G611" s="175" t="str">
        <f t="shared" si="28"/>
        <v>Pikeville</v>
      </c>
      <c r="H611" s="175" t="str">
        <f t="shared" si="29"/>
        <v>Pikeville, KY</v>
      </c>
      <c r="I611" s="178" t="s">
        <v>1518</v>
      </c>
      <c r="J611" s="27" t="s">
        <v>1519</v>
      </c>
      <c r="K611" s="27">
        <v>1005</v>
      </c>
      <c r="L611" s="179">
        <v>4665</v>
      </c>
      <c r="M611" s="180" t="s">
        <v>1520</v>
      </c>
      <c r="N611" s="181" t="s">
        <v>1519</v>
      </c>
      <c r="O611" s="182" t="s">
        <v>1521</v>
      </c>
    </row>
    <row r="612" spans="1:15" ht="12">
      <c r="A612" s="148"/>
      <c r="B612" s="174" t="s">
        <v>2424</v>
      </c>
      <c r="C612" s="175" t="s">
        <v>1578</v>
      </c>
      <c r="D612" s="176" t="s">
        <v>1579</v>
      </c>
      <c r="E612" s="177" t="s">
        <v>2425</v>
      </c>
      <c r="F612" s="175">
        <f t="shared" si="27"/>
        <v>12</v>
      </c>
      <c r="G612" s="175" t="str">
        <f t="shared" si="28"/>
        <v>Pine Bluff</v>
      </c>
      <c r="H612" s="175" t="str">
        <f t="shared" si="29"/>
        <v>Pine Bluff, AR</v>
      </c>
      <c r="I612" s="178" t="s">
        <v>2063</v>
      </c>
      <c r="J612" s="27" t="s">
        <v>1335</v>
      </c>
      <c r="K612" s="27">
        <v>2215</v>
      </c>
      <c r="L612" s="179">
        <v>2467</v>
      </c>
      <c r="M612" s="180" t="s">
        <v>1336</v>
      </c>
      <c r="N612" s="181" t="s">
        <v>1335</v>
      </c>
      <c r="O612" s="182" t="s">
        <v>1337</v>
      </c>
    </row>
    <row r="613" spans="1:15" ht="12">
      <c r="A613" s="148"/>
      <c r="B613" s="174" t="s">
        <v>2426</v>
      </c>
      <c r="C613" s="175" t="s">
        <v>440</v>
      </c>
      <c r="D613" s="176" t="s">
        <v>441</v>
      </c>
      <c r="E613" s="177" t="s">
        <v>2427</v>
      </c>
      <c r="F613" s="175">
        <f t="shared" si="27"/>
        <v>12</v>
      </c>
      <c r="G613" s="175" t="str">
        <f t="shared" si="28"/>
        <v>Pittsburgh</v>
      </c>
      <c r="H613" s="175" t="str">
        <f t="shared" si="29"/>
        <v>Pittsburgh, PA</v>
      </c>
      <c r="I613" s="178" t="s">
        <v>455</v>
      </c>
      <c r="J613" s="27" t="s">
        <v>441</v>
      </c>
      <c r="K613" s="27">
        <v>654</v>
      </c>
      <c r="L613" s="179">
        <v>5968</v>
      </c>
      <c r="M613" s="180" t="s">
        <v>456</v>
      </c>
      <c r="N613" s="181" t="s">
        <v>441</v>
      </c>
      <c r="O613" s="182" t="s">
        <v>457</v>
      </c>
    </row>
    <row r="614" spans="1:15" ht="12">
      <c r="A614" s="148"/>
      <c r="B614" s="174" t="s">
        <v>2428</v>
      </c>
      <c r="C614" s="175" t="s">
        <v>440</v>
      </c>
      <c r="D614" s="176" t="s">
        <v>441</v>
      </c>
      <c r="E614" s="177" t="s">
        <v>2427</v>
      </c>
      <c r="F614" s="175">
        <f t="shared" si="27"/>
        <v>12</v>
      </c>
      <c r="G614" s="175" t="str">
        <f t="shared" si="28"/>
        <v>Pittsburgh</v>
      </c>
      <c r="H614" s="175" t="str">
        <f t="shared" si="29"/>
        <v>Pittsburgh, PA</v>
      </c>
      <c r="I614" s="178" t="s">
        <v>455</v>
      </c>
      <c r="J614" s="27" t="s">
        <v>441</v>
      </c>
      <c r="K614" s="27">
        <v>654</v>
      </c>
      <c r="L614" s="179">
        <v>5968</v>
      </c>
      <c r="M614" s="180" t="s">
        <v>456</v>
      </c>
      <c r="N614" s="181" t="s">
        <v>441</v>
      </c>
      <c r="O614" s="182" t="s">
        <v>457</v>
      </c>
    </row>
    <row r="615" spans="1:15" ht="12">
      <c r="A615" s="148"/>
      <c r="B615" s="174" t="s">
        <v>2429</v>
      </c>
      <c r="C615" s="175" t="s">
        <v>440</v>
      </c>
      <c r="D615" s="176" t="s">
        <v>441</v>
      </c>
      <c r="E615" s="177" t="s">
        <v>2427</v>
      </c>
      <c r="F615" s="175">
        <f t="shared" si="27"/>
        <v>12</v>
      </c>
      <c r="G615" s="175" t="str">
        <f t="shared" si="28"/>
        <v>Pittsburgh</v>
      </c>
      <c r="H615" s="175" t="str">
        <f t="shared" si="29"/>
        <v>Pittsburgh, PA</v>
      </c>
      <c r="I615" s="178" t="s">
        <v>455</v>
      </c>
      <c r="J615" s="27" t="s">
        <v>441</v>
      </c>
      <c r="K615" s="27">
        <v>654</v>
      </c>
      <c r="L615" s="179">
        <v>5968</v>
      </c>
      <c r="M615" s="180" t="s">
        <v>456</v>
      </c>
      <c r="N615" s="181" t="s">
        <v>441</v>
      </c>
      <c r="O615" s="182" t="s">
        <v>457</v>
      </c>
    </row>
    <row r="616" spans="1:15" ht="12">
      <c r="A616" s="148"/>
      <c r="B616" s="186" t="s">
        <v>2430</v>
      </c>
      <c r="C616" s="175" t="s">
        <v>2288</v>
      </c>
      <c r="D616" s="176" t="s">
        <v>2289</v>
      </c>
      <c r="E616" s="177" t="s">
        <v>2431</v>
      </c>
      <c r="F616" s="175">
        <f t="shared" si="27"/>
        <v>12</v>
      </c>
      <c r="G616" s="175" t="str">
        <f t="shared" si="28"/>
        <v>Pittsfield</v>
      </c>
      <c r="H616" s="175" t="str">
        <f t="shared" si="29"/>
        <v>Pittsfield, MA</v>
      </c>
      <c r="I616" s="178" t="s">
        <v>409</v>
      </c>
      <c r="J616" s="27" t="s">
        <v>408</v>
      </c>
      <c r="K616" s="27">
        <v>507</v>
      </c>
      <c r="L616" s="179">
        <v>6894</v>
      </c>
      <c r="M616" s="180" t="s">
        <v>410</v>
      </c>
      <c r="N616" s="181" t="s">
        <v>408</v>
      </c>
      <c r="O616" s="182" t="s">
        <v>411</v>
      </c>
    </row>
    <row r="617" spans="1:15" ht="12">
      <c r="A617" s="148"/>
      <c r="B617" s="186" t="s">
        <v>2432</v>
      </c>
      <c r="C617" s="175" t="s">
        <v>262</v>
      </c>
      <c r="D617" s="176" t="s">
        <v>263</v>
      </c>
      <c r="E617" s="177" t="s">
        <v>2431</v>
      </c>
      <c r="F617" s="175">
        <f t="shared" si="27"/>
        <v>12</v>
      </c>
      <c r="G617" s="175" t="str">
        <f t="shared" si="28"/>
        <v>Pittsfield</v>
      </c>
      <c r="H617" s="175" t="str">
        <f t="shared" si="29"/>
        <v>Pittsfield, NH</v>
      </c>
      <c r="I617" s="178" t="s">
        <v>265</v>
      </c>
      <c r="J617" s="27" t="s">
        <v>263</v>
      </c>
      <c r="K617" s="27">
        <v>328</v>
      </c>
      <c r="L617" s="179">
        <v>7554</v>
      </c>
      <c r="M617" s="180" t="s">
        <v>266</v>
      </c>
      <c r="N617" s="181" t="s">
        <v>263</v>
      </c>
      <c r="O617" s="182" t="s">
        <v>267</v>
      </c>
    </row>
    <row r="618" spans="1:15" ht="12">
      <c r="A618" s="148"/>
      <c r="B618" s="174" t="s">
        <v>2433</v>
      </c>
      <c r="C618" s="175" t="s">
        <v>42</v>
      </c>
      <c r="D618" s="176" t="s">
        <v>1691</v>
      </c>
      <c r="E618" s="177" t="s">
        <v>2434</v>
      </c>
      <c r="F618" s="175">
        <f t="shared" si="27"/>
        <v>13</v>
      </c>
      <c r="G618" s="175" t="str">
        <f t="shared" si="28"/>
        <v>Platteville</v>
      </c>
      <c r="H618" s="175" t="str">
        <f t="shared" si="29"/>
        <v>Platteville, WI</v>
      </c>
      <c r="I618" s="178" t="s">
        <v>2310</v>
      </c>
      <c r="J618" s="27" t="s">
        <v>1323</v>
      </c>
      <c r="K618" s="27">
        <v>702</v>
      </c>
      <c r="L618" s="179">
        <v>7406</v>
      </c>
      <c r="M618" s="180" t="s">
        <v>936</v>
      </c>
      <c r="N618" s="181" t="s">
        <v>1691</v>
      </c>
      <c r="O618" s="182" t="s">
        <v>937</v>
      </c>
    </row>
    <row r="619" spans="1:15" ht="12">
      <c r="A619" s="148"/>
      <c r="B619" s="174" t="s">
        <v>2435</v>
      </c>
      <c r="C619" s="175" t="s">
        <v>407</v>
      </c>
      <c r="D619" s="176" t="s">
        <v>408</v>
      </c>
      <c r="E619" s="177" t="s">
        <v>2436</v>
      </c>
      <c r="F619" s="175">
        <f t="shared" si="27"/>
        <v>13</v>
      </c>
      <c r="G619" s="175" t="str">
        <f t="shared" si="28"/>
        <v>Plattsburgh</v>
      </c>
      <c r="H619" s="175" t="str">
        <f t="shared" si="29"/>
        <v>Plattsburgh, NY</v>
      </c>
      <c r="I619" s="178" t="s">
        <v>1329</v>
      </c>
      <c r="J619" s="27" t="s">
        <v>1612</v>
      </c>
      <c r="K619" s="27">
        <v>388</v>
      </c>
      <c r="L619" s="179">
        <v>7771</v>
      </c>
      <c r="M619" s="180" t="s">
        <v>1330</v>
      </c>
      <c r="N619" s="181" t="s">
        <v>1612</v>
      </c>
      <c r="O619" s="182" t="s">
        <v>1331</v>
      </c>
    </row>
    <row r="620" spans="1:15" ht="12">
      <c r="A620" s="148"/>
      <c r="B620" s="174" t="s">
        <v>2437</v>
      </c>
      <c r="C620" s="175" t="s">
        <v>2280</v>
      </c>
      <c r="D620" s="176" t="s">
        <v>2281</v>
      </c>
      <c r="E620" s="177" t="s">
        <v>2438</v>
      </c>
      <c r="F620" s="175">
        <f t="shared" si="27"/>
        <v>11</v>
      </c>
      <c r="G620" s="175" t="str">
        <f t="shared" si="28"/>
        <v>Pocatello</v>
      </c>
      <c r="H620" s="175" t="str">
        <f t="shared" si="29"/>
        <v>Pocatello, ID</v>
      </c>
      <c r="I620" s="178" t="s">
        <v>77</v>
      </c>
      <c r="J620" s="27" t="s">
        <v>2281</v>
      </c>
      <c r="K620" s="27">
        <v>421</v>
      </c>
      <c r="L620" s="179">
        <v>7180</v>
      </c>
      <c r="M620" s="180" t="s">
        <v>78</v>
      </c>
      <c r="N620" s="181" t="s">
        <v>2281</v>
      </c>
      <c r="O620" s="182" t="s">
        <v>79</v>
      </c>
    </row>
    <row r="621" spans="1:15" ht="12">
      <c r="A621" s="148"/>
      <c r="B621" s="174" t="s">
        <v>2439</v>
      </c>
      <c r="C621" s="175" t="s">
        <v>433</v>
      </c>
      <c r="D621" s="176" t="s">
        <v>434</v>
      </c>
      <c r="E621" s="177" t="s">
        <v>2440</v>
      </c>
      <c r="F621" s="175">
        <f t="shared" si="27"/>
        <v>15</v>
      </c>
      <c r="G621" s="175" t="str">
        <f t="shared" si="28"/>
        <v>Pollock Pines</v>
      </c>
      <c r="H621" s="175" t="str">
        <f t="shared" si="29"/>
        <v>Pollock Pines, CA</v>
      </c>
      <c r="I621" s="178" t="s">
        <v>1393</v>
      </c>
      <c r="J621" s="27" t="s">
        <v>1391</v>
      </c>
      <c r="K621" s="27">
        <v>508</v>
      </c>
      <c r="L621" s="179">
        <v>5674</v>
      </c>
      <c r="M621" s="180" t="s">
        <v>1394</v>
      </c>
      <c r="N621" s="181" t="s">
        <v>1391</v>
      </c>
      <c r="O621" s="182" t="s">
        <v>1395</v>
      </c>
    </row>
    <row r="622" spans="1:15" ht="12">
      <c r="A622" s="148"/>
      <c r="B622" s="174" t="s">
        <v>2441</v>
      </c>
      <c r="C622" s="175" t="s">
        <v>500</v>
      </c>
      <c r="D622" s="176" t="s">
        <v>501</v>
      </c>
      <c r="E622" s="177" t="s">
        <v>2442</v>
      </c>
      <c r="F622" s="175">
        <f t="shared" si="27"/>
        <v>12</v>
      </c>
      <c r="G622" s="175" t="str">
        <f t="shared" si="28"/>
        <v>Ponca City</v>
      </c>
      <c r="H622" s="175" t="str">
        <f t="shared" si="29"/>
        <v>Ponca City, OK</v>
      </c>
      <c r="I622" s="178" t="s">
        <v>2443</v>
      </c>
      <c r="J622" s="27" t="s">
        <v>501</v>
      </c>
      <c r="K622" s="27">
        <v>2017</v>
      </c>
      <c r="L622" s="179">
        <v>3691</v>
      </c>
      <c r="M622" s="180" t="s">
        <v>2444</v>
      </c>
      <c r="N622" s="181" t="s">
        <v>501</v>
      </c>
      <c r="O622" s="182" t="s">
        <v>2445</v>
      </c>
    </row>
    <row r="623" spans="1:15" ht="12">
      <c r="A623" s="148"/>
      <c r="B623" s="174" t="s">
        <v>2446</v>
      </c>
      <c r="C623" s="175" t="s">
        <v>1366</v>
      </c>
      <c r="D623" s="176" t="s">
        <v>1367</v>
      </c>
      <c r="E623" s="177" t="s">
        <v>2447</v>
      </c>
      <c r="F623" s="175">
        <f t="shared" si="27"/>
        <v>14</v>
      </c>
      <c r="G623" s="175" t="str">
        <f t="shared" si="28"/>
        <v>Poplar Bluff</v>
      </c>
      <c r="H623" s="175" t="str">
        <f t="shared" si="29"/>
        <v>Poplar Bluff, MO</v>
      </c>
      <c r="I623" s="178" t="s">
        <v>1914</v>
      </c>
      <c r="J623" s="27" t="s">
        <v>1367</v>
      </c>
      <c r="K623" s="27">
        <v>1320</v>
      </c>
      <c r="L623" s="179">
        <v>4638</v>
      </c>
      <c r="M623" s="180" t="s">
        <v>1640</v>
      </c>
      <c r="N623" s="181" t="s">
        <v>1367</v>
      </c>
      <c r="O623" s="182" t="s">
        <v>1915</v>
      </c>
    </row>
    <row r="624" spans="1:15" ht="12">
      <c r="A624" s="148"/>
      <c r="B624" s="174" t="s">
        <v>2448</v>
      </c>
      <c r="C624" s="175" t="s">
        <v>42</v>
      </c>
      <c r="D624" s="176" t="s">
        <v>1691</v>
      </c>
      <c r="E624" s="177" t="s">
        <v>2449</v>
      </c>
      <c r="F624" s="175">
        <f t="shared" si="27"/>
        <v>9</v>
      </c>
      <c r="G624" s="175" t="str">
        <f t="shared" si="28"/>
        <v>Portage</v>
      </c>
      <c r="H624" s="175" t="str">
        <f t="shared" si="29"/>
        <v>Portage, WI</v>
      </c>
      <c r="I624" s="178" t="s">
        <v>935</v>
      </c>
      <c r="J624" s="27" t="s">
        <v>1691</v>
      </c>
      <c r="K624" s="27">
        <v>485</v>
      </c>
      <c r="L624" s="179">
        <v>7673</v>
      </c>
      <c r="M624" s="180" t="s">
        <v>936</v>
      </c>
      <c r="N624" s="181" t="s">
        <v>1691</v>
      </c>
      <c r="O624" s="182" t="s">
        <v>937</v>
      </c>
    </row>
    <row r="625" spans="1:15" ht="12">
      <c r="A625" s="148"/>
      <c r="B625" s="186" t="s">
        <v>2450</v>
      </c>
      <c r="C625" s="175" t="s">
        <v>1544</v>
      </c>
      <c r="D625" s="176" t="s">
        <v>1545</v>
      </c>
      <c r="E625" s="177" t="s">
        <v>2451</v>
      </c>
      <c r="F625" s="175">
        <f t="shared" si="27"/>
        <v>10</v>
      </c>
      <c r="G625" s="175" t="str">
        <f t="shared" si="28"/>
        <v>Portland</v>
      </c>
      <c r="H625" s="175" t="str">
        <f t="shared" si="29"/>
        <v>Portland, ME</v>
      </c>
      <c r="I625" s="178" t="s">
        <v>1547</v>
      </c>
      <c r="J625" s="27" t="s">
        <v>1545</v>
      </c>
      <c r="K625" s="27">
        <v>268</v>
      </c>
      <c r="L625" s="179">
        <v>7378</v>
      </c>
      <c r="M625" s="180" t="s">
        <v>1548</v>
      </c>
      <c r="N625" s="181" t="s">
        <v>1545</v>
      </c>
      <c r="O625" s="182" t="s">
        <v>1549</v>
      </c>
    </row>
    <row r="626" spans="1:15" ht="12">
      <c r="A626" s="148"/>
      <c r="B626" s="186" t="s">
        <v>2452</v>
      </c>
      <c r="C626" s="175" t="s">
        <v>1544</v>
      </c>
      <c r="D626" s="176" t="s">
        <v>1545</v>
      </c>
      <c r="E626" s="177" t="s">
        <v>2451</v>
      </c>
      <c r="F626" s="175">
        <f t="shared" si="27"/>
        <v>10</v>
      </c>
      <c r="G626" s="175" t="str">
        <f t="shared" si="28"/>
        <v>Portland</v>
      </c>
      <c r="H626" s="175" t="str">
        <f t="shared" si="29"/>
        <v>Portland, ME</v>
      </c>
      <c r="I626" s="178" t="s">
        <v>1547</v>
      </c>
      <c r="J626" s="27" t="s">
        <v>1545</v>
      </c>
      <c r="K626" s="27">
        <v>268</v>
      </c>
      <c r="L626" s="179">
        <v>7378</v>
      </c>
      <c r="M626" s="180" t="s">
        <v>1548</v>
      </c>
      <c r="N626" s="181" t="s">
        <v>1545</v>
      </c>
      <c r="O626" s="182" t="s">
        <v>1549</v>
      </c>
    </row>
    <row r="627" spans="1:15" ht="12">
      <c r="A627" s="148"/>
      <c r="B627" s="174" t="s">
        <v>2453</v>
      </c>
      <c r="C627" s="175" t="s">
        <v>1622</v>
      </c>
      <c r="D627" s="176" t="s">
        <v>1623</v>
      </c>
      <c r="E627" s="177" t="s">
        <v>2451</v>
      </c>
      <c r="F627" s="175">
        <f t="shared" si="27"/>
        <v>10</v>
      </c>
      <c r="G627" s="175" t="str">
        <f t="shared" si="28"/>
        <v>Portland</v>
      </c>
      <c r="H627" s="175" t="str">
        <f t="shared" si="29"/>
        <v>Portland, OR</v>
      </c>
      <c r="I627" s="178" t="s">
        <v>2454</v>
      </c>
      <c r="J627" s="27" t="s">
        <v>1623</v>
      </c>
      <c r="K627" s="27">
        <v>371</v>
      </c>
      <c r="L627" s="179">
        <v>4522</v>
      </c>
      <c r="M627" s="180" t="s">
        <v>1548</v>
      </c>
      <c r="N627" s="181" t="s">
        <v>1623</v>
      </c>
      <c r="O627" s="182" t="s">
        <v>2455</v>
      </c>
    </row>
    <row r="628" spans="1:15" ht="12">
      <c r="A628" s="148"/>
      <c r="B628" s="174" t="s">
        <v>2456</v>
      </c>
      <c r="C628" s="175" t="s">
        <v>1622</v>
      </c>
      <c r="D628" s="176" t="s">
        <v>1623</v>
      </c>
      <c r="E628" s="177" t="s">
        <v>2451</v>
      </c>
      <c r="F628" s="175">
        <f t="shared" si="27"/>
        <v>10</v>
      </c>
      <c r="G628" s="175" t="str">
        <f t="shared" si="28"/>
        <v>Portland</v>
      </c>
      <c r="H628" s="175" t="str">
        <f t="shared" si="29"/>
        <v>Portland, OR</v>
      </c>
      <c r="I628" s="178" t="s">
        <v>2454</v>
      </c>
      <c r="J628" s="27" t="s">
        <v>1623</v>
      </c>
      <c r="K628" s="27">
        <v>371</v>
      </c>
      <c r="L628" s="179">
        <v>4522</v>
      </c>
      <c r="M628" s="180" t="s">
        <v>1548</v>
      </c>
      <c r="N628" s="181" t="s">
        <v>1623</v>
      </c>
      <c r="O628" s="182" t="s">
        <v>2455</v>
      </c>
    </row>
    <row r="629" spans="1:15" ht="12">
      <c r="A629" s="148"/>
      <c r="B629" s="186" t="s">
        <v>2457</v>
      </c>
      <c r="C629" s="175" t="s">
        <v>262</v>
      </c>
      <c r="D629" s="176" t="s">
        <v>263</v>
      </c>
      <c r="E629" s="177" t="s">
        <v>2458</v>
      </c>
      <c r="F629" s="175">
        <f t="shared" si="27"/>
        <v>12</v>
      </c>
      <c r="G629" s="175" t="str">
        <f t="shared" si="28"/>
        <v>Portsmouth</v>
      </c>
      <c r="H629" s="175" t="str">
        <f t="shared" si="29"/>
        <v>Portsmouth, NH</v>
      </c>
      <c r="I629" s="178" t="s">
        <v>1547</v>
      </c>
      <c r="J629" s="27" t="s">
        <v>1545</v>
      </c>
      <c r="K629" s="27">
        <v>268</v>
      </c>
      <c r="L629" s="179">
        <v>7378</v>
      </c>
      <c r="M629" s="180" t="s">
        <v>1548</v>
      </c>
      <c r="N629" s="181" t="s">
        <v>1545</v>
      </c>
      <c r="O629" s="182" t="s">
        <v>1549</v>
      </c>
    </row>
    <row r="630" spans="1:15" ht="12">
      <c r="A630" s="148"/>
      <c r="B630" s="174" t="s">
        <v>2459</v>
      </c>
      <c r="C630" s="175" t="s">
        <v>425</v>
      </c>
      <c r="D630" s="176" t="s">
        <v>426</v>
      </c>
      <c r="E630" s="177" t="s">
        <v>2458</v>
      </c>
      <c r="F630" s="175">
        <f t="shared" si="27"/>
        <v>12</v>
      </c>
      <c r="G630" s="175" t="str">
        <f t="shared" si="28"/>
        <v>Portsmouth</v>
      </c>
      <c r="H630" s="175" t="str">
        <f t="shared" si="29"/>
        <v>Portsmouth, VA</v>
      </c>
      <c r="I630" s="178" t="s">
        <v>56</v>
      </c>
      <c r="J630" s="27" t="s">
        <v>426</v>
      </c>
      <c r="K630" s="27">
        <v>1422</v>
      </c>
      <c r="L630" s="179">
        <v>3495</v>
      </c>
      <c r="M630" s="180" t="s">
        <v>57</v>
      </c>
      <c r="N630" s="181" t="s">
        <v>426</v>
      </c>
      <c r="O630" s="182" t="s">
        <v>58</v>
      </c>
    </row>
    <row r="631" spans="1:15" ht="12">
      <c r="A631" s="148"/>
      <c r="B631" s="174" t="s">
        <v>2460</v>
      </c>
      <c r="C631" s="175" t="s">
        <v>500</v>
      </c>
      <c r="D631" s="176" t="s">
        <v>501</v>
      </c>
      <c r="E631" s="177" t="s">
        <v>2461</v>
      </c>
      <c r="F631" s="175">
        <f t="shared" si="27"/>
        <v>8</v>
      </c>
      <c r="G631" s="175" t="str">
        <f t="shared" si="28"/>
        <v>Poteau</v>
      </c>
      <c r="H631" s="175" t="str">
        <f t="shared" si="29"/>
        <v>Poteau, OK</v>
      </c>
      <c r="I631" s="178" t="s">
        <v>1955</v>
      </c>
      <c r="J631" s="27" t="s">
        <v>1579</v>
      </c>
      <c r="K631" s="27">
        <v>1894</v>
      </c>
      <c r="L631" s="179">
        <v>3478</v>
      </c>
      <c r="M631" s="178" t="s">
        <v>1956</v>
      </c>
      <c r="N631" s="27" t="s">
        <v>1579</v>
      </c>
      <c r="O631" s="182" t="s">
        <v>1957</v>
      </c>
    </row>
    <row r="632" spans="1:15" ht="12">
      <c r="A632" s="148"/>
      <c r="B632" s="174" t="s">
        <v>2462</v>
      </c>
      <c r="C632" s="175" t="s">
        <v>440</v>
      </c>
      <c r="D632" s="176" t="s">
        <v>441</v>
      </c>
      <c r="E632" s="177" t="s">
        <v>2463</v>
      </c>
      <c r="F632" s="175">
        <f t="shared" si="27"/>
        <v>12</v>
      </c>
      <c r="G632" s="175" t="str">
        <f t="shared" si="28"/>
        <v>Pottsville</v>
      </c>
      <c r="H632" s="175" t="str">
        <f t="shared" si="29"/>
        <v>Pottsville, PA</v>
      </c>
      <c r="I632" s="178" t="s">
        <v>443</v>
      </c>
      <c r="J632" s="27" t="s">
        <v>441</v>
      </c>
      <c r="K632" s="27">
        <v>773</v>
      </c>
      <c r="L632" s="179">
        <v>5785</v>
      </c>
      <c r="M632" s="178" t="s">
        <v>444</v>
      </c>
      <c r="N632" s="27" t="s">
        <v>441</v>
      </c>
      <c r="O632" s="182" t="s">
        <v>445</v>
      </c>
    </row>
    <row r="633" spans="1:15" ht="12">
      <c r="A633" s="148"/>
      <c r="B633" s="174" t="s">
        <v>2464</v>
      </c>
      <c r="C633" s="175" t="s">
        <v>407</v>
      </c>
      <c r="D633" s="176" t="s">
        <v>408</v>
      </c>
      <c r="E633" s="177" t="s">
        <v>2465</v>
      </c>
      <c r="F633" s="175">
        <f t="shared" si="27"/>
        <v>14</v>
      </c>
      <c r="G633" s="175" t="str">
        <f t="shared" si="28"/>
        <v>Poughkeepsie</v>
      </c>
      <c r="H633" s="175" t="str">
        <f t="shared" si="29"/>
        <v>Poughkeepsie, NY</v>
      </c>
      <c r="I633" s="178" t="s">
        <v>747</v>
      </c>
      <c r="J633" s="27" t="s">
        <v>681</v>
      </c>
      <c r="K633" s="27">
        <v>677</v>
      </c>
      <c r="L633" s="179">
        <v>6151</v>
      </c>
      <c r="M633" s="178" t="s">
        <v>744</v>
      </c>
      <c r="N633" s="27" t="s">
        <v>681</v>
      </c>
      <c r="O633" s="182" t="s">
        <v>745</v>
      </c>
    </row>
    <row r="634" spans="1:15" ht="12">
      <c r="A634" s="148"/>
      <c r="B634" s="174" t="s">
        <v>2466</v>
      </c>
      <c r="C634" s="175" t="s">
        <v>407</v>
      </c>
      <c r="D634" s="176" t="s">
        <v>408</v>
      </c>
      <c r="E634" s="177" t="s">
        <v>2465</v>
      </c>
      <c r="F634" s="175">
        <f t="shared" si="27"/>
        <v>14</v>
      </c>
      <c r="G634" s="175" t="str">
        <f t="shared" si="28"/>
        <v>Poughkeepsie</v>
      </c>
      <c r="H634" s="175" t="str">
        <f t="shared" si="29"/>
        <v>Poughkeepsie, NY</v>
      </c>
      <c r="I634" s="178" t="s">
        <v>683</v>
      </c>
      <c r="J634" s="27" t="s">
        <v>681</v>
      </c>
      <c r="K634" s="27">
        <v>724</v>
      </c>
      <c r="L634" s="179">
        <v>5537</v>
      </c>
      <c r="M634" s="178" t="s">
        <v>684</v>
      </c>
      <c r="N634" s="27" t="s">
        <v>681</v>
      </c>
      <c r="O634" s="182" t="s">
        <v>685</v>
      </c>
    </row>
    <row r="635" spans="1:15" ht="12">
      <c r="A635" s="148"/>
      <c r="B635" s="174" t="s">
        <v>2467</v>
      </c>
      <c r="C635" s="175" t="s">
        <v>1300</v>
      </c>
      <c r="D635" s="176" t="s">
        <v>1301</v>
      </c>
      <c r="E635" s="177" t="s">
        <v>2468</v>
      </c>
      <c r="F635" s="175">
        <f t="shared" si="27"/>
        <v>10</v>
      </c>
      <c r="G635" s="175" t="str">
        <f t="shared" si="28"/>
        <v>Prescott</v>
      </c>
      <c r="H635" s="175" t="str">
        <f t="shared" si="29"/>
        <v>Prescott, AZ</v>
      </c>
      <c r="I635" s="178" t="s">
        <v>1919</v>
      </c>
      <c r="J635" s="27" t="s">
        <v>1301</v>
      </c>
      <c r="K635" s="27">
        <v>145</v>
      </c>
      <c r="L635" s="179">
        <v>7131</v>
      </c>
      <c r="M635" s="178" t="s">
        <v>1920</v>
      </c>
      <c r="N635" s="27" t="s">
        <v>1301</v>
      </c>
      <c r="O635" s="182" t="s">
        <v>1921</v>
      </c>
    </row>
    <row r="636" spans="1:15" ht="12">
      <c r="A636" s="148"/>
      <c r="B636" s="186" t="s">
        <v>2469</v>
      </c>
      <c r="C636" s="175" t="s">
        <v>2470</v>
      </c>
      <c r="D636" s="176" t="s">
        <v>2259</v>
      </c>
      <c r="E636" s="177" t="s">
        <v>2471</v>
      </c>
      <c r="F636" s="175">
        <f t="shared" si="27"/>
        <v>12</v>
      </c>
      <c r="G636" s="175" t="str">
        <f t="shared" si="28"/>
        <v>Providence</v>
      </c>
      <c r="H636" s="175" t="str">
        <f t="shared" si="29"/>
        <v>Providence, RI</v>
      </c>
      <c r="I636" s="178" t="s">
        <v>640</v>
      </c>
      <c r="J636" s="27" t="s">
        <v>2289</v>
      </c>
      <c r="K636" s="27">
        <v>333</v>
      </c>
      <c r="L636" s="179">
        <v>6979</v>
      </c>
      <c r="M636" s="180" t="s">
        <v>2260</v>
      </c>
      <c r="N636" s="181" t="s">
        <v>2259</v>
      </c>
      <c r="O636" s="182" t="s">
        <v>2261</v>
      </c>
    </row>
    <row r="637" spans="1:15" ht="12">
      <c r="A637" s="148"/>
      <c r="B637" s="186" t="s">
        <v>2472</v>
      </c>
      <c r="C637" s="175" t="s">
        <v>2470</v>
      </c>
      <c r="D637" s="176" t="s">
        <v>2259</v>
      </c>
      <c r="E637" s="177" t="s">
        <v>2471</v>
      </c>
      <c r="F637" s="175">
        <f t="shared" si="27"/>
        <v>12</v>
      </c>
      <c r="G637" s="175" t="str">
        <f t="shared" si="28"/>
        <v>Providence</v>
      </c>
      <c r="H637" s="175" t="str">
        <f t="shared" si="29"/>
        <v>Providence, RI</v>
      </c>
      <c r="I637" s="178" t="s">
        <v>2258</v>
      </c>
      <c r="J637" s="27" t="s">
        <v>2259</v>
      </c>
      <c r="K637" s="27">
        <v>606</v>
      </c>
      <c r="L637" s="179">
        <v>5884</v>
      </c>
      <c r="M637" s="180" t="s">
        <v>2260</v>
      </c>
      <c r="N637" s="181" t="s">
        <v>2259</v>
      </c>
      <c r="O637" s="182" t="s">
        <v>2261</v>
      </c>
    </row>
    <row r="638" spans="1:15" ht="12">
      <c r="A638" s="148"/>
      <c r="B638" s="174" t="s">
        <v>2473</v>
      </c>
      <c r="C638" s="175" t="s">
        <v>1187</v>
      </c>
      <c r="D638" s="176" t="s">
        <v>1188</v>
      </c>
      <c r="E638" s="177" t="s">
        <v>2474</v>
      </c>
      <c r="F638" s="175">
        <f t="shared" si="27"/>
        <v>7</v>
      </c>
      <c r="G638" s="175" t="str">
        <f t="shared" si="28"/>
        <v>Provo</v>
      </c>
      <c r="H638" s="175" t="str">
        <f t="shared" si="29"/>
        <v>Provo, UT</v>
      </c>
      <c r="I638" s="178" t="s">
        <v>1190</v>
      </c>
      <c r="J638" s="27" t="s">
        <v>1188</v>
      </c>
      <c r="K638" s="27">
        <v>1047</v>
      </c>
      <c r="L638" s="179">
        <v>5765</v>
      </c>
      <c r="M638" s="180" t="s">
        <v>1191</v>
      </c>
      <c r="N638" s="181" t="s">
        <v>1188</v>
      </c>
      <c r="O638" s="182" t="s">
        <v>1192</v>
      </c>
    </row>
    <row r="639" spans="1:15" ht="12">
      <c r="A639" s="148"/>
      <c r="B639" s="174" t="s">
        <v>2475</v>
      </c>
      <c r="C639" s="175" t="s">
        <v>393</v>
      </c>
      <c r="D639" s="176" t="s">
        <v>394</v>
      </c>
      <c r="E639" s="177" t="s">
        <v>2476</v>
      </c>
      <c r="F639" s="175">
        <f t="shared" si="27"/>
        <v>8</v>
      </c>
      <c r="G639" s="175" t="str">
        <f t="shared" si="28"/>
        <v>Pueblo</v>
      </c>
      <c r="H639" s="175" t="str">
        <f t="shared" si="29"/>
        <v>Pueblo, CO</v>
      </c>
      <c r="I639" s="178" t="s">
        <v>2089</v>
      </c>
      <c r="J639" s="27" t="s">
        <v>394</v>
      </c>
      <c r="K639" s="27">
        <v>973</v>
      </c>
      <c r="L639" s="179">
        <v>5413</v>
      </c>
      <c r="M639" s="180" t="s">
        <v>2090</v>
      </c>
      <c r="N639" s="181" t="s">
        <v>394</v>
      </c>
      <c r="O639" s="182" t="s">
        <v>2091</v>
      </c>
    </row>
    <row r="640" spans="1:15" ht="12">
      <c r="A640" s="148"/>
      <c r="B640" s="174" t="s">
        <v>2477</v>
      </c>
      <c r="C640" s="175" t="s">
        <v>425</v>
      </c>
      <c r="D640" s="176" t="s">
        <v>426</v>
      </c>
      <c r="E640" s="177" t="s">
        <v>2478</v>
      </c>
      <c r="F640" s="175">
        <f t="shared" si="27"/>
        <v>9</v>
      </c>
      <c r="G640" s="175" t="str">
        <f t="shared" si="28"/>
        <v>Pulaski</v>
      </c>
      <c r="H640" s="175" t="str">
        <f t="shared" si="29"/>
        <v>Pulaski, VA</v>
      </c>
      <c r="I640" s="178" t="s">
        <v>2276</v>
      </c>
      <c r="J640" s="27" t="s">
        <v>426</v>
      </c>
      <c r="K640" s="27">
        <v>1052</v>
      </c>
      <c r="L640" s="179">
        <v>4360</v>
      </c>
      <c r="M640" s="180" t="s">
        <v>2277</v>
      </c>
      <c r="N640" s="181" t="s">
        <v>426</v>
      </c>
      <c r="O640" s="182" t="s">
        <v>2278</v>
      </c>
    </row>
    <row r="641" spans="1:15" ht="12">
      <c r="A641" s="148"/>
      <c r="B641" s="174" t="s">
        <v>2479</v>
      </c>
      <c r="C641" s="175" t="s">
        <v>407</v>
      </c>
      <c r="D641" s="176" t="s">
        <v>408</v>
      </c>
      <c r="E641" s="177" t="s">
        <v>2480</v>
      </c>
      <c r="F641" s="175">
        <f t="shared" si="27"/>
        <v>8</v>
      </c>
      <c r="G641" s="175" t="str">
        <f t="shared" si="28"/>
        <v>Queens</v>
      </c>
      <c r="H641" s="175" t="str">
        <f t="shared" si="29"/>
        <v>Queens, NY</v>
      </c>
      <c r="I641" s="178" t="s">
        <v>2265</v>
      </c>
      <c r="J641" s="27" t="s">
        <v>408</v>
      </c>
      <c r="K641" s="27">
        <v>1052</v>
      </c>
      <c r="L641" s="179">
        <v>4910</v>
      </c>
      <c r="M641" s="180" t="s">
        <v>2266</v>
      </c>
      <c r="N641" s="181" t="s">
        <v>408</v>
      </c>
      <c r="O641" s="182" t="s">
        <v>1287</v>
      </c>
    </row>
    <row r="642" spans="1:15" ht="12">
      <c r="A642" s="148"/>
      <c r="B642" s="174" t="s">
        <v>2481</v>
      </c>
      <c r="C642" s="175" t="s">
        <v>1636</v>
      </c>
      <c r="D642" s="176" t="s">
        <v>1637</v>
      </c>
      <c r="E642" s="177" t="s">
        <v>2482</v>
      </c>
      <c r="F642" s="175">
        <f t="shared" si="27"/>
        <v>8</v>
      </c>
      <c r="G642" s="175" t="str">
        <f t="shared" si="28"/>
        <v>Quincy</v>
      </c>
      <c r="H642" s="175" t="str">
        <f t="shared" si="29"/>
        <v>Quincy, IL</v>
      </c>
      <c r="I642" s="178" t="s">
        <v>1639</v>
      </c>
      <c r="J642" s="27" t="s">
        <v>1637</v>
      </c>
      <c r="K642" s="27">
        <v>1141</v>
      </c>
      <c r="L642" s="179">
        <v>5688</v>
      </c>
      <c r="M642" s="178" t="s">
        <v>1640</v>
      </c>
      <c r="N642" s="27" t="s">
        <v>1637</v>
      </c>
      <c r="O642" s="182" t="s">
        <v>2267</v>
      </c>
    </row>
    <row r="643" spans="1:15" ht="12">
      <c r="A643" s="148"/>
      <c r="B643" s="174" t="s">
        <v>2483</v>
      </c>
      <c r="C643" s="175" t="s">
        <v>42</v>
      </c>
      <c r="D643" s="176" t="s">
        <v>1691</v>
      </c>
      <c r="E643" s="177" t="s">
        <v>2484</v>
      </c>
      <c r="F643" s="175">
        <f t="shared" si="27"/>
        <v>8</v>
      </c>
      <c r="G643" s="175" t="str">
        <f t="shared" si="28"/>
        <v>Racine</v>
      </c>
      <c r="H643" s="175" t="str">
        <f t="shared" si="29"/>
        <v>Racine, WI</v>
      </c>
      <c r="I643" s="178" t="s">
        <v>168</v>
      </c>
      <c r="J643" s="27" t="s">
        <v>1691</v>
      </c>
      <c r="K643" s="27">
        <v>479</v>
      </c>
      <c r="L643" s="179">
        <v>7324</v>
      </c>
      <c r="M643" s="180" t="s">
        <v>164</v>
      </c>
      <c r="N643" s="181" t="s">
        <v>1691</v>
      </c>
      <c r="O643" s="182" t="s">
        <v>165</v>
      </c>
    </row>
    <row r="644" spans="1:15" ht="12">
      <c r="A644" s="148"/>
      <c r="B644" s="174" t="s">
        <v>2485</v>
      </c>
      <c r="C644" s="175" t="s">
        <v>472</v>
      </c>
      <c r="D644" s="176" t="s">
        <v>473</v>
      </c>
      <c r="E644" s="177" t="s">
        <v>2486</v>
      </c>
      <c r="F644" s="175">
        <f t="shared" si="27"/>
        <v>9</v>
      </c>
      <c r="G644" s="175" t="str">
        <f t="shared" si="28"/>
        <v>Raleigh</v>
      </c>
      <c r="H644" s="175" t="str">
        <f t="shared" si="29"/>
        <v>Raleigh, NC</v>
      </c>
      <c r="I644" s="178" t="s">
        <v>2303</v>
      </c>
      <c r="J644" s="27" t="s">
        <v>473</v>
      </c>
      <c r="K644" s="27">
        <v>1417</v>
      </c>
      <c r="L644" s="179">
        <v>3457</v>
      </c>
      <c r="M644" s="180" t="s">
        <v>521</v>
      </c>
      <c r="N644" s="181" t="s">
        <v>473</v>
      </c>
      <c r="O644" s="182" t="s">
        <v>522</v>
      </c>
    </row>
    <row r="645" spans="1:15" ht="12">
      <c r="A645" s="148"/>
      <c r="B645" s="174" t="s">
        <v>2487</v>
      </c>
      <c r="C645" s="175" t="s">
        <v>472</v>
      </c>
      <c r="D645" s="176" t="s">
        <v>473</v>
      </c>
      <c r="E645" s="177" t="s">
        <v>2486</v>
      </c>
      <c r="F645" s="175">
        <f t="shared" si="27"/>
        <v>9</v>
      </c>
      <c r="G645" s="175" t="str">
        <f t="shared" si="28"/>
        <v>Raleigh</v>
      </c>
      <c r="H645" s="175" t="str">
        <f t="shared" si="29"/>
        <v>Raleigh, NC</v>
      </c>
      <c r="I645" s="178" t="s">
        <v>2303</v>
      </c>
      <c r="J645" s="27" t="s">
        <v>473</v>
      </c>
      <c r="K645" s="27">
        <v>1417</v>
      </c>
      <c r="L645" s="179">
        <v>3457</v>
      </c>
      <c r="M645" s="180" t="s">
        <v>521</v>
      </c>
      <c r="N645" s="181" t="s">
        <v>473</v>
      </c>
      <c r="O645" s="182" t="s">
        <v>522</v>
      </c>
    </row>
    <row r="646" spans="1:15" ht="12">
      <c r="A646" s="148"/>
      <c r="B646" s="174" t="s">
        <v>2488</v>
      </c>
      <c r="C646" s="175" t="s">
        <v>246</v>
      </c>
      <c r="D646" s="176" t="s">
        <v>247</v>
      </c>
      <c r="E646" s="177" t="s">
        <v>2489</v>
      </c>
      <c r="F646" s="175">
        <f t="shared" ref="F646:F709" si="30">LEN(E646)</f>
        <v>12</v>
      </c>
      <c r="G646" s="175" t="str">
        <f t="shared" ref="G646:G709" si="31">MID(E646,2,F646-2)</f>
        <v>Rapid City</v>
      </c>
      <c r="H646" s="175" t="str">
        <f t="shared" ref="H646:H709" si="32">CONCATENATE(G646,", ",+D646)</f>
        <v>Rapid City, SD</v>
      </c>
      <c r="I646" s="178" t="s">
        <v>450</v>
      </c>
      <c r="J646" s="27" t="s">
        <v>247</v>
      </c>
      <c r="K646" s="27">
        <v>611</v>
      </c>
      <c r="L646" s="179">
        <v>7301</v>
      </c>
      <c r="M646" s="180" t="s">
        <v>451</v>
      </c>
      <c r="N646" s="181" t="s">
        <v>247</v>
      </c>
      <c r="O646" s="182" t="s">
        <v>452</v>
      </c>
    </row>
    <row r="647" spans="1:15" ht="12">
      <c r="A647" s="148"/>
      <c r="B647" s="174" t="s">
        <v>2490</v>
      </c>
      <c r="C647" s="175" t="s">
        <v>1402</v>
      </c>
      <c r="D647" s="176" t="s">
        <v>1403</v>
      </c>
      <c r="E647" s="177" t="s">
        <v>2491</v>
      </c>
      <c r="F647" s="175">
        <f t="shared" si="30"/>
        <v>9</v>
      </c>
      <c r="G647" s="175" t="str">
        <f t="shared" si="31"/>
        <v>Rawlins</v>
      </c>
      <c r="H647" s="175" t="str">
        <f t="shared" si="32"/>
        <v>Rawlins, WY</v>
      </c>
      <c r="I647" s="178" t="s">
        <v>2354</v>
      </c>
      <c r="J647" s="27" t="s">
        <v>1403</v>
      </c>
      <c r="K647" s="27">
        <v>285</v>
      </c>
      <c r="L647" s="179">
        <v>7326</v>
      </c>
      <c r="M647" s="180" t="s">
        <v>2355</v>
      </c>
      <c r="N647" s="181" t="s">
        <v>1403</v>
      </c>
      <c r="O647" s="182" t="s">
        <v>2356</v>
      </c>
    </row>
    <row r="648" spans="1:15" ht="12">
      <c r="A648" s="148"/>
      <c r="B648" s="174" t="s">
        <v>2492</v>
      </c>
      <c r="C648" s="175" t="s">
        <v>440</v>
      </c>
      <c r="D648" s="176" t="s">
        <v>441</v>
      </c>
      <c r="E648" s="177" t="s">
        <v>2493</v>
      </c>
      <c r="F648" s="175">
        <f t="shared" si="30"/>
        <v>9</v>
      </c>
      <c r="G648" s="175" t="str">
        <f t="shared" si="31"/>
        <v>Reading</v>
      </c>
      <c r="H648" s="175" t="str">
        <f t="shared" si="32"/>
        <v>Reading, PA</v>
      </c>
      <c r="I648" s="178" t="s">
        <v>443</v>
      </c>
      <c r="J648" s="27" t="s">
        <v>441</v>
      </c>
      <c r="K648" s="27">
        <v>773</v>
      </c>
      <c r="L648" s="179">
        <v>5785</v>
      </c>
      <c r="M648" s="178" t="s">
        <v>444</v>
      </c>
      <c r="N648" s="27" t="s">
        <v>441</v>
      </c>
      <c r="O648" s="182" t="s">
        <v>445</v>
      </c>
    </row>
    <row r="649" spans="1:15" ht="12">
      <c r="A649" s="148"/>
      <c r="B649" s="174" t="s">
        <v>2494</v>
      </c>
      <c r="C649" s="175" t="s">
        <v>440</v>
      </c>
      <c r="D649" s="176" t="s">
        <v>441</v>
      </c>
      <c r="E649" s="177" t="s">
        <v>2493</v>
      </c>
      <c r="F649" s="175">
        <f t="shared" si="30"/>
        <v>9</v>
      </c>
      <c r="G649" s="175" t="str">
        <f t="shared" si="31"/>
        <v>Reading</v>
      </c>
      <c r="H649" s="175" t="str">
        <f t="shared" si="32"/>
        <v>Reading, PA</v>
      </c>
      <c r="I649" s="178" t="s">
        <v>443</v>
      </c>
      <c r="J649" s="27" t="s">
        <v>441</v>
      </c>
      <c r="K649" s="27">
        <v>773</v>
      </c>
      <c r="L649" s="179">
        <v>5785</v>
      </c>
      <c r="M649" s="178" t="s">
        <v>444</v>
      </c>
      <c r="N649" s="27" t="s">
        <v>441</v>
      </c>
      <c r="O649" s="182" t="s">
        <v>445</v>
      </c>
    </row>
    <row r="650" spans="1:15" ht="12">
      <c r="A650" s="148"/>
      <c r="B650" s="186" t="s">
        <v>2495</v>
      </c>
      <c r="C650" s="175" t="s">
        <v>1537</v>
      </c>
      <c r="D650" s="176" t="s">
        <v>1538</v>
      </c>
      <c r="E650" s="177" t="s">
        <v>2496</v>
      </c>
      <c r="F650" s="175">
        <f t="shared" si="30"/>
        <v>10</v>
      </c>
      <c r="G650" s="175" t="str">
        <f t="shared" si="31"/>
        <v>Red Bank</v>
      </c>
      <c r="H650" s="175" t="str">
        <f t="shared" si="32"/>
        <v>Red Bank, NJ</v>
      </c>
      <c r="I650" s="178" t="s">
        <v>61</v>
      </c>
      <c r="J650" s="27" t="s">
        <v>1538</v>
      </c>
      <c r="K650" s="27">
        <v>1201</v>
      </c>
      <c r="L650" s="179">
        <v>4888</v>
      </c>
      <c r="M650" s="180" t="s">
        <v>62</v>
      </c>
      <c r="N650" s="181" t="s">
        <v>1538</v>
      </c>
      <c r="O650" s="182" t="s">
        <v>63</v>
      </c>
    </row>
    <row r="651" spans="1:15" ht="12">
      <c r="A651" s="148"/>
      <c r="B651" s="174" t="s">
        <v>2497</v>
      </c>
      <c r="C651" s="175" t="s">
        <v>433</v>
      </c>
      <c r="D651" s="176" t="s">
        <v>434</v>
      </c>
      <c r="E651" s="177" t="s">
        <v>2498</v>
      </c>
      <c r="F651" s="175">
        <f t="shared" si="30"/>
        <v>9</v>
      </c>
      <c r="G651" s="175" t="str">
        <f t="shared" si="31"/>
        <v>Redding</v>
      </c>
      <c r="H651" s="175" t="str">
        <f t="shared" si="32"/>
        <v>Redding, CA</v>
      </c>
      <c r="I651" s="178" t="s">
        <v>2499</v>
      </c>
      <c r="J651" s="27" t="s">
        <v>434</v>
      </c>
      <c r="K651" s="27">
        <v>1797</v>
      </c>
      <c r="L651" s="179">
        <v>2855</v>
      </c>
      <c r="M651" s="178" t="s">
        <v>632</v>
      </c>
      <c r="N651" s="27" t="s">
        <v>434</v>
      </c>
      <c r="O651" s="182" t="s">
        <v>633</v>
      </c>
    </row>
    <row r="652" spans="1:15" ht="12">
      <c r="A652" s="148"/>
      <c r="B652" s="174" t="s">
        <v>2500</v>
      </c>
      <c r="C652" s="175" t="s">
        <v>1390</v>
      </c>
      <c r="D652" s="176" t="s">
        <v>1391</v>
      </c>
      <c r="E652" s="177" t="s">
        <v>2501</v>
      </c>
      <c r="F652" s="175">
        <f t="shared" si="30"/>
        <v>6</v>
      </c>
      <c r="G652" s="175" t="str">
        <f t="shared" si="31"/>
        <v>Reno</v>
      </c>
      <c r="H652" s="175" t="str">
        <f t="shared" si="32"/>
        <v>Reno, NV</v>
      </c>
      <c r="I652" s="178" t="s">
        <v>1393</v>
      </c>
      <c r="J652" s="27" t="s">
        <v>1391</v>
      </c>
      <c r="K652" s="27">
        <v>508</v>
      </c>
      <c r="L652" s="179">
        <v>5674</v>
      </c>
      <c r="M652" s="180" t="s">
        <v>1394</v>
      </c>
      <c r="N652" s="181" t="s">
        <v>1391</v>
      </c>
      <c r="O652" s="182" t="s">
        <v>1395</v>
      </c>
    </row>
    <row r="653" spans="1:15" ht="12">
      <c r="A653" s="148"/>
      <c r="B653" s="174" t="s">
        <v>2502</v>
      </c>
      <c r="C653" s="175" t="s">
        <v>1390</v>
      </c>
      <c r="D653" s="176" t="s">
        <v>1391</v>
      </c>
      <c r="E653" s="177" t="s">
        <v>2501</v>
      </c>
      <c r="F653" s="175">
        <f t="shared" si="30"/>
        <v>6</v>
      </c>
      <c r="G653" s="175" t="str">
        <f t="shared" si="31"/>
        <v>Reno</v>
      </c>
      <c r="H653" s="175" t="str">
        <f t="shared" si="32"/>
        <v>Reno, NV</v>
      </c>
      <c r="I653" s="178" t="s">
        <v>1393</v>
      </c>
      <c r="J653" s="27" t="s">
        <v>1391</v>
      </c>
      <c r="K653" s="27">
        <v>508</v>
      </c>
      <c r="L653" s="179">
        <v>5674</v>
      </c>
      <c r="M653" s="180" t="s">
        <v>1394</v>
      </c>
      <c r="N653" s="181" t="s">
        <v>1391</v>
      </c>
      <c r="O653" s="182" t="s">
        <v>1395</v>
      </c>
    </row>
    <row r="654" spans="1:15" ht="12">
      <c r="A654" s="148"/>
      <c r="B654" s="174" t="s">
        <v>2503</v>
      </c>
      <c r="C654" s="175" t="s">
        <v>1390</v>
      </c>
      <c r="D654" s="176" t="s">
        <v>1391</v>
      </c>
      <c r="E654" s="177" t="s">
        <v>2501</v>
      </c>
      <c r="F654" s="175">
        <f t="shared" si="30"/>
        <v>6</v>
      </c>
      <c r="G654" s="175" t="str">
        <f t="shared" si="31"/>
        <v>Reno</v>
      </c>
      <c r="H654" s="175" t="str">
        <f t="shared" si="32"/>
        <v>Reno, NV</v>
      </c>
      <c r="I654" s="178" t="s">
        <v>1393</v>
      </c>
      <c r="J654" s="27" t="s">
        <v>1391</v>
      </c>
      <c r="K654" s="27">
        <v>508</v>
      </c>
      <c r="L654" s="179">
        <v>5674</v>
      </c>
      <c r="M654" s="180" t="s">
        <v>1394</v>
      </c>
      <c r="N654" s="181" t="s">
        <v>1391</v>
      </c>
      <c r="O654" s="182" t="s">
        <v>1395</v>
      </c>
    </row>
    <row r="655" spans="1:15" ht="12">
      <c r="A655" s="148"/>
      <c r="B655" s="174" t="s">
        <v>2504</v>
      </c>
      <c r="C655" s="175" t="s">
        <v>42</v>
      </c>
      <c r="D655" s="176" t="s">
        <v>1691</v>
      </c>
      <c r="E655" s="177" t="s">
        <v>2505</v>
      </c>
      <c r="F655" s="175">
        <f t="shared" si="30"/>
        <v>13</v>
      </c>
      <c r="G655" s="175" t="str">
        <f t="shared" si="31"/>
        <v>Rhinelander</v>
      </c>
      <c r="H655" s="175" t="str">
        <f t="shared" si="32"/>
        <v>Rhinelander, WI</v>
      </c>
      <c r="I655" s="178" t="s">
        <v>795</v>
      </c>
      <c r="J655" s="27" t="s">
        <v>481</v>
      </c>
      <c r="K655" s="27">
        <v>256</v>
      </c>
      <c r="L655" s="179">
        <v>8218</v>
      </c>
      <c r="M655" s="180" t="s">
        <v>2046</v>
      </c>
      <c r="N655" s="181" t="s">
        <v>1691</v>
      </c>
      <c r="O655" s="182" t="s">
        <v>2047</v>
      </c>
    </row>
    <row r="656" spans="1:15" ht="12">
      <c r="A656" s="148"/>
      <c r="B656" s="174" t="s">
        <v>32</v>
      </c>
      <c r="C656" s="175" t="s">
        <v>584</v>
      </c>
      <c r="D656" s="176" t="s">
        <v>1627</v>
      </c>
      <c r="E656" s="177" t="s">
        <v>33</v>
      </c>
      <c r="F656" s="175">
        <f t="shared" si="30"/>
        <v>10</v>
      </c>
      <c r="G656" s="175" t="str">
        <f t="shared" si="31"/>
        <v>Richland</v>
      </c>
      <c r="H656" s="175" t="str">
        <f t="shared" si="32"/>
        <v>Richland, WA</v>
      </c>
      <c r="I656" s="178" t="s">
        <v>586</v>
      </c>
      <c r="J656" s="27" t="s">
        <v>1623</v>
      </c>
      <c r="K656" s="27">
        <v>701</v>
      </c>
      <c r="L656" s="179">
        <v>5294</v>
      </c>
      <c r="M656" s="180" t="s">
        <v>1626</v>
      </c>
      <c r="N656" s="181" t="s">
        <v>1627</v>
      </c>
      <c r="O656" s="182" t="s">
        <v>1628</v>
      </c>
    </row>
    <row r="657" spans="1:15" ht="12">
      <c r="A657" s="148"/>
      <c r="B657" s="174" t="s">
        <v>34</v>
      </c>
      <c r="C657" s="175" t="s">
        <v>433</v>
      </c>
      <c r="D657" s="176" t="s">
        <v>434</v>
      </c>
      <c r="E657" s="177" t="s">
        <v>35</v>
      </c>
      <c r="F657" s="175">
        <f t="shared" si="30"/>
        <v>10</v>
      </c>
      <c r="G657" s="175" t="str">
        <f t="shared" si="31"/>
        <v>Richmond</v>
      </c>
      <c r="H657" s="175" t="str">
        <f t="shared" si="32"/>
        <v>Richmond, CA</v>
      </c>
      <c r="I657" s="178" t="s">
        <v>1409</v>
      </c>
      <c r="J657" s="27" t="s">
        <v>434</v>
      </c>
      <c r="K657" s="27">
        <v>145</v>
      </c>
      <c r="L657" s="179">
        <v>3016</v>
      </c>
      <c r="M657" s="178" t="s">
        <v>1410</v>
      </c>
      <c r="N657" s="27" t="s">
        <v>434</v>
      </c>
      <c r="O657" s="182" t="s">
        <v>1411</v>
      </c>
    </row>
    <row r="658" spans="1:15" ht="12">
      <c r="A658" s="148"/>
      <c r="B658" s="174" t="s">
        <v>36</v>
      </c>
      <c r="C658" s="175" t="s">
        <v>425</v>
      </c>
      <c r="D658" s="176" t="s">
        <v>426</v>
      </c>
      <c r="E658" s="177" t="s">
        <v>35</v>
      </c>
      <c r="F658" s="175">
        <f t="shared" si="30"/>
        <v>10</v>
      </c>
      <c r="G658" s="175" t="str">
        <f t="shared" si="31"/>
        <v>Richmond</v>
      </c>
      <c r="H658" s="175" t="str">
        <f t="shared" si="32"/>
        <v>Richmond, VA</v>
      </c>
      <c r="I658" s="178" t="s">
        <v>2339</v>
      </c>
      <c r="J658" s="27" t="s">
        <v>426</v>
      </c>
      <c r="K658" s="27">
        <v>1348</v>
      </c>
      <c r="L658" s="179">
        <v>3963</v>
      </c>
      <c r="M658" s="180" t="s">
        <v>2340</v>
      </c>
      <c r="N658" s="181" t="s">
        <v>426</v>
      </c>
      <c r="O658" s="182" t="s">
        <v>2341</v>
      </c>
    </row>
    <row r="659" spans="1:15" ht="12">
      <c r="A659" s="148"/>
      <c r="B659" s="174" t="s">
        <v>37</v>
      </c>
      <c r="C659" s="175" t="s">
        <v>425</v>
      </c>
      <c r="D659" s="176" t="s">
        <v>426</v>
      </c>
      <c r="E659" s="177" t="s">
        <v>35</v>
      </c>
      <c r="F659" s="175">
        <f t="shared" si="30"/>
        <v>10</v>
      </c>
      <c r="G659" s="175" t="str">
        <f t="shared" si="31"/>
        <v>Richmond</v>
      </c>
      <c r="H659" s="175" t="str">
        <f t="shared" si="32"/>
        <v>Richmond, VA</v>
      </c>
      <c r="I659" s="178" t="s">
        <v>2339</v>
      </c>
      <c r="J659" s="27" t="s">
        <v>426</v>
      </c>
      <c r="K659" s="27">
        <v>1348</v>
      </c>
      <c r="L659" s="179">
        <v>3963</v>
      </c>
      <c r="M659" s="180" t="s">
        <v>2340</v>
      </c>
      <c r="N659" s="181" t="s">
        <v>426</v>
      </c>
      <c r="O659" s="182" t="s">
        <v>2341</v>
      </c>
    </row>
    <row r="660" spans="1:15" ht="12">
      <c r="A660" s="148"/>
      <c r="B660" s="174" t="s">
        <v>38</v>
      </c>
      <c r="C660" s="175" t="s">
        <v>425</v>
      </c>
      <c r="D660" s="176" t="s">
        <v>426</v>
      </c>
      <c r="E660" s="177" t="s">
        <v>35</v>
      </c>
      <c r="F660" s="175">
        <f t="shared" si="30"/>
        <v>10</v>
      </c>
      <c r="G660" s="175" t="str">
        <f t="shared" si="31"/>
        <v>Richmond</v>
      </c>
      <c r="H660" s="175" t="str">
        <f t="shared" si="32"/>
        <v>Richmond, VA</v>
      </c>
      <c r="I660" s="178" t="s">
        <v>2339</v>
      </c>
      <c r="J660" s="27" t="s">
        <v>426</v>
      </c>
      <c r="K660" s="27">
        <v>1348</v>
      </c>
      <c r="L660" s="179">
        <v>3963</v>
      </c>
      <c r="M660" s="180" t="s">
        <v>2340</v>
      </c>
      <c r="N660" s="181" t="s">
        <v>426</v>
      </c>
      <c r="O660" s="182" t="s">
        <v>2341</v>
      </c>
    </row>
    <row r="661" spans="1:15" ht="12">
      <c r="A661" s="148"/>
      <c r="B661" s="174" t="s">
        <v>283</v>
      </c>
      <c r="C661" s="175" t="s">
        <v>42</v>
      </c>
      <c r="D661" s="176" t="s">
        <v>1691</v>
      </c>
      <c r="E661" s="177" t="s">
        <v>284</v>
      </c>
      <c r="F661" s="175">
        <f t="shared" si="30"/>
        <v>13</v>
      </c>
      <c r="G661" s="175" t="str">
        <f t="shared" si="31"/>
        <v>River Falls</v>
      </c>
      <c r="H661" s="175" t="str">
        <f t="shared" si="32"/>
        <v>River Falls, WI</v>
      </c>
      <c r="I661" s="178" t="s">
        <v>44</v>
      </c>
      <c r="J661" s="27" t="s">
        <v>1616</v>
      </c>
      <c r="K661" s="27">
        <v>682</v>
      </c>
      <c r="L661" s="179">
        <v>7981</v>
      </c>
      <c r="M661" s="178" t="s">
        <v>675</v>
      </c>
      <c r="N661" s="27" t="s">
        <v>1616</v>
      </c>
      <c r="O661" s="182" t="s">
        <v>676</v>
      </c>
    </row>
    <row r="662" spans="1:15" ht="12">
      <c r="A662" s="148"/>
      <c r="B662" s="174" t="s">
        <v>285</v>
      </c>
      <c r="C662" s="175" t="s">
        <v>407</v>
      </c>
      <c r="D662" s="176" t="s">
        <v>408</v>
      </c>
      <c r="E662" s="177" t="s">
        <v>286</v>
      </c>
      <c r="F662" s="175">
        <f t="shared" si="30"/>
        <v>11</v>
      </c>
      <c r="G662" s="175" t="str">
        <f t="shared" si="31"/>
        <v>Riverhead</v>
      </c>
      <c r="H662" s="175" t="str">
        <f t="shared" si="32"/>
        <v>Riverhead, NY</v>
      </c>
      <c r="I662" s="178" t="s">
        <v>683</v>
      </c>
      <c r="J662" s="27" t="s">
        <v>681</v>
      </c>
      <c r="K662" s="27">
        <v>724</v>
      </c>
      <c r="L662" s="179">
        <v>5537</v>
      </c>
      <c r="M662" s="178" t="s">
        <v>684</v>
      </c>
      <c r="N662" s="27" t="s">
        <v>681</v>
      </c>
      <c r="O662" s="182" t="s">
        <v>685</v>
      </c>
    </row>
    <row r="663" spans="1:15" ht="12">
      <c r="A663" s="148"/>
      <c r="B663" s="174" t="s">
        <v>287</v>
      </c>
      <c r="C663" s="175" t="s">
        <v>433</v>
      </c>
      <c r="D663" s="176" t="s">
        <v>434</v>
      </c>
      <c r="E663" s="177" t="s">
        <v>288</v>
      </c>
      <c r="F663" s="175">
        <f t="shared" si="30"/>
        <v>11</v>
      </c>
      <c r="G663" s="175" t="str">
        <f t="shared" si="31"/>
        <v>Riverside</v>
      </c>
      <c r="H663" s="175" t="str">
        <f t="shared" si="32"/>
        <v>Riverside, CA</v>
      </c>
      <c r="I663" s="178" t="s">
        <v>436</v>
      </c>
      <c r="J663" s="27" t="s">
        <v>434</v>
      </c>
      <c r="K663" s="27">
        <v>1537</v>
      </c>
      <c r="L663" s="179">
        <v>1154</v>
      </c>
      <c r="M663" s="178" t="s">
        <v>437</v>
      </c>
      <c r="N663" s="27" t="s">
        <v>434</v>
      </c>
      <c r="O663" s="182" t="s">
        <v>438</v>
      </c>
    </row>
    <row r="664" spans="1:15" ht="12">
      <c r="A664" s="148"/>
      <c r="B664" s="174" t="s">
        <v>289</v>
      </c>
      <c r="C664" s="175" t="s">
        <v>1402</v>
      </c>
      <c r="D664" s="176" t="s">
        <v>1403</v>
      </c>
      <c r="E664" s="177" t="s">
        <v>290</v>
      </c>
      <c r="F664" s="175">
        <f t="shared" si="30"/>
        <v>10</v>
      </c>
      <c r="G664" s="175" t="str">
        <f t="shared" si="31"/>
        <v>Riverton</v>
      </c>
      <c r="H664" s="175" t="str">
        <f t="shared" si="32"/>
        <v>Riverton, WY</v>
      </c>
      <c r="I664" s="178" t="s">
        <v>103</v>
      </c>
      <c r="J664" s="27" t="s">
        <v>1403</v>
      </c>
      <c r="K664" s="27">
        <v>479</v>
      </c>
      <c r="L664" s="179">
        <v>7889</v>
      </c>
      <c r="M664" s="180" t="s">
        <v>1406</v>
      </c>
      <c r="N664" s="181" t="s">
        <v>1403</v>
      </c>
      <c r="O664" s="182" t="s">
        <v>2304</v>
      </c>
    </row>
    <row r="665" spans="1:15" ht="12">
      <c r="A665" s="148"/>
      <c r="B665" s="174" t="s">
        <v>291</v>
      </c>
      <c r="C665" s="175" t="s">
        <v>425</v>
      </c>
      <c r="D665" s="176" t="s">
        <v>426</v>
      </c>
      <c r="E665" s="177" t="s">
        <v>292</v>
      </c>
      <c r="F665" s="175">
        <f t="shared" si="30"/>
        <v>9</v>
      </c>
      <c r="G665" s="175" t="str">
        <f t="shared" si="31"/>
        <v>Roanoke</v>
      </c>
      <c r="H665" s="175" t="str">
        <f t="shared" si="32"/>
        <v>Roanoke, VA</v>
      </c>
      <c r="I665" s="178" t="s">
        <v>2276</v>
      </c>
      <c r="J665" s="27" t="s">
        <v>426</v>
      </c>
      <c r="K665" s="27">
        <v>1052</v>
      </c>
      <c r="L665" s="179">
        <v>4360</v>
      </c>
      <c r="M665" s="180" t="s">
        <v>2277</v>
      </c>
      <c r="N665" s="181" t="s">
        <v>426</v>
      </c>
      <c r="O665" s="182" t="s">
        <v>2278</v>
      </c>
    </row>
    <row r="666" spans="1:15" ht="12">
      <c r="A666" s="148"/>
      <c r="B666" s="174" t="s">
        <v>293</v>
      </c>
      <c r="C666" s="175" t="s">
        <v>425</v>
      </c>
      <c r="D666" s="176" t="s">
        <v>426</v>
      </c>
      <c r="E666" s="177" t="s">
        <v>292</v>
      </c>
      <c r="F666" s="175">
        <f t="shared" si="30"/>
        <v>9</v>
      </c>
      <c r="G666" s="175" t="str">
        <f t="shared" si="31"/>
        <v>Roanoke</v>
      </c>
      <c r="H666" s="175" t="str">
        <f t="shared" si="32"/>
        <v>Roanoke, VA</v>
      </c>
      <c r="I666" s="178" t="s">
        <v>2276</v>
      </c>
      <c r="J666" s="27" t="s">
        <v>426</v>
      </c>
      <c r="K666" s="27">
        <v>1052</v>
      </c>
      <c r="L666" s="179">
        <v>4360</v>
      </c>
      <c r="M666" s="180" t="s">
        <v>2277</v>
      </c>
      <c r="N666" s="181" t="s">
        <v>426</v>
      </c>
      <c r="O666" s="182" t="s">
        <v>2278</v>
      </c>
    </row>
    <row r="667" spans="1:15" ht="12">
      <c r="A667" s="148"/>
      <c r="B667" s="174" t="s">
        <v>294</v>
      </c>
      <c r="C667" s="175" t="s">
        <v>1615</v>
      </c>
      <c r="D667" s="176" t="s">
        <v>1616</v>
      </c>
      <c r="E667" s="177" t="s">
        <v>295</v>
      </c>
      <c r="F667" s="175">
        <f t="shared" si="30"/>
        <v>11</v>
      </c>
      <c r="G667" s="175" t="str">
        <f t="shared" si="31"/>
        <v>Rochester</v>
      </c>
      <c r="H667" s="175" t="str">
        <f t="shared" si="32"/>
        <v>Rochester, MN</v>
      </c>
      <c r="I667" s="178" t="s">
        <v>1138</v>
      </c>
      <c r="J667" s="27" t="s">
        <v>1616</v>
      </c>
      <c r="K667" s="27">
        <v>472</v>
      </c>
      <c r="L667" s="179">
        <v>8250</v>
      </c>
      <c r="M667" s="178" t="s">
        <v>675</v>
      </c>
      <c r="N667" s="27" t="s">
        <v>1616</v>
      </c>
      <c r="O667" s="182" t="s">
        <v>676</v>
      </c>
    </row>
    <row r="668" spans="1:15" ht="12">
      <c r="A668" s="148"/>
      <c r="B668" s="174" t="s">
        <v>296</v>
      </c>
      <c r="C668" s="175" t="s">
        <v>407</v>
      </c>
      <c r="D668" s="176" t="s">
        <v>408</v>
      </c>
      <c r="E668" s="177" t="s">
        <v>295</v>
      </c>
      <c r="F668" s="175">
        <f t="shared" si="30"/>
        <v>11</v>
      </c>
      <c r="G668" s="175" t="str">
        <f t="shared" si="31"/>
        <v>Rochester</v>
      </c>
      <c r="H668" s="175" t="str">
        <f t="shared" si="32"/>
        <v>Rochester, NY</v>
      </c>
      <c r="I668" s="178" t="s">
        <v>1316</v>
      </c>
      <c r="J668" s="27" t="s">
        <v>408</v>
      </c>
      <c r="K668" s="27">
        <v>477</v>
      </c>
      <c r="L668" s="179">
        <v>6747</v>
      </c>
      <c r="M668" s="180" t="s">
        <v>1317</v>
      </c>
      <c r="N668" s="181" t="s">
        <v>408</v>
      </c>
      <c r="O668" s="182" t="s">
        <v>1318</v>
      </c>
    </row>
    <row r="669" spans="1:15" ht="12">
      <c r="A669" s="148"/>
      <c r="B669" s="174" t="s">
        <v>297</v>
      </c>
      <c r="C669" s="175" t="s">
        <v>407</v>
      </c>
      <c r="D669" s="176" t="s">
        <v>408</v>
      </c>
      <c r="E669" s="177" t="s">
        <v>295</v>
      </c>
      <c r="F669" s="175">
        <f t="shared" si="30"/>
        <v>11</v>
      </c>
      <c r="G669" s="175" t="str">
        <f t="shared" si="31"/>
        <v>Rochester</v>
      </c>
      <c r="H669" s="175" t="str">
        <f t="shared" si="32"/>
        <v>Rochester, NY</v>
      </c>
      <c r="I669" s="178" t="s">
        <v>1316</v>
      </c>
      <c r="J669" s="27" t="s">
        <v>408</v>
      </c>
      <c r="K669" s="27">
        <v>477</v>
      </c>
      <c r="L669" s="179">
        <v>6747</v>
      </c>
      <c r="M669" s="180" t="s">
        <v>1317</v>
      </c>
      <c r="N669" s="181" t="s">
        <v>408</v>
      </c>
      <c r="O669" s="182" t="s">
        <v>1318</v>
      </c>
    </row>
    <row r="670" spans="1:15" ht="12">
      <c r="A670" s="148"/>
      <c r="B670" s="174" t="s">
        <v>298</v>
      </c>
      <c r="C670" s="175" t="s">
        <v>407</v>
      </c>
      <c r="D670" s="176" t="s">
        <v>408</v>
      </c>
      <c r="E670" s="177" t="s">
        <v>295</v>
      </c>
      <c r="F670" s="175">
        <f t="shared" si="30"/>
        <v>11</v>
      </c>
      <c r="G670" s="175" t="str">
        <f t="shared" si="31"/>
        <v>Rochester</v>
      </c>
      <c r="H670" s="175" t="str">
        <f t="shared" si="32"/>
        <v>Rochester, NY</v>
      </c>
      <c r="I670" s="178" t="s">
        <v>1312</v>
      </c>
      <c r="J670" s="27" t="s">
        <v>408</v>
      </c>
      <c r="K670" s="27">
        <v>425</v>
      </c>
      <c r="L670" s="179">
        <v>6734</v>
      </c>
      <c r="M670" s="180" t="s">
        <v>1313</v>
      </c>
      <c r="N670" s="181" t="s">
        <v>408</v>
      </c>
      <c r="O670" s="182" t="s">
        <v>1314</v>
      </c>
    </row>
    <row r="671" spans="1:15" ht="12">
      <c r="A671" s="148"/>
      <c r="B671" s="174" t="s">
        <v>299</v>
      </c>
      <c r="C671" s="175" t="s">
        <v>1636</v>
      </c>
      <c r="D671" s="176" t="s">
        <v>1637</v>
      </c>
      <c r="E671" s="177" t="s">
        <v>300</v>
      </c>
      <c r="F671" s="175">
        <f t="shared" si="30"/>
        <v>13</v>
      </c>
      <c r="G671" s="175" t="str">
        <f t="shared" si="31"/>
        <v>Rock Island</v>
      </c>
      <c r="H671" s="175" t="str">
        <f t="shared" si="32"/>
        <v>Rock Island, IL</v>
      </c>
      <c r="I671" s="178" t="s">
        <v>1325</v>
      </c>
      <c r="J671" s="27" t="s">
        <v>1637</v>
      </c>
      <c r="K671" s="27">
        <v>911</v>
      </c>
      <c r="L671" s="179">
        <v>6474</v>
      </c>
      <c r="M671" s="178" t="s">
        <v>1990</v>
      </c>
      <c r="N671" s="27" t="s">
        <v>1637</v>
      </c>
      <c r="O671" s="182" t="s">
        <v>1991</v>
      </c>
    </row>
    <row r="672" spans="1:15" ht="12">
      <c r="A672" s="148"/>
      <c r="B672" s="174" t="s">
        <v>301</v>
      </c>
      <c r="C672" s="175" t="s">
        <v>1402</v>
      </c>
      <c r="D672" s="176" t="s">
        <v>1403</v>
      </c>
      <c r="E672" s="177" t="s">
        <v>302</v>
      </c>
      <c r="F672" s="175">
        <f t="shared" si="30"/>
        <v>14</v>
      </c>
      <c r="G672" s="175" t="str">
        <f t="shared" si="31"/>
        <v>Rock Springs</v>
      </c>
      <c r="H672" s="175" t="str">
        <f t="shared" si="32"/>
        <v>Rock Springs, WY</v>
      </c>
      <c r="I672" s="178" t="s">
        <v>103</v>
      </c>
      <c r="J672" s="27" t="s">
        <v>1403</v>
      </c>
      <c r="K672" s="27">
        <v>479</v>
      </c>
      <c r="L672" s="179">
        <v>7889</v>
      </c>
      <c r="M672" s="180" t="s">
        <v>1406</v>
      </c>
      <c r="N672" s="181" t="s">
        <v>1403</v>
      </c>
      <c r="O672" s="182" t="s">
        <v>2304</v>
      </c>
    </row>
    <row r="673" spans="1:15" ht="12">
      <c r="A673" s="148"/>
      <c r="B673" s="174" t="s">
        <v>303</v>
      </c>
      <c r="C673" s="175" t="s">
        <v>274</v>
      </c>
      <c r="D673" s="176" t="s">
        <v>275</v>
      </c>
      <c r="E673" s="177" t="s">
        <v>304</v>
      </c>
      <c r="F673" s="175">
        <f t="shared" si="30"/>
        <v>11</v>
      </c>
      <c r="G673" s="175" t="str">
        <f t="shared" si="31"/>
        <v>Rock_Hill</v>
      </c>
      <c r="H673" s="175" t="str">
        <f t="shared" si="32"/>
        <v>Rock_Hill, SC</v>
      </c>
      <c r="I673" s="178" t="s">
        <v>277</v>
      </c>
      <c r="J673" s="27" t="s">
        <v>275</v>
      </c>
      <c r="K673" s="27">
        <v>1966</v>
      </c>
      <c r="L673" s="179">
        <v>2649</v>
      </c>
      <c r="M673" s="178" t="s">
        <v>278</v>
      </c>
      <c r="N673" s="27" t="s">
        <v>275</v>
      </c>
      <c r="O673" s="182" t="s">
        <v>279</v>
      </c>
    </row>
    <row r="674" spans="1:15" ht="12">
      <c r="A674" s="148"/>
      <c r="B674" s="174" t="s">
        <v>305</v>
      </c>
      <c r="C674" s="175" t="s">
        <v>1636</v>
      </c>
      <c r="D674" s="176" t="s">
        <v>1637</v>
      </c>
      <c r="E674" s="177" t="s">
        <v>306</v>
      </c>
      <c r="F674" s="175">
        <f t="shared" si="30"/>
        <v>10</v>
      </c>
      <c r="G674" s="175" t="str">
        <f t="shared" si="31"/>
        <v>Rockford</v>
      </c>
      <c r="H674" s="175" t="str">
        <f t="shared" si="32"/>
        <v>Rockford, IL</v>
      </c>
      <c r="I674" s="178" t="s">
        <v>1163</v>
      </c>
      <c r="J674" s="27" t="s">
        <v>1637</v>
      </c>
      <c r="K674" s="27">
        <v>702</v>
      </c>
      <c r="L674" s="179">
        <v>6969</v>
      </c>
      <c r="M674" s="178" t="s">
        <v>1164</v>
      </c>
      <c r="N674" s="27" t="s">
        <v>1637</v>
      </c>
      <c r="O674" s="182" t="s">
        <v>1165</v>
      </c>
    </row>
    <row r="675" spans="1:15" ht="12">
      <c r="A675" s="148"/>
      <c r="B675" s="174" t="s">
        <v>307</v>
      </c>
      <c r="C675" s="175" t="s">
        <v>1636</v>
      </c>
      <c r="D675" s="176" t="s">
        <v>1637</v>
      </c>
      <c r="E675" s="177" t="s">
        <v>306</v>
      </c>
      <c r="F675" s="175">
        <f t="shared" si="30"/>
        <v>10</v>
      </c>
      <c r="G675" s="175" t="str">
        <f t="shared" si="31"/>
        <v>Rockford</v>
      </c>
      <c r="H675" s="175" t="str">
        <f t="shared" si="32"/>
        <v>Rockford, IL</v>
      </c>
      <c r="I675" s="178" t="s">
        <v>1163</v>
      </c>
      <c r="J675" s="27" t="s">
        <v>1637</v>
      </c>
      <c r="K675" s="27">
        <v>702</v>
      </c>
      <c r="L675" s="179">
        <v>6969</v>
      </c>
      <c r="M675" s="178" t="s">
        <v>1164</v>
      </c>
      <c r="N675" s="27" t="s">
        <v>1637</v>
      </c>
      <c r="O675" s="182" t="s">
        <v>1165</v>
      </c>
    </row>
    <row r="676" spans="1:15" ht="12">
      <c r="A676" s="148"/>
      <c r="B676" s="186" t="s">
        <v>308</v>
      </c>
      <c r="C676" s="175" t="s">
        <v>1544</v>
      </c>
      <c r="D676" s="176" t="s">
        <v>1545</v>
      </c>
      <c r="E676" s="177" t="s">
        <v>309</v>
      </c>
      <c r="F676" s="175">
        <f t="shared" si="30"/>
        <v>10</v>
      </c>
      <c r="G676" s="175" t="str">
        <f t="shared" si="31"/>
        <v>Rockland</v>
      </c>
      <c r="H676" s="175" t="str">
        <f t="shared" si="32"/>
        <v>Rockland, ME</v>
      </c>
      <c r="I676" s="178" t="s">
        <v>1547</v>
      </c>
      <c r="J676" s="27" t="s">
        <v>1545</v>
      </c>
      <c r="K676" s="27">
        <v>268</v>
      </c>
      <c r="L676" s="179">
        <v>7378</v>
      </c>
      <c r="M676" s="180" t="s">
        <v>1548</v>
      </c>
      <c r="N676" s="181" t="s">
        <v>1545</v>
      </c>
      <c r="O676" s="182" t="s">
        <v>1549</v>
      </c>
    </row>
    <row r="677" spans="1:15" ht="12">
      <c r="A677" s="148"/>
      <c r="B677" s="174" t="s">
        <v>310</v>
      </c>
      <c r="C677" s="175" t="s">
        <v>487</v>
      </c>
      <c r="D677" s="176" t="s">
        <v>430</v>
      </c>
      <c r="E677" s="177" t="s">
        <v>311</v>
      </c>
      <c r="F677" s="175">
        <f t="shared" si="30"/>
        <v>11</v>
      </c>
      <c r="G677" s="175" t="str">
        <f t="shared" si="31"/>
        <v>Rockville</v>
      </c>
      <c r="H677" s="175" t="str">
        <f t="shared" si="32"/>
        <v>Rockville, MD</v>
      </c>
      <c r="I677" s="178" t="s">
        <v>489</v>
      </c>
      <c r="J677" s="27" t="s">
        <v>430</v>
      </c>
      <c r="K677" s="27">
        <v>1137</v>
      </c>
      <c r="L677" s="179">
        <v>4707</v>
      </c>
      <c r="M677" s="180" t="s">
        <v>490</v>
      </c>
      <c r="N677" s="181" t="s">
        <v>430</v>
      </c>
      <c r="O677" s="182" t="s">
        <v>491</v>
      </c>
    </row>
    <row r="678" spans="1:15" ht="12">
      <c r="A678" s="148"/>
      <c r="B678" s="174" t="s">
        <v>312</v>
      </c>
      <c r="C678" s="175" t="s">
        <v>472</v>
      </c>
      <c r="D678" s="176" t="s">
        <v>473</v>
      </c>
      <c r="E678" s="177" t="s">
        <v>313</v>
      </c>
      <c r="F678" s="175">
        <f t="shared" si="30"/>
        <v>13</v>
      </c>
      <c r="G678" s="175" t="str">
        <f t="shared" si="31"/>
        <v>Rocky Mount</v>
      </c>
      <c r="H678" s="175" t="str">
        <f t="shared" si="32"/>
        <v>Rocky Mount, NC</v>
      </c>
      <c r="I678" s="178" t="s">
        <v>2303</v>
      </c>
      <c r="J678" s="27" t="s">
        <v>473</v>
      </c>
      <c r="K678" s="27">
        <v>1417</v>
      </c>
      <c r="L678" s="179">
        <v>3457</v>
      </c>
      <c r="M678" s="180" t="s">
        <v>521</v>
      </c>
      <c r="N678" s="181" t="s">
        <v>473</v>
      </c>
      <c r="O678" s="182" t="s">
        <v>522</v>
      </c>
    </row>
    <row r="679" spans="1:15" ht="12">
      <c r="A679" s="148"/>
      <c r="B679" s="174" t="s">
        <v>314</v>
      </c>
      <c r="C679" s="175" t="s">
        <v>1366</v>
      </c>
      <c r="D679" s="176" t="s">
        <v>1367</v>
      </c>
      <c r="E679" s="177" t="s">
        <v>315</v>
      </c>
      <c r="F679" s="175">
        <f t="shared" si="30"/>
        <v>7</v>
      </c>
      <c r="G679" s="175" t="str">
        <f t="shared" si="31"/>
        <v>Rolla</v>
      </c>
      <c r="H679" s="175" t="str">
        <f t="shared" si="32"/>
        <v>Rolla, MO</v>
      </c>
      <c r="I679" s="178" t="s">
        <v>1914</v>
      </c>
      <c r="J679" s="27" t="s">
        <v>1367</v>
      </c>
      <c r="K679" s="27">
        <v>1320</v>
      </c>
      <c r="L679" s="179">
        <v>4638</v>
      </c>
      <c r="M679" s="180" t="s">
        <v>1640</v>
      </c>
      <c r="N679" s="181" t="s">
        <v>1367</v>
      </c>
      <c r="O679" s="182" t="s">
        <v>1915</v>
      </c>
    </row>
    <row r="680" spans="1:15" ht="12">
      <c r="A680" s="148"/>
      <c r="B680" s="174" t="s">
        <v>316</v>
      </c>
      <c r="C680" s="175" t="s">
        <v>1366</v>
      </c>
      <c r="D680" s="176" t="s">
        <v>1367</v>
      </c>
      <c r="E680" s="177" t="s">
        <v>315</v>
      </c>
      <c r="F680" s="175">
        <f t="shared" si="30"/>
        <v>7</v>
      </c>
      <c r="G680" s="175" t="str">
        <f t="shared" si="31"/>
        <v>Rolla</v>
      </c>
      <c r="H680" s="175" t="str">
        <f t="shared" si="32"/>
        <v>Rolla, MO</v>
      </c>
      <c r="I680" s="178" t="s">
        <v>1914</v>
      </c>
      <c r="J680" s="27" t="s">
        <v>1367</v>
      </c>
      <c r="K680" s="27">
        <v>1320</v>
      </c>
      <c r="L680" s="179">
        <v>4638</v>
      </c>
      <c r="M680" s="180" t="s">
        <v>1640</v>
      </c>
      <c r="N680" s="181" t="s">
        <v>1367</v>
      </c>
      <c r="O680" s="182" t="s">
        <v>1915</v>
      </c>
    </row>
    <row r="681" spans="1:15" ht="12">
      <c r="A681" s="148"/>
      <c r="B681" s="174" t="s">
        <v>317</v>
      </c>
      <c r="C681" s="175" t="s">
        <v>415</v>
      </c>
      <c r="D681" s="176" t="s">
        <v>416</v>
      </c>
      <c r="E681" s="177" t="s">
        <v>318</v>
      </c>
      <c r="F681" s="175">
        <f t="shared" si="30"/>
        <v>9</v>
      </c>
      <c r="G681" s="175" t="str">
        <f t="shared" si="31"/>
        <v>Roswell</v>
      </c>
      <c r="H681" s="175" t="str">
        <f t="shared" si="32"/>
        <v>Roswell, NM</v>
      </c>
      <c r="I681" s="178" t="s">
        <v>319</v>
      </c>
      <c r="J681" s="27" t="s">
        <v>416</v>
      </c>
      <c r="K681" s="27">
        <v>1776</v>
      </c>
      <c r="L681" s="179">
        <v>3267</v>
      </c>
      <c r="M681" s="180" t="s">
        <v>2366</v>
      </c>
      <c r="N681" s="181" t="s">
        <v>255</v>
      </c>
      <c r="O681" s="182" t="s">
        <v>2367</v>
      </c>
    </row>
    <row r="682" spans="1:15" ht="12">
      <c r="A682" s="148"/>
      <c r="B682" s="174" t="s">
        <v>320</v>
      </c>
      <c r="C682" s="175" t="s">
        <v>480</v>
      </c>
      <c r="D682" s="176" t="s">
        <v>481</v>
      </c>
      <c r="E682" s="177" t="s">
        <v>321</v>
      </c>
      <c r="F682" s="175">
        <f t="shared" si="30"/>
        <v>11</v>
      </c>
      <c r="G682" s="175" t="str">
        <f t="shared" si="31"/>
        <v>Royal Oak</v>
      </c>
      <c r="H682" s="175" t="str">
        <f t="shared" si="32"/>
        <v>Royal Oak, MI</v>
      </c>
      <c r="I682" s="178" t="s">
        <v>483</v>
      </c>
      <c r="J682" s="27" t="s">
        <v>481</v>
      </c>
      <c r="K682" s="27">
        <v>626</v>
      </c>
      <c r="L682" s="179">
        <v>6569</v>
      </c>
      <c r="M682" s="178" t="s">
        <v>484</v>
      </c>
      <c r="N682" s="27" t="s">
        <v>481</v>
      </c>
      <c r="O682" s="182" t="s">
        <v>485</v>
      </c>
    </row>
    <row r="683" spans="1:15" ht="12">
      <c r="A683" s="148"/>
      <c r="B683" s="174" t="s">
        <v>322</v>
      </c>
      <c r="C683" s="175" t="s">
        <v>1578</v>
      </c>
      <c r="D683" s="176" t="s">
        <v>1579</v>
      </c>
      <c r="E683" s="177" t="s">
        <v>323</v>
      </c>
      <c r="F683" s="175">
        <f t="shared" si="30"/>
        <v>14</v>
      </c>
      <c r="G683" s="175" t="str">
        <f t="shared" si="31"/>
        <v>Russellville</v>
      </c>
      <c r="H683" s="175" t="str">
        <f t="shared" si="32"/>
        <v>Russellville, AR</v>
      </c>
      <c r="I683" s="178" t="s">
        <v>1955</v>
      </c>
      <c r="J683" s="27" t="s">
        <v>1579</v>
      </c>
      <c r="K683" s="27">
        <v>1894</v>
      </c>
      <c r="L683" s="179">
        <v>3478</v>
      </c>
      <c r="M683" s="178" t="s">
        <v>1956</v>
      </c>
      <c r="N683" s="27" t="s">
        <v>1579</v>
      </c>
      <c r="O683" s="182" t="s">
        <v>1957</v>
      </c>
    </row>
    <row r="684" spans="1:15" ht="12">
      <c r="A684" s="148"/>
      <c r="B684" s="174" t="s">
        <v>324</v>
      </c>
      <c r="C684" s="175" t="s">
        <v>516</v>
      </c>
      <c r="D684" s="176" t="s">
        <v>517</v>
      </c>
      <c r="E684" s="177" t="s">
        <v>323</v>
      </c>
      <c r="F684" s="175">
        <f t="shared" si="30"/>
        <v>14</v>
      </c>
      <c r="G684" s="175" t="str">
        <f t="shared" si="31"/>
        <v>Russellville</v>
      </c>
      <c r="H684" s="175" t="str">
        <f t="shared" si="32"/>
        <v>Russellville, KY</v>
      </c>
      <c r="I684" s="178" t="s">
        <v>653</v>
      </c>
      <c r="J684" s="27" t="s">
        <v>517</v>
      </c>
      <c r="K684" s="27">
        <v>1288</v>
      </c>
      <c r="L684" s="179">
        <v>4514</v>
      </c>
      <c r="M684" s="180" t="s">
        <v>654</v>
      </c>
      <c r="N684" s="181" t="s">
        <v>517</v>
      </c>
      <c r="O684" s="182" t="s">
        <v>655</v>
      </c>
    </row>
    <row r="685" spans="1:15" ht="12">
      <c r="A685" s="148"/>
      <c r="B685" s="186" t="s">
        <v>325</v>
      </c>
      <c r="C685" s="175" t="s">
        <v>1611</v>
      </c>
      <c r="D685" s="176" t="s">
        <v>1612</v>
      </c>
      <c r="E685" s="177" t="s">
        <v>326</v>
      </c>
      <c r="F685" s="175">
        <f t="shared" si="30"/>
        <v>9</v>
      </c>
      <c r="G685" s="175" t="str">
        <f t="shared" si="31"/>
        <v>Rutland</v>
      </c>
      <c r="H685" s="175" t="str">
        <f t="shared" si="32"/>
        <v>Rutland, VT</v>
      </c>
      <c r="I685" s="178" t="s">
        <v>409</v>
      </c>
      <c r="J685" s="27" t="s">
        <v>408</v>
      </c>
      <c r="K685" s="27">
        <v>507</v>
      </c>
      <c r="L685" s="179">
        <v>6894</v>
      </c>
      <c r="M685" s="180" t="s">
        <v>410</v>
      </c>
      <c r="N685" s="181" t="s">
        <v>408</v>
      </c>
      <c r="O685" s="182" t="s">
        <v>411</v>
      </c>
    </row>
    <row r="686" spans="1:15" ht="12">
      <c r="A686" s="148"/>
      <c r="B686" s="174" t="s">
        <v>327</v>
      </c>
      <c r="C686" s="175" t="s">
        <v>433</v>
      </c>
      <c r="D686" s="176" t="s">
        <v>434</v>
      </c>
      <c r="E686" s="177" t="s">
        <v>328</v>
      </c>
      <c r="F686" s="175">
        <f t="shared" si="30"/>
        <v>12</v>
      </c>
      <c r="G686" s="175" t="str">
        <f t="shared" si="31"/>
        <v>Sacramento</v>
      </c>
      <c r="H686" s="175" t="str">
        <f t="shared" si="32"/>
        <v>Sacramento, CA</v>
      </c>
      <c r="I686" s="178" t="s">
        <v>631</v>
      </c>
      <c r="J686" s="27" t="s">
        <v>434</v>
      </c>
      <c r="K686" s="27">
        <v>1237</v>
      </c>
      <c r="L686" s="179">
        <v>2749</v>
      </c>
      <c r="M686" s="178" t="s">
        <v>632</v>
      </c>
      <c r="N686" s="27" t="s">
        <v>434</v>
      </c>
      <c r="O686" s="182" t="s">
        <v>633</v>
      </c>
    </row>
    <row r="687" spans="1:15" ht="12">
      <c r="A687" s="148"/>
      <c r="B687" s="174" t="s">
        <v>329</v>
      </c>
      <c r="C687" s="175" t="s">
        <v>433</v>
      </c>
      <c r="D687" s="176" t="s">
        <v>434</v>
      </c>
      <c r="E687" s="177" t="s">
        <v>330</v>
      </c>
      <c r="F687" s="175">
        <f t="shared" si="30"/>
        <v>24</v>
      </c>
      <c r="G687" s="175" t="str">
        <f t="shared" si="31"/>
        <v>Sacramento/Placerville</v>
      </c>
      <c r="H687" s="175" t="str">
        <f t="shared" si="32"/>
        <v>Sacramento/Placerville, CA</v>
      </c>
      <c r="I687" s="178" t="s">
        <v>1409</v>
      </c>
      <c r="J687" s="27" t="s">
        <v>434</v>
      </c>
      <c r="K687" s="27">
        <v>145</v>
      </c>
      <c r="L687" s="179">
        <v>3016</v>
      </c>
      <c r="M687" s="178" t="s">
        <v>632</v>
      </c>
      <c r="N687" s="27" t="s">
        <v>434</v>
      </c>
      <c r="O687" s="182" t="s">
        <v>633</v>
      </c>
    </row>
    <row r="688" spans="1:15" ht="12">
      <c r="A688" s="148"/>
      <c r="B688" s="174" t="s">
        <v>331</v>
      </c>
      <c r="C688" s="175" t="s">
        <v>433</v>
      </c>
      <c r="D688" s="176" t="s">
        <v>434</v>
      </c>
      <c r="E688" s="177" t="s">
        <v>330</v>
      </c>
      <c r="F688" s="175">
        <f t="shared" si="30"/>
        <v>24</v>
      </c>
      <c r="G688" s="175" t="str">
        <f t="shared" si="31"/>
        <v>Sacramento/Placerville</v>
      </c>
      <c r="H688" s="175" t="str">
        <f t="shared" si="32"/>
        <v>Sacramento/Placerville, CA</v>
      </c>
      <c r="I688" s="178" t="s">
        <v>631</v>
      </c>
      <c r="J688" s="27" t="s">
        <v>434</v>
      </c>
      <c r="K688" s="27">
        <v>1237</v>
      </c>
      <c r="L688" s="179">
        <v>2749</v>
      </c>
      <c r="M688" s="178" t="s">
        <v>632</v>
      </c>
      <c r="N688" s="27" t="s">
        <v>434</v>
      </c>
      <c r="O688" s="182" t="s">
        <v>633</v>
      </c>
    </row>
    <row r="689" spans="1:15" ht="12">
      <c r="A689" s="148"/>
      <c r="B689" s="174" t="s">
        <v>332</v>
      </c>
      <c r="C689" s="175" t="s">
        <v>480</v>
      </c>
      <c r="D689" s="176" t="s">
        <v>481</v>
      </c>
      <c r="E689" s="177" t="s">
        <v>333</v>
      </c>
      <c r="F689" s="175">
        <f t="shared" si="30"/>
        <v>9</v>
      </c>
      <c r="G689" s="175" t="str">
        <f t="shared" si="31"/>
        <v>Saginaw</v>
      </c>
      <c r="H689" s="175" t="str">
        <f t="shared" si="32"/>
        <v>Saginaw, MI</v>
      </c>
      <c r="I689" s="178" t="s">
        <v>1926</v>
      </c>
      <c r="J689" s="27" t="s">
        <v>481</v>
      </c>
      <c r="K689" s="27">
        <v>490</v>
      </c>
      <c r="L689" s="179">
        <v>7101</v>
      </c>
      <c r="M689" s="180" t="s">
        <v>959</v>
      </c>
      <c r="N689" s="181" t="s">
        <v>481</v>
      </c>
      <c r="O689" s="182" t="s">
        <v>960</v>
      </c>
    </row>
    <row r="690" spans="1:15" ht="12">
      <c r="A690" s="148"/>
      <c r="B690" s="174" t="s">
        <v>334</v>
      </c>
      <c r="C690" s="175" t="s">
        <v>480</v>
      </c>
      <c r="D690" s="176" t="s">
        <v>481</v>
      </c>
      <c r="E690" s="177" t="s">
        <v>333</v>
      </c>
      <c r="F690" s="175">
        <f t="shared" si="30"/>
        <v>9</v>
      </c>
      <c r="G690" s="175" t="str">
        <f t="shared" si="31"/>
        <v>Saginaw</v>
      </c>
      <c r="H690" s="175" t="str">
        <f t="shared" si="32"/>
        <v>Saginaw, MI</v>
      </c>
      <c r="I690" s="178" t="s">
        <v>1930</v>
      </c>
      <c r="J690" s="27" t="s">
        <v>481</v>
      </c>
      <c r="K690" s="27">
        <v>483</v>
      </c>
      <c r="L690" s="179">
        <v>6979</v>
      </c>
      <c r="M690" s="180" t="s">
        <v>1927</v>
      </c>
      <c r="N690" s="181" t="s">
        <v>481</v>
      </c>
      <c r="O690" s="182" t="s">
        <v>1928</v>
      </c>
    </row>
    <row r="691" spans="1:15" ht="12">
      <c r="A691" s="148"/>
      <c r="B691" s="174" t="s">
        <v>335</v>
      </c>
      <c r="C691" s="175" t="s">
        <v>1366</v>
      </c>
      <c r="D691" s="176" t="s">
        <v>1367</v>
      </c>
      <c r="E691" s="177" t="s">
        <v>336</v>
      </c>
      <c r="F691" s="175">
        <f t="shared" si="30"/>
        <v>15</v>
      </c>
      <c r="G691" s="175" t="str">
        <f t="shared" si="31"/>
        <v>Saint Charles</v>
      </c>
      <c r="H691" s="175" t="str">
        <f t="shared" si="32"/>
        <v>Saint Charles, MO</v>
      </c>
      <c r="I691" s="178" t="s">
        <v>1369</v>
      </c>
      <c r="J691" s="27" t="s">
        <v>1367</v>
      </c>
      <c r="K691" s="27">
        <v>1534</v>
      </c>
      <c r="L691" s="179">
        <v>4758</v>
      </c>
      <c r="M691" s="178" t="s">
        <v>1370</v>
      </c>
      <c r="N691" s="27" t="s">
        <v>1367</v>
      </c>
      <c r="O691" s="182" t="s">
        <v>1371</v>
      </c>
    </row>
    <row r="692" spans="1:15" ht="12">
      <c r="A692" s="148"/>
      <c r="B692" s="174" t="s">
        <v>337</v>
      </c>
      <c r="C692" s="175" t="s">
        <v>1615</v>
      </c>
      <c r="D692" s="176" t="s">
        <v>1616</v>
      </c>
      <c r="E692" s="177" t="s">
        <v>338</v>
      </c>
      <c r="F692" s="175">
        <f t="shared" si="30"/>
        <v>13</v>
      </c>
      <c r="G692" s="175" t="str">
        <f t="shared" si="31"/>
        <v>Saint Cloud</v>
      </c>
      <c r="H692" s="175" t="str">
        <f t="shared" si="32"/>
        <v>Saint Cloud, MN</v>
      </c>
      <c r="I692" s="178" t="s">
        <v>674</v>
      </c>
      <c r="J692" s="27" t="s">
        <v>1616</v>
      </c>
      <c r="K692" s="27">
        <v>415</v>
      </c>
      <c r="L692" s="179">
        <v>8928</v>
      </c>
      <c r="M692" s="178" t="s">
        <v>675</v>
      </c>
      <c r="N692" s="27" t="s">
        <v>1616</v>
      </c>
      <c r="O692" s="182" t="s">
        <v>676</v>
      </c>
    </row>
    <row r="693" spans="1:15" ht="12">
      <c r="A693" s="148"/>
      <c r="B693" s="174" t="s">
        <v>339</v>
      </c>
      <c r="C693" s="175" t="s">
        <v>1366</v>
      </c>
      <c r="D693" s="176" t="s">
        <v>1367</v>
      </c>
      <c r="E693" s="177" t="s">
        <v>340</v>
      </c>
      <c r="F693" s="175">
        <f t="shared" si="30"/>
        <v>14</v>
      </c>
      <c r="G693" s="175" t="str">
        <f t="shared" si="31"/>
        <v>Saint Joseph</v>
      </c>
      <c r="H693" s="175" t="str">
        <f t="shared" si="32"/>
        <v>Saint Joseph, MO</v>
      </c>
      <c r="I693" s="178" t="s">
        <v>896</v>
      </c>
      <c r="J693" s="27" t="s">
        <v>1496</v>
      </c>
      <c r="K693" s="27">
        <v>1304</v>
      </c>
      <c r="L693" s="179">
        <v>5265</v>
      </c>
      <c r="M693" s="180" t="s">
        <v>638</v>
      </c>
      <c r="N693" s="181" t="s">
        <v>1496</v>
      </c>
      <c r="O693" s="182" t="s">
        <v>639</v>
      </c>
    </row>
    <row r="694" spans="1:15" ht="12">
      <c r="A694" s="148"/>
      <c r="B694" s="174" t="s">
        <v>341</v>
      </c>
      <c r="C694" s="175" t="s">
        <v>1366</v>
      </c>
      <c r="D694" s="176" t="s">
        <v>1367</v>
      </c>
      <c r="E694" s="177" t="s">
        <v>340</v>
      </c>
      <c r="F694" s="175">
        <f t="shared" si="30"/>
        <v>14</v>
      </c>
      <c r="G694" s="175" t="str">
        <f t="shared" si="31"/>
        <v>Saint Joseph</v>
      </c>
      <c r="H694" s="175" t="str">
        <f t="shared" si="32"/>
        <v>Saint Joseph, MO</v>
      </c>
      <c r="I694" s="178" t="s">
        <v>2370</v>
      </c>
      <c r="J694" s="27" t="s">
        <v>1367</v>
      </c>
      <c r="K694" s="27">
        <v>1288</v>
      </c>
      <c r="L694" s="179">
        <v>5393</v>
      </c>
      <c r="M694" s="180" t="s">
        <v>2371</v>
      </c>
      <c r="N694" s="181" t="s">
        <v>1367</v>
      </c>
      <c r="O694" s="182" t="s">
        <v>2372</v>
      </c>
    </row>
    <row r="695" spans="1:15" ht="12">
      <c r="A695" s="148"/>
      <c r="B695" s="174" t="s">
        <v>342</v>
      </c>
      <c r="C695" s="175" t="s">
        <v>1366</v>
      </c>
      <c r="D695" s="176" t="s">
        <v>1367</v>
      </c>
      <c r="E695" s="177" t="s">
        <v>343</v>
      </c>
      <c r="F695" s="175">
        <f t="shared" si="30"/>
        <v>13</v>
      </c>
      <c r="G695" s="175" t="str">
        <f t="shared" si="31"/>
        <v>Saint Louis</v>
      </c>
      <c r="H695" s="175" t="str">
        <f t="shared" si="32"/>
        <v>Saint Louis, MO</v>
      </c>
      <c r="I695" s="178" t="s">
        <v>1369</v>
      </c>
      <c r="J695" s="27" t="s">
        <v>1367</v>
      </c>
      <c r="K695" s="27">
        <v>1534</v>
      </c>
      <c r="L695" s="179">
        <v>4758</v>
      </c>
      <c r="M695" s="178" t="s">
        <v>1370</v>
      </c>
      <c r="N695" s="27" t="s">
        <v>1367</v>
      </c>
      <c r="O695" s="182" t="s">
        <v>1371</v>
      </c>
    </row>
    <row r="696" spans="1:15" ht="12">
      <c r="A696" s="148"/>
      <c r="B696" s="174" t="s">
        <v>344</v>
      </c>
      <c r="C696" s="175" t="s">
        <v>1366</v>
      </c>
      <c r="D696" s="176" t="s">
        <v>1367</v>
      </c>
      <c r="E696" s="177" t="s">
        <v>343</v>
      </c>
      <c r="F696" s="175">
        <f t="shared" si="30"/>
        <v>13</v>
      </c>
      <c r="G696" s="175" t="str">
        <f t="shared" si="31"/>
        <v>Saint Louis</v>
      </c>
      <c r="H696" s="175" t="str">
        <f t="shared" si="32"/>
        <v>Saint Louis, MO</v>
      </c>
      <c r="I696" s="178" t="s">
        <v>1369</v>
      </c>
      <c r="J696" s="27" t="s">
        <v>1367</v>
      </c>
      <c r="K696" s="27">
        <v>1534</v>
      </c>
      <c r="L696" s="179">
        <v>4758</v>
      </c>
      <c r="M696" s="178" t="s">
        <v>1370</v>
      </c>
      <c r="N696" s="27" t="s">
        <v>1367</v>
      </c>
      <c r="O696" s="182" t="s">
        <v>1371</v>
      </c>
    </row>
    <row r="697" spans="1:15" ht="12">
      <c r="A697" s="148"/>
      <c r="B697" s="174" t="s">
        <v>345</v>
      </c>
      <c r="C697" s="175" t="s">
        <v>1366</v>
      </c>
      <c r="D697" s="176" t="s">
        <v>1367</v>
      </c>
      <c r="E697" s="177" t="s">
        <v>343</v>
      </c>
      <c r="F697" s="175">
        <f t="shared" si="30"/>
        <v>13</v>
      </c>
      <c r="G697" s="175" t="str">
        <f t="shared" si="31"/>
        <v>Saint Louis</v>
      </c>
      <c r="H697" s="175" t="str">
        <f t="shared" si="32"/>
        <v>Saint Louis, MO</v>
      </c>
      <c r="I697" s="178" t="s">
        <v>1369</v>
      </c>
      <c r="J697" s="27" t="s">
        <v>1367</v>
      </c>
      <c r="K697" s="27">
        <v>1534</v>
      </c>
      <c r="L697" s="179">
        <v>4758</v>
      </c>
      <c r="M697" s="178" t="s">
        <v>1370</v>
      </c>
      <c r="N697" s="27" t="s">
        <v>1367</v>
      </c>
      <c r="O697" s="182" t="s">
        <v>1371</v>
      </c>
    </row>
    <row r="698" spans="1:15" ht="12">
      <c r="A698" s="148"/>
      <c r="B698" s="174" t="s">
        <v>346</v>
      </c>
      <c r="C698" s="175" t="s">
        <v>1615</v>
      </c>
      <c r="D698" s="176" t="s">
        <v>1616</v>
      </c>
      <c r="E698" s="177" t="s">
        <v>347</v>
      </c>
      <c r="F698" s="175">
        <f t="shared" si="30"/>
        <v>12</v>
      </c>
      <c r="G698" s="175" t="str">
        <f t="shared" si="31"/>
        <v>Saint Paul</v>
      </c>
      <c r="H698" s="175" t="str">
        <f t="shared" si="32"/>
        <v>Saint Paul, MN</v>
      </c>
      <c r="I698" s="178" t="s">
        <v>44</v>
      </c>
      <c r="J698" s="27" t="s">
        <v>1616</v>
      </c>
      <c r="K698" s="27">
        <v>682</v>
      </c>
      <c r="L698" s="179">
        <v>7981</v>
      </c>
      <c r="M698" s="178" t="s">
        <v>675</v>
      </c>
      <c r="N698" s="27" t="s">
        <v>1616</v>
      </c>
      <c r="O698" s="182" t="s">
        <v>676</v>
      </c>
    </row>
    <row r="699" spans="1:15" ht="12">
      <c r="A699" s="148"/>
      <c r="B699" s="174" t="s">
        <v>348</v>
      </c>
      <c r="C699" s="175" t="s">
        <v>1615</v>
      </c>
      <c r="D699" s="176" t="s">
        <v>1616</v>
      </c>
      <c r="E699" s="177" t="s">
        <v>347</v>
      </c>
      <c r="F699" s="175">
        <f t="shared" si="30"/>
        <v>12</v>
      </c>
      <c r="G699" s="175" t="str">
        <f t="shared" si="31"/>
        <v>Saint Paul</v>
      </c>
      <c r="H699" s="175" t="str">
        <f t="shared" si="32"/>
        <v>Saint Paul, MN</v>
      </c>
      <c r="I699" s="178" t="s">
        <v>44</v>
      </c>
      <c r="J699" s="27" t="s">
        <v>1616</v>
      </c>
      <c r="K699" s="27">
        <v>682</v>
      </c>
      <c r="L699" s="179">
        <v>7981</v>
      </c>
      <c r="M699" s="178" t="s">
        <v>675</v>
      </c>
      <c r="N699" s="27" t="s">
        <v>1616</v>
      </c>
      <c r="O699" s="182" t="s">
        <v>676</v>
      </c>
    </row>
    <row r="700" spans="1:15" ht="12">
      <c r="A700" s="148"/>
      <c r="B700" s="174" t="s">
        <v>349</v>
      </c>
      <c r="C700" s="175" t="s">
        <v>1622</v>
      </c>
      <c r="D700" s="176" t="s">
        <v>1623</v>
      </c>
      <c r="E700" s="177" t="s">
        <v>350</v>
      </c>
      <c r="F700" s="175">
        <f t="shared" si="30"/>
        <v>7</v>
      </c>
      <c r="G700" s="175" t="str">
        <f t="shared" si="31"/>
        <v>Salem</v>
      </c>
      <c r="H700" s="175" t="str">
        <f t="shared" si="32"/>
        <v>Salem, OR</v>
      </c>
      <c r="I700" s="178" t="s">
        <v>786</v>
      </c>
      <c r="J700" s="27" t="s">
        <v>1623</v>
      </c>
      <c r="K700" s="27">
        <v>247</v>
      </c>
      <c r="L700" s="179">
        <v>4927</v>
      </c>
      <c r="M700" s="178" t="s">
        <v>787</v>
      </c>
      <c r="N700" s="27" t="s">
        <v>1623</v>
      </c>
      <c r="O700" s="182" t="s">
        <v>788</v>
      </c>
    </row>
    <row r="701" spans="1:15" ht="12">
      <c r="A701" s="148"/>
      <c r="B701" s="174" t="s">
        <v>351</v>
      </c>
      <c r="C701" s="175" t="s">
        <v>393</v>
      </c>
      <c r="D701" s="176" t="s">
        <v>394</v>
      </c>
      <c r="E701" s="177" t="s">
        <v>352</v>
      </c>
      <c r="F701" s="175">
        <f t="shared" si="30"/>
        <v>8</v>
      </c>
      <c r="G701" s="175" t="str">
        <f t="shared" si="31"/>
        <v>Salida</v>
      </c>
      <c r="H701" s="175" t="str">
        <f t="shared" si="32"/>
        <v>Salida, CO</v>
      </c>
      <c r="I701" s="178" t="s">
        <v>396</v>
      </c>
      <c r="J701" s="27" t="s">
        <v>394</v>
      </c>
      <c r="K701" s="27">
        <v>62</v>
      </c>
      <c r="L701" s="179">
        <v>8749</v>
      </c>
      <c r="M701" s="180" t="s">
        <v>2090</v>
      </c>
      <c r="N701" s="181" t="s">
        <v>394</v>
      </c>
      <c r="O701" s="182" t="s">
        <v>2091</v>
      </c>
    </row>
    <row r="702" spans="1:15" ht="12">
      <c r="A702" s="148"/>
      <c r="B702" s="174" t="s">
        <v>353</v>
      </c>
      <c r="C702" s="175" t="s">
        <v>1495</v>
      </c>
      <c r="D702" s="176" t="s">
        <v>1496</v>
      </c>
      <c r="E702" s="177" t="s">
        <v>354</v>
      </c>
      <c r="F702" s="175">
        <f t="shared" si="30"/>
        <v>8</v>
      </c>
      <c r="G702" s="175" t="str">
        <f t="shared" si="31"/>
        <v>Salina</v>
      </c>
      <c r="H702" s="175" t="str">
        <f t="shared" si="32"/>
        <v>Salina, KS</v>
      </c>
      <c r="I702" s="178" t="s">
        <v>896</v>
      </c>
      <c r="J702" s="27" t="s">
        <v>1496</v>
      </c>
      <c r="K702" s="27">
        <v>1304</v>
      </c>
      <c r="L702" s="179">
        <v>5265</v>
      </c>
      <c r="M702" s="180" t="s">
        <v>638</v>
      </c>
      <c r="N702" s="181" t="s">
        <v>1496</v>
      </c>
      <c r="O702" s="182" t="s">
        <v>639</v>
      </c>
    </row>
    <row r="703" spans="1:15" ht="12">
      <c r="A703" s="148"/>
      <c r="B703" s="174" t="s">
        <v>355</v>
      </c>
      <c r="C703" s="175" t="s">
        <v>487</v>
      </c>
      <c r="D703" s="176" t="s">
        <v>430</v>
      </c>
      <c r="E703" s="177" t="s">
        <v>356</v>
      </c>
      <c r="F703" s="175">
        <f t="shared" si="30"/>
        <v>11</v>
      </c>
      <c r="G703" s="175" t="str">
        <f t="shared" si="31"/>
        <v>Salisbury</v>
      </c>
      <c r="H703" s="175" t="str">
        <f t="shared" si="32"/>
        <v>Salisbury, MD</v>
      </c>
      <c r="I703" s="178" t="s">
        <v>357</v>
      </c>
      <c r="J703" s="27" t="s">
        <v>426</v>
      </c>
      <c r="K703" s="27">
        <v>1096</v>
      </c>
      <c r="L703" s="179">
        <v>4261</v>
      </c>
      <c r="M703" s="180" t="s">
        <v>2340</v>
      </c>
      <c r="N703" s="181" t="s">
        <v>426</v>
      </c>
      <c r="O703" s="182" t="s">
        <v>2341</v>
      </c>
    </row>
    <row r="704" spans="1:15" ht="12">
      <c r="A704" s="148"/>
      <c r="B704" s="174" t="s">
        <v>358</v>
      </c>
      <c r="C704" s="175" t="s">
        <v>1187</v>
      </c>
      <c r="D704" s="176" t="s">
        <v>1188</v>
      </c>
      <c r="E704" s="177" t="s">
        <v>359</v>
      </c>
      <c r="F704" s="175">
        <f t="shared" si="30"/>
        <v>16</v>
      </c>
      <c r="G704" s="175" t="str">
        <f t="shared" si="31"/>
        <v>Salt Lake City</v>
      </c>
      <c r="H704" s="175" t="str">
        <f t="shared" si="32"/>
        <v>Salt Lake City, UT</v>
      </c>
      <c r="I704" s="178" t="s">
        <v>1190</v>
      </c>
      <c r="J704" s="27" t="s">
        <v>1188</v>
      </c>
      <c r="K704" s="27">
        <v>1047</v>
      </c>
      <c r="L704" s="179">
        <v>5765</v>
      </c>
      <c r="M704" s="180" t="s">
        <v>1191</v>
      </c>
      <c r="N704" s="181" t="s">
        <v>1188</v>
      </c>
      <c r="O704" s="182" t="s">
        <v>1192</v>
      </c>
    </row>
    <row r="705" spans="1:15" ht="12">
      <c r="A705" s="148"/>
      <c r="B705" s="174" t="s">
        <v>360</v>
      </c>
      <c r="C705" s="175" t="s">
        <v>1187</v>
      </c>
      <c r="D705" s="176" t="s">
        <v>1188</v>
      </c>
      <c r="E705" s="177" t="s">
        <v>361</v>
      </c>
      <c r="F705" s="175">
        <f t="shared" si="30"/>
        <v>27</v>
      </c>
      <c r="G705" s="175" t="str">
        <f t="shared" si="31"/>
        <v>Salt Lake City/Heber City</v>
      </c>
      <c r="H705" s="175" t="str">
        <f t="shared" si="32"/>
        <v>Salt Lake City/Heber City, UT</v>
      </c>
      <c r="I705" s="178" t="s">
        <v>1190</v>
      </c>
      <c r="J705" s="27" t="s">
        <v>1188</v>
      </c>
      <c r="K705" s="27">
        <v>1047</v>
      </c>
      <c r="L705" s="179">
        <v>5765</v>
      </c>
      <c r="M705" s="180" t="s">
        <v>1191</v>
      </c>
      <c r="N705" s="181" t="s">
        <v>1188</v>
      </c>
      <c r="O705" s="182" t="s">
        <v>1192</v>
      </c>
    </row>
    <row r="706" spans="1:15" ht="12">
      <c r="A706" s="148"/>
      <c r="B706" s="174" t="s">
        <v>362</v>
      </c>
      <c r="C706" s="175" t="s">
        <v>254</v>
      </c>
      <c r="D706" s="176" t="s">
        <v>255</v>
      </c>
      <c r="E706" s="177" t="s">
        <v>363</v>
      </c>
      <c r="F706" s="175">
        <f t="shared" si="30"/>
        <v>12</v>
      </c>
      <c r="G706" s="175" t="str">
        <f t="shared" si="31"/>
        <v>San Angelo</v>
      </c>
      <c r="H706" s="175" t="str">
        <f t="shared" si="32"/>
        <v>San Angelo, TX</v>
      </c>
      <c r="I706" s="178" t="s">
        <v>364</v>
      </c>
      <c r="J706" s="27" t="s">
        <v>255</v>
      </c>
      <c r="K706" s="27">
        <v>2400</v>
      </c>
      <c r="L706" s="179">
        <v>2414</v>
      </c>
      <c r="M706" s="180" t="s">
        <v>365</v>
      </c>
      <c r="N706" s="181" t="s">
        <v>255</v>
      </c>
      <c r="O706" s="182" t="s">
        <v>366</v>
      </c>
    </row>
    <row r="707" spans="1:15" ht="12">
      <c r="A707" s="148"/>
      <c r="B707" s="174" t="s">
        <v>367</v>
      </c>
      <c r="C707" s="175" t="s">
        <v>254</v>
      </c>
      <c r="D707" s="176" t="s">
        <v>255</v>
      </c>
      <c r="E707" s="177" t="s">
        <v>368</v>
      </c>
      <c r="F707" s="175">
        <f t="shared" si="30"/>
        <v>13</v>
      </c>
      <c r="G707" s="175" t="str">
        <f t="shared" si="31"/>
        <v>San Antonio</v>
      </c>
      <c r="H707" s="175" t="str">
        <f t="shared" si="32"/>
        <v>San Antonio, TX</v>
      </c>
      <c r="I707" s="178" t="s">
        <v>1561</v>
      </c>
      <c r="J707" s="27" t="s">
        <v>255</v>
      </c>
      <c r="K707" s="27">
        <v>3016</v>
      </c>
      <c r="L707" s="179">
        <v>1688</v>
      </c>
      <c r="M707" s="180" t="s">
        <v>965</v>
      </c>
      <c r="N707" s="181" t="s">
        <v>255</v>
      </c>
      <c r="O707" s="182" t="s">
        <v>966</v>
      </c>
    </row>
    <row r="708" spans="1:15" ht="12">
      <c r="A708" s="148"/>
      <c r="B708" s="174" t="s">
        <v>369</v>
      </c>
      <c r="C708" s="175" t="s">
        <v>254</v>
      </c>
      <c r="D708" s="176" t="s">
        <v>255</v>
      </c>
      <c r="E708" s="177" t="s">
        <v>368</v>
      </c>
      <c r="F708" s="175">
        <f t="shared" si="30"/>
        <v>13</v>
      </c>
      <c r="G708" s="175" t="str">
        <f t="shared" si="31"/>
        <v>San Antonio</v>
      </c>
      <c r="H708" s="175" t="str">
        <f t="shared" si="32"/>
        <v>San Antonio, TX</v>
      </c>
      <c r="I708" s="178" t="s">
        <v>1557</v>
      </c>
      <c r="J708" s="27" t="s">
        <v>255</v>
      </c>
      <c r="K708" s="27">
        <v>2996</v>
      </c>
      <c r="L708" s="179">
        <v>1644</v>
      </c>
      <c r="M708" s="180" t="s">
        <v>965</v>
      </c>
      <c r="N708" s="181" t="s">
        <v>255</v>
      </c>
      <c r="O708" s="182" t="s">
        <v>966</v>
      </c>
    </row>
    <row r="709" spans="1:15" ht="12">
      <c r="A709" s="148"/>
      <c r="B709" s="174" t="s">
        <v>370</v>
      </c>
      <c r="C709" s="175" t="s">
        <v>433</v>
      </c>
      <c r="D709" s="176" t="s">
        <v>434</v>
      </c>
      <c r="E709" s="177" t="s">
        <v>371</v>
      </c>
      <c r="F709" s="175">
        <f t="shared" si="30"/>
        <v>32</v>
      </c>
      <c r="G709" s="175" t="str">
        <f t="shared" si="31"/>
        <v>San Bern./Victorville/Redlands</v>
      </c>
      <c r="H709" s="175" t="str">
        <f t="shared" si="32"/>
        <v>San Bern./Victorville/Redlands, CA</v>
      </c>
      <c r="I709" s="178" t="s">
        <v>911</v>
      </c>
      <c r="J709" s="27" t="s">
        <v>1391</v>
      </c>
      <c r="K709" s="27">
        <v>3201</v>
      </c>
      <c r="L709" s="179">
        <v>2407</v>
      </c>
      <c r="M709" s="180" t="s">
        <v>912</v>
      </c>
      <c r="N709" s="181" t="s">
        <v>1391</v>
      </c>
      <c r="O709" s="182" t="s">
        <v>913</v>
      </c>
    </row>
    <row r="710" spans="1:15" ht="12">
      <c r="A710" s="148"/>
      <c r="B710" s="174" t="s">
        <v>372</v>
      </c>
      <c r="C710" s="175" t="s">
        <v>433</v>
      </c>
      <c r="D710" s="176" t="s">
        <v>434</v>
      </c>
      <c r="E710" s="177" t="s">
        <v>373</v>
      </c>
      <c r="F710" s="175">
        <f t="shared" ref="F710:F773" si="33">LEN(E710)</f>
        <v>16</v>
      </c>
      <c r="G710" s="175" t="str">
        <f t="shared" ref="G710:G773" si="34">MID(E710,2,F710-2)</f>
        <v>San Bernardino</v>
      </c>
      <c r="H710" s="175" t="str">
        <f t="shared" ref="H710:H773" si="35">CONCATENATE(G710,", ",+D710)</f>
        <v>San Bernardino, CA</v>
      </c>
      <c r="I710" s="178" t="s">
        <v>436</v>
      </c>
      <c r="J710" s="27" t="s">
        <v>434</v>
      </c>
      <c r="K710" s="27">
        <v>1537</v>
      </c>
      <c r="L710" s="179">
        <v>1154</v>
      </c>
      <c r="M710" s="178" t="s">
        <v>437</v>
      </c>
      <c r="N710" s="27" t="s">
        <v>434</v>
      </c>
      <c r="O710" s="182" t="s">
        <v>438</v>
      </c>
    </row>
    <row r="711" spans="1:15" ht="12">
      <c r="A711" s="148"/>
      <c r="B711" s="174" t="s">
        <v>374</v>
      </c>
      <c r="C711" s="175" t="s">
        <v>433</v>
      </c>
      <c r="D711" s="176" t="s">
        <v>434</v>
      </c>
      <c r="E711" s="177" t="s">
        <v>375</v>
      </c>
      <c r="F711" s="175">
        <f t="shared" si="33"/>
        <v>11</v>
      </c>
      <c r="G711" s="175" t="str">
        <f t="shared" si="34"/>
        <v>San Diego</v>
      </c>
      <c r="H711" s="175" t="str">
        <f t="shared" si="35"/>
        <v>San Diego, CA</v>
      </c>
      <c r="I711" s="178" t="s">
        <v>2296</v>
      </c>
      <c r="J711" s="27" t="s">
        <v>434</v>
      </c>
      <c r="K711" s="27">
        <v>984</v>
      </c>
      <c r="L711" s="179">
        <v>1256</v>
      </c>
      <c r="M711" s="178" t="s">
        <v>2297</v>
      </c>
      <c r="N711" s="27" t="s">
        <v>434</v>
      </c>
      <c r="O711" s="182" t="s">
        <v>2298</v>
      </c>
    </row>
    <row r="712" spans="1:15" ht="12">
      <c r="A712" s="148"/>
      <c r="B712" s="174" t="s">
        <v>376</v>
      </c>
      <c r="C712" s="175" t="s">
        <v>433</v>
      </c>
      <c r="D712" s="176" t="s">
        <v>434</v>
      </c>
      <c r="E712" s="177" t="s">
        <v>375</v>
      </c>
      <c r="F712" s="175">
        <f t="shared" si="33"/>
        <v>11</v>
      </c>
      <c r="G712" s="175" t="str">
        <f t="shared" si="34"/>
        <v>San Diego</v>
      </c>
      <c r="H712" s="175" t="str">
        <f t="shared" si="35"/>
        <v>San Diego, CA</v>
      </c>
      <c r="I712" s="178" t="s">
        <v>462</v>
      </c>
      <c r="J712" s="27" t="s">
        <v>434</v>
      </c>
      <c r="K712" s="27">
        <v>1201</v>
      </c>
      <c r="L712" s="179">
        <v>1430</v>
      </c>
      <c r="M712" s="178" t="s">
        <v>2297</v>
      </c>
      <c r="N712" s="27" t="s">
        <v>434</v>
      </c>
      <c r="O712" s="182" t="s">
        <v>2298</v>
      </c>
    </row>
    <row r="713" spans="1:15" ht="12">
      <c r="A713" s="148"/>
      <c r="B713" s="174" t="s">
        <v>377</v>
      </c>
      <c r="C713" s="175" t="s">
        <v>433</v>
      </c>
      <c r="D713" s="176" t="s">
        <v>434</v>
      </c>
      <c r="E713" s="177" t="s">
        <v>375</v>
      </c>
      <c r="F713" s="175">
        <f t="shared" si="33"/>
        <v>11</v>
      </c>
      <c r="G713" s="175" t="str">
        <f t="shared" si="34"/>
        <v>San Diego</v>
      </c>
      <c r="H713" s="175" t="str">
        <f t="shared" si="35"/>
        <v>San Diego, CA</v>
      </c>
      <c r="I713" s="178" t="s">
        <v>2296</v>
      </c>
      <c r="J713" s="27" t="s">
        <v>434</v>
      </c>
      <c r="K713" s="27">
        <v>984</v>
      </c>
      <c r="L713" s="179">
        <v>1256</v>
      </c>
      <c r="M713" s="178" t="s">
        <v>2297</v>
      </c>
      <c r="N713" s="27" t="s">
        <v>434</v>
      </c>
      <c r="O713" s="182" t="s">
        <v>2298</v>
      </c>
    </row>
    <row r="714" spans="1:15" ht="12">
      <c r="A714" s="148"/>
      <c r="B714" s="174" t="s">
        <v>378</v>
      </c>
      <c r="C714" s="175" t="s">
        <v>433</v>
      </c>
      <c r="D714" s="176" t="s">
        <v>434</v>
      </c>
      <c r="E714" s="177" t="s">
        <v>379</v>
      </c>
      <c r="F714" s="175">
        <f t="shared" si="33"/>
        <v>15</v>
      </c>
      <c r="G714" s="175" t="str">
        <f t="shared" si="34"/>
        <v>San Francisco</v>
      </c>
      <c r="H714" s="175" t="str">
        <f t="shared" si="35"/>
        <v>San Francisco, CA</v>
      </c>
      <c r="I714" s="178" t="s">
        <v>191</v>
      </c>
      <c r="J714" s="27" t="s">
        <v>434</v>
      </c>
      <c r="K714" s="27">
        <v>65</v>
      </c>
      <c r="L714" s="179">
        <v>3005</v>
      </c>
      <c r="M714" s="178" t="s">
        <v>192</v>
      </c>
      <c r="N714" s="27" t="s">
        <v>434</v>
      </c>
      <c r="O714" s="182" t="s">
        <v>193</v>
      </c>
    </row>
    <row r="715" spans="1:15" ht="12">
      <c r="A715" s="148"/>
      <c r="B715" s="174" t="s">
        <v>982</v>
      </c>
      <c r="C715" s="175" t="s">
        <v>433</v>
      </c>
      <c r="D715" s="176" t="s">
        <v>434</v>
      </c>
      <c r="E715" s="177" t="s">
        <v>983</v>
      </c>
      <c r="F715" s="175">
        <f t="shared" si="33"/>
        <v>10</v>
      </c>
      <c r="G715" s="175" t="str">
        <f t="shared" si="34"/>
        <v>San Jose</v>
      </c>
      <c r="H715" s="175" t="str">
        <f t="shared" si="35"/>
        <v>San Jose, CA</v>
      </c>
      <c r="I715" s="178" t="s">
        <v>1409</v>
      </c>
      <c r="J715" s="27" t="s">
        <v>434</v>
      </c>
      <c r="K715" s="27">
        <v>145</v>
      </c>
      <c r="L715" s="179">
        <v>3016</v>
      </c>
      <c r="M715" s="178" t="s">
        <v>1410</v>
      </c>
      <c r="N715" s="27" t="s">
        <v>434</v>
      </c>
      <c r="O715" s="182" t="s">
        <v>1411</v>
      </c>
    </row>
    <row r="716" spans="1:15" ht="12">
      <c r="A716" s="148"/>
      <c r="B716" s="186" t="s">
        <v>984</v>
      </c>
      <c r="C716" s="175" t="s">
        <v>985</v>
      </c>
      <c r="D716" s="176" t="s">
        <v>986</v>
      </c>
      <c r="E716" s="177" t="s">
        <v>987</v>
      </c>
      <c r="F716" s="175">
        <f t="shared" si="33"/>
        <v>10</v>
      </c>
      <c r="G716" s="175" t="str">
        <f t="shared" si="34"/>
        <v>San Juan</v>
      </c>
      <c r="H716" s="175" t="str">
        <f t="shared" si="35"/>
        <v>San Juan, PR</v>
      </c>
      <c r="I716" s="178" t="s">
        <v>988</v>
      </c>
      <c r="J716" s="27" t="s">
        <v>986</v>
      </c>
      <c r="K716" s="27">
        <v>5558</v>
      </c>
      <c r="L716" s="179">
        <v>0</v>
      </c>
      <c r="M716" s="178" t="s">
        <v>989</v>
      </c>
      <c r="N716" s="27" t="s">
        <v>986</v>
      </c>
      <c r="O716" s="182" t="s">
        <v>990</v>
      </c>
    </row>
    <row r="717" spans="1:15" ht="12">
      <c r="A717" s="148"/>
      <c r="B717" s="174" t="s">
        <v>991</v>
      </c>
      <c r="C717" s="175" t="s">
        <v>433</v>
      </c>
      <c r="D717" s="176" t="s">
        <v>434</v>
      </c>
      <c r="E717" s="177" t="s">
        <v>992</v>
      </c>
      <c r="F717" s="175">
        <f t="shared" si="33"/>
        <v>17</v>
      </c>
      <c r="G717" s="175" t="str">
        <f t="shared" si="34"/>
        <v>San Luis Obispo</v>
      </c>
      <c r="H717" s="175" t="str">
        <f t="shared" si="35"/>
        <v>San Luis Obispo, CA</v>
      </c>
      <c r="I717" s="178" t="s">
        <v>993</v>
      </c>
      <c r="J717" s="27" t="s">
        <v>434</v>
      </c>
      <c r="K717" s="27">
        <v>169</v>
      </c>
      <c r="L717" s="179">
        <v>2984</v>
      </c>
      <c r="M717" s="178" t="s">
        <v>1565</v>
      </c>
      <c r="N717" s="27" t="s">
        <v>434</v>
      </c>
      <c r="O717" s="182" t="s">
        <v>1566</v>
      </c>
    </row>
    <row r="718" spans="1:15" ht="12">
      <c r="A718" s="148"/>
      <c r="B718" s="174" t="s">
        <v>994</v>
      </c>
      <c r="C718" s="175" t="s">
        <v>433</v>
      </c>
      <c r="D718" s="176" t="s">
        <v>434</v>
      </c>
      <c r="E718" s="177" t="s">
        <v>995</v>
      </c>
      <c r="F718" s="175">
        <f t="shared" si="33"/>
        <v>11</v>
      </c>
      <c r="G718" s="175" t="str">
        <f t="shared" si="34"/>
        <v>San Mateo</v>
      </c>
      <c r="H718" s="175" t="str">
        <f t="shared" si="35"/>
        <v>San Mateo, CA</v>
      </c>
      <c r="I718" s="178" t="s">
        <v>1409</v>
      </c>
      <c r="J718" s="27" t="s">
        <v>434</v>
      </c>
      <c r="K718" s="27">
        <v>145</v>
      </c>
      <c r="L718" s="179">
        <v>3016</v>
      </c>
      <c r="M718" s="178" t="s">
        <v>1410</v>
      </c>
      <c r="N718" s="27" t="s">
        <v>434</v>
      </c>
      <c r="O718" s="182" t="s">
        <v>1411</v>
      </c>
    </row>
    <row r="719" spans="1:15" ht="12">
      <c r="A719" s="148"/>
      <c r="B719" s="174" t="s">
        <v>996</v>
      </c>
      <c r="C719" s="175" t="s">
        <v>433</v>
      </c>
      <c r="D719" s="176" t="s">
        <v>434</v>
      </c>
      <c r="E719" s="177" t="s">
        <v>997</v>
      </c>
      <c r="F719" s="175">
        <f t="shared" si="33"/>
        <v>11</v>
      </c>
      <c r="G719" s="175" t="str">
        <f t="shared" si="34"/>
        <v>San Pedro</v>
      </c>
      <c r="H719" s="175" t="str">
        <f t="shared" si="35"/>
        <v>San Pedro, CA</v>
      </c>
      <c r="I719" s="178" t="s">
        <v>462</v>
      </c>
      <c r="J719" s="27" t="s">
        <v>434</v>
      </c>
      <c r="K719" s="27">
        <v>1201</v>
      </c>
      <c r="L719" s="179">
        <v>1430</v>
      </c>
      <c r="M719" s="178" t="s">
        <v>437</v>
      </c>
      <c r="N719" s="27" t="s">
        <v>434</v>
      </c>
      <c r="O719" s="182" t="s">
        <v>438</v>
      </c>
    </row>
    <row r="720" spans="1:15" ht="12">
      <c r="A720" s="148"/>
      <c r="B720" s="174" t="s">
        <v>998</v>
      </c>
      <c r="C720" s="175" t="s">
        <v>433</v>
      </c>
      <c r="D720" s="176" t="s">
        <v>434</v>
      </c>
      <c r="E720" s="177" t="s">
        <v>999</v>
      </c>
      <c r="F720" s="175">
        <f t="shared" si="33"/>
        <v>12</v>
      </c>
      <c r="G720" s="175" t="str">
        <f t="shared" si="34"/>
        <v>San Rafael</v>
      </c>
      <c r="H720" s="175" t="str">
        <f t="shared" si="35"/>
        <v>San Rafael, CA</v>
      </c>
      <c r="I720" s="178" t="s">
        <v>1409</v>
      </c>
      <c r="J720" s="27" t="s">
        <v>434</v>
      </c>
      <c r="K720" s="27">
        <v>145</v>
      </c>
      <c r="L720" s="179">
        <v>3016</v>
      </c>
      <c r="M720" s="178" t="s">
        <v>1410</v>
      </c>
      <c r="N720" s="27" t="s">
        <v>434</v>
      </c>
      <c r="O720" s="182" t="s">
        <v>1411</v>
      </c>
    </row>
    <row r="721" spans="1:15" ht="12">
      <c r="A721" s="148"/>
      <c r="B721" s="174" t="s">
        <v>1000</v>
      </c>
      <c r="C721" s="175" t="s">
        <v>433</v>
      </c>
      <c r="D721" s="176" t="s">
        <v>434</v>
      </c>
      <c r="E721" s="177" t="s">
        <v>1001</v>
      </c>
      <c r="F721" s="175">
        <f t="shared" si="33"/>
        <v>11</v>
      </c>
      <c r="G721" s="175" t="str">
        <f t="shared" si="34"/>
        <v>Santa Ana</v>
      </c>
      <c r="H721" s="175" t="str">
        <f t="shared" si="35"/>
        <v>Santa Ana, CA</v>
      </c>
      <c r="I721" s="178" t="s">
        <v>462</v>
      </c>
      <c r="J721" s="27" t="s">
        <v>434</v>
      </c>
      <c r="K721" s="27">
        <v>1201</v>
      </c>
      <c r="L721" s="179">
        <v>1430</v>
      </c>
      <c r="M721" s="178" t="s">
        <v>437</v>
      </c>
      <c r="N721" s="27" t="s">
        <v>434</v>
      </c>
      <c r="O721" s="182" t="s">
        <v>438</v>
      </c>
    </row>
    <row r="722" spans="1:15" ht="12">
      <c r="A722" s="148"/>
      <c r="B722" s="174" t="s">
        <v>1002</v>
      </c>
      <c r="C722" s="175" t="s">
        <v>433</v>
      </c>
      <c r="D722" s="176" t="s">
        <v>434</v>
      </c>
      <c r="E722" s="177" t="s">
        <v>1001</v>
      </c>
      <c r="F722" s="175">
        <f t="shared" si="33"/>
        <v>11</v>
      </c>
      <c r="G722" s="175" t="str">
        <f t="shared" si="34"/>
        <v>Santa Ana</v>
      </c>
      <c r="H722" s="175" t="str">
        <f t="shared" si="35"/>
        <v>Santa Ana, CA</v>
      </c>
      <c r="I722" s="178" t="s">
        <v>462</v>
      </c>
      <c r="J722" s="27" t="s">
        <v>434</v>
      </c>
      <c r="K722" s="27">
        <v>1201</v>
      </c>
      <c r="L722" s="179">
        <v>1430</v>
      </c>
      <c r="M722" s="178" t="s">
        <v>437</v>
      </c>
      <c r="N722" s="27" t="s">
        <v>434</v>
      </c>
      <c r="O722" s="182" t="s">
        <v>438</v>
      </c>
    </row>
    <row r="723" spans="1:15" ht="12">
      <c r="A723" s="148"/>
      <c r="B723" s="174" t="s">
        <v>1003</v>
      </c>
      <c r="C723" s="175" t="s">
        <v>433</v>
      </c>
      <c r="D723" s="176" t="s">
        <v>434</v>
      </c>
      <c r="E723" s="177" t="s">
        <v>1004</v>
      </c>
      <c r="F723" s="175">
        <f t="shared" si="33"/>
        <v>15</v>
      </c>
      <c r="G723" s="175" t="str">
        <f t="shared" si="34"/>
        <v>Santa Barbara</v>
      </c>
      <c r="H723" s="175" t="str">
        <f t="shared" si="35"/>
        <v>Santa Barbara, CA</v>
      </c>
      <c r="I723" s="178" t="s">
        <v>1005</v>
      </c>
      <c r="J723" s="27" t="s">
        <v>434</v>
      </c>
      <c r="K723" s="27">
        <v>289</v>
      </c>
      <c r="L723" s="179">
        <v>2438</v>
      </c>
      <c r="M723" s="178" t="s">
        <v>437</v>
      </c>
      <c r="N723" s="27" t="s">
        <v>434</v>
      </c>
      <c r="O723" s="182" t="s">
        <v>438</v>
      </c>
    </row>
    <row r="724" spans="1:15" ht="12">
      <c r="A724" s="148"/>
      <c r="B724" s="174" t="s">
        <v>1006</v>
      </c>
      <c r="C724" s="175" t="s">
        <v>415</v>
      </c>
      <c r="D724" s="176" t="s">
        <v>416</v>
      </c>
      <c r="E724" s="177" t="s">
        <v>1007</v>
      </c>
      <c r="F724" s="175">
        <f t="shared" si="33"/>
        <v>10</v>
      </c>
      <c r="G724" s="175" t="str">
        <f t="shared" si="34"/>
        <v>Santa Fe</v>
      </c>
      <c r="H724" s="175" t="str">
        <f t="shared" si="35"/>
        <v>Santa Fe, NM</v>
      </c>
      <c r="I724" s="178" t="s">
        <v>418</v>
      </c>
      <c r="J724" s="27" t="s">
        <v>416</v>
      </c>
      <c r="K724" s="27">
        <v>1244</v>
      </c>
      <c r="L724" s="179">
        <v>4425</v>
      </c>
      <c r="M724" s="180" t="s">
        <v>1008</v>
      </c>
      <c r="N724" s="181" t="s">
        <v>416</v>
      </c>
      <c r="O724" s="182" t="s">
        <v>1009</v>
      </c>
    </row>
    <row r="725" spans="1:15" ht="12">
      <c r="A725" s="148"/>
      <c r="B725" s="174" t="s">
        <v>1010</v>
      </c>
      <c r="C725" s="175" t="s">
        <v>433</v>
      </c>
      <c r="D725" s="176" t="s">
        <v>434</v>
      </c>
      <c r="E725" s="177" t="s">
        <v>1011</v>
      </c>
      <c r="F725" s="175">
        <f t="shared" si="33"/>
        <v>14</v>
      </c>
      <c r="G725" s="175" t="str">
        <f t="shared" si="34"/>
        <v>Santa Monica</v>
      </c>
      <c r="H725" s="175" t="str">
        <f t="shared" si="35"/>
        <v>Santa Monica, CA</v>
      </c>
      <c r="I725" s="178" t="s">
        <v>89</v>
      </c>
      <c r="J725" s="27" t="s">
        <v>434</v>
      </c>
      <c r="K725" s="27">
        <v>727</v>
      </c>
      <c r="L725" s="179">
        <v>1458</v>
      </c>
      <c r="M725" s="178" t="s">
        <v>437</v>
      </c>
      <c r="N725" s="27" t="s">
        <v>434</v>
      </c>
      <c r="O725" s="182" t="s">
        <v>438</v>
      </c>
    </row>
    <row r="726" spans="1:15" ht="12">
      <c r="A726" s="148"/>
      <c r="B726" s="174" t="s">
        <v>1012</v>
      </c>
      <c r="C726" s="175" t="s">
        <v>433</v>
      </c>
      <c r="D726" s="176" t="s">
        <v>434</v>
      </c>
      <c r="E726" s="177" t="s">
        <v>1013</v>
      </c>
      <c r="F726" s="175">
        <f t="shared" si="33"/>
        <v>12</v>
      </c>
      <c r="G726" s="175" t="str">
        <f t="shared" si="34"/>
        <v>Santa Rosa</v>
      </c>
      <c r="H726" s="175" t="str">
        <f t="shared" si="35"/>
        <v>Santa Rosa, CA</v>
      </c>
      <c r="I726" s="178" t="s">
        <v>631</v>
      </c>
      <c r="J726" s="27" t="s">
        <v>434</v>
      </c>
      <c r="K726" s="27">
        <v>1237</v>
      </c>
      <c r="L726" s="179">
        <v>2749</v>
      </c>
      <c r="M726" s="178" t="s">
        <v>632</v>
      </c>
      <c r="N726" s="27" t="s">
        <v>434</v>
      </c>
      <c r="O726" s="182" t="s">
        <v>633</v>
      </c>
    </row>
    <row r="727" spans="1:15" ht="12">
      <c r="A727" s="148"/>
      <c r="B727" s="174" t="s">
        <v>1014</v>
      </c>
      <c r="C727" s="175" t="s">
        <v>400</v>
      </c>
      <c r="D727" s="176" t="s">
        <v>401</v>
      </c>
      <c r="E727" s="177" t="s">
        <v>1015</v>
      </c>
      <c r="F727" s="175">
        <f t="shared" si="33"/>
        <v>10</v>
      </c>
      <c r="G727" s="175" t="str">
        <f t="shared" si="34"/>
        <v>Savannah</v>
      </c>
      <c r="H727" s="175" t="str">
        <f t="shared" si="35"/>
        <v>Savannah, GA</v>
      </c>
      <c r="I727" s="178" t="s">
        <v>1596</v>
      </c>
      <c r="J727" s="27" t="s">
        <v>401</v>
      </c>
      <c r="K727" s="27">
        <v>2365</v>
      </c>
      <c r="L727" s="179">
        <v>1847</v>
      </c>
      <c r="M727" s="180" t="s">
        <v>1597</v>
      </c>
      <c r="N727" s="181" t="s">
        <v>401</v>
      </c>
      <c r="O727" s="182" t="s">
        <v>1598</v>
      </c>
    </row>
    <row r="728" spans="1:15" ht="12">
      <c r="A728" s="148"/>
      <c r="B728" s="174" t="s">
        <v>1016</v>
      </c>
      <c r="C728" s="175" t="s">
        <v>400</v>
      </c>
      <c r="D728" s="176" t="s">
        <v>401</v>
      </c>
      <c r="E728" s="177" t="s">
        <v>1015</v>
      </c>
      <c r="F728" s="175">
        <f t="shared" si="33"/>
        <v>10</v>
      </c>
      <c r="G728" s="175" t="str">
        <f t="shared" si="34"/>
        <v>Savannah</v>
      </c>
      <c r="H728" s="175" t="str">
        <f t="shared" si="35"/>
        <v>Savannah, GA</v>
      </c>
      <c r="I728" s="178" t="s">
        <v>1596</v>
      </c>
      <c r="J728" s="27" t="s">
        <v>401</v>
      </c>
      <c r="K728" s="27">
        <v>2365</v>
      </c>
      <c r="L728" s="179">
        <v>1847</v>
      </c>
      <c r="M728" s="180" t="s">
        <v>1597</v>
      </c>
      <c r="N728" s="181" t="s">
        <v>401</v>
      </c>
      <c r="O728" s="182" t="s">
        <v>1598</v>
      </c>
    </row>
    <row r="729" spans="1:15" ht="12">
      <c r="A729" s="148"/>
      <c r="B729" s="174" t="s">
        <v>1017</v>
      </c>
      <c r="C729" s="175" t="s">
        <v>407</v>
      </c>
      <c r="D729" s="176" t="s">
        <v>408</v>
      </c>
      <c r="E729" s="177" t="s">
        <v>1018</v>
      </c>
      <c r="F729" s="175">
        <f t="shared" si="33"/>
        <v>13</v>
      </c>
      <c r="G729" s="175" t="str">
        <f t="shared" si="34"/>
        <v>Schenectady</v>
      </c>
      <c r="H729" s="175" t="str">
        <f t="shared" si="35"/>
        <v>Schenectady, NY</v>
      </c>
      <c r="I729" s="178" t="s">
        <v>409</v>
      </c>
      <c r="J729" s="27" t="s">
        <v>408</v>
      </c>
      <c r="K729" s="27">
        <v>507</v>
      </c>
      <c r="L729" s="179">
        <v>6894</v>
      </c>
      <c r="M729" s="180" t="s">
        <v>410</v>
      </c>
      <c r="N729" s="181" t="s">
        <v>408</v>
      </c>
      <c r="O729" s="182" t="s">
        <v>411</v>
      </c>
    </row>
    <row r="730" spans="1:15" ht="12">
      <c r="A730" s="148"/>
      <c r="B730" s="174" t="s">
        <v>1019</v>
      </c>
      <c r="C730" s="175" t="s">
        <v>440</v>
      </c>
      <c r="D730" s="176" t="s">
        <v>441</v>
      </c>
      <c r="E730" s="177" t="s">
        <v>1020</v>
      </c>
      <c r="F730" s="175">
        <f t="shared" si="33"/>
        <v>10</v>
      </c>
      <c r="G730" s="175" t="str">
        <f t="shared" si="34"/>
        <v>Scranton</v>
      </c>
      <c r="H730" s="175" t="str">
        <f t="shared" si="35"/>
        <v>Scranton, PA</v>
      </c>
      <c r="I730" s="178" t="s">
        <v>764</v>
      </c>
      <c r="J730" s="27" t="s">
        <v>441</v>
      </c>
      <c r="K730" s="27">
        <v>539</v>
      </c>
      <c r="L730" s="179">
        <v>6291</v>
      </c>
      <c r="M730" s="180" t="s">
        <v>1427</v>
      </c>
      <c r="N730" s="181" t="s">
        <v>441</v>
      </c>
      <c r="O730" s="182" t="s">
        <v>1428</v>
      </c>
    </row>
    <row r="731" spans="1:15" ht="12">
      <c r="A731" s="148"/>
      <c r="B731" s="174" t="s">
        <v>1021</v>
      </c>
      <c r="C731" s="175" t="s">
        <v>440</v>
      </c>
      <c r="D731" s="176" t="s">
        <v>441</v>
      </c>
      <c r="E731" s="177" t="s">
        <v>1020</v>
      </c>
      <c r="F731" s="175">
        <f t="shared" si="33"/>
        <v>10</v>
      </c>
      <c r="G731" s="175" t="str">
        <f t="shared" si="34"/>
        <v>Scranton</v>
      </c>
      <c r="H731" s="175" t="str">
        <f t="shared" si="35"/>
        <v>Scranton, PA</v>
      </c>
      <c r="I731" s="178" t="s">
        <v>764</v>
      </c>
      <c r="J731" s="27" t="s">
        <v>441</v>
      </c>
      <c r="K731" s="27">
        <v>539</v>
      </c>
      <c r="L731" s="179">
        <v>6291</v>
      </c>
      <c r="M731" s="180" t="s">
        <v>1427</v>
      </c>
      <c r="N731" s="181" t="s">
        <v>441</v>
      </c>
      <c r="O731" s="182" t="s">
        <v>1428</v>
      </c>
    </row>
    <row r="732" spans="1:15" ht="12">
      <c r="A732" s="148"/>
      <c r="B732" s="174" t="s">
        <v>1022</v>
      </c>
      <c r="C732" s="175" t="s">
        <v>584</v>
      </c>
      <c r="D732" s="176" t="s">
        <v>1627</v>
      </c>
      <c r="E732" s="177" t="s">
        <v>1266</v>
      </c>
      <c r="F732" s="175">
        <f t="shared" si="33"/>
        <v>9</v>
      </c>
      <c r="G732" s="175" t="str">
        <f t="shared" si="34"/>
        <v>Seattle</v>
      </c>
      <c r="H732" s="175" t="str">
        <f t="shared" si="35"/>
        <v>Seattle, WA</v>
      </c>
      <c r="I732" s="178" t="s">
        <v>1267</v>
      </c>
      <c r="J732" s="27" t="s">
        <v>1627</v>
      </c>
      <c r="K732" s="27">
        <v>167</v>
      </c>
      <c r="L732" s="179">
        <v>4611</v>
      </c>
      <c r="M732" s="180" t="s">
        <v>2392</v>
      </c>
      <c r="N732" s="181" t="s">
        <v>1627</v>
      </c>
      <c r="O732" s="182" t="s">
        <v>2393</v>
      </c>
    </row>
    <row r="733" spans="1:15" ht="12">
      <c r="A733" s="148"/>
      <c r="B733" s="174" t="s">
        <v>1268</v>
      </c>
      <c r="C733" s="175" t="s">
        <v>584</v>
      </c>
      <c r="D733" s="176" t="s">
        <v>1627</v>
      </c>
      <c r="E733" s="177" t="s">
        <v>1266</v>
      </c>
      <c r="F733" s="175">
        <f t="shared" si="33"/>
        <v>9</v>
      </c>
      <c r="G733" s="175" t="str">
        <f t="shared" si="34"/>
        <v>Seattle</v>
      </c>
      <c r="H733" s="175" t="str">
        <f t="shared" si="35"/>
        <v>Seattle, WA</v>
      </c>
      <c r="I733" s="178" t="s">
        <v>1267</v>
      </c>
      <c r="J733" s="27" t="s">
        <v>1627</v>
      </c>
      <c r="K733" s="27">
        <v>167</v>
      </c>
      <c r="L733" s="179">
        <v>4611</v>
      </c>
      <c r="M733" s="180" t="s">
        <v>2392</v>
      </c>
      <c r="N733" s="181" t="s">
        <v>1627</v>
      </c>
      <c r="O733" s="182" t="s">
        <v>2393</v>
      </c>
    </row>
    <row r="734" spans="1:15" ht="12">
      <c r="A734" s="148"/>
      <c r="B734" s="174" t="s">
        <v>1269</v>
      </c>
      <c r="C734" s="175" t="s">
        <v>1366</v>
      </c>
      <c r="D734" s="176" t="s">
        <v>1367</v>
      </c>
      <c r="E734" s="177" t="s">
        <v>1270</v>
      </c>
      <c r="F734" s="175">
        <f t="shared" si="33"/>
        <v>9</v>
      </c>
      <c r="G734" s="175" t="str">
        <f t="shared" si="34"/>
        <v>Sedalia</v>
      </c>
      <c r="H734" s="175" t="str">
        <f t="shared" si="35"/>
        <v>Sedalia, MO</v>
      </c>
      <c r="I734" s="178" t="s">
        <v>1507</v>
      </c>
      <c r="J734" s="27" t="s">
        <v>1367</v>
      </c>
      <c r="K734" s="27">
        <v>1189</v>
      </c>
      <c r="L734" s="179">
        <v>5212</v>
      </c>
      <c r="M734" s="178" t="s">
        <v>1370</v>
      </c>
      <c r="N734" s="27" t="s">
        <v>1367</v>
      </c>
      <c r="O734" s="182" t="s">
        <v>1371</v>
      </c>
    </row>
    <row r="735" spans="1:15" ht="12">
      <c r="A735" s="148"/>
      <c r="B735" s="174" t="s">
        <v>1271</v>
      </c>
      <c r="C735" s="175" t="s">
        <v>493</v>
      </c>
      <c r="D735" s="176" t="s">
        <v>494</v>
      </c>
      <c r="E735" s="177" t="s">
        <v>1272</v>
      </c>
      <c r="F735" s="175">
        <f t="shared" si="33"/>
        <v>7</v>
      </c>
      <c r="G735" s="175" t="str">
        <f t="shared" si="34"/>
        <v>Selma</v>
      </c>
      <c r="H735" s="175" t="str">
        <f t="shared" si="35"/>
        <v>Selma, AL</v>
      </c>
      <c r="I735" s="178" t="s">
        <v>1720</v>
      </c>
      <c r="J735" s="27" t="s">
        <v>494</v>
      </c>
      <c r="K735" s="27">
        <v>2212</v>
      </c>
      <c r="L735" s="179">
        <v>2224</v>
      </c>
      <c r="M735" s="178" t="s">
        <v>1721</v>
      </c>
      <c r="N735" s="27" t="s">
        <v>494</v>
      </c>
      <c r="O735" s="187" t="s">
        <v>1722</v>
      </c>
    </row>
    <row r="736" spans="1:15" ht="12">
      <c r="A736" s="148"/>
      <c r="B736" s="174" t="s">
        <v>1273</v>
      </c>
      <c r="C736" s="175" t="s">
        <v>500</v>
      </c>
      <c r="D736" s="176" t="s">
        <v>501</v>
      </c>
      <c r="E736" s="177" t="s">
        <v>1274</v>
      </c>
      <c r="F736" s="175">
        <f t="shared" si="33"/>
        <v>9</v>
      </c>
      <c r="G736" s="175" t="str">
        <f t="shared" si="34"/>
        <v>Shawnee</v>
      </c>
      <c r="H736" s="175" t="str">
        <f t="shared" si="35"/>
        <v>Shawnee, OK</v>
      </c>
      <c r="I736" s="178" t="s">
        <v>2099</v>
      </c>
      <c r="J736" s="27" t="s">
        <v>255</v>
      </c>
      <c r="K736" s="27">
        <v>2340</v>
      </c>
      <c r="L736" s="179">
        <v>3042</v>
      </c>
      <c r="M736" s="180" t="s">
        <v>2100</v>
      </c>
      <c r="N736" s="181" t="s">
        <v>255</v>
      </c>
      <c r="O736" s="182" t="s">
        <v>2101</v>
      </c>
    </row>
    <row r="737" spans="1:15" ht="12">
      <c r="A737" s="148"/>
      <c r="B737" s="174" t="s">
        <v>1275</v>
      </c>
      <c r="C737" s="175" t="s">
        <v>1495</v>
      </c>
      <c r="D737" s="176" t="s">
        <v>1496</v>
      </c>
      <c r="E737" s="177" t="s">
        <v>1276</v>
      </c>
      <c r="F737" s="175">
        <f t="shared" si="33"/>
        <v>17</v>
      </c>
      <c r="G737" s="175" t="str">
        <f t="shared" si="34"/>
        <v>Shawnee/Mission</v>
      </c>
      <c r="H737" s="175" t="str">
        <f t="shared" si="35"/>
        <v>Shawnee/Mission, KS</v>
      </c>
      <c r="I737" s="178" t="s">
        <v>2370</v>
      </c>
      <c r="J737" s="27" t="s">
        <v>1367</v>
      </c>
      <c r="K737" s="27">
        <v>1288</v>
      </c>
      <c r="L737" s="179">
        <v>5393</v>
      </c>
      <c r="M737" s="180" t="s">
        <v>2371</v>
      </c>
      <c r="N737" s="181" t="s">
        <v>1367</v>
      </c>
      <c r="O737" s="182" t="s">
        <v>2372</v>
      </c>
    </row>
    <row r="738" spans="1:15" ht="12">
      <c r="A738" s="148"/>
      <c r="B738" s="174" t="s">
        <v>1277</v>
      </c>
      <c r="C738" s="175" t="s">
        <v>1322</v>
      </c>
      <c r="D738" s="176" t="s">
        <v>1323</v>
      </c>
      <c r="E738" s="177" t="s">
        <v>1278</v>
      </c>
      <c r="F738" s="175">
        <f t="shared" si="33"/>
        <v>9</v>
      </c>
      <c r="G738" s="175" t="str">
        <f t="shared" si="34"/>
        <v>Sheldon</v>
      </c>
      <c r="H738" s="175" t="str">
        <f t="shared" si="35"/>
        <v>Sheldon, IA</v>
      </c>
      <c r="I738" s="178" t="s">
        <v>1279</v>
      </c>
      <c r="J738" s="27" t="s">
        <v>247</v>
      </c>
      <c r="K738" s="27">
        <v>744</v>
      </c>
      <c r="L738" s="179">
        <v>7809</v>
      </c>
      <c r="M738" s="180" t="s">
        <v>1280</v>
      </c>
      <c r="N738" s="181" t="s">
        <v>247</v>
      </c>
      <c r="O738" s="182" t="s">
        <v>1281</v>
      </c>
    </row>
    <row r="739" spans="1:15" ht="12">
      <c r="A739" s="148"/>
      <c r="B739" s="174" t="s">
        <v>1282</v>
      </c>
      <c r="C739" s="175" t="s">
        <v>1322</v>
      </c>
      <c r="D739" s="176" t="s">
        <v>1323</v>
      </c>
      <c r="E739" s="177" t="s">
        <v>1283</v>
      </c>
      <c r="F739" s="175">
        <f t="shared" si="33"/>
        <v>12</v>
      </c>
      <c r="G739" s="175" t="str">
        <f t="shared" si="34"/>
        <v>Shenandoah</v>
      </c>
      <c r="H739" s="175" t="str">
        <f t="shared" si="35"/>
        <v>Shenandoah, IA</v>
      </c>
      <c r="I739" s="178" t="s">
        <v>1656</v>
      </c>
      <c r="J739" s="27" t="s">
        <v>448</v>
      </c>
      <c r="K739" s="27">
        <v>1037</v>
      </c>
      <c r="L739" s="179">
        <v>6413</v>
      </c>
      <c r="M739" s="180" t="s">
        <v>1657</v>
      </c>
      <c r="N739" s="181" t="s">
        <v>448</v>
      </c>
      <c r="O739" s="182" t="s">
        <v>1658</v>
      </c>
    </row>
    <row r="740" spans="1:15" ht="12">
      <c r="A740" s="148"/>
      <c r="B740" s="174" t="s">
        <v>1284</v>
      </c>
      <c r="C740" s="175" t="s">
        <v>1402</v>
      </c>
      <c r="D740" s="176" t="s">
        <v>1403</v>
      </c>
      <c r="E740" s="177" t="s">
        <v>1285</v>
      </c>
      <c r="F740" s="175">
        <f t="shared" si="33"/>
        <v>10</v>
      </c>
      <c r="G740" s="175" t="str">
        <f t="shared" si="34"/>
        <v>Sheridan</v>
      </c>
      <c r="H740" s="175" t="str">
        <f t="shared" si="35"/>
        <v>Sheridan, WY</v>
      </c>
      <c r="I740" s="178" t="s">
        <v>1405</v>
      </c>
      <c r="J740" s="27" t="s">
        <v>1403</v>
      </c>
      <c r="K740" s="27">
        <v>439</v>
      </c>
      <c r="L740" s="179">
        <v>7804</v>
      </c>
      <c r="M740" s="180" t="s">
        <v>1406</v>
      </c>
      <c r="N740" s="181" t="s">
        <v>1403</v>
      </c>
      <c r="O740" s="182" t="s">
        <v>2304</v>
      </c>
    </row>
    <row r="741" spans="1:15" ht="12">
      <c r="A741" s="148"/>
      <c r="B741" s="174" t="s">
        <v>1286</v>
      </c>
      <c r="C741" s="175" t="s">
        <v>1300</v>
      </c>
      <c r="D741" s="176" t="s">
        <v>1301</v>
      </c>
      <c r="E741" s="177" t="s">
        <v>2225</v>
      </c>
      <c r="F741" s="175">
        <f t="shared" si="33"/>
        <v>10</v>
      </c>
      <c r="G741" s="175" t="str">
        <f t="shared" si="34"/>
        <v>Show Low</v>
      </c>
      <c r="H741" s="175" t="str">
        <f t="shared" si="35"/>
        <v>Show Low, AZ</v>
      </c>
      <c r="I741" s="178" t="s">
        <v>418</v>
      </c>
      <c r="J741" s="27" t="s">
        <v>416</v>
      </c>
      <c r="K741" s="27">
        <v>1244</v>
      </c>
      <c r="L741" s="179">
        <v>4425</v>
      </c>
      <c r="M741" s="180" t="s">
        <v>419</v>
      </c>
      <c r="N741" s="181" t="s">
        <v>416</v>
      </c>
      <c r="O741" s="182" t="s">
        <v>420</v>
      </c>
    </row>
    <row r="742" spans="1:15" ht="12">
      <c r="A742" s="148"/>
      <c r="B742" s="174" t="s">
        <v>2226</v>
      </c>
      <c r="C742" s="175" t="s">
        <v>281</v>
      </c>
      <c r="D742" s="176" t="s">
        <v>282</v>
      </c>
      <c r="E742" s="177" t="s">
        <v>2227</v>
      </c>
      <c r="F742" s="175">
        <f t="shared" si="33"/>
        <v>12</v>
      </c>
      <c r="G742" s="175" t="str">
        <f t="shared" si="34"/>
        <v>Shreveport</v>
      </c>
      <c r="H742" s="175" t="str">
        <f t="shared" si="35"/>
        <v>Shreveport, LA</v>
      </c>
      <c r="I742" s="178" t="s">
        <v>381</v>
      </c>
      <c r="J742" s="27" t="s">
        <v>282</v>
      </c>
      <c r="K742" s="27">
        <v>2368</v>
      </c>
      <c r="L742" s="179">
        <v>2264</v>
      </c>
      <c r="M742" s="180" t="s">
        <v>382</v>
      </c>
      <c r="N742" s="181" t="s">
        <v>282</v>
      </c>
      <c r="O742" s="182" t="s">
        <v>383</v>
      </c>
    </row>
    <row r="743" spans="1:15" ht="12">
      <c r="A743" s="148"/>
      <c r="B743" s="174" t="s">
        <v>2228</v>
      </c>
      <c r="C743" s="175" t="s">
        <v>281</v>
      </c>
      <c r="D743" s="176" t="s">
        <v>282</v>
      </c>
      <c r="E743" s="177" t="s">
        <v>2227</v>
      </c>
      <c r="F743" s="175">
        <f t="shared" si="33"/>
        <v>12</v>
      </c>
      <c r="G743" s="175" t="str">
        <f t="shared" si="34"/>
        <v>Shreveport</v>
      </c>
      <c r="H743" s="175" t="str">
        <f t="shared" si="35"/>
        <v>Shreveport, LA</v>
      </c>
      <c r="I743" s="178" t="s">
        <v>381</v>
      </c>
      <c r="J743" s="27" t="s">
        <v>282</v>
      </c>
      <c r="K743" s="27">
        <v>2368</v>
      </c>
      <c r="L743" s="179">
        <v>2264</v>
      </c>
      <c r="M743" s="180" t="s">
        <v>382</v>
      </c>
      <c r="N743" s="181" t="s">
        <v>282</v>
      </c>
      <c r="O743" s="182" t="s">
        <v>383</v>
      </c>
    </row>
    <row r="744" spans="1:15" ht="12">
      <c r="A744" s="148"/>
      <c r="B744" s="174" t="s">
        <v>2229</v>
      </c>
      <c r="C744" s="175" t="s">
        <v>1300</v>
      </c>
      <c r="D744" s="176" t="s">
        <v>1301</v>
      </c>
      <c r="E744" s="177" t="s">
        <v>2230</v>
      </c>
      <c r="F744" s="175">
        <f t="shared" si="33"/>
        <v>22</v>
      </c>
      <c r="G744" s="175" t="str">
        <f t="shared" si="34"/>
        <v>Sierra Vista/Nogales</v>
      </c>
      <c r="H744" s="175" t="str">
        <f t="shared" si="35"/>
        <v>Sierra Vista/Nogales, AZ</v>
      </c>
      <c r="I744" s="178" t="s">
        <v>1398</v>
      </c>
      <c r="J744" s="27" t="s">
        <v>1301</v>
      </c>
      <c r="K744" s="27">
        <v>2954</v>
      </c>
      <c r="L744" s="179">
        <v>1678</v>
      </c>
      <c r="M744" s="178" t="s">
        <v>1399</v>
      </c>
      <c r="N744" s="27" t="s">
        <v>1301</v>
      </c>
      <c r="O744" s="182" t="s">
        <v>1400</v>
      </c>
    </row>
    <row r="745" spans="1:15" ht="12">
      <c r="A745" s="148"/>
      <c r="B745" s="174" t="s">
        <v>2231</v>
      </c>
      <c r="C745" s="175" t="s">
        <v>1366</v>
      </c>
      <c r="D745" s="176" t="s">
        <v>1367</v>
      </c>
      <c r="E745" s="177" t="s">
        <v>2232</v>
      </c>
      <c r="F745" s="175">
        <f t="shared" si="33"/>
        <v>10</v>
      </c>
      <c r="G745" s="175" t="str">
        <f t="shared" si="34"/>
        <v>Sikeston</v>
      </c>
      <c r="H745" s="175" t="str">
        <f t="shared" si="35"/>
        <v>Sikeston, MO</v>
      </c>
      <c r="I745" s="178" t="s">
        <v>1374</v>
      </c>
      <c r="J745" s="27" t="s">
        <v>2270</v>
      </c>
      <c r="K745" s="27">
        <v>1376</v>
      </c>
      <c r="L745" s="179">
        <v>4708</v>
      </c>
      <c r="M745" s="178" t="s">
        <v>1375</v>
      </c>
      <c r="N745" s="27" t="s">
        <v>2270</v>
      </c>
      <c r="O745" s="182" t="s">
        <v>1376</v>
      </c>
    </row>
    <row r="746" spans="1:15" ht="12">
      <c r="A746" s="148"/>
      <c r="B746" s="174" t="s">
        <v>2233</v>
      </c>
      <c r="C746" s="175" t="s">
        <v>487</v>
      </c>
      <c r="D746" s="176" t="s">
        <v>430</v>
      </c>
      <c r="E746" s="177" t="s">
        <v>2234</v>
      </c>
      <c r="F746" s="175">
        <f t="shared" si="33"/>
        <v>15</v>
      </c>
      <c r="G746" s="175" t="str">
        <f t="shared" si="34"/>
        <v>Silver Spring</v>
      </c>
      <c r="H746" s="175" t="str">
        <f t="shared" si="35"/>
        <v>Silver Spring, MD</v>
      </c>
      <c r="I746" s="178" t="s">
        <v>427</v>
      </c>
      <c r="J746" s="27" t="s">
        <v>428</v>
      </c>
      <c r="K746" s="27">
        <v>1549</v>
      </c>
      <c r="L746" s="179">
        <v>4047</v>
      </c>
      <c r="M746" s="180" t="s">
        <v>429</v>
      </c>
      <c r="N746" s="181" t="s">
        <v>430</v>
      </c>
      <c r="O746" s="182" t="s">
        <v>431</v>
      </c>
    </row>
    <row r="747" spans="1:15" ht="12">
      <c r="A747" s="148"/>
      <c r="B747" s="174" t="s">
        <v>2235</v>
      </c>
      <c r="C747" s="175" t="s">
        <v>1322</v>
      </c>
      <c r="D747" s="176" t="s">
        <v>1323</v>
      </c>
      <c r="E747" s="177" t="s">
        <v>2236</v>
      </c>
      <c r="F747" s="175">
        <f t="shared" si="33"/>
        <v>12</v>
      </c>
      <c r="G747" s="175" t="str">
        <f t="shared" si="34"/>
        <v>Sioux City</v>
      </c>
      <c r="H747" s="175" t="str">
        <f t="shared" si="35"/>
        <v>Sioux City, IA</v>
      </c>
      <c r="I747" s="178" t="s">
        <v>1386</v>
      </c>
      <c r="J747" s="27" t="s">
        <v>1323</v>
      </c>
      <c r="K747" s="27">
        <v>907</v>
      </c>
      <c r="L747" s="179">
        <v>6893</v>
      </c>
      <c r="M747" s="178" t="s">
        <v>1387</v>
      </c>
      <c r="N747" s="27" t="s">
        <v>1323</v>
      </c>
      <c r="O747" s="182" t="s">
        <v>1388</v>
      </c>
    </row>
    <row r="748" spans="1:15" ht="12">
      <c r="A748" s="148"/>
      <c r="B748" s="174" t="s">
        <v>2237</v>
      </c>
      <c r="C748" s="175" t="s">
        <v>1322</v>
      </c>
      <c r="D748" s="176" t="s">
        <v>1323</v>
      </c>
      <c r="E748" s="177" t="s">
        <v>2236</v>
      </c>
      <c r="F748" s="175">
        <f t="shared" si="33"/>
        <v>12</v>
      </c>
      <c r="G748" s="175" t="str">
        <f t="shared" si="34"/>
        <v>Sioux City</v>
      </c>
      <c r="H748" s="175" t="str">
        <f t="shared" si="35"/>
        <v>Sioux City, IA</v>
      </c>
      <c r="I748" s="178" t="s">
        <v>1386</v>
      </c>
      <c r="J748" s="27" t="s">
        <v>1323</v>
      </c>
      <c r="K748" s="27">
        <v>907</v>
      </c>
      <c r="L748" s="179">
        <v>6893</v>
      </c>
      <c r="M748" s="178" t="s">
        <v>1387</v>
      </c>
      <c r="N748" s="27" t="s">
        <v>1323</v>
      </c>
      <c r="O748" s="182" t="s">
        <v>1388</v>
      </c>
    </row>
    <row r="749" spans="1:15" ht="12">
      <c r="A749" s="148"/>
      <c r="B749" s="174" t="s">
        <v>2238</v>
      </c>
      <c r="C749" s="175" t="s">
        <v>246</v>
      </c>
      <c r="D749" s="176" t="s">
        <v>247</v>
      </c>
      <c r="E749" s="177" t="s">
        <v>2239</v>
      </c>
      <c r="F749" s="175">
        <f t="shared" si="33"/>
        <v>13</v>
      </c>
      <c r="G749" s="175" t="str">
        <f t="shared" si="34"/>
        <v>Sioux Falls</v>
      </c>
      <c r="H749" s="175" t="str">
        <f t="shared" si="35"/>
        <v>Sioux Falls, SD</v>
      </c>
      <c r="I749" s="178" t="s">
        <v>1279</v>
      </c>
      <c r="J749" s="27" t="s">
        <v>247</v>
      </c>
      <c r="K749" s="27">
        <v>744</v>
      </c>
      <c r="L749" s="179">
        <v>7809</v>
      </c>
      <c r="M749" s="180" t="s">
        <v>1280</v>
      </c>
      <c r="N749" s="181" t="s">
        <v>247</v>
      </c>
      <c r="O749" s="182" t="s">
        <v>1281</v>
      </c>
    </row>
    <row r="750" spans="1:15" ht="12">
      <c r="A750" s="148"/>
      <c r="B750" s="174" t="s">
        <v>2240</v>
      </c>
      <c r="C750" s="175" t="s">
        <v>246</v>
      </c>
      <c r="D750" s="176" t="s">
        <v>247</v>
      </c>
      <c r="E750" s="177" t="s">
        <v>2239</v>
      </c>
      <c r="F750" s="175">
        <f t="shared" si="33"/>
        <v>13</v>
      </c>
      <c r="G750" s="175" t="str">
        <f t="shared" si="34"/>
        <v>Sioux Falls</v>
      </c>
      <c r="H750" s="175" t="str">
        <f t="shared" si="35"/>
        <v>Sioux Falls, SD</v>
      </c>
      <c r="I750" s="178" t="s">
        <v>1279</v>
      </c>
      <c r="J750" s="27" t="s">
        <v>247</v>
      </c>
      <c r="K750" s="27">
        <v>744</v>
      </c>
      <c r="L750" s="179">
        <v>7809</v>
      </c>
      <c r="M750" s="180" t="s">
        <v>1280</v>
      </c>
      <c r="N750" s="181" t="s">
        <v>247</v>
      </c>
      <c r="O750" s="182" t="s">
        <v>1281</v>
      </c>
    </row>
    <row r="751" spans="1:15" ht="12">
      <c r="A751" s="148"/>
      <c r="B751" s="174" t="s">
        <v>2241</v>
      </c>
      <c r="C751" s="175" t="s">
        <v>433</v>
      </c>
      <c r="D751" s="176" t="s">
        <v>434</v>
      </c>
      <c r="E751" s="177" t="s">
        <v>2242</v>
      </c>
      <c r="F751" s="175">
        <f t="shared" si="33"/>
        <v>19</v>
      </c>
      <c r="G751" s="175" t="str">
        <f t="shared" si="34"/>
        <v>So. San Francisco</v>
      </c>
      <c r="H751" s="175" t="str">
        <f t="shared" si="35"/>
        <v>So. San Francisco, CA</v>
      </c>
      <c r="I751" s="178" t="s">
        <v>191</v>
      </c>
      <c r="J751" s="27" t="s">
        <v>434</v>
      </c>
      <c r="K751" s="27">
        <v>65</v>
      </c>
      <c r="L751" s="179">
        <v>3005</v>
      </c>
      <c r="M751" s="178" t="s">
        <v>192</v>
      </c>
      <c r="N751" s="27" t="s">
        <v>434</v>
      </c>
      <c r="O751" s="182" t="s">
        <v>193</v>
      </c>
    </row>
    <row r="752" spans="1:15" ht="12">
      <c r="A752" s="148"/>
      <c r="B752" s="174" t="s">
        <v>2243</v>
      </c>
      <c r="C752" s="175" t="s">
        <v>415</v>
      </c>
      <c r="D752" s="176" t="s">
        <v>416</v>
      </c>
      <c r="E752" s="177" t="s">
        <v>2244</v>
      </c>
      <c r="F752" s="175">
        <f t="shared" si="33"/>
        <v>9</v>
      </c>
      <c r="G752" s="175" t="str">
        <f t="shared" si="34"/>
        <v>Socorro</v>
      </c>
      <c r="H752" s="175" t="str">
        <f t="shared" si="35"/>
        <v>Socorro, NM</v>
      </c>
      <c r="I752" s="178" t="s">
        <v>418</v>
      </c>
      <c r="J752" s="27" t="s">
        <v>416</v>
      </c>
      <c r="K752" s="27">
        <v>1244</v>
      </c>
      <c r="L752" s="179">
        <v>4425</v>
      </c>
      <c r="M752" s="180" t="s">
        <v>419</v>
      </c>
      <c r="N752" s="181" t="s">
        <v>416</v>
      </c>
      <c r="O752" s="182" t="s">
        <v>420</v>
      </c>
    </row>
    <row r="753" spans="1:15" ht="12">
      <c r="A753" s="148"/>
      <c r="B753" s="174" t="s">
        <v>2245</v>
      </c>
      <c r="C753" s="175" t="s">
        <v>516</v>
      </c>
      <c r="D753" s="176" t="s">
        <v>517</v>
      </c>
      <c r="E753" s="177" t="s">
        <v>2246</v>
      </c>
      <c r="F753" s="175">
        <f t="shared" si="33"/>
        <v>10</v>
      </c>
      <c r="G753" s="175" t="str">
        <f t="shared" si="34"/>
        <v>Somerset</v>
      </c>
      <c r="H753" s="175" t="str">
        <f t="shared" si="35"/>
        <v>Somerset, KY</v>
      </c>
      <c r="I753" s="178" t="s">
        <v>1514</v>
      </c>
      <c r="J753" s="27" t="s">
        <v>517</v>
      </c>
      <c r="K753" s="27">
        <v>1140</v>
      </c>
      <c r="L753" s="179">
        <v>4783</v>
      </c>
      <c r="M753" s="180" t="s">
        <v>1515</v>
      </c>
      <c r="N753" s="181" t="s">
        <v>517</v>
      </c>
      <c r="O753" s="182" t="s">
        <v>1516</v>
      </c>
    </row>
    <row r="754" spans="1:15" ht="12">
      <c r="A754" s="148"/>
      <c r="B754" s="174" t="s">
        <v>2247</v>
      </c>
      <c r="C754" s="175" t="s">
        <v>516</v>
      </c>
      <c r="D754" s="176" t="s">
        <v>517</v>
      </c>
      <c r="E754" s="177" t="s">
        <v>2246</v>
      </c>
      <c r="F754" s="175">
        <f t="shared" si="33"/>
        <v>10</v>
      </c>
      <c r="G754" s="175" t="str">
        <f t="shared" si="34"/>
        <v>Somerset</v>
      </c>
      <c r="H754" s="175" t="str">
        <f t="shared" si="35"/>
        <v>Somerset, KY</v>
      </c>
      <c r="I754" s="178" t="s">
        <v>1514</v>
      </c>
      <c r="J754" s="27" t="s">
        <v>517</v>
      </c>
      <c r="K754" s="27">
        <v>1140</v>
      </c>
      <c r="L754" s="179">
        <v>4783</v>
      </c>
      <c r="M754" s="180" t="s">
        <v>1515</v>
      </c>
      <c r="N754" s="181" t="s">
        <v>517</v>
      </c>
      <c r="O754" s="182" t="s">
        <v>1516</v>
      </c>
    </row>
    <row r="755" spans="1:15" ht="12">
      <c r="A755" s="148"/>
      <c r="B755" s="174" t="s">
        <v>2248</v>
      </c>
      <c r="C755" s="175" t="s">
        <v>440</v>
      </c>
      <c r="D755" s="176" t="s">
        <v>441</v>
      </c>
      <c r="E755" s="177" t="s">
        <v>2246</v>
      </c>
      <c r="F755" s="175">
        <f t="shared" si="33"/>
        <v>10</v>
      </c>
      <c r="G755" s="175" t="str">
        <f t="shared" si="34"/>
        <v>Somerset</v>
      </c>
      <c r="H755" s="175" t="str">
        <f t="shared" si="35"/>
        <v>Somerset, PA</v>
      </c>
      <c r="I755" s="178" t="s">
        <v>455</v>
      </c>
      <c r="J755" s="27" t="s">
        <v>441</v>
      </c>
      <c r="K755" s="27">
        <v>654</v>
      </c>
      <c r="L755" s="179">
        <v>5968</v>
      </c>
      <c r="M755" s="180" t="s">
        <v>456</v>
      </c>
      <c r="N755" s="181" t="s">
        <v>441</v>
      </c>
      <c r="O755" s="182" t="s">
        <v>457</v>
      </c>
    </row>
    <row r="756" spans="1:15" ht="12">
      <c r="A756" s="148"/>
      <c r="B756" s="174" t="s">
        <v>2249</v>
      </c>
      <c r="C756" s="175" t="s">
        <v>2269</v>
      </c>
      <c r="D756" s="176" t="s">
        <v>2270</v>
      </c>
      <c r="E756" s="177" t="s">
        <v>2250</v>
      </c>
      <c r="F756" s="175">
        <f t="shared" si="33"/>
        <v>12</v>
      </c>
      <c r="G756" s="175" t="str">
        <f t="shared" si="34"/>
        <v>South Bend</v>
      </c>
      <c r="H756" s="175" t="str">
        <f t="shared" si="35"/>
        <v>South Bend, IN</v>
      </c>
      <c r="I756" s="178" t="s">
        <v>1964</v>
      </c>
      <c r="J756" s="27" t="s">
        <v>2270</v>
      </c>
      <c r="K756" s="27">
        <v>824</v>
      </c>
      <c r="L756" s="179">
        <v>6273</v>
      </c>
      <c r="M756" s="178" t="s">
        <v>1999</v>
      </c>
      <c r="N756" s="27" t="s">
        <v>2270</v>
      </c>
      <c r="O756" s="182" t="s">
        <v>2000</v>
      </c>
    </row>
    <row r="757" spans="1:15" ht="12">
      <c r="A757" s="148"/>
      <c r="B757" s="174" t="s">
        <v>2251</v>
      </c>
      <c r="C757" s="175" t="s">
        <v>2269</v>
      </c>
      <c r="D757" s="176" t="s">
        <v>2270</v>
      </c>
      <c r="E757" s="177" t="s">
        <v>2250</v>
      </c>
      <c r="F757" s="175">
        <f t="shared" si="33"/>
        <v>12</v>
      </c>
      <c r="G757" s="175" t="str">
        <f t="shared" si="34"/>
        <v>South Bend</v>
      </c>
      <c r="H757" s="175" t="str">
        <f t="shared" si="35"/>
        <v>South Bend, IN</v>
      </c>
      <c r="I757" s="178" t="s">
        <v>1960</v>
      </c>
      <c r="J757" s="27" t="s">
        <v>2270</v>
      </c>
      <c r="K757" s="27">
        <v>728</v>
      </c>
      <c r="L757" s="179">
        <v>6331</v>
      </c>
      <c r="M757" s="178" t="s">
        <v>1999</v>
      </c>
      <c r="N757" s="27" t="s">
        <v>2270</v>
      </c>
      <c r="O757" s="182" t="s">
        <v>2000</v>
      </c>
    </row>
    <row r="758" spans="1:15" ht="12">
      <c r="A758" s="148"/>
      <c r="B758" s="174" t="s">
        <v>1631</v>
      </c>
      <c r="C758" s="175" t="s">
        <v>1636</v>
      </c>
      <c r="D758" s="176" t="s">
        <v>1637</v>
      </c>
      <c r="E758" s="177" t="s">
        <v>2254</v>
      </c>
      <c r="F758" s="175">
        <f t="shared" si="33"/>
        <v>20</v>
      </c>
      <c r="G758" s="175" t="str">
        <f t="shared" si="34"/>
        <v>South Chicago Sub.</v>
      </c>
      <c r="H758" s="175" t="str">
        <f t="shared" si="35"/>
        <v>South Chicago Sub., IL</v>
      </c>
      <c r="I758" s="178" t="s">
        <v>2359</v>
      </c>
      <c r="J758" s="27" t="s">
        <v>1637</v>
      </c>
      <c r="K758" s="27">
        <v>752</v>
      </c>
      <c r="L758" s="179">
        <v>6536</v>
      </c>
      <c r="M758" s="178" t="s">
        <v>2360</v>
      </c>
      <c r="N758" s="27" t="s">
        <v>1637</v>
      </c>
      <c r="O758" s="182" t="s">
        <v>2361</v>
      </c>
    </row>
    <row r="759" spans="1:15" ht="12">
      <c r="A759" s="148"/>
      <c r="B759" s="174" t="s">
        <v>1207</v>
      </c>
      <c r="C759" s="175" t="s">
        <v>1636</v>
      </c>
      <c r="D759" s="176" t="s">
        <v>1637</v>
      </c>
      <c r="E759" s="177" t="s">
        <v>2254</v>
      </c>
      <c r="F759" s="175">
        <f t="shared" si="33"/>
        <v>20</v>
      </c>
      <c r="G759" s="175" t="str">
        <f t="shared" si="34"/>
        <v>South Chicago Sub.</v>
      </c>
      <c r="H759" s="175" t="str">
        <f t="shared" si="35"/>
        <v>South Chicago Sub., IL</v>
      </c>
      <c r="I759" s="178" t="s">
        <v>2359</v>
      </c>
      <c r="J759" s="27" t="s">
        <v>1637</v>
      </c>
      <c r="K759" s="27">
        <v>752</v>
      </c>
      <c r="L759" s="179">
        <v>6536</v>
      </c>
      <c r="M759" s="178" t="s">
        <v>2360</v>
      </c>
      <c r="N759" s="27" t="s">
        <v>1637</v>
      </c>
      <c r="O759" s="182" t="s">
        <v>2361</v>
      </c>
    </row>
    <row r="760" spans="1:15" ht="12">
      <c r="A760" s="148"/>
      <c r="B760" s="186" t="s">
        <v>1208</v>
      </c>
      <c r="C760" s="175" t="s">
        <v>1537</v>
      </c>
      <c r="D760" s="176" t="s">
        <v>1538</v>
      </c>
      <c r="E760" s="177" t="s">
        <v>1209</v>
      </c>
      <c r="F760" s="175">
        <f t="shared" si="33"/>
        <v>14</v>
      </c>
      <c r="G760" s="175" t="str">
        <f t="shared" si="34"/>
        <v>South Jersey</v>
      </c>
      <c r="H760" s="175" t="str">
        <f t="shared" si="35"/>
        <v>South Jersey, NJ</v>
      </c>
      <c r="I760" s="178" t="s">
        <v>1540</v>
      </c>
      <c r="J760" s="27" t="s">
        <v>1538</v>
      </c>
      <c r="K760" s="27">
        <v>826</v>
      </c>
      <c r="L760" s="179">
        <v>5169</v>
      </c>
      <c r="M760" s="180" t="s">
        <v>1541</v>
      </c>
      <c r="N760" s="181" t="s">
        <v>1538</v>
      </c>
      <c r="O760" s="182" t="s">
        <v>1542</v>
      </c>
    </row>
    <row r="761" spans="1:15" ht="12">
      <c r="A761" s="148"/>
      <c r="B761" s="186" t="s">
        <v>1210</v>
      </c>
      <c r="C761" s="175" t="s">
        <v>1537</v>
      </c>
      <c r="D761" s="176" t="s">
        <v>1538</v>
      </c>
      <c r="E761" s="177" t="s">
        <v>1209</v>
      </c>
      <c r="F761" s="175">
        <f t="shared" si="33"/>
        <v>14</v>
      </c>
      <c r="G761" s="175" t="str">
        <f t="shared" si="34"/>
        <v>South Jersey</v>
      </c>
      <c r="H761" s="175" t="str">
        <f t="shared" si="35"/>
        <v>South Jersey, NJ</v>
      </c>
      <c r="I761" s="178" t="s">
        <v>1028</v>
      </c>
      <c r="J761" s="27" t="s">
        <v>1725</v>
      </c>
      <c r="K761" s="27">
        <v>1046</v>
      </c>
      <c r="L761" s="179">
        <v>4937</v>
      </c>
      <c r="M761" s="180" t="s">
        <v>1029</v>
      </c>
      <c r="N761" s="181" t="s">
        <v>1725</v>
      </c>
      <c r="O761" s="182" t="s">
        <v>1030</v>
      </c>
    </row>
    <row r="762" spans="1:15" ht="12">
      <c r="A762" s="148"/>
      <c r="B762" s="174" t="s">
        <v>1211</v>
      </c>
      <c r="C762" s="175" t="s">
        <v>1187</v>
      </c>
      <c r="D762" s="176" t="s">
        <v>1188</v>
      </c>
      <c r="E762" s="177" t="s">
        <v>1212</v>
      </c>
      <c r="F762" s="175">
        <f t="shared" si="33"/>
        <v>28</v>
      </c>
      <c r="G762" s="175" t="str">
        <f t="shared" si="34"/>
        <v>Southeast Utah/Green River</v>
      </c>
      <c r="H762" s="175" t="str">
        <f t="shared" si="35"/>
        <v>Southeast Utah/Green River, UT</v>
      </c>
      <c r="I762" s="178" t="s">
        <v>1743</v>
      </c>
      <c r="J762" s="27" t="s">
        <v>394</v>
      </c>
      <c r="K762" s="27">
        <v>1183</v>
      </c>
      <c r="L762" s="179">
        <v>5548</v>
      </c>
      <c r="M762" s="178" t="s">
        <v>1744</v>
      </c>
      <c r="N762" s="27" t="s">
        <v>394</v>
      </c>
      <c r="O762" s="182" t="s">
        <v>1745</v>
      </c>
    </row>
    <row r="763" spans="1:15" ht="12">
      <c r="A763" s="148"/>
      <c r="B763" s="174" t="s">
        <v>1213</v>
      </c>
      <c r="C763" s="175" t="s">
        <v>440</v>
      </c>
      <c r="D763" s="176" t="s">
        <v>441</v>
      </c>
      <c r="E763" s="177" t="s">
        <v>1214</v>
      </c>
      <c r="F763" s="175">
        <f t="shared" si="33"/>
        <v>14</v>
      </c>
      <c r="G763" s="175" t="str">
        <f t="shared" si="34"/>
        <v>Southeastern</v>
      </c>
      <c r="H763" s="175" t="str">
        <f t="shared" si="35"/>
        <v>Southeastern, PA</v>
      </c>
      <c r="I763" s="178" t="s">
        <v>1028</v>
      </c>
      <c r="J763" s="27" t="s">
        <v>1725</v>
      </c>
      <c r="K763" s="27">
        <v>1046</v>
      </c>
      <c r="L763" s="179">
        <v>4937</v>
      </c>
      <c r="M763" s="180" t="s">
        <v>1029</v>
      </c>
      <c r="N763" s="181" t="s">
        <v>1725</v>
      </c>
      <c r="O763" s="182" t="s">
        <v>1030</v>
      </c>
    </row>
    <row r="764" spans="1:15" ht="12">
      <c r="A764" s="148"/>
      <c r="B764" s="174" t="s">
        <v>1215</v>
      </c>
      <c r="C764" s="175" t="s">
        <v>440</v>
      </c>
      <c r="D764" s="176" t="s">
        <v>441</v>
      </c>
      <c r="E764" s="177" t="s">
        <v>1214</v>
      </c>
      <c r="F764" s="175">
        <f t="shared" si="33"/>
        <v>14</v>
      </c>
      <c r="G764" s="175" t="str">
        <f t="shared" si="34"/>
        <v>Southeastern</v>
      </c>
      <c r="H764" s="175" t="str">
        <f t="shared" si="35"/>
        <v>Southeastern, PA</v>
      </c>
      <c r="I764" s="178" t="s">
        <v>1028</v>
      </c>
      <c r="J764" s="27" t="s">
        <v>1725</v>
      </c>
      <c r="K764" s="27">
        <v>1046</v>
      </c>
      <c r="L764" s="179">
        <v>4937</v>
      </c>
      <c r="M764" s="180" t="s">
        <v>1029</v>
      </c>
      <c r="N764" s="181" t="s">
        <v>1725</v>
      </c>
      <c r="O764" s="182" t="s">
        <v>1030</v>
      </c>
    </row>
    <row r="765" spans="1:15" ht="12">
      <c r="A765" s="148"/>
      <c r="B765" s="174" t="s">
        <v>1216</v>
      </c>
      <c r="C765" s="175" t="s">
        <v>1187</v>
      </c>
      <c r="D765" s="176" t="s">
        <v>1188</v>
      </c>
      <c r="E765" s="177" t="s">
        <v>1217</v>
      </c>
      <c r="F765" s="175">
        <f t="shared" si="33"/>
        <v>27</v>
      </c>
      <c r="G765" s="175" t="str">
        <f t="shared" si="34"/>
        <v>Southwest Utah/Cedar City</v>
      </c>
      <c r="H765" s="175" t="str">
        <f t="shared" si="35"/>
        <v>Southwest Utah/Cedar City, UT</v>
      </c>
      <c r="I765" s="178" t="s">
        <v>1218</v>
      </c>
      <c r="J765" s="27" t="s">
        <v>1188</v>
      </c>
      <c r="K765" s="27">
        <v>647</v>
      </c>
      <c r="L765" s="179">
        <v>6511</v>
      </c>
      <c r="M765" s="178" t="s">
        <v>1744</v>
      </c>
      <c r="N765" s="27" t="s">
        <v>394</v>
      </c>
      <c r="O765" s="182" t="s">
        <v>1745</v>
      </c>
    </row>
    <row r="766" spans="1:15" ht="12">
      <c r="A766" s="148"/>
      <c r="B766" s="174" t="s">
        <v>1219</v>
      </c>
      <c r="C766" s="175" t="s">
        <v>274</v>
      </c>
      <c r="D766" s="176" t="s">
        <v>275</v>
      </c>
      <c r="E766" s="177" t="s">
        <v>1220</v>
      </c>
      <c r="F766" s="175">
        <f t="shared" si="33"/>
        <v>13</v>
      </c>
      <c r="G766" s="175" t="str">
        <f t="shared" si="34"/>
        <v>Spartanburg</v>
      </c>
      <c r="H766" s="175" t="str">
        <f t="shared" si="35"/>
        <v>Spartanburg, SC</v>
      </c>
      <c r="I766" s="178" t="s">
        <v>2331</v>
      </c>
      <c r="J766" s="27" t="s">
        <v>275</v>
      </c>
      <c r="K766" s="27">
        <v>1473</v>
      </c>
      <c r="L766" s="179">
        <v>3272</v>
      </c>
      <c r="M766" s="180" t="s">
        <v>2332</v>
      </c>
      <c r="N766" s="181" t="s">
        <v>473</v>
      </c>
      <c r="O766" s="182" t="s">
        <v>2333</v>
      </c>
    </row>
    <row r="767" spans="1:15" ht="12">
      <c r="A767" s="148"/>
      <c r="B767" s="174" t="s">
        <v>1221</v>
      </c>
      <c r="C767" s="175" t="s">
        <v>1322</v>
      </c>
      <c r="D767" s="176" t="s">
        <v>1323</v>
      </c>
      <c r="E767" s="177" t="s">
        <v>1222</v>
      </c>
      <c r="F767" s="175">
        <f t="shared" si="33"/>
        <v>9</v>
      </c>
      <c r="G767" s="175" t="str">
        <f t="shared" si="34"/>
        <v>Spencer</v>
      </c>
      <c r="H767" s="175" t="str">
        <f t="shared" si="35"/>
        <v>Spencer, IA</v>
      </c>
      <c r="I767" s="178" t="s">
        <v>1279</v>
      </c>
      <c r="J767" s="27" t="s">
        <v>247</v>
      </c>
      <c r="K767" s="27">
        <v>744</v>
      </c>
      <c r="L767" s="179">
        <v>7809</v>
      </c>
      <c r="M767" s="180" t="s">
        <v>1280</v>
      </c>
      <c r="N767" s="181" t="s">
        <v>247</v>
      </c>
      <c r="O767" s="182" t="s">
        <v>1281</v>
      </c>
    </row>
    <row r="768" spans="1:15" ht="12">
      <c r="A768" s="148"/>
      <c r="B768" s="174" t="s">
        <v>1223</v>
      </c>
      <c r="C768" s="175" t="s">
        <v>584</v>
      </c>
      <c r="D768" s="176" t="s">
        <v>1627</v>
      </c>
      <c r="E768" s="177" t="s">
        <v>1224</v>
      </c>
      <c r="F768" s="175">
        <f t="shared" si="33"/>
        <v>9</v>
      </c>
      <c r="G768" s="175" t="str">
        <f t="shared" si="34"/>
        <v>Spokane</v>
      </c>
      <c r="H768" s="175" t="str">
        <f t="shared" si="35"/>
        <v>Spokane, WA</v>
      </c>
      <c r="I768" s="178" t="s">
        <v>1491</v>
      </c>
      <c r="J768" s="27" t="s">
        <v>1627</v>
      </c>
      <c r="K768" s="27">
        <v>398</v>
      </c>
      <c r="L768" s="179">
        <v>6842</v>
      </c>
      <c r="M768" s="180" t="s">
        <v>1492</v>
      </c>
      <c r="N768" s="181" t="s">
        <v>1627</v>
      </c>
      <c r="O768" s="182" t="s">
        <v>1493</v>
      </c>
    </row>
    <row r="769" spans="1:15" ht="12">
      <c r="A769" s="148"/>
      <c r="B769" s="174" t="s">
        <v>1225</v>
      </c>
      <c r="C769" s="175" t="s">
        <v>584</v>
      </c>
      <c r="D769" s="176" t="s">
        <v>1627</v>
      </c>
      <c r="E769" s="177" t="s">
        <v>1224</v>
      </c>
      <c r="F769" s="175">
        <f t="shared" si="33"/>
        <v>9</v>
      </c>
      <c r="G769" s="175" t="str">
        <f t="shared" si="34"/>
        <v>Spokane</v>
      </c>
      <c r="H769" s="175" t="str">
        <f t="shared" si="35"/>
        <v>Spokane, WA</v>
      </c>
      <c r="I769" s="178" t="s">
        <v>1491</v>
      </c>
      <c r="J769" s="27" t="s">
        <v>1627</v>
      </c>
      <c r="K769" s="27">
        <v>398</v>
      </c>
      <c r="L769" s="179">
        <v>6842</v>
      </c>
      <c r="M769" s="180" t="s">
        <v>1492</v>
      </c>
      <c r="N769" s="181" t="s">
        <v>1627</v>
      </c>
      <c r="O769" s="182" t="s">
        <v>1493</v>
      </c>
    </row>
    <row r="770" spans="1:15" ht="12">
      <c r="A770" s="148"/>
      <c r="B770" s="174" t="s">
        <v>1226</v>
      </c>
      <c r="C770" s="175" t="s">
        <v>584</v>
      </c>
      <c r="D770" s="176" t="s">
        <v>1627</v>
      </c>
      <c r="E770" s="177" t="s">
        <v>1224</v>
      </c>
      <c r="F770" s="175">
        <f t="shared" si="33"/>
        <v>9</v>
      </c>
      <c r="G770" s="175" t="str">
        <f t="shared" si="34"/>
        <v>Spokane</v>
      </c>
      <c r="H770" s="175" t="str">
        <f t="shared" si="35"/>
        <v>Spokane, WA</v>
      </c>
      <c r="I770" s="178" t="s">
        <v>1491</v>
      </c>
      <c r="J770" s="27" t="s">
        <v>1627</v>
      </c>
      <c r="K770" s="27">
        <v>398</v>
      </c>
      <c r="L770" s="179">
        <v>6842</v>
      </c>
      <c r="M770" s="180" t="s">
        <v>1492</v>
      </c>
      <c r="N770" s="181" t="s">
        <v>1627</v>
      </c>
      <c r="O770" s="182" t="s">
        <v>1493</v>
      </c>
    </row>
    <row r="771" spans="1:15" ht="12">
      <c r="A771" s="148"/>
      <c r="B771" s="174" t="s">
        <v>1227</v>
      </c>
      <c r="C771" s="175" t="s">
        <v>42</v>
      </c>
      <c r="D771" s="176" t="s">
        <v>1691</v>
      </c>
      <c r="E771" s="177" t="s">
        <v>1228</v>
      </c>
      <c r="F771" s="175">
        <f t="shared" si="33"/>
        <v>9</v>
      </c>
      <c r="G771" s="175" t="str">
        <f t="shared" si="34"/>
        <v>Spooner</v>
      </c>
      <c r="H771" s="175" t="str">
        <f t="shared" si="35"/>
        <v>Spooner, WI</v>
      </c>
      <c r="I771" s="178" t="s">
        <v>674</v>
      </c>
      <c r="J771" s="27" t="s">
        <v>1616</v>
      </c>
      <c r="K771" s="27">
        <v>415</v>
      </c>
      <c r="L771" s="179">
        <v>8928</v>
      </c>
      <c r="M771" s="180" t="s">
        <v>936</v>
      </c>
      <c r="N771" s="181" t="s">
        <v>1691</v>
      </c>
      <c r="O771" s="182" t="s">
        <v>937</v>
      </c>
    </row>
    <row r="772" spans="1:15" ht="12">
      <c r="A772" s="148"/>
      <c r="B772" s="174" t="s">
        <v>1229</v>
      </c>
      <c r="C772" s="175" t="s">
        <v>1636</v>
      </c>
      <c r="D772" s="176" t="s">
        <v>1637</v>
      </c>
      <c r="E772" s="177" t="s">
        <v>1230</v>
      </c>
      <c r="F772" s="175">
        <f t="shared" si="33"/>
        <v>13</v>
      </c>
      <c r="G772" s="175" t="str">
        <f t="shared" si="34"/>
        <v>Springfield</v>
      </c>
      <c r="H772" s="175" t="str">
        <f t="shared" si="35"/>
        <v>Springfield, IL</v>
      </c>
      <c r="I772" s="178" t="s">
        <v>1639</v>
      </c>
      <c r="J772" s="27" t="s">
        <v>1637</v>
      </c>
      <c r="K772" s="27">
        <v>1141</v>
      </c>
      <c r="L772" s="179">
        <v>5688</v>
      </c>
      <c r="M772" s="178" t="s">
        <v>1640</v>
      </c>
      <c r="N772" s="27" t="s">
        <v>1637</v>
      </c>
      <c r="O772" s="182" t="s">
        <v>2267</v>
      </c>
    </row>
    <row r="773" spans="1:15" ht="12">
      <c r="A773" s="148"/>
      <c r="B773" s="174" t="s">
        <v>1231</v>
      </c>
      <c r="C773" s="175" t="s">
        <v>1636</v>
      </c>
      <c r="D773" s="176" t="s">
        <v>1637</v>
      </c>
      <c r="E773" s="177" t="s">
        <v>1230</v>
      </c>
      <c r="F773" s="175">
        <f t="shared" si="33"/>
        <v>13</v>
      </c>
      <c r="G773" s="175" t="str">
        <f t="shared" si="34"/>
        <v>Springfield</v>
      </c>
      <c r="H773" s="175" t="str">
        <f t="shared" si="35"/>
        <v>Springfield, IL</v>
      </c>
      <c r="I773" s="178" t="s">
        <v>1639</v>
      </c>
      <c r="J773" s="27" t="s">
        <v>1637</v>
      </c>
      <c r="K773" s="27">
        <v>1141</v>
      </c>
      <c r="L773" s="179">
        <v>5688</v>
      </c>
      <c r="M773" s="178" t="s">
        <v>1640</v>
      </c>
      <c r="N773" s="27" t="s">
        <v>1637</v>
      </c>
      <c r="O773" s="182" t="s">
        <v>2267</v>
      </c>
    </row>
    <row r="774" spans="1:15" ht="12">
      <c r="A774" s="148"/>
      <c r="B774" s="174" t="s">
        <v>1232</v>
      </c>
      <c r="C774" s="175" t="s">
        <v>1636</v>
      </c>
      <c r="D774" s="176" t="s">
        <v>1637</v>
      </c>
      <c r="E774" s="177" t="s">
        <v>1230</v>
      </c>
      <c r="F774" s="175">
        <f t="shared" ref="F774:F837" si="36">LEN(E774)</f>
        <v>13</v>
      </c>
      <c r="G774" s="175" t="str">
        <f t="shared" ref="G774:G837" si="37">MID(E774,2,F774-2)</f>
        <v>Springfield</v>
      </c>
      <c r="H774" s="175" t="str">
        <f t="shared" ref="H774:H837" si="38">CONCATENATE(G774,", ",+D774)</f>
        <v>Springfield, IL</v>
      </c>
      <c r="I774" s="178" t="s">
        <v>1639</v>
      </c>
      <c r="J774" s="27" t="s">
        <v>1637</v>
      </c>
      <c r="K774" s="27">
        <v>1141</v>
      </c>
      <c r="L774" s="179">
        <v>5688</v>
      </c>
      <c r="M774" s="178" t="s">
        <v>1640</v>
      </c>
      <c r="N774" s="27" t="s">
        <v>1637</v>
      </c>
      <c r="O774" s="182" t="s">
        <v>2267</v>
      </c>
    </row>
    <row r="775" spans="1:15" ht="12">
      <c r="A775" s="148"/>
      <c r="B775" s="186" t="s">
        <v>1233</v>
      </c>
      <c r="C775" s="175" t="s">
        <v>2288</v>
      </c>
      <c r="D775" s="176" t="s">
        <v>2289</v>
      </c>
      <c r="E775" s="177" t="s">
        <v>1230</v>
      </c>
      <c r="F775" s="175">
        <f t="shared" si="36"/>
        <v>13</v>
      </c>
      <c r="G775" s="175" t="str">
        <f t="shared" si="37"/>
        <v>Springfield</v>
      </c>
      <c r="H775" s="175" t="str">
        <f t="shared" si="38"/>
        <v>Springfield, MA</v>
      </c>
      <c r="I775" s="178" t="s">
        <v>640</v>
      </c>
      <c r="J775" s="27" t="s">
        <v>2289</v>
      </c>
      <c r="K775" s="27">
        <v>333</v>
      </c>
      <c r="L775" s="179">
        <v>6979</v>
      </c>
      <c r="M775" s="178" t="s">
        <v>744</v>
      </c>
      <c r="N775" s="27" t="s">
        <v>681</v>
      </c>
      <c r="O775" s="182" t="s">
        <v>745</v>
      </c>
    </row>
    <row r="776" spans="1:15" ht="12">
      <c r="A776" s="148"/>
      <c r="B776" s="186" t="s">
        <v>1234</v>
      </c>
      <c r="C776" s="175" t="s">
        <v>2288</v>
      </c>
      <c r="D776" s="176" t="s">
        <v>2289</v>
      </c>
      <c r="E776" s="177" t="s">
        <v>1230</v>
      </c>
      <c r="F776" s="175">
        <f t="shared" si="36"/>
        <v>13</v>
      </c>
      <c r="G776" s="175" t="str">
        <f t="shared" si="37"/>
        <v>Springfield</v>
      </c>
      <c r="H776" s="175" t="str">
        <f t="shared" si="38"/>
        <v>Springfield, MA</v>
      </c>
      <c r="I776" s="178" t="s">
        <v>747</v>
      </c>
      <c r="J776" s="27" t="s">
        <v>681</v>
      </c>
      <c r="K776" s="27">
        <v>677</v>
      </c>
      <c r="L776" s="179">
        <v>6151</v>
      </c>
      <c r="M776" s="178" t="s">
        <v>744</v>
      </c>
      <c r="N776" s="27" t="s">
        <v>681</v>
      </c>
      <c r="O776" s="182" t="s">
        <v>745</v>
      </c>
    </row>
    <row r="777" spans="1:15" ht="12">
      <c r="A777" s="148"/>
      <c r="B777" s="174" t="s">
        <v>1235</v>
      </c>
      <c r="C777" s="175" t="s">
        <v>1366</v>
      </c>
      <c r="D777" s="176" t="s">
        <v>1367</v>
      </c>
      <c r="E777" s="177" t="s">
        <v>1230</v>
      </c>
      <c r="F777" s="175">
        <f t="shared" si="36"/>
        <v>13</v>
      </c>
      <c r="G777" s="175" t="str">
        <f t="shared" si="37"/>
        <v>Springfield</v>
      </c>
      <c r="H777" s="175" t="str">
        <f t="shared" si="38"/>
        <v>Springfield, MO</v>
      </c>
      <c r="I777" s="178" t="s">
        <v>1914</v>
      </c>
      <c r="J777" s="27" t="s">
        <v>1367</v>
      </c>
      <c r="K777" s="27">
        <v>1320</v>
      </c>
      <c r="L777" s="179">
        <v>4638</v>
      </c>
      <c r="M777" s="180" t="s">
        <v>1640</v>
      </c>
      <c r="N777" s="181" t="s">
        <v>1367</v>
      </c>
      <c r="O777" s="182" t="s">
        <v>1915</v>
      </c>
    </row>
    <row r="778" spans="1:15" ht="12">
      <c r="A778" s="148"/>
      <c r="B778" s="174" t="s">
        <v>1236</v>
      </c>
      <c r="C778" s="175" t="s">
        <v>1366</v>
      </c>
      <c r="D778" s="176" t="s">
        <v>1367</v>
      </c>
      <c r="E778" s="177" t="s">
        <v>1230</v>
      </c>
      <c r="F778" s="175">
        <f t="shared" si="36"/>
        <v>13</v>
      </c>
      <c r="G778" s="175" t="str">
        <f t="shared" si="37"/>
        <v>Springfield</v>
      </c>
      <c r="H778" s="175" t="str">
        <f t="shared" si="38"/>
        <v>Springfield, MO</v>
      </c>
      <c r="I778" s="178" t="s">
        <v>1914</v>
      </c>
      <c r="J778" s="27" t="s">
        <v>1367</v>
      </c>
      <c r="K778" s="27">
        <v>1320</v>
      </c>
      <c r="L778" s="179">
        <v>4638</v>
      </c>
      <c r="M778" s="180" t="s">
        <v>1640</v>
      </c>
      <c r="N778" s="181" t="s">
        <v>1367</v>
      </c>
      <c r="O778" s="182" t="s">
        <v>1915</v>
      </c>
    </row>
    <row r="779" spans="1:15" ht="12">
      <c r="A779" s="148"/>
      <c r="B779" s="174" t="s">
        <v>1237</v>
      </c>
      <c r="C779" s="175" t="s">
        <v>1366</v>
      </c>
      <c r="D779" s="176" t="s">
        <v>1367</v>
      </c>
      <c r="E779" s="177" t="s">
        <v>1230</v>
      </c>
      <c r="F779" s="175">
        <f t="shared" si="36"/>
        <v>13</v>
      </c>
      <c r="G779" s="175" t="str">
        <f t="shared" si="37"/>
        <v>Springfield</v>
      </c>
      <c r="H779" s="175" t="str">
        <f t="shared" si="38"/>
        <v>Springfield, MO</v>
      </c>
      <c r="I779" s="178" t="s">
        <v>1914</v>
      </c>
      <c r="J779" s="27" t="s">
        <v>1367</v>
      </c>
      <c r="K779" s="27">
        <v>1320</v>
      </c>
      <c r="L779" s="179">
        <v>4638</v>
      </c>
      <c r="M779" s="180" t="s">
        <v>1640</v>
      </c>
      <c r="N779" s="181" t="s">
        <v>1367</v>
      </c>
      <c r="O779" s="182" t="s">
        <v>1915</v>
      </c>
    </row>
    <row r="780" spans="1:15" ht="12">
      <c r="A780" s="148"/>
      <c r="B780" s="174" t="s">
        <v>1238</v>
      </c>
      <c r="C780" s="175" t="s">
        <v>385</v>
      </c>
      <c r="D780" s="176" t="s">
        <v>386</v>
      </c>
      <c r="E780" s="177" t="s">
        <v>1230</v>
      </c>
      <c r="F780" s="175">
        <f t="shared" si="36"/>
        <v>13</v>
      </c>
      <c r="G780" s="175" t="str">
        <f t="shared" si="37"/>
        <v>Springfield</v>
      </c>
      <c r="H780" s="175" t="str">
        <f t="shared" si="38"/>
        <v>Springfield, OH</v>
      </c>
      <c r="I780" s="178" t="s">
        <v>1683</v>
      </c>
      <c r="J780" s="27" t="s">
        <v>386</v>
      </c>
      <c r="K780" s="27">
        <v>886</v>
      </c>
      <c r="L780" s="179">
        <v>5708</v>
      </c>
      <c r="M780" s="180" t="s">
        <v>1680</v>
      </c>
      <c r="N780" s="181" t="s">
        <v>386</v>
      </c>
      <c r="O780" s="182" t="s">
        <v>1681</v>
      </c>
    </row>
    <row r="781" spans="1:15" ht="12">
      <c r="A781" s="148"/>
      <c r="B781" s="186" t="s">
        <v>1239</v>
      </c>
      <c r="C781" s="175" t="s">
        <v>1611</v>
      </c>
      <c r="D781" s="176" t="s">
        <v>1612</v>
      </c>
      <c r="E781" s="177" t="s">
        <v>1240</v>
      </c>
      <c r="F781" s="175">
        <f t="shared" si="36"/>
        <v>15</v>
      </c>
      <c r="G781" s="175" t="str">
        <f t="shared" si="37"/>
        <v>St. Johnsbury</v>
      </c>
      <c r="H781" s="175" t="str">
        <f t="shared" si="38"/>
        <v>St. Johnsbury, VT</v>
      </c>
      <c r="I781" s="178" t="s">
        <v>1329</v>
      </c>
      <c r="J781" s="27" t="s">
        <v>1612</v>
      </c>
      <c r="K781" s="27">
        <v>388</v>
      </c>
      <c r="L781" s="179">
        <v>7771</v>
      </c>
      <c r="M781" s="180" t="s">
        <v>1330</v>
      </c>
      <c r="N781" s="181" t="s">
        <v>1612</v>
      </c>
      <c r="O781" s="182" t="s">
        <v>1331</v>
      </c>
    </row>
    <row r="782" spans="1:15" ht="12">
      <c r="A782" s="148"/>
      <c r="B782" s="174" t="s">
        <v>1241</v>
      </c>
      <c r="C782" s="175" t="s">
        <v>661</v>
      </c>
      <c r="D782" s="176" t="s">
        <v>662</v>
      </c>
      <c r="E782" s="177" t="s">
        <v>1242</v>
      </c>
      <c r="F782" s="175">
        <f t="shared" si="36"/>
        <v>16</v>
      </c>
      <c r="G782" s="175" t="str">
        <f t="shared" si="37"/>
        <v>St. Petersburg</v>
      </c>
      <c r="H782" s="175" t="str">
        <f t="shared" si="38"/>
        <v>St. Petersburg, FL</v>
      </c>
      <c r="I782" s="178" t="s">
        <v>664</v>
      </c>
      <c r="J782" s="27" t="s">
        <v>662</v>
      </c>
      <c r="K782" s="27">
        <v>3427</v>
      </c>
      <c r="L782" s="179">
        <v>725</v>
      </c>
      <c r="M782" s="178" t="s">
        <v>665</v>
      </c>
      <c r="N782" s="27" t="s">
        <v>662</v>
      </c>
      <c r="O782" s="182" t="s">
        <v>666</v>
      </c>
    </row>
    <row r="783" spans="1:15" ht="12">
      <c r="A783" s="148"/>
      <c r="B783" s="186" t="s">
        <v>1243</v>
      </c>
      <c r="C783" s="175" t="s">
        <v>680</v>
      </c>
      <c r="D783" s="176" t="s">
        <v>681</v>
      </c>
      <c r="E783" s="177" t="s">
        <v>1244</v>
      </c>
      <c r="F783" s="175">
        <f t="shared" si="36"/>
        <v>10</v>
      </c>
      <c r="G783" s="175" t="str">
        <f t="shared" si="37"/>
        <v>Stamford</v>
      </c>
      <c r="H783" s="175" t="str">
        <f t="shared" si="38"/>
        <v>Stamford, CT</v>
      </c>
      <c r="I783" s="178" t="s">
        <v>683</v>
      </c>
      <c r="J783" s="27" t="s">
        <v>681</v>
      </c>
      <c r="K783" s="27">
        <v>724</v>
      </c>
      <c r="L783" s="179">
        <v>5537</v>
      </c>
      <c r="M783" s="178" t="s">
        <v>684</v>
      </c>
      <c r="N783" s="27" t="s">
        <v>681</v>
      </c>
      <c r="O783" s="182" t="s">
        <v>685</v>
      </c>
    </row>
    <row r="784" spans="1:15" ht="12">
      <c r="A784" s="148"/>
      <c r="B784" s="186" t="s">
        <v>1245</v>
      </c>
      <c r="C784" s="175" t="s">
        <v>680</v>
      </c>
      <c r="D784" s="176" t="s">
        <v>681</v>
      </c>
      <c r="E784" s="177" t="s">
        <v>1244</v>
      </c>
      <c r="F784" s="175">
        <f t="shared" si="36"/>
        <v>10</v>
      </c>
      <c r="G784" s="175" t="str">
        <f t="shared" si="37"/>
        <v>Stamford</v>
      </c>
      <c r="H784" s="175" t="str">
        <f t="shared" si="38"/>
        <v>Stamford, CT</v>
      </c>
      <c r="I784" s="178" t="s">
        <v>683</v>
      </c>
      <c r="J784" s="27" t="s">
        <v>681</v>
      </c>
      <c r="K784" s="27">
        <v>724</v>
      </c>
      <c r="L784" s="179">
        <v>5537</v>
      </c>
      <c r="M784" s="178" t="s">
        <v>684</v>
      </c>
      <c r="N784" s="27" t="s">
        <v>681</v>
      </c>
      <c r="O784" s="182" t="s">
        <v>685</v>
      </c>
    </row>
    <row r="785" spans="1:15" ht="12">
      <c r="A785" s="148"/>
      <c r="B785" s="174" t="s">
        <v>1246</v>
      </c>
      <c r="C785" s="175" t="s">
        <v>440</v>
      </c>
      <c r="D785" s="176" t="s">
        <v>441</v>
      </c>
      <c r="E785" s="177" t="s">
        <v>1247</v>
      </c>
      <c r="F785" s="175">
        <f t="shared" si="36"/>
        <v>15</v>
      </c>
      <c r="G785" s="175" t="str">
        <f t="shared" si="37"/>
        <v>State College</v>
      </c>
      <c r="H785" s="175" t="str">
        <f t="shared" si="38"/>
        <v>State College, PA</v>
      </c>
      <c r="I785" s="178" t="s">
        <v>1732</v>
      </c>
      <c r="J785" s="27" t="s">
        <v>441</v>
      </c>
      <c r="K785" s="27">
        <v>622</v>
      </c>
      <c r="L785" s="179">
        <v>6087</v>
      </c>
      <c r="M785" s="180" t="s">
        <v>2316</v>
      </c>
      <c r="N785" s="181" t="s">
        <v>441</v>
      </c>
      <c r="O785" s="182" t="s">
        <v>2317</v>
      </c>
    </row>
    <row r="786" spans="1:15" ht="12">
      <c r="A786" s="148"/>
      <c r="B786" s="174" t="s">
        <v>1248</v>
      </c>
      <c r="C786" s="175" t="s">
        <v>407</v>
      </c>
      <c r="D786" s="176" t="s">
        <v>408</v>
      </c>
      <c r="E786" s="177" t="s">
        <v>1249</v>
      </c>
      <c r="F786" s="175">
        <f t="shared" si="36"/>
        <v>15</v>
      </c>
      <c r="G786" s="175" t="str">
        <f t="shared" si="37"/>
        <v>Staten Island</v>
      </c>
      <c r="H786" s="175" t="str">
        <f t="shared" si="38"/>
        <v>Staten Island, NY</v>
      </c>
      <c r="I786" s="178" t="s">
        <v>2265</v>
      </c>
      <c r="J786" s="27" t="s">
        <v>408</v>
      </c>
      <c r="K786" s="27">
        <v>1052</v>
      </c>
      <c r="L786" s="179">
        <v>4910</v>
      </c>
      <c r="M786" s="180" t="s">
        <v>2266</v>
      </c>
      <c r="N786" s="181" t="s">
        <v>408</v>
      </c>
      <c r="O786" s="182" t="s">
        <v>1287</v>
      </c>
    </row>
    <row r="787" spans="1:15" ht="12">
      <c r="A787" s="148"/>
      <c r="B787" s="174" t="s">
        <v>1250</v>
      </c>
      <c r="C787" s="175" t="s">
        <v>425</v>
      </c>
      <c r="D787" s="176" t="s">
        <v>426</v>
      </c>
      <c r="E787" s="177" t="s">
        <v>1251</v>
      </c>
      <c r="F787" s="175">
        <f t="shared" si="36"/>
        <v>10</v>
      </c>
      <c r="G787" s="175" t="str">
        <f t="shared" si="37"/>
        <v>Staunton</v>
      </c>
      <c r="H787" s="175" t="str">
        <f t="shared" si="38"/>
        <v>Staunton, VA</v>
      </c>
      <c r="I787" s="178" t="s">
        <v>2276</v>
      </c>
      <c r="J787" s="27" t="s">
        <v>426</v>
      </c>
      <c r="K787" s="27">
        <v>1052</v>
      </c>
      <c r="L787" s="179">
        <v>4360</v>
      </c>
      <c r="M787" s="180" t="s">
        <v>2277</v>
      </c>
      <c r="N787" s="181" t="s">
        <v>426</v>
      </c>
      <c r="O787" s="182" t="s">
        <v>2278</v>
      </c>
    </row>
    <row r="788" spans="1:15" ht="12">
      <c r="A788" s="148"/>
      <c r="B788" s="174" t="s">
        <v>1252</v>
      </c>
      <c r="C788" s="175" t="s">
        <v>254</v>
      </c>
      <c r="D788" s="176" t="s">
        <v>255</v>
      </c>
      <c r="E788" s="177" t="s">
        <v>1253</v>
      </c>
      <c r="F788" s="175">
        <f t="shared" si="36"/>
        <v>14</v>
      </c>
      <c r="G788" s="175" t="str">
        <f t="shared" si="37"/>
        <v>Stephenville</v>
      </c>
      <c r="H788" s="175" t="str">
        <f t="shared" si="38"/>
        <v>Stephenville, TX</v>
      </c>
      <c r="I788" s="178" t="s">
        <v>257</v>
      </c>
      <c r="J788" s="27" t="s">
        <v>255</v>
      </c>
      <c r="K788" s="27">
        <v>2451</v>
      </c>
      <c r="L788" s="179">
        <v>2584</v>
      </c>
      <c r="M788" s="180" t="s">
        <v>258</v>
      </c>
      <c r="N788" s="181" t="s">
        <v>255</v>
      </c>
      <c r="O788" s="182" t="s">
        <v>259</v>
      </c>
    </row>
    <row r="789" spans="1:15" ht="12">
      <c r="A789" s="148"/>
      <c r="B789" s="174" t="s">
        <v>813</v>
      </c>
      <c r="C789" s="175" t="s">
        <v>433</v>
      </c>
      <c r="D789" s="176" t="s">
        <v>434</v>
      </c>
      <c r="E789" s="177" t="s">
        <v>814</v>
      </c>
      <c r="F789" s="175">
        <f t="shared" si="36"/>
        <v>10</v>
      </c>
      <c r="G789" s="175" t="str">
        <f t="shared" si="37"/>
        <v>Stockton</v>
      </c>
      <c r="H789" s="175" t="str">
        <f t="shared" si="38"/>
        <v>Stockton, CA</v>
      </c>
      <c r="I789" s="178" t="s">
        <v>815</v>
      </c>
      <c r="J789" s="27" t="s">
        <v>434</v>
      </c>
      <c r="K789" s="27">
        <v>1470</v>
      </c>
      <c r="L789" s="179">
        <v>2707</v>
      </c>
      <c r="M789" s="178" t="s">
        <v>632</v>
      </c>
      <c r="N789" s="27" t="s">
        <v>434</v>
      </c>
      <c r="O789" s="182" t="s">
        <v>633</v>
      </c>
    </row>
    <row r="790" spans="1:15" ht="12">
      <c r="A790" s="148"/>
      <c r="B790" s="174" t="s">
        <v>816</v>
      </c>
      <c r="C790" s="175" t="s">
        <v>440</v>
      </c>
      <c r="D790" s="176" t="s">
        <v>441</v>
      </c>
      <c r="E790" s="177" t="s">
        <v>817</v>
      </c>
      <c r="F790" s="175">
        <f t="shared" si="36"/>
        <v>13</v>
      </c>
      <c r="G790" s="175" t="str">
        <f t="shared" si="37"/>
        <v>Stroudsburg</v>
      </c>
      <c r="H790" s="175" t="str">
        <f t="shared" si="38"/>
        <v>Stroudsburg, PA</v>
      </c>
      <c r="I790" s="178" t="s">
        <v>443</v>
      </c>
      <c r="J790" s="27" t="s">
        <v>441</v>
      </c>
      <c r="K790" s="27">
        <v>773</v>
      </c>
      <c r="L790" s="179">
        <v>5785</v>
      </c>
      <c r="M790" s="178" t="s">
        <v>444</v>
      </c>
      <c r="N790" s="27" t="s">
        <v>441</v>
      </c>
      <c r="O790" s="182" t="s">
        <v>445</v>
      </c>
    </row>
    <row r="791" spans="1:15" ht="12">
      <c r="A791" s="148"/>
      <c r="B791" s="174" t="s">
        <v>818</v>
      </c>
      <c r="C791" s="175" t="s">
        <v>385</v>
      </c>
      <c r="D791" s="176" t="s">
        <v>386</v>
      </c>
      <c r="E791" s="177" t="s">
        <v>819</v>
      </c>
      <c r="F791" s="175">
        <f t="shared" si="36"/>
        <v>14</v>
      </c>
      <c r="G791" s="175" t="str">
        <f t="shared" si="37"/>
        <v>Stuebenville</v>
      </c>
      <c r="H791" s="175" t="str">
        <f t="shared" si="38"/>
        <v>Stuebenville, OH</v>
      </c>
      <c r="I791" s="178" t="s">
        <v>455</v>
      </c>
      <c r="J791" s="27" t="s">
        <v>441</v>
      </c>
      <c r="K791" s="27">
        <v>654</v>
      </c>
      <c r="L791" s="179">
        <v>5968</v>
      </c>
      <c r="M791" s="180" t="s">
        <v>456</v>
      </c>
      <c r="N791" s="181" t="s">
        <v>441</v>
      </c>
      <c r="O791" s="182" t="s">
        <v>457</v>
      </c>
    </row>
    <row r="792" spans="1:15" ht="12">
      <c r="A792" s="148"/>
      <c r="B792" s="174" t="s">
        <v>820</v>
      </c>
      <c r="C792" s="175" t="s">
        <v>407</v>
      </c>
      <c r="D792" s="176" t="s">
        <v>408</v>
      </c>
      <c r="E792" s="177" t="s">
        <v>821</v>
      </c>
      <c r="F792" s="175">
        <f t="shared" si="36"/>
        <v>9</v>
      </c>
      <c r="G792" s="175" t="str">
        <f t="shared" si="37"/>
        <v>Suffern</v>
      </c>
      <c r="H792" s="175" t="str">
        <f t="shared" si="38"/>
        <v>Suffern, NY</v>
      </c>
      <c r="I792" s="178" t="s">
        <v>683</v>
      </c>
      <c r="J792" s="27" t="s">
        <v>681</v>
      </c>
      <c r="K792" s="27">
        <v>724</v>
      </c>
      <c r="L792" s="179">
        <v>5537</v>
      </c>
      <c r="M792" s="178" t="s">
        <v>684</v>
      </c>
      <c r="N792" s="27" t="s">
        <v>681</v>
      </c>
      <c r="O792" s="182" t="s">
        <v>685</v>
      </c>
    </row>
    <row r="793" spans="1:15" ht="12">
      <c r="A793" s="148"/>
      <c r="B793" s="186" t="s">
        <v>822</v>
      </c>
      <c r="C793" s="175" t="s">
        <v>1537</v>
      </c>
      <c r="D793" s="176" t="s">
        <v>1538</v>
      </c>
      <c r="E793" s="177" t="s">
        <v>823</v>
      </c>
      <c r="F793" s="175">
        <f t="shared" si="36"/>
        <v>8</v>
      </c>
      <c r="G793" s="175" t="str">
        <f t="shared" si="37"/>
        <v>Summit</v>
      </c>
      <c r="H793" s="175" t="str">
        <f t="shared" si="38"/>
        <v>Summit, NJ</v>
      </c>
      <c r="I793" s="178" t="s">
        <v>61</v>
      </c>
      <c r="J793" s="27" t="s">
        <v>1538</v>
      </c>
      <c r="K793" s="27">
        <v>1201</v>
      </c>
      <c r="L793" s="179">
        <v>4888</v>
      </c>
      <c r="M793" s="180" t="s">
        <v>62</v>
      </c>
      <c r="N793" s="181" t="s">
        <v>1538</v>
      </c>
      <c r="O793" s="182" t="s">
        <v>63</v>
      </c>
    </row>
    <row r="794" spans="1:15" ht="12">
      <c r="A794" s="148"/>
      <c r="B794" s="174" t="s">
        <v>824</v>
      </c>
      <c r="C794" s="175" t="s">
        <v>440</v>
      </c>
      <c r="D794" s="176" t="s">
        <v>441</v>
      </c>
      <c r="E794" s="177" t="s">
        <v>825</v>
      </c>
      <c r="F794" s="175">
        <f t="shared" si="36"/>
        <v>9</v>
      </c>
      <c r="G794" s="175" t="str">
        <f t="shared" si="37"/>
        <v>Sunbury</v>
      </c>
      <c r="H794" s="175" t="str">
        <f t="shared" si="38"/>
        <v>Sunbury, PA</v>
      </c>
      <c r="I794" s="178" t="s">
        <v>1732</v>
      </c>
      <c r="J794" s="27" t="s">
        <v>441</v>
      </c>
      <c r="K794" s="27">
        <v>622</v>
      </c>
      <c r="L794" s="179">
        <v>6087</v>
      </c>
      <c r="M794" s="180" t="s">
        <v>2316</v>
      </c>
      <c r="N794" s="181" t="s">
        <v>441</v>
      </c>
      <c r="O794" s="182" t="s">
        <v>2317</v>
      </c>
    </row>
    <row r="795" spans="1:15" ht="12">
      <c r="A795" s="148"/>
      <c r="B795" s="174" t="s">
        <v>826</v>
      </c>
      <c r="C795" s="175" t="s">
        <v>433</v>
      </c>
      <c r="D795" s="176" t="s">
        <v>434</v>
      </c>
      <c r="E795" s="177" t="s">
        <v>827</v>
      </c>
      <c r="F795" s="175">
        <f t="shared" si="36"/>
        <v>12</v>
      </c>
      <c r="G795" s="175" t="str">
        <f t="shared" si="37"/>
        <v>Susanville</v>
      </c>
      <c r="H795" s="175" t="str">
        <f t="shared" si="38"/>
        <v>Susanville, CA</v>
      </c>
      <c r="I795" s="178" t="s">
        <v>828</v>
      </c>
      <c r="J795" s="27" t="s">
        <v>1391</v>
      </c>
      <c r="K795" s="27">
        <v>538</v>
      </c>
      <c r="L795" s="179">
        <v>6315</v>
      </c>
      <c r="M795" s="178" t="s">
        <v>632</v>
      </c>
      <c r="N795" s="27" t="s">
        <v>434</v>
      </c>
      <c r="O795" s="182" t="s">
        <v>633</v>
      </c>
    </row>
    <row r="796" spans="1:15" ht="12">
      <c r="A796" s="148"/>
      <c r="B796" s="174" t="s">
        <v>829</v>
      </c>
      <c r="C796" s="175" t="s">
        <v>400</v>
      </c>
      <c r="D796" s="176" t="s">
        <v>401</v>
      </c>
      <c r="E796" s="177" t="s">
        <v>830</v>
      </c>
      <c r="F796" s="175">
        <f t="shared" si="36"/>
        <v>12</v>
      </c>
      <c r="G796" s="175" t="str">
        <f t="shared" si="37"/>
        <v>Swainsboro</v>
      </c>
      <c r="H796" s="175" t="str">
        <f t="shared" si="38"/>
        <v>Swainsboro, GA</v>
      </c>
      <c r="I796" s="178" t="s">
        <v>1596</v>
      </c>
      <c r="J796" s="27" t="s">
        <v>401</v>
      </c>
      <c r="K796" s="27">
        <v>2365</v>
      </c>
      <c r="L796" s="179">
        <v>1847</v>
      </c>
      <c r="M796" s="180" t="s">
        <v>1597</v>
      </c>
      <c r="N796" s="181" t="s">
        <v>401</v>
      </c>
      <c r="O796" s="182" t="s">
        <v>1598</v>
      </c>
    </row>
    <row r="797" spans="1:15" ht="12">
      <c r="A797" s="148"/>
      <c r="B797" s="174" t="s">
        <v>831</v>
      </c>
      <c r="C797" s="175" t="s">
        <v>407</v>
      </c>
      <c r="D797" s="176" t="s">
        <v>408</v>
      </c>
      <c r="E797" s="177" t="s">
        <v>832</v>
      </c>
      <c r="F797" s="175">
        <f t="shared" si="36"/>
        <v>10</v>
      </c>
      <c r="G797" s="175" t="str">
        <f t="shared" si="37"/>
        <v>Syracuse</v>
      </c>
      <c r="H797" s="175" t="str">
        <f t="shared" si="38"/>
        <v>Syracuse, NY</v>
      </c>
      <c r="I797" s="178" t="s">
        <v>95</v>
      </c>
      <c r="J797" s="27" t="s">
        <v>408</v>
      </c>
      <c r="K797" s="27">
        <v>438</v>
      </c>
      <c r="L797" s="179">
        <v>6834</v>
      </c>
      <c r="M797" s="180" t="s">
        <v>1035</v>
      </c>
      <c r="N797" s="181" t="s">
        <v>408</v>
      </c>
      <c r="O797" s="182" t="s">
        <v>1036</v>
      </c>
    </row>
    <row r="798" spans="1:15" ht="12">
      <c r="A798" s="148"/>
      <c r="B798" s="174" t="s">
        <v>833</v>
      </c>
      <c r="C798" s="175" t="s">
        <v>407</v>
      </c>
      <c r="D798" s="176" t="s">
        <v>408</v>
      </c>
      <c r="E798" s="177" t="s">
        <v>832</v>
      </c>
      <c r="F798" s="175">
        <f t="shared" si="36"/>
        <v>10</v>
      </c>
      <c r="G798" s="175" t="str">
        <f t="shared" si="37"/>
        <v>Syracuse</v>
      </c>
      <c r="H798" s="175" t="str">
        <f t="shared" si="38"/>
        <v>Syracuse, NY</v>
      </c>
      <c r="I798" s="178" t="s">
        <v>1312</v>
      </c>
      <c r="J798" s="27" t="s">
        <v>408</v>
      </c>
      <c r="K798" s="27">
        <v>425</v>
      </c>
      <c r="L798" s="179">
        <v>6734</v>
      </c>
      <c r="M798" s="180" t="s">
        <v>1035</v>
      </c>
      <c r="N798" s="181" t="s">
        <v>408</v>
      </c>
      <c r="O798" s="182" t="s">
        <v>1036</v>
      </c>
    </row>
    <row r="799" spans="1:15" ht="12">
      <c r="A799" s="148"/>
      <c r="B799" s="174" t="s">
        <v>834</v>
      </c>
      <c r="C799" s="175" t="s">
        <v>407</v>
      </c>
      <c r="D799" s="176" t="s">
        <v>408</v>
      </c>
      <c r="E799" s="177" t="s">
        <v>832</v>
      </c>
      <c r="F799" s="175">
        <f t="shared" si="36"/>
        <v>10</v>
      </c>
      <c r="G799" s="175" t="str">
        <f t="shared" si="37"/>
        <v>Syracuse</v>
      </c>
      <c r="H799" s="175" t="str">
        <f t="shared" si="38"/>
        <v>Syracuse, NY</v>
      </c>
      <c r="I799" s="178" t="s">
        <v>95</v>
      </c>
      <c r="J799" s="27" t="s">
        <v>408</v>
      </c>
      <c r="K799" s="27">
        <v>438</v>
      </c>
      <c r="L799" s="179">
        <v>6834</v>
      </c>
      <c r="M799" s="180" t="s">
        <v>1035</v>
      </c>
      <c r="N799" s="181" t="s">
        <v>408</v>
      </c>
      <c r="O799" s="182" t="s">
        <v>1036</v>
      </c>
    </row>
    <row r="800" spans="1:15" ht="12">
      <c r="A800" s="148"/>
      <c r="B800" s="174" t="s">
        <v>835</v>
      </c>
      <c r="C800" s="175" t="s">
        <v>584</v>
      </c>
      <c r="D800" s="176" t="s">
        <v>1627</v>
      </c>
      <c r="E800" s="177" t="s">
        <v>836</v>
      </c>
      <c r="F800" s="175">
        <f t="shared" si="36"/>
        <v>8</v>
      </c>
      <c r="G800" s="175" t="str">
        <f t="shared" si="37"/>
        <v>Tacoma</v>
      </c>
      <c r="H800" s="175" t="str">
        <f t="shared" si="38"/>
        <v>Tacoma, WA</v>
      </c>
      <c r="I800" s="178" t="s">
        <v>837</v>
      </c>
      <c r="J800" s="27" t="s">
        <v>1627</v>
      </c>
      <c r="K800" s="27">
        <v>190</v>
      </c>
      <c r="L800" s="179">
        <v>4908</v>
      </c>
      <c r="M800" s="180" t="s">
        <v>2392</v>
      </c>
      <c r="N800" s="181" t="s">
        <v>1627</v>
      </c>
      <c r="O800" s="182" t="s">
        <v>2393</v>
      </c>
    </row>
    <row r="801" spans="1:15" ht="12">
      <c r="A801" s="148"/>
      <c r="B801" s="174" t="s">
        <v>838</v>
      </c>
      <c r="C801" s="175" t="s">
        <v>584</v>
      </c>
      <c r="D801" s="176" t="s">
        <v>1627</v>
      </c>
      <c r="E801" s="177" t="s">
        <v>836</v>
      </c>
      <c r="F801" s="175">
        <f t="shared" si="36"/>
        <v>8</v>
      </c>
      <c r="G801" s="175" t="str">
        <f t="shared" si="37"/>
        <v>Tacoma</v>
      </c>
      <c r="H801" s="175" t="str">
        <f t="shared" si="38"/>
        <v>Tacoma, WA</v>
      </c>
      <c r="I801" s="178" t="s">
        <v>837</v>
      </c>
      <c r="J801" s="27" t="s">
        <v>1627</v>
      </c>
      <c r="K801" s="27">
        <v>190</v>
      </c>
      <c r="L801" s="179">
        <v>4908</v>
      </c>
      <c r="M801" s="180" t="s">
        <v>2392</v>
      </c>
      <c r="N801" s="181" t="s">
        <v>1627</v>
      </c>
      <c r="O801" s="182" t="s">
        <v>2393</v>
      </c>
    </row>
    <row r="802" spans="1:15" ht="12">
      <c r="A802" s="148"/>
      <c r="B802" s="174" t="s">
        <v>839</v>
      </c>
      <c r="C802" s="175" t="s">
        <v>661</v>
      </c>
      <c r="D802" s="176" t="s">
        <v>662</v>
      </c>
      <c r="E802" s="177" t="s">
        <v>840</v>
      </c>
      <c r="F802" s="175">
        <f t="shared" si="36"/>
        <v>13</v>
      </c>
      <c r="G802" s="175" t="str">
        <f t="shared" si="37"/>
        <v>Tallahassee</v>
      </c>
      <c r="H802" s="175" t="str">
        <f t="shared" si="38"/>
        <v>Tallahassee, FL</v>
      </c>
      <c r="I802" s="178" t="s">
        <v>841</v>
      </c>
      <c r="J802" s="27" t="s">
        <v>662</v>
      </c>
      <c r="K802" s="27">
        <v>2518</v>
      </c>
      <c r="L802" s="179">
        <v>1705</v>
      </c>
      <c r="M802" s="180" t="s">
        <v>602</v>
      </c>
      <c r="N802" s="181" t="s">
        <v>662</v>
      </c>
      <c r="O802" s="182" t="s">
        <v>603</v>
      </c>
    </row>
    <row r="803" spans="1:15" ht="12">
      <c r="A803" s="148"/>
      <c r="B803" s="174" t="s">
        <v>842</v>
      </c>
      <c r="C803" s="175" t="s">
        <v>661</v>
      </c>
      <c r="D803" s="176" t="s">
        <v>662</v>
      </c>
      <c r="E803" s="177" t="s">
        <v>843</v>
      </c>
      <c r="F803" s="175">
        <f t="shared" si="36"/>
        <v>7</v>
      </c>
      <c r="G803" s="175" t="str">
        <f t="shared" si="37"/>
        <v>Tampa</v>
      </c>
      <c r="H803" s="175" t="str">
        <f t="shared" si="38"/>
        <v>Tampa, FL</v>
      </c>
      <c r="I803" s="178" t="s">
        <v>664</v>
      </c>
      <c r="J803" s="27" t="s">
        <v>662</v>
      </c>
      <c r="K803" s="27">
        <v>3427</v>
      </c>
      <c r="L803" s="179">
        <v>725</v>
      </c>
      <c r="M803" s="178" t="s">
        <v>665</v>
      </c>
      <c r="N803" s="27" t="s">
        <v>662</v>
      </c>
      <c r="O803" s="182" t="s">
        <v>666</v>
      </c>
    </row>
    <row r="804" spans="1:15" ht="12">
      <c r="A804" s="148"/>
      <c r="B804" s="174" t="s">
        <v>844</v>
      </c>
      <c r="C804" s="175" t="s">
        <v>661</v>
      </c>
      <c r="D804" s="176" t="s">
        <v>662</v>
      </c>
      <c r="E804" s="177" t="s">
        <v>843</v>
      </c>
      <c r="F804" s="175">
        <f t="shared" si="36"/>
        <v>7</v>
      </c>
      <c r="G804" s="175" t="str">
        <f t="shared" si="37"/>
        <v>Tampa</v>
      </c>
      <c r="H804" s="175" t="str">
        <f t="shared" si="38"/>
        <v>Tampa, FL</v>
      </c>
      <c r="I804" s="178" t="s">
        <v>664</v>
      </c>
      <c r="J804" s="27" t="s">
        <v>662</v>
      </c>
      <c r="K804" s="27">
        <v>3427</v>
      </c>
      <c r="L804" s="179">
        <v>725</v>
      </c>
      <c r="M804" s="178" t="s">
        <v>665</v>
      </c>
      <c r="N804" s="27" t="s">
        <v>662</v>
      </c>
      <c r="O804" s="182" t="s">
        <v>666</v>
      </c>
    </row>
    <row r="805" spans="1:15" ht="12">
      <c r="A805" s="148"/>
      <c r="B805" s="174" t="s">
        <v>845</v>
      </c>
      <c r="C805" s="175" t="s">
        <v>425</v>
      </c>
      <c r="D805" s="176" t="s">
        <v>426</v>
      </c>
      <c r="E805" s="177" t="s">
        <v>846</v>
      </c>
      <c r="F805" s="175">
        <f t="shared" si="36"/>
        <v>10</v>
      </c>
      <c r="G805" s="175" t="str">
        <f t="shared" si="37"/>
        <v>Tazewell</v>
      </c>
      <c r="H805" s="175" t="str">
        <f t="shared" si="38"/>
        <v>Tazewell, VA</v>
      </c>
      <c r="I805" s="178" t="s">
        <v>2276</v>
      </c>
      <c r="J805" s="27" t="s">
        <v>426</v>
      </c>
      <c r="K805" s="27">
        <v>1052</v>
      </c>
      <c r="L805" s="179">
        <v>4360</v>
      </c>
      <c r="M805" s="180" t="s">
        <v>2277</v>
      </c>
      <c r="N805" s="181" t="s">
        <v>426</v>
      </c>
      <c r="O805" s="182" t="s">
        <v>2278</v>
      </c>
    </row>
    <row r="806" spans="1:15" ht="12">
      <c r="A806" s="148"/>
      <c r="B806" s="174" t="s">
        <v>847</v>
      </c>
      <c r="C806" s="175" t="s">
        <v>254</v>
      </c>
      <c r="D806" s="176" t="s">
        <v>255</v>
      </c>
      <c r="E806" s="177" t="s">
        <v>848</v>
      </c>
      <c r="F806" s="175">
        <f t="shared" si="36"/>
        <v>8</v>
      </c>
      <c r="G806" s="175" t="str">
        <f t="shared" si="37"/>
        <v>Temple</v>
      </c>
      <c r="H806" s="175" t="str">
        <f t="shared" si="38"/>
        <v>Temple, TX</v>
      </c>
      <c r="I806" s="178" t="s">
        <v>2149</v>
      </c>
      <c r="J806" s="27" t="s">
        <v>255</v>
      </c>
      <c r="K806" s="27">
        <v>2816</v>
      </c>
      <c r="L806" s="179">
        <v>2179</v>
      </c>
      <c r="M806" s="180" t="s">
        <v>2150</v>
      </c>
      <c r="N806" s="181" t="s">
        <v>255</v>
      </c>
      <c r="O806" s="182" t="s">
        <v>2151</v>
      </c>
    </row>
    <row r="807" spans="1:15" ht="12">
      <c r="A807" s="148"/>
      <c r="B807" s="174" t="s">
        <v>849</v>
      </c>
      <c r="C807" s="175" t="s">
        <v>2269</v>
      </c>
      <c r="D807" s="176" t="s">
        <v>2270</v>
      </c>
      <c r="E807" s="177" t="s">
        <v>850</v>
      </c>
      <c r="F807" s="175">
        <f t="shared" si="36"/>
        <v>13</v>
      </c>
      <c r="G807" s="175" t="str">
        <f t="shared" si="37"/>
        <v>Terre Haute</v>
      </c>
      <c r="H807" s="175" t="str">
        <f t="shared" si="38"/>
        <v>Terre Haute, IN</v>
      </c>
      <c r="I807" s="178" t="s">
        <v>2271</v>
      </c>
      <c r="J807" s="27" t="s">
        <v>2270</v>
      </c>
      <c r="K807" s="27">
        <v>1014</v>
      </c>
      <c r="L807" s="179">
        <v>5615</v>
      </c>
      <c r="M807" s="178" t="s">
        <v>2272</v>
      </c>
      <c r="N807" s="27" t="s">
        <v>2270</v>
      </c>
      <c r="O807" s="182" t="s">
        <v>2273</v>
      </c>
    </row>
    <row r="808" spans="1:15" ht="12">
      <c r="A808" s="148"/>
      <c r="B808" s="174" t="s">
        <v>851</v>
      </c>
      <c r="C808" s="175" t="s">
        <v>254</v>
      </c>
      <c r="D808" s="176" t="s">
        <v>255</v>
      </c>
      <c r="E808" s="177" t="s">
        <v>852</v>
      </c>
      <c r="F808" s="175">
        <f t="shared" si="36"/>
        <v>11</v>
      </c>
      <c r="G808" s="175" t="str">
        <f t="shared" si="37"/>
        <v>Texarkana</v>
      </c>
      <c r="H808" s="175" t="str">
        <f t="shared" si="38"/>
        <v>Texarkana, TX</v>
      </c>
      <c r="I808" s="178" t="s">
        <v>381</v>
      </c>
      <c r="J808" s="27" t="s">
        <v>282</v>
      </c>
      <c r="K808" s="27">
        <v>2368</v>
      </c>
      <c r="L808" s="179">
        <v>2264</v>
      </c>
      <c r="M808" s="180" t="s">
        <v>382</v>
      </c>
      <c r="N808" s="181" t="s">
        <v>282</v>
      </c>
      <c r="O808" s="182" t="s">
        <v>383</v>
      </c>
    </row>
    <row r="809" spans="1:15" ht="12">
      <c r="A809" s="148"/>
      <c r="B809" s="174" t="s">
        <v>853</v>
      </c>
      <c r="C809" s="175" t="s">
        <v>281</v>
      </c>
      <c r="D809" s="176" t="s">
        <v>282</v>
      </c>
      <c r="E809" s="177" t="s">
        <v>854</v>
      </c>
      <c r="F809" s="175">
        <f t="shared" si="36"/>
        <v>11</v>
      </c>
      <c r="G809" s="175" t="str">
        <f t="shared" si="37"/>
        <v>Thibodaux</v>
      </c>
      <c r="H809" s="175" t="str">
        <f t="shared" si="38"/>
        <v>Thibodaux, LA</v>
      </c>
      <c r="I809" s="178" t="s">
        <v>2072</v>
      </c>
      <c r="J809" s="27" t="s">
        <v>282</v>
      </c>
      <c r="K809" s="27">
        <v>2655</v>
      </c>
      <c r="L809" s="179">
        <v>1513</v>
      </c>
      <c r="M809" s="180" t="s">
        <v>2073</v>
      </c>
      <c r="N809" s="181" t="s">
        <v>282</v>
      </c>
      <c r="O809" s="182" t="s">
        <v>2074</v>
      </c>
    </row>
    <row r="810" spans="1:15" ht="12">
      <c r="A810" s="148"/>
      <c r="B810" s="174" t="s">
        <v>855</v>
      </c>
      <c r="C810" s="175" t="s">
        <v>1615</v>
      </c>
      <c r="D810" s="176" t="s">
        <v>1616</v>
      </c>
      <c r="E810" s="177" t="s">
        <v>856</v>
      </c>
      <c r="F810" s="175">
        <f t="shared" si="36"/>
        <v>19</v>
      </c>
      <c r="G810" s="175" t="str">
        <f t="shared" si="37"/>
        <v>Thief River Falls</v>
      </c>
      <c r="H810" s="175" t="str">
        <f t="shared" si="38"/>
        <v>Thief River Falls, MN</v>
      </c>
      <c r="I810" s="178" t="s">
        <v>1705</v>
      </c>
      <c r="J810" s="27" t="s">
        <v>251</v>
      </c>
      <c r="K810" s="27">
        <v>537</v>
      </c>
      <c r="L810" s="179">
        <v>9254</v>
      </c>
      <c r="M810" s="180" t="s">
        <v>250</v>
      </c>
      <c r="N810" s="181" t="s">
        <v>251</v>
      </c>
      <c r="O810" s="182" t="s">
        <v>252</v>
      </c>
    </row>
    <row r="811" spans="1:15" ht="12">
      <c r="A811" s="148"/>
      <c r="B811" s="174" t="s">
        <v>857</v>
      </c>
      <c r="C811" s="175" t="s">
        <v>661</v>
      </c>
      <c r="D811" s="176" t="s">
        <v>662</v>
      </c>
      <c r="E811" s="177" t="s">
        <v>858</v>
      </c>
      <c r="F811" s="175">
        <f t="shared" si="36"/>
        <v>12</v>
      </c>
      <c r="G811" s="175" t="str">
        <f t="shared" si="37"/>
        <v>Titusville</v>
      </c>
      <c r="H811" s="175" t="str">
        <f t="shared" si="38"/>
        <v>Titusville, FL</v>
      </c>
      <c r="I811" s="178" t="s">
        <v>1183</v>
      </c>
      <c r="J811" s="27" t="s">
        <v>662</v>
      </c>
      <c r="K811" s="27">
        <v>2919</v>
      </c>
      <c r="L811" s="179">
        <v>909</v>
      </c>
      <c r="M811" s="178" t="s">
        <v>1184</v>
      </c>
      <c r="N811" s="27" t="s">
        <v>662</v>
      </c>
      <c r="O811" s="182" t="s">
        <v>1185</v>
      </c>
    </row>
    <row r="812" spans="1:15" ht="12">
      <c r="A812" s="148"/>
      <c r="B812" s="174" t="s">
        <v>859</v>
      </c>
      <c r="C812" s="175" t="s">
        <v>385</v>
      </c>
      <c r="D812" s="176" t="s">
        <v>386</v>
      </c>
      <c r="E812" s="177" t="s">
        <v>860</v>
      </c>
      <c r="F812" s="175">
        <f t="shared" si="36"/>
        <v>8</v>
      </c>
      <c r="G812" s="175" t="str">
        <f t="shared" si="37"/>
        <v>Toledo</v>
      </c>
      <c r="H812" s="175" t="str">
        <f t="shared" si="38"/>
        <v>Toledo, OH</v>
      </c>
      <c r="I812" s="178" t="s">
        <v>657</v>
      </c>
      <c r="J812" s="27" t="s">
        <v>386</v>
      </c>
      <c r="K812" s="27">
        <v>610</v>
      </c>
      <c r="L812" s="179">
        <v>6579</v>
      </c>
      <c r="M812" s="180" t="s">
        <v>658</v>
      </c>
      <c r="N812" s="181" t="s">
        <v>386</v>
      </c>
      <c r="O812" s="182" t="s">
        <v>659</v>
      </c>
    </row>
    <row r="813" spans="1:15" ht="12">
      <c r="A813" s="148"/>
      <c r="B813" s="174" t="s">
        <v>861</v>
      </c>
      <c r="C813" s="175" t="s">
        <v>1390</v>
      </c>
      <c r="D813" s="176" t="s">
        <v>1391</v>
      </c>
      <c r="E813" s="177" t="s">
        <v>862</v>
      </c>
      <c r="F813" s="175">
        <f t="shared" si="36"/>
        <v>9</v>
      </c>
      <c r="G813" s="175" t="str">
        <f t="shared" si="37"/>
        <v>Tonopah</v>
      </c>
      <c r="H813" s="175" t="str">
        <f t="shared" si="38"/>
        <v>Tonopah, NV</v>
      </c>
      <c r="I813" s="178" t="s">
        <v>1218</v>
      </c>
      <c r="J813" s="27" t="s">
        <v>1188</v>
      </c>
      <c r="K813" s="27">
        <v>647</v>
      </c>
      <c r="L813" s="179">
        <v>6511</v>
      </c>
      <c r="M813" s="180" t="s">
        <v>912</v>
      </c>
      <c r="N813" s="181" t="s">
        <v>1391</v>
      </c>
      <c r="O813" s="182" t="s">
        <v>913</v>
      </c>
    </row>
    <row r="814" spans="1:15" ht="12">
      <c r="A814" s="148"/>
      <c r="B814" s="174" t="s">
        <v>863</v>
      </c>
      <c r="C814" s="175" t="s">
        <v>1495</v>
      </c>
      <c r="D814" s="176" t="s">
        <v>1496</v>
      </c>
      <c r="E814" s="177" t="s">
        <v>864</v>
      </c>
      <c r="F814" s="175">
        <f t="shared" si="36"/>
        <v>8</v>
      </c>
      <c r="G814" s="175" t="str">
        <f t="shared" si="37"/>
        <v>Topeka</v>
      </c>
      <c r="H814" s="175" t="str">
        <f t="shared" si="38"/>
        <v>Topeka, KS</v>
      </c>
      <c r="I814" s="178" t="s">
        <v>896</v>
      </c>
      <c r="J814" s="27" t="s">
        <v>1496</v>
      </c>
      <c r="K814" s="27">
        <v>1304</v>
      </c>
      <c r="L814" s="179">
        <v>5265</v>
      </c>
      <c r="M814" s="180" t="s">
        <v>638</v>
      </c>
      <c r="N814" s="181" t="s">
        <v>1496</v>
      </c>
      <c r="O814" s="182" t="s">
        <v>639</v>
      </c>
    </row>
    <row r="815" spans="1:15" ht="12">
      <c r="A815" s="148"/>
      <c r="B815" s="174" t="s">
        <v>865</v>
      </c>
      <c r="C815" s="175" t="s">
        <v>1495</v>
      </c>
      <c r="D815" s="176" t="s">
        <v>1496</v>
      </c>
      <c r="E815" s="177" t="s">
        <v>864</v>
      </c>
      <c r="F815" s="175">
        <f t="shared" si="36"/>
        <v>8</v>
      </c>
      <c r="G815" s="175" t="str">
        <f t="shared" si="37"/>
        <v>Topeka</v>
      </c>
      <c r="H815" s="175" t="str">
        <f t="shared" si="38"/>
        <v>Topeka, KS</v>
      </c>
      <c r="I815" s="178" t="s">
        <v>896</v>
      </c>
      <c r="J815" s="27" t="s">
        <v>1496</v>
      </c>
      <c r="K815" s="27">
        <v>1304</v>
      </c>
      <c r="L815" s="179">
        <v>5265</v>
      </c>
      <c r="M815" s="180" t="s">
        <v>638</v>
      </c>
      <c r="N815" s="181" t="s">
        <v>1496</v>
      </c>
      <c r="O815" s="182" t="s">
        <v>639</v>
      </c>
    </row>
    <row r="816" spans="1:15" ht="12">
      <c r="A816" s="148"/>
      <c r="B816" s="174" t="s">
        <v>866</v>
      </c>
      <c r="C816" s="175" t="s">
        <v>1495</v>
      </c>
      <c r="D816" s="176" t="s">
        <v>1496</v>
      </c>
      <c r="E816" s="177" t="s">
        <v>864</v>
      </c>
      <c r="F816" s="175">
        <f t="shared" si="36"/>
        <v>8</v>
      </c>
      <c r="G816" s="175" t="str">
        <f t="shared" si="37"/>
        <v>Topeka</v>
      </c>
      <c r="H816" s="175" t="str">
        <f t="shared" si="38"/>
        <v>Topeka, KS</v>
      </c>
      <c r="I816" s="178" t="s">
        <v>896</v>
      </c>
      <c r="J816" s="27" t="s">
        <v>1496</v>
      </c>
      <c r="K816" s="27">
        <v>1304</v>
      </c>
      <c r="L816" s="179">
        <v>5265</v>
      </c>
      <c r="M816" s="180" t="s">
        <v>638</v>
      </c>
      <c r="N816" s="181" t="s">
        <v>1496</v>
      </c>
      <c r="O816" s="182" t="s">
        <v>639</v>
      </c>
    </row>
    <row r="817" spans="1:15" ht="12">
      <c r="A817" s="148"/>
      <c r="B817" s="174" t="s">
        <v>867</v>
      </c>
      <c r="C817" s="175" t="s">
        <v>433</v>
      </c>
      <c r="D817" s="176" t="s">
        <v>434</v>
      </c>
      <c r="E817" s="177" t="s">
        <v>868</v>
      </c>
      <c r="F817" s="175">
        <f t="shared" si="36"/>
        <v>10</v>
      </c>
      <c r="G817" s="175" t="str">
        <f t="shared" si="37"/>
        <v>Torrance</v>
      </c>
      <c r="H817" s="175" t="str">
        <f t="shared" si="38"/>
        <v>Torrance, CA</v>
      </c>
      <c r="I817" s="178" t="s">
        <v>462</v>
      </c>
      <c r="J817" s="27" t="s">
        <v>434</v>
      </c>
      <c r="K817" s="27">
        <v>1201</v>
      </c>
      <c r="L817" s="179">
        <v>1430</v>
      </c>
      <c r="M817" s="178" t="s">
        <v>437</v>
      </c>
      <c r="N817" s="27" t="s">
        <v>434</v>
      </c>
      <c r="O817" s="182" t="s">
        <v>438</v>
      </c>
    </row>
    <row r="818" spans="1:15" ht="12">
      <c r="A818" s="148"/>
      <c r="B818" s="174" t="s">
        <v>869</v>
      </c>
      <c r="C818" s="175" t="s">
        <v>480</v>
      </c>
      <c r="D818" s="176" t="s">
        <v>481</v>
      </c>
      <c r="E818" s="177" t="s">
        <v>1748</v>
      </c>
      <c r="F818" s="175">
        <f t="shared" si="36"/>
        <v>15</v>
      </c>
      <c r="G818" s="175" t="str">
        <f t="shared" si="37"/>
        <v>Traverse City</v>
      </c>
      <c r="H818" s="175" t="str">
        <f t="shared" si="38"/>
        <v>Traverse City, MI</v>
      </c>
      <c r="I818" s="178" t="s">
        <v>1749</v>
      </c>
      <c r="J818" s="27" t="s">
        <v>481</v>
      </c>
      <c r="K818" s="27">
        <v>231</v>
      </c>
      <c r="L818" s="179">
        <v>8284</v>
      </c>
      <c r="M818" s="180" t="s">
        <v>796</v>
      </c>
      <c r="N818" s="181" t="s">
        <v>481</v>
      </c>
      <c r="O818" s="182" t="s">
        <v>797</v>
      </c>
    </row>
    <row r="819" spans="1:15" ht="12">
      <c r="A819" s="148"/>
      <c r="B819" s="186" t="s">
        <v>1750</v>
      </c>
      <c r="C819" s="175" t="s">
        <v>1537</v>
      </c>
      <c r="D819" s="176" t="s">
        <v>1538</v>
      </c>
      <c r="E819" s="177" t="s">
        <v>1751</v>
      </c>
      <c r="F819" s="175">
        <f t="shared" si="36"/>
        <v>9</v>
      </c>
      <c r="G819" s="175" t="str">
        <f t="shared" si="37"/>
        <v>Trenton</v>
      </c>
      <c r="H819" s="175" t="str">
        <f t="shared" si="38"/>
        <v>Trenton, NJ</v>
      </c>
      <c r="I819" s="178" t="s">
        <v>61</v>
      </c>
      <c r="J819" s="27" t="s">
        <v>1538</v>
      </c>
      <c r="K819" s="27">
        <v>1201</v>
      </c>
      <c r="L819" s="179">
        <v>4888</v>
      </c>
      <c r="M819" s="180" t="s">
        <v>62</v>
      </c>
      <c r="N819" s="181" t="s">
        <v>1538</v>
      </c>
      <c r="O819" s="182" t="s">
        <v>63</v>
      </c>
    </row>
    <row r="820" spans="1:15" ht="12">
      <c r="A820" s="148"/>
      <c r="B820" s="186" t="s">
        <v>1752</v>
      </c>
      <c r="C820" s="175" t="s">
        <v>1537</v>
      </c>
      <c r="D820" s="176" t="s">
        <v>1538</v>
      </c>
      <c r="E820" s="177" t="s">
        <v>1751</v>
      </c>
      <c r="F820" s="175">
        <f t="shared" si="36"/>
        <v>9</v>
      </c>
      <c r="G820" s="175" t="str">
        <f t="shared" si="37"/>
        <v>Trenton</v>
      </c>
      <c r="H820" s="175" t="str">
        <f t="shared" si="38"/>
        <v>Trenton, NJ</v>
      </c>
      <c r="I820" s="178" t="s">
        <v>61</v>
      </c>
      <c r="J820" s="27" t="s">
        <v>1538</v>
      </c>
      <c r="K820" s="27">
        <v>1201</v>
      </c>
      <c r="L820" s="179">
        <v>4888</v>
      </c>
      <c r="M820" s="180" t="s">
        <v>62</v>
      </c>
      <c r="N820" s="181" t="s">
        <v>1538</v>
      </c>
      <c r="O820" s="182" t="s">
        <v>63</v>
      </c>
    </row>
    <row r="821" spans="1:15" ht="12">
      <c r="A821" s="148"/>
      <c r="B821" s="174" t="s">
        <v>1753</v>
      </c>
      <c r="C821" s="175" t="s">
        <v>415</v>
      </c>
      <c r="D821" s="176" t="s">
        <v>416</v>
      </c>
      <c r="E821" s="177" t="s">
        <v>1754</v>
      </c>
      <c r="F821" s="175">
        <f t="shared" si="36"/>
        <v>18</v>
      </c>
      <c r="G821" s="175" t="str">
        <f t="shared" si="37"/>
        <v>Truth or Conseq.</v>
      </c>
      <c r="H821" s="175" t="str">
        <f t="shared" si="38"/>
        <v>Truth or Conseq., NM</v>
      </c>
      <c r="I821" s="178" t="s">
        <v>53</v>
      </c>
      <c r="J821" s="27" t="s">
        <v>255</v>
      </c>
      <c r="K821" s="27">
        <v>2094</v>
      </c>
      <c r="L821" s="179">
        <v>2708</v>
      </c>
      <c r="M821" s="180" t="s">
        <v>50</v>
      </c>
      <c r="N821" s="181" t="s">
        <v>255</v>
      </c>
      <c r="O821" s="182" t="s">
        <v>51</v>
      </c>
    </row>
    <row r="822" spans="1:15" ht="12">
      <c r="A822" s="148"/>
      <c r="B822" s="174" t="s">
        <v>1755</v>
      </c>
      <c r="C822" s="175" t="s">
        <v>1300</v>
      </c>
      <c r="D822" s="176" t="s">
        <v>1301</v>
      </c>
      <c r="E822" s="177" t="s">
        <v>1756</v>
      </c>
      <c r="F822" s="175">
        <f t="shared" si="36"/>
        <v>8</v>
      </c>
      <c r="G822" s="175" t="str">
        <f t="shared" si="37"/>
        <v>Tucson</v>
      </c>
      <c r="H822" s="175" t="str">
        <f t="shared" si="38"/>
        <v>Tucson, AZ</v>
      </c>
      <c r="I822" s="178" t="s">
        <v>1398</v>
      </c>
      <c r="J822" s="27" t="s">
        <v>1301</v>
      </c>
      <c r="K822" s="27">
        <v>2954</v>
      </c>
      <c r="L822" s="179">
        <v>1678</v>
      </c>
      <c r="M822" s="178" t="s">
        <v>1399</v>
      </c>
      <c r="N822" s="27" t="s">
        <v>1301</v>
      </c>
      <c r="O822" s="182" t="s">
        <v>1400</v>
      </c>
    </row>
    <row r="823" spans="1:15" ht="12">
      <c r="A823" s="148"/>
      <c r="B823" s="174" t="s">
        <v>1757</v>
      </c>
      <c r="C823" s="175" t="s">
        <v>415</v>
      </c>
      <c r="D823" s="176" t="s">
        <v>416</v>
      </c>
      <c r="E823" s="177" t="s">
        <v>1758</v>
      </c>
      <c r="F823" s="175">
        <f t="shared" si="36"/>
        <v>11</v>
      </c>
      <c r="G823" s="175" t="str">
        <f t="shared" si="37"/>
        <v>Tucumcari</v>
      </c>
      <c r="H823" s="175" t="str">
        <f t="shared" si="38"/>
        <v>Tucumcari, NM</v>
      </c>
      <c r="I823" s="178" t="s">
        <v>693</v>
      </c>
      <c r="J823" s="27" t="s">
        <v>416</v>
      </c>
      <c r="K823" s="27">
        <v>772</v>
      </c>
      <c r="L823" s="179">
        <v>5064</v>
      </c>
      <c r="M823" s="180" t="s">
        <v>271</v>
      </c>
      <c r="N823" s="181" t="s">
        <v>255</v>
      </c>
      <c r="O823" s="182" t="s">
        <v>272</v>
      </c>
    </row>
    <row r="824" spans="1:15" ht="12">
      <c r="A824" s="148"/>
      <c r="B824" s="174" t="s">
        <v>1759</v>
      </c>
      <c r="C824" s="175" t="s">
        <v>500</v>
      </c>
      <c r="D824" s="176" t="s">
        <v>501</v>
      </c>
      <c r="E824" s="177" t="s">
        <v>1760</v>
      </c>
      <c r="F824" s="175">
        <f t="shared" si="36"/>
        <v>7</v>
      </c>
      <c r="G824" s="175" t="str">
        <f t="shared" si="37"/>
        <v>Tulsa</v>
      </c>
      <c r="H824" s="175" t="str">
        <f t="shared" si="38"/>
        <v>Tulsa, OK</v>
      </c>
      <c r="I824" s="178" t="s">
        <v>597</v>
      </c>
      <c r="J824" s="27" t="s">
        <v>501</v>
      </c>
      <c r="K824" s="27">
        <v>1859</v>
      </c>
      <c r="L824" s="179">
        <v>3659</v>
      </c>
      <c r="M824" s="180" t="s">
        <v>2444</v>
      </c>
      <c r="N824" s="181" t="s">
        <v>501</v>
      </c>
      <c r="O824" s="182" t="s">
        <v>2445</v>
      </c>
    </row>
    <row r="825" spans="1:15" ht="12">
      <c r="A825" s="148"/>
      <c r="B825" s="174" t="s">
        <v>1761</v>
      </c>
      <c r="C825" s="175" t="s">
        <v>500</v>
      </c>
      <c r="D825" s="176" t="s">
        <v>501</v>
      </c>
      <c r="E825" s="177" t="s">
        <v>1760</v>
      </c>
      <c r="F825" s="175">
        <f t="shared" si="36"/>
        <v>7</v>
      </c>
      <c r="G825" s="175" t="str">
        <f t="shared" si="37"/>
        <v>Tulsa</v>
      </c>
      <c r="H825" s="175" t="str">
        <f t="shared" si="38"/>
        <v>Tulsa, OK</v>
      </c>
      <c r="I825" s="178" t="s">
        <v>2443</v>
      </c>
      <c r="J825" s="27" t="s">
        <v>501</v>
      </c>
      <c r="K825" s="27">
        <v>2017</v>
      </c>
      <c r="L825" s="179">
        <v>3691</v>
      </c>
      <c r="M825" s="180" t="s">
        <v>2444</v>
      </c>
      <c r="N825" s="181" t="s">
        <v>501</v>
      </c>
      <c r="O825" s="182" t="s">
        <v>2445</v>
      </c>
    </row>
    <row r="826" spans="1:15" ht="12">
      <c r="A826" s="148"/>
      <c r="B826" s="174" t="s">
        <v>1762</v>
      </c>
      <c r="C826" s="175" t="s">
        <v>621</v>
      </c>
      <c r="D826" s="176" t="s">
        <v>1335</v>
      </c>
      <c r="E826" s="177" t="s">
        <v>1763</v>
      </c>
      <c r="F826" s="175">
        <f t="shared" si="36"/>
        <v>8</v>
      </c>
      <c r="G826" s="175" t="str">
        <f t="shared" si="37"/>
        <v>Tupelo</v>
      </c>
      <c r="H826" s="175" t="str">
        <f t="shared" si="38"/>
        <v>Tupelo, MS</v>
      </c>
      <c r="I826" s="178" t="s">
        <v>1764</v>
      </c>
      <c r="J826" s="27" t="s">
        <v>1335</v>
      </c>
      <c r="K826" s="27">
        <v>1908</v>
      </c>
      <c r="L826" s="179">
        <v>3079</v>
      </c>
      <c r="M826" s="180" t="s">
        <v>2068</v>
      </c>
      <c r="N826" s="181" t="s">
        <v>1335</v>
      </c>
      <c r="O826" s="182" t="s">
        <v>2069</v>
      </c>
    </row>
    <row r="827" spans="1:15" ht="12">
      <c r="A827" s="148"/>
      <c r="B827" s="174" t="s">
        <v>1765</v>
      </c>
      <c r="C827" s="175" t="s">
        <v>493</v>
      </c>
      <c r="D827" s="176" t="s">
        <v>494</v>
      </c>
      <c r="E827" s="177" t="s">
        <v>1766</v>
      </c>
      <c r="F827" s="175">
        <f t="shared" si="36"/>
        <v>12</v>
      </c>
      <c r="G827" s="175" t="str">
        <f t="shared" si="37"/>
        <v>Tuscaloosa</v>
      </c>
      <c r="H827" s="175" t="str">
        <f t="shared" si="38"/>
        <v>Tuscaloosa, AL</v>
      </c>
      <c r="I827" s="178" t="s">
        <v>1334</v>
      </c>
      <c r="J827" s="27" t="s">
        <v>1335</v>
      </c>
      <c r="K827" s="27">
        <v>2138</v>
      </c>
      <c r="L827" s="179">
        <v>2444</v>
      </c>
      <c r="M827" s="180" t="s">
        <v>497</v>
      </c>
      <c r="N827" s="181" t="s">
        <v>494</v>
      </c>
      <c r="O827" s="182" t="s">
        <v>498</v>
      </c>
    </row>
    <row r="828" spans="1:15" ht="12">
      <c r="A828" s="148"/>
      <c r="B828" s="174" t="s">
        <v>1767</v>
      </c>
      <c r="C828" s="175" t="s">
        <v>2280</v>
      </c>
      <c r="D828" s="176" t="s">
        <v>2281</v>
      </c>
      <c r="E828" s="177" t="s">
        <v>1768</v>
      </c>
      <c r="F828" s="175">
        <f t="shared" si="36"/>
        <v>12</v>
      </c>
      <c r="G828" s="175" t="str">
        <f t="shared" si="37"/>
        <v>Twin Falls</v>
      </c>
      <c r="H828" s="175" t="str">
        <f t="shared" si="38"/>
        <v>Twin Falls, ID</v>
      </c>
      <c r="I828" s="178" t="s">
        <v>77</v>
      </c>
      <c r="J828" s="27" t="s">
        <v>2281</v>
      </c>
      <c r="K828" s="27">
        <v>421</v>
      </c>
      <c r="L828" s="179">
        <v>7180</v>
      </c>
      <c r="M828" s="180" t="s">
        <v>78</v>
      </c>
      <c r="N828" s="181" t="s">
        <v>2281</v>
      </c>
      <c r="O828" s="182" t="s">
        <v>79</v>
      </c>
    </row>
    <row r="829" spans="1:15" ht="12">
      <c r="A829" s="148"/>
      <c r="B829" s="174" t="s">
        <v>1769</v>
      </c>
      <c r="C829" s="175" t="s">
        <v>254</v>
      </c>
      <c r="D829" s="176" t="s">
        <v>255</v>
      </c>
      <c r="E829" s="177" t="s">
        <v>1770</v>
      </c>
      <c r="F829" s="175">
        <f t="shared" si="36"/>
        <v>7</v>
      </c>
      <c r="G829" s="175" t="str">
        <f t="shared" si="37"/>
        <v>Tyler</v>
      </c>
      <c r="H829" s="175" t="str">
        <f t="shared" si="38"/>
        <v>Tyler, TX</v>
      </c>
      <c r="I829" s="178" t="s">
        <v>503</v>
      </c>
      <c r="J829" s="27" t="s">
        <v>255</v>
      </c>
      <c r="K829" s="27">
        <v>2603</v>
      </c>
      <c r="L829" s="179">
        <v>2407</v>
      </c>
      <c r="M829" s="180" t="s">
        <v>504</v>
      </c>
      <c r="N829" s="181" t="s">
        <v>255</v>
      </c>
      <c r="O829" s="182" t="s">
        <v>505</v>
      </c>
    </row>
    <row r="830" spans="1:15" ht="12">
      <c r="A830" s="148"/>
      <c r="B830" s="174" t="s">
        <v>1771</v>
      </c>
      <c r="C830" s="175" t="s">
        <v>440</v>
      </c>
      <c r="D830" s="176" t="s">
        <v>441</v>
      </c>
      <c r="E830" s="177" t="s">
        <v>1772</v>
      </c>
      <c r="F830" s="175">
        <f t="shared" si="36"/>
        <v>11</v>
      </c>
      <c r="G830" s="175" t="str">
        <f t="shared" si="37"/>
        <v>Uniontown</v>
      </c>
      <c r="H830" s="175" t="str">
        <f t="shared" si="38"/>
        <v>Uniontown, PA</v>
      </c>
      <c r="I830" s="178" t="s">
        <v>455</v>
      </c>
      <c r="J830" s="27" t="s">
        <v>441</v>
      </c>
      <c r="K830" s="27">
        <v>654</v>
      </c>
      <c r="L830" s="179">
        <v>5968</v>
      </c>
      <c r="M830" s="180" t="s">
        <v>456</v>
      </c>
      <c r="N830" s="181" t="s">
        <v>441</v>
      </c>
      <c r="O830" s="182" t="s">
        <v>457</v>
      </c>
    </row>
    <row r="831" spans="1:15" ht="12">
      <c r="A831" s="148"/>
      <c r="B831" s="174" t="s">
        <v>1773</v>
      </c>
      <c r="C831" s="175" t="s">
        <v>407</v>
      </c>
      <c r="D831" s="176" t="s">
        <v>408</v>
      </c>
      <c r="E831" s="177" t="s">
        <v>1774</v>
      </c>
      <c r="F831" s="175">
        <f t="shared" si="36"/>
        <v>7</v>
      </c>
      <c r="G831" s="175" t="str">
        <f t="shared" si="37"/>
        <v>Utica</v>
      </c>
      <c r="H831" s="175" t="str">
        <f t="shared" si="38"/>
        <v>Utica, NY</v>
      </c>
      <c r="I831" s="178" t="s">
        <v>1426</v>
      </c>
      <c r="J831" s="27" t="s">
        <v>408</v>
      </c>
      <c r="K831" s="27">
        <v>337</v>
      </c>
      <c r="L831" s="179">
        <v>7273</v>
      </c>
      <c r="M831" s="180" t="s">
        <v>1427</v>
      </c>
      <c r="N831" s="181" t="s">
        <v>441</v>
      </c>
      <c r="O831" s="182" t="s">
        <v>1428</v>
      </c>
    </row>
    <row r="832" spans="1:15" ht="12">
      <c r="A832" s="148"/>
      <c r="B832" s="174" t="s">
        <v>1775</v>
      </c>
      <c r="C832" s="175" t="s">
        <v>407</v>
      </c>
      <c r="D832" s="176" t="s">
        <v>408</v>
      </c>
      <c r="E832" s="177" t="s">
        <v>1774</v>
      </c>
      <c r="F832" s="175">
        <f t="shared" si="36"/>
        <v>7</v>
      </c>
      <c r="G832" s="175" t="str">
        <f t="shared" si="37"/>
        <v>Utica</v>
      </c>
      <c r="H832" s="175" t="str">
        <f t="shared" si="38"/>
        <v>Utica, NY</v>
      </c>
      <c r="I832" s="178" t="s">
        <v>1426</v>
      </c>
      <c r="J832" s="27" t="s">
        <v>408</v>
      </c>
      <c r="K832" s="27">
        <v>337</v>
      </c>
      <c r="L832" s="179">
        <v>7273</v>
      </c>
      <c r="M832" s="180" t="s">
        <v>1427</v>
      </c>
      <c r="N832" s="181" t="s">
        <v>441</v>
      </c>
      <c r="O832" s="182" t="s">
        <v>1428</v>
      </c>
    </row>
    <row r="833" spans="1:15" ht="12">
      <c r="A833" s="148"/>
      <c r="B833" s="174" t="s">
        <v>1776</v>
      </c>
      <c r="C833" s="175" t="s">
        <v>407</v>
      </c>
      <c r="D833" s="176" t="s">
        <v>408</v>
      </c>
      <c r="E833" s="177" t="s">
        <v>1774</v>
      </c>
      <c r="F833" s="175">
        <f t="shared" si="36"/>
        <v>7</v>
      </c>
      <c r="G833" s="175" t="str">
        <f t="shared" si="37"/>
        <v>Utica</v>
      </c>
      <c r="H833" s="175" t="str">
        <f t="shared" si="38"/>
        <v>Utica, NY</v>
      </c>
      <c r="I833" s="178" t="s">
        <v>95</v>
      </c>
      <c r="J833" s="27" t="s">
        <v>408</v>
      </c>
      <c r="K833" s="27">
        <v>438</v>
      </c>
      <c r="L833" s="179">
        <v>6834</v>
      </c>
      <c r="M833" s="180" t="s">
        <v>1035</v>
      </c>
      <c r="N833" s="181" t="s">
        <v>408</v>
      </c>
      <c r="O833" s="182" t="s">
        <v>1036</v>
      </c>
    </row>
    <row r="834" spans="1:15" ht="12">
      <c r="A834" s="148"/>
      <c r="B834" s="174" t="s">
        <v>1777</v>
      </c>
      <c r="C834" s="175" t="s">
        <v>254</v>
      </c>
      <c r="D834" s="176" t="s">
        <v>255</v>
      </c>
      <c r="E834" s="177" t="s">
        <v>1778</v>
      </c>
      <c r="F834" s="175">
        <f t="shared" si="36"/>
        <v>8</v>
      </c>
      <c r="G834" s="175" t="str">
        <f t="shared" si="37"/>
        <v>Uvalde</v>
      </c>
      <c r="H834" s="175" t="str">
        <f t="shared" si="38"/>
        <v>Uvalde, TX</v>
      </c>
      <c r="I834" s="178" t="s">
        <v>1779</v>
      </c>
      <c r="J834" s="27" t="s">
        <v>255</v>
      </c>
      <c r="K834" s="27">
        <v>3142</v>
      </c>
      <c r="L834" s="179">
        <v>1506</v>
      </c>
      <c r="M834" s="180" t="s">
        <v>965</v>
      </c>
      <c r="N834" s="181" t="s">
        <v>255</v>
      </c>
      <c r="O834" s="182" t="s">
        <v>966</v>
      </c>
    </row>
    <row r="835" spans="1:15" ht="12">
      <c r="A835" s="148"/>
      <c r="B835" s="174" t="s">
        <v>1780</v>
      </c>
      <c r="C835" s="175" t="s">
        <v>400</v>
      </c>
      <c r="D835" s="176" t="s">
        <v>401</v>
      </c>
      <c r="E835" s="177" t="s">
        <v>1781</v>
      </c>
      <c r="F835" s="175">
        <f t="shared" si="36"/>
        <v>10</v>
      </c>
      <c r="G835" s="175" t="str">
        <f t="shared" si="37"/>
        <v>Valdosta</v>
      </c>
      <c r="H835" s="175" t="str">
        <f t="shared" si="38"/>
        <v>Valdosta, GA</v>
      </c>
      <c r="I835" s="178" t="s">
        <v>841</v>
      </c>
      <c r="J835" s="27" t="s">
        <v>662</v>
      </c>
      <c r="K835" s="27">
        <v>2518</v>
      </c>
      <c r="L835" s="179">
        <v>1705</v>
      </c>
      <c r="M835" s="180" t="s">
        <v>602</v>
      </c>
      <c r="N835" s="181" t="s">
        <v>662</v>
      </c>
      <c r="O835" s="182" t="s">
        <v>603</v>
      </c>
    </row>
    <row r="836" spans="1:15" ht="12">
      <c r="A836" s="148"/>
      <c r="B836" s="174" t="s">
        <v>1782</v>
      </c>
      <c r="C836" s="175" t="s">
        <v>447</v>
      </c>
      <c r="D836" s="176" t="s">
        <v>448</v>
      </c>
      <c r="E836" s="177" t="s">
        <v>1783</v>
      </c>
      <c r="F836" s="175">
        <f t="shared" si="36"/>
        <v>11</v>
      </c>
      <c r="G836" s="175" t="str">
        <f t="shared" si="37"/>
        <v>Valentine</v>
      </c>
      <c r="H836" s="175" t="str">
        <f t="shared" si="38"/>
        <v>Valentine, NE</v>
      </c>
      <c r="I836" s="178" t="s">
        <v>1784</v>
      </c>
      <c r="J836" s="27" t="s">
        <v>448</v>
      </c>
      <c r="K836" s="27">
        <v>752</v>
      </c>
      <c r="L836" s="179">
        <v>7282</v>
      </c>
      <c r="M836" s="180" t="s">
        <v>1172</v>
      </c>
      <c r="N836" s="181" t="s">
        <v>448</v>
      </c>
      <c r="O836" s="182" t="s">
        <v>1173</v>
      </c>
    </row>
    <row r="837" spans="1:15" ht="12">
      <c r="A837" s="148"/>
      <c r="B837" s="174" t="s">
        <v>1785</v>
      </c>
      <c r="C837" s="175" t="s">
        <v>433</v>
      </c>
      <c r="D837" s="176" t="s">
        <v>434</v>
      </c>
      <c r="E837" s="177" t="s">
        <v>1786</v>
      </c>
      <c r="F837" s="175">
        <f t="shared" si="36"/>
        <v>10</v>
      </c>
      <c r="G837" s="175" t="str">
        <f t="shared" si="37"/>
        <v>Van Nuys</v>
      </c>
      <c r="H837" s="175" t="str">
        <f t="shared" si="38"/>
        <v>Van Nuys, CA</v>
      </c>
      <c r="I837" s="178" t="s">
        <v>1564</v>
      </c>
      <c r="J837" s="27" t="s">
        <v>434</v>
      </c>
      <c r="K837" s="27">
        <v>2365</v>
      </c>
      <c r="L837" s="179">
        <v>2182</v>
      </c>
      <c r="M837" s="178" t="s">
        <v>437</v>
      </c>
      <c r="N837" s="27" t="s">
        <v>434</v>
      </c>
      <c r="O837" s="182" t="s">
        <v>438</v>
      </c>
    </row>
    <row r="838" spans="1:15" ht="12">
      <c r="A838" s="148"/>
      <c r="B838" s="174" t="s">
        <v>1787</v>
      </c>
      <c r="C838" s="175" t="s">
        <v>433</v>
      </c>
      <c r="D838" s="176" t="s">
        <v>434</v>
      </c>
      <c r="E838" s="177" t="s">
        <v>1786</v>
      </c>
      <c r="F838" s="175">
        <f t="shared" ref="F838:F901" si="39">LEN(E838)</f>
        <v>10</v>
      </c>
      <c r="G838" s="175" t="str">
        <f t="shared" ref="G838:G901" si="40">MID(E838,2,F838-2)</f>
        <v>Van Nuys</v>
      </c>
      <c r="H838" s="175" t="str">
        <f t="shared" ref="H838:H901" si="41">CONCATENATE(G838,", ",+D838)</f>
        <v>Van Nuys, CA</v>
      </c>
      <c r="I838" s="178" t="s">
        <v>436</v>
      </c>
      <c r="J838" s="27" t="s">
        <v>434</v>
      </c>
      <c r="K838" s="27">
        <v>1537</v>
      </c>
      <c r="L838" s="179">
        <v>1154</v>
      </c>
      <c r="M838" s="178" t="s">
        <v>437</v>
      </c>
      <c r="N838" s="27" t="s">
        <v>434</v>
      </c>
      <c r="O838" s="182" t="s">
        <v>438</v>
      </c>
    </row>
    <row r="839" spans="1:15" ht="12">
      <c r="A839" s="148"/>
      <c r="B839" s="174" t="s">
        <v>1788</v>
      </c>
      <c r="C839" s="175" t="s">
        <v>584</v>
      </c>
      <c r="D839" s="176" t="s">
        <v>1627</v>
      </c>
      <c r="E839" s="177" t="s">
        <v>1789</v>
      </c>
      <c r="F839" s="175">
        <f t="shared" si="39"/>
        <v>11</v>
      </c>
      <c r="G839" s="175" t="str">
        <f t="shared" si="40"/>
        <v>Vancouver</v>
      </c>
      <c r="H839" s="175" t="str">
        <f t="shared" si="41"/>
        <v>Vancouver, WA</v>
      </c>
      <c r="I839" s="178" t="s">
        <v>2454</v>
      </c>
      <c r="J839" s="27" t="s">
        <v>1623</v>
      </c>
      <c r="K839" s="27">
        <v>371</v>
      </c>
      <c r="L839" s="179">
        <v>4522</v>
      </c>
      <c r="M839" s="180" t="s">
        <v>1548</v>
      </c>
      <c r="N839" s="181" t="s">
        <v>1623</v>
      </c>
      <c r="O839" s="182" t="s">
        <v>2455</v>
      </c>
    </row>
    <row r="840" spans="1:15" ht="12">
      <c r="A840" s="148"/>
      <c r="B840" s="174" t="s">
        <v>1790</v>
      </c>
      <c r="C840" s="175" t="s">
        <v>433</v>
      </c>
      <c r="D840" s="176" t="s">
        <v>434</v>
      </c>
      <c r="E840" s="177" t="s">
        <v>1791</v>
      </c>
      <c r="F840" s="175">
        <f t="shared" si="39"/>
        <v>16</v>
      </c>
      <c r="G840" s="175" t="str">
        <f t="shared" si="40"/>
        <v>Ventura/Oxnard</v>
      </c>
      <c r="H840" s="175" t="str">
        <f t="shared" si="41"/>
        <v>Ventura/Oxnard, CA</v>
      </c>
      <c r="I840" s="178" t="s">
        <v>1564</v>
      </c>
      <c r="J840" s="27" t="s">
        <v>434</v>
      </c>
      <c r="K840" s="27">
        <v>2365</v>
      </c>
      <c r="L840" s="179">
        <v>2182</v>
      </c>
      <c r="M840" s="178" t="s">
        <v>437</v>
      </c>
      <c r="N840" s="27" t="s">
        <v>434</v>
      </c>
      <c r="O840" s="182" t="s">
        <v>438</v>
      </c>
    </row>
    <row r="841" spans="1:15" ht="12">
      <c r="A841" s="148"/>
      <c r="B841" s="174" t="s">
        <v>1792</v>
      </c>
      <c r="C841" s="175" t="s">
        <v>254</v>
      </c>
      <c r="D841" s="176" t="s">
        <v>255</v>
      </c>
      <c r="E841" s="177" t="s">
        <v>1793</v>
      </c>
      <c r="F841" s="175">
        <f t="shared" si="39"/>
        <v>10</v>
      </c>
      <c r="G841" s="175" t="str">
        <f t="shared" si="40"/>
        <v>Victoria</v>
      </c>
      <c r="H841" s="175" t="str">
        <f t="shared" si="41"/>
        <v>Victoria, TX</v>
      </c>
      <c r="I841" s="178" t="s">
        <v>964</v>
      </c>
      <c r="J841" s="27" t="s">
        <v>255</v>
      </c>
      <c r="K841" s="27">
        <v>3118</v>
      </c>
      <c r="L841" s="179">
        <v>1296</v>
      </c>
      <c r="M841" s="180" t="s">
        <v>1651</v>
      </c>
      <c r="N841" s="181" t="s">
        <v>255</v>
      </c>
      <c r="O841" s="182" t="s">
        <v>1652</v>
      </c>
    </row>
    <row r="842" spans="1:15" ht="12">
      <c r="A842" s="148"/>
      <c r="B842" s="174" t="s">
        <v>1794</v>
      </c>
      <c r="C842" s="175" t="s">
        <v>500</v>
      </c>
      <c r="D842" s="176" t="s">
        <v>501</v>
      </c>
      <c r="E842" s="177" t="s">
        <v>1795</v>
      </c>
      <c r="F842" s="175">
        <f t="shared" si="39"/>
        <v>8</v>
      </c>
      <c r="G842" s="175" t="str">
        <f t="shared" si="40"/>
        <v>Vinita</v>
      </c>
      <c r="H842" s="175" t="str">
        <f t="shared" si="41"/>
        <v>Vinita, OK</v>
      </c>
      <c r="I842" s="178" t="s">
        <v>2443</v>
      </c>
      <c r="J842" s="27" t="s">
        <v>501</v>
      </c>
      <c r="K842" s="27">
        <v>2017</v>
      </c>
      <c r="L842" s="179">
        <v>3691</v>
      </c>
      <c r="M842" s="180" t="s">
        <v>2444</v>
      </c>
      <c r="N842" s="181" t="s">
        <v>501</v>
      </c>
      <c r="O842" s="182" t="s">
        <v>2445</v>
      </c>
    </row>
    <row r="843" spans="1:15" ht="12">
      <c r="A843" s="148"/>
      <c r="B843" s="174" t="s">
        <v>1796</v>
      </c>
      <c r="C843" s="175" t="s">
        <v>254</v>
      </c>
      <c r="D843" s="176" t="s">
        <v>255</v>
      </c>
      <c r="E843" s="177" t="s">
        <v>1797</v>
      </c>
      <c r="F843" s="175">
        <f t="shared" si="39"/>
        <v>6</v>
      </c>
      <c r="G843" s="175" t="str">
        <f t="shared" si="40"/>
        <v>Waco</v>
      </c>
      <c r="H843" s="175" t="str">
        <f t="shared" si="41"/>
        <v>Waco, TX</v>
      </c>
      <c r="I843" s="178" t="s">
        <v>2149</v>
      </c>
      <c r="J843" s="27" t="s">
        <v>255</v>
      </c>
      <c r="K843" s="27">
        <v>2816</v>
      </c>
      <c r="L843" s="179">
        <v>2179</v>
      </c>
      <c r="M843" s="180" t="s">
        <v>2150</v>
      </c>
      <c r="N843" s="181" t="s">
        <v>255</v>
      </c>
      <c r="O843" s="182" t="s">
        <v>2151</v>
      </c>
    </row>
    <row r="844" spans="1:15" ht="12">
      <c r="A844" s="148"/>
      <c r="B844" s="174" t="s">
        <v>1798</v>
      </c>
      <c r="C844" s="175" t="s">
        <v>254</v>
      </c>
      <c r="D844" s="176" t="s">
        <v>255</v>
      </c>
      <c r="E844" s="177" t="s">
        <v>1797</v>
      </c>
      <c r="F844" s="175">
        <f t="shared" si="39"/>
        <v>6</v>
      </c>
      <c r="G844" s="175" t="str">
        <f t="shared" si="40"/>
        <v>Waco</v>
      </c>
      <c r="H844" s="175" t="str">
        <f t="shared" si="41"/>
        <v>Waco, TX</v>
      </c>
      <c r="I844" s="178" t="s">
        <v>2149</v>
      </c>
      <c r="J844" s="27" t="s">
        <v>255</v>
      </c>
      <c r="K844" s="27">
        <v>2816</v>
      </c>
      <c r="L844" s="179">
        <v>2179</v>
      </c>
      <c r="M844" s="180" t="s">
        <v>2150</v>
      </c>
      <c r="N844" s="181" t="s">
        <v>255</v>
      </c>
      <c r="O844" s="182" t="s">
        <v>2151</v>
      </c>
    </row>
    <row r="845" spans="1:15" ht="12">
      <c r="A845" s="148"/>
      <c r="B845" s="174" t="s">
        <v>1799</v>
      </c>
      <c r="C845" s="175" t="s">
        <v>487</v>
      </c>
      <c r="D845" s="176" t="s">
        <v>430</v>
      </c>
      <c r="E845" s="177" t="s">
        <v>1800</v>
      </c>
      <c r="F845" s="175">
        <f t="shared" si="39"/>
        <v>9</v>
      </c>
      <c r="G845" s="175" t="str">
        <f t="shared" si="40"/>
        <v>Waldorf</v>
      </c>
      <c r="H845" s="175" t="str">
        <f t="shared" si="41"/>
        <v>Waldorf, MD</v>
      </c>
      <c r="I845" s="178" t="s">
        <v>427</v>
      </c>
      <c r="J845" s="27" t="s">
        <v>428</v>
      </c>
      <c r="K845" s="27">
        <v>1549</v>
      </c>
      <c r="L845" s="179">
        <v>4047</v>
      </c>
      <c r="M845" s="180" t="s">
        <v>429</v>
      </c>
      <c r="N845" s="181" t="s">
        <v>430</v>
      </c>
      <c r="O845" s="182" t="s">
        <v>431</v>
      </c>
    </row>
    <row r="846" spans="1:15" ht="12">
      <c r="A846" s="148"/>
      <c r="B846" s="174" t="s">
        <v>1801</v>
      </c>
      <c r="C846" s="175" t="s">
        <v>1802</v>
      </c>
      <c r="D846" s="176" t="s">
        <v>428</v>
      </c>
      <c r="E846" s="177" t="s">
        <v>584</v>
      </c>
      <c r="F846" s="175">
        <f t="shared" si="39"/>
        <v>12</v>
      </c>
      <c r="G846" s="175" t="str">
        <f t="shared" si="40"/>
        <v>Washington</v>
      </c>
      <c r="H846" s="175" t="str">
        <f t="shared" si="41"/>
        <v>Washington, DC</v>
      </c>
      <c r="I846" s="178" t="s">
        <v>427</v>
      </c>
      <c r="J846" s="27" t="s">
        <v>428</v>
      </c>
      <c r="K846" s="27">
        <v>1549</v>
      </c>
      <c r="L846" s="179">
        <v>4047</v>
      </c>
      <c r="M846" s="180" t="s">
        <v>429</v>
      </c>
      <c r="N846" s="181" t="s">
        <v>430</v>
      </c>
      <c r="O846" s="182" t="s">
        <v>431</v>
      </c>
    </row>
    <row r="847" spans="1:15" ht="12">
      <c r="A847" s="148"/>
      <c r="B847" s="174" t="s">
        <v>1803</v>
      </c>
      <c r="C847" s="175" t="s">
        <v>1802</v>
      </c>
      <c r="D847" s="176" t="s">
        <v>428</v>
      </c>
      <c r="E847" s="177" t="s">
        <v>584</v>
      </c>
      <c r="F847" s="175">
        <f t="shared" si="39"/>
        <v>12</v>
      </c>
      <c r="G847" s="175" t="str">
        <f t="shared" si="40"/>
        <v>Washington</v>
      </c>
      <c r="H847" s="175" t="str">
        <f t="shared" si="41"/>
        <v>Washington, DC</v>
      </c>
      <c r="I847" s="178" t="s">
        <v>427</v>
      </c>
      <c r="J847" s="27" t="s">
        <v>428</v>
      </c>
      <c r="K847" s="27">
        <v>1549</v>
      </c>
      <c r="L847" s="179">
        <v>4047</v>
      </c>
      <c r="M847" s="180" t="s">
        <v>429</v>
      </c>
      <c r="N847" s="181" t="s">
        <v>430</v>
      </c>
      <c r="O847" s="182" t="s">
        <v>431</v>
      </c>
    </row>
    <row r="848" spans="1:15" ht="12">
      <c r="A848" s="148"/>
      <c r="B848" s="174" t="s">
        <v>1804</v>
      </c>
      <c r="C848" s="175" t="s">
        <v>1802</v>
      </c>
      <c r="D848" s="176" t="s">
        <v>428</v>
      </c>
      <c r="E848" s="177" t="s">
        <v>584</v>
      </c>
      <c r="F848" s="175">
        <f t="shared" si="39"/>
        <v>12</v>
      </c>
      <c r="G848" s="175" t="str">
        <f t="shared" si="40"/>
        <v>Washington</v>
      </c>
      <c r="H848" s="175" t="str">
        <f t="shared" si="41"/>
        <v>Washington, DC</v>
      </c>
      <c r="I848" s="178" t="s">
        <v>427</v>
      </c>
      <c r="J848" s="27" t="s">
        <v>428</v>
      </c>
      <c r="K848" s="27">
        <v>1549</v>
      </c>
      <c r="L848" s="179">
        <v>4047</v>
      </c>
      <c r="M848" s="180" t="s">
        <v>429</v>
      </c>
      <c r="N848" s="181" t="s">
        <v>430</v>
      </c>
      <c r="O848" s="182" t="s">
        <v>431</v>
      </c>
    </row>
    <row r="849" spans="1:15" ht="12">
      <c r="A849" s="148"/>
      <c r="B849" s="174" t="s">
        <v>1805</v>
      </c>
      <c r="C849" s="175" t="s">
        <v>1802</v>
      </c>
      <c r="D849" s="176" t="s">
        <v>428</v>
      </c>
      <c r="E849" s="177" t="s">
        <v>584</v>
      </c>
      <c r="F849" s="175">
        <f t="shared" si="39"/>
        <v>12</v>
      </c>
      <c r="G849" s="175" t="str">
        <f t="shared" si="40"/>
        <v>Washington</v>
      </c>
      <c r="H849" s="175" t="str">
        <f t="shared" si="41"/>
        <v>Washington, DC</v>
      </c>
      <c r="I849" s="178" t="s">
        <v>427</v>
      </c>
      <c r="J849" s="27" t="s">
        <v>428</v>
      </c>
      <c r="K849" s="27">
        <v>1549</v>
      </c>
      <c r="L849" s="179">
        <v>4047</v>
      </c>
      <c r="M849" s="180" t="s">
        <v>429</v>
      </c>
      <c r="N849" s="181" t="s">
        <v>430</v>
      </c>
      <c r="O849" s="182" t="s">
        <v>431</v>
      </c>
    </row>
    <row r="850" spans="1:15" ht="12">
      <c r="A850" s="148"/>
      <c r="B850" s="174" t="s">
        <v>1806</v>
      </c>
      <c r="C850" s="175" t="s">
        <v>1802</v>
      </c>
      <c r="D850" s="176" t="s">
        <v>428</v>
      </c>
      <c r="E850" s="177" t="s">
        <v>584</v>
      </c>
      <c r="F850" s="175">
        <f t="shared" si="39"/>
        <v>12</v>
      </c>
      <c r="G850" s="175" t="str">
        <f t="shared" si="40"/>
        <v>Washington</v>
      </c>
      <c r="H850" s="175" t="str">
        <f t="shared" si="41"/>
        <v>Washington, DC</v>
      </c>
      <c r="I850" s="178" t="s">
        <v>427</v>
      </c>
      <c r="J850" s="27" t="s">
        <v>428</v>
      </c>
      <c r="K850" s="27">
        <v>1549</v>
      </c>
      <c r="L850" s="179">
        <v>4047</v>
      </c>
      <c r="M850" s="180" t="s">
        <v>429</v>
      </c>
      <c r="N850" s="181" t="s">
        <v>430</v>
      </c>
      <c r="O850" s="182" t="s">
        <v>431</v>
      </c>
    </row>
    <row r="851" spans="1:15" ht="12">
      <c r="A851" s="148"/>
      <c r="B851" s="174" t="s">
        <v>1807</v>
      </c>
      <c r="C851" s="175" t="s">
        <v>1802</v>
      </c>
      <c r="D851" s="176" t="s">
        <v>428</v>
      </c>
      <c r="E851" s="177" t="s">
        <v>584</v>
      </c>
      <c r="F851" s="175">
        <f t="shared" si="39"/>
        <v>12</v>
      </c>
      <c r="G851" s="175" t="str">
        <f t="shared" si="40"/>
        <v>Washington</v>
      </c>
      <c r="H851" s="175" t="str">
        <f t="shared" si="41"/>
        <v>Washington, DC</v>
      </c>
      <c r="I851" s="178" t="s">
        <v>427</v>
      </c>
      <c r="J851" s="27" t="s">
        <v>428</v>
      </c>
      <c r="K851" s="27">
        <v>1549</v>
      </c>
      <c r="L851" s="179">
        <v>4047</v>
      </c>
      <c r="M851" s="180" t="s">
        <v>429</v>
      </c>
      <c r="N851" s="181" t="s">
        <v>430</v>
      </c>
      <c r="O851" s="182" t="s">
        <v>431</v>
      </c>
    </row>
    <row r="852" spans="1:15" ht="12">
      <c r="A852" s="148"/>
      <c r="B852" s="174" t="s">
        <v>1808</v>
      </c>
      <c r="C852" s="175" t="s">
        <v>2269</v>
      </c>
      <c r="D852" s="176" t="s">
        <v>2270</v>
      </c>
      <c r="E852" s="177" t="s">
        <v>584</v>
      </c>
      <c r="F852" s="175">
        <f t="shared" si="39"/>
        <v>12</v>
      </c>
      <c r="G852" s="175" t="str">
        <f t="shared" si="40"/>
        <v>Washington</v>
      </c>
      <c r="H852" s="175" t="str">
        <f t="shared" si="41"/>
        <v>Washington, IN</v>
      </c>
      <c r="I852" s="178" t="s">
        <v>1374</v>
      </c>
      <c r="J852" s="27" t="s">
        <v>2270</v>
      </c>
      <c r="K852" s="27">
        <v>1376</v>
      </c>
      <c r="L852" s="179">
        <v>4708</v>
      </c>
      <c r="M852" s="178" t="s">
        <v>1375</v>
      </c>
      <c r="N852" s="27" t="s">
        <v>2270</v>
      </c>
      <c r="O852" s="182" t="s">
        <v>1376</v>
      </c>
    </row>
    <row r="853" spans="1:15" ht="12">
      <c r="A853" s="148"/>
      <c r="B853" s="174" t="s">
        <v>1809</v>
      </c>
      <c r="C853" s="175" t="s">
        <v>440</v>
      </c>
      <c r="D853" s="176" t="s">
        <v>441</v>
      </c>
      <c r="E853" s="177" t="s">
        <v>584</v>
      </c>
      <c r="F853" s="175">
        <f t="shared" si="39"/>
        <v>12</v>
      </c>
      <c r="G853" s="175" t="str">
        <f t="shared" si="40"/>
        <v>Washington</v>
      </c>
      <c r="H853" s="175" t="str">
        <f t="shared" si="41"/>
        <v>Washington, PA</v>
      </c>
      <c r="I853" s="178" t="s">
        <v>455</v>
      </c>
      <c r="J853" s="27" t="s">
        <v>441</v>
      </c>
      <c r="K853" s="27">
        <v>654</v>
      </c>
      <c r="L853" s="179">
        <v>5968</v>
      </c>
      <c r="M853" s="180" t="s">
        <v>456</v>
      </c>
      <c r="N853" s="181" t="s">
        <v>441</v>
      </c>
      <c r="O853" s="182" t="s">
        <v>457</v>
      </c>
    </row>
    <row r="854" spans="1:15" ht="12">
      <c r="A854" s="148"/>
      <c r="B854" s="186" t="s">
        <v>1810</v>
      </c>
      <c r="C854" s="175" t="s">
        <v>680</v>
      </c>
      <c r="D854" s="176" t="s">
        <v>681</v>
      </c>
      <c r="E854" s="177" t="s">
        <v>1811</v>
      </c>
      <c r="F854" s="175">
        <f t="shared" si="39"/>
        <v>11</v>
      </c>
      <c r="G854" s="175" t="str">
        <f t="shared" si="40"/>
        <v>Waterbury</v>
      </c>
      <c r="H854" s="175" t="str">
        <f t="shared" si="41"/>
        <v>Waterbury, CT</v>
      </c>
      <c r="I854" s="178" t="s">
        <v>747</v>
      </c>
      <c r="J854" s="27" t="s">
        <v>681</v>
      </c>
      <c r="K854" s="27">
        <v>677</v>
      </c>
      <c r="L854" s="179">
        <v>6151</v>
      </c>
      <c r="M854" s="178" t="s">
        <v>744</v>
      </c>
      <c r="N854" s="27" t="s">
        <v>681</v>
      </c>
      <c r="O854" s="182" t="s">
        <v>745</v>
      </c>
    </row>
    <row r="855" spans="1:15" ht="12">
      <c r="A855" s="148"/>
      <c r="B855" s="174" t="s">
        <v>1812</v>
      </c>
      <c r="C855" s="175" t="s">
        <v>1322</v>
      </c>
      <c r="D855" s="176" t="s">
        <v>1323</v>
      </c>
      <c r="E855" s="177" t="s">
        <v>1813</v>
      </c>
      <c r="F855" s="175">
        <f t="shared" si="39"/>
        <v>10</v>
      </c>
      <c r="G855" s="175" t="str">
        <f t="shared" si="40"/>
        <v>Waterloo</v>
      </c>
      <c r="H855" s="175" t="str">
        <f t="shared" si="41"/>
        <v>Waterloo, IA</v>
      </c>
      <c r="I855" s="178" t="s">
        <v>2310</v>
      </c>
      <c r="J855" s="27" t="s">
        <v>1323</v>
      </c>
      <c r="K855" s="27">
        <v>702</v>
      </c>
      <c r="L855" s="179">
        <v>7406</v>
      </c>
      <c r="M855" s="180" t="s">
        <v>1326</v>
      </c>
      <c r="N855" s="181" t="s">
        <v>1323</v>
      </c>
      <c r="O855" s="182" t="s">
        <v>1327</v>
      </c>
    </row>
    <row r="856" spans="1:15" ht="12">
      <c r="A856" s="148"/>
      <c r="B856" s="174" t="s">
        <v>1814</v>
      </c>
      <c r="C856" s="175" t="s">
        <v>1322</v>
      </c>
      <c r="D856" s="176" t="s">
        <v>1323</v>
      </c>
      <c r="E856" s="177" t="s">
        <v>1813</v>
      </c>
      <c r="F856" s="175">
        <f t="shared" si="39"/>
        <v>10</v>
      </c>
      <c r="G856" s="175" t="str">
        <f t="shared" si="40"/>
        <v>Waterloo</v>
      </c>
      <c r="H856" s="175" t="str">
        <f t="shared" si="41"/>
        <v>Waterloo, IA</v>
      </c>
      <c r="I856" s="178" t="s">
        <v>2310</v>
      </c>
      <c r="J856" s="27" t="s">
        <v>1323</v>
      </c>
      <c r="K856" s="27">
        <v>702</v>
      </c>
      <c r="L856" s="179">
        <v>7406</v>
      </c>
      <c r="M856" s="180" t="s">
        <v>1326</v>
      </c>
      <c r="N856" s="181" t="s">
        <v>1323</v>
      </c>
      <c r="O856" s="182" t="s">
        <v>1327</v>
      </c>
    </row>
    <row r="857" spans="1:15" ht="12">
      <c r="A857" s="148"/>
      <c r="B857" s="174" t="s">
        <v>1815</v>
      </c>
      <c r="C857" s="175" t="s">
        <v>407</v>
      </c>
      <c r="D857" s="176" t="s">
        <v>408</v>
      </c>
      <c r="E857" s="177" t="s">
        <v>1816</v>
      </c>
      <c r="F857" s="175">
        <f t="shared" si="39"/>
        <v>11</v>
      </c>
      <c r="G857" s="175" t="str">
        <f t="shared" si="40"/>
        <v>Watertown</v>
      </c>
      <c r="H857" s="175" t="str">
        <f t="shared" si="41"/>
        <v>Watertown, NY</v>
      </c>
      <c r="I857" s="178" t="s">
        <v>95</v>
      </c>
      <c r="J857" s="27" t="s">
        <v>408</v>
      </c>
      <c r="K857" s="27">
        <v>438</v>
      </c>
      <c r="L857" s="179">
        <v>6834</v>
      </c>
      <c r="M857" s="180" t="s">
        <v>1035</v>
      </c>
      <c r="N857" s="181" t="s">
        <v>408</v>
      </c>
      <c r="O857" s="182" t="s">
        <v>1036</v>
      </c>
    </row>
    <row r="858" spans="1:15" ht="12">
      <c r="A858" s="148"/>
      <c r="B858" s="174" t="s">
        <v>1817</v>
      </c>
      <c r="C858" s="175" t="s">
        <v>246</v>
      </c>
      <c r="D858" s="176" t="s">
        <v>247</v>
      </c>
      <c r="E858" s="177" t="s">
        <v>1816</v>
      </c>
      <c r="F858" s="175">
        <f t="shared" si="39"/>
        <v>11</v>
      </c>
      <c r="G858" s="175" t="str">
        <f t="shared" si="40"/>
        <v>Watertown</v>
      </c>
      <c r="H858" s="175" t="str">
        <f t="shared" si="41"/>
        <v>Watertown, SD</v>
      </c>
      <c r="I858" s="178" t="s">
        <v>1705</v>
      </c>
      <c r="J858" s="27" t="s">
        <v>251</v>
      </c>
      <c r="K858" s="27">
        <v>537</v>
      </c>
      <c r="L858" s="179">
        <v>9254</v>
      </c>
      <c r="M858" s="180" t="s">
        <v>250</v>
      </c>
      <c r="N858" s="181" t="s">
        <v>251</v>
      </c>
      <c r="O858" s="182" t="s">
        <v>252</v>
      </c>
    </row>
    <row r="859" spans="1:15" ht="12">
      <c r="A859" s="148"/>
      <c r="B859" s="186" t="s">
        <v>1818</v>
      </c>
      <c r="C859" s="175" t="s">
        <v>1544</v>
      </c>
      <c r="D859" s="176" t="s">
        <v>1545</v>
      </c>
      <c r="E859" s="177" t="s">
        <v>1819</v>
      </c>
      <c r="F859" s="175">
        <f t="shared" si="39"/>
        <v>12</v>
      </c>
      <c r="G859" s="175" t="str">
        <f t="shared" si="40"/>
        <v>Waterville</v>
      </c>
      <c r="H859" s="175" t="str">
        <f t="shared" si="41"/>
        <v>Waterville, ME</v>
      </c>
      <c r="I859" s="178" t="s">
        <v>1547</v>
      </c>
      <c r="J859" s="27" t="s">
        <v>1545</v>
      </c>
      <c r="K859" s="27">
        <v>268</v>
      </c>
      <c r="L859" s="179">
        <v>7378</v>
      </c>
      <c r="M859" s="180" t="s">
        <v>1548</v>
      </c>
      <c r="N859" s="181" t="s">
        <v>1545</v>
      </c>
      <c r="O859" s="182" t="s">
        <v>1549</v>
      </c>
    </row>
    <row r="860" spans="1:15" ht="12">
      <c r="A860" s="148"/>
      <c r="B860" s="174" t="s">
        <v>1820</v>
      </c>
      <c r="C860" s="175" t="s">
        <v>42</v>
      </c>
      <c r="D860" s="176" t="s">
        <v>1691</v>
      </c>
      <c r="E860" s="177" t="s">
        <v>1821</v>
      </c>
      <c r="F860" s="175">
        <f t="shared" si="39"/>
        <v>8</v>
      </c>
      <c r="G860" s="175" t="str">
        <f t="shared" si="40"/>
        <v>Wausau</v>
      </c>
      <c r="H860" s="175" t="str">
        <f t="shared" si="41"/>
        <v>Wausau, WI</v>
      </c>
      <c r="I860" s="178" t="s">
        <v>2045</v>
      </c>
      <c r="J860" s="27" t="s">
        <v>1691</v>
      </c>
      <c r="K860" s="27">
        <v>381</v>
      </c>
      <c r="L860" s="179">
        <v>8089</v>
      </c>
      <c r="M860" s="180" t="s">
        <v>2046</v>
      </c>
      <c r="N860" s="181" t="s">
        <v>1691</v>
      </c>
      <c r="O860" s="182" t="s">
        <v>2047</v>
      </c>
    </row>
    <row r="861" spans="1:15" ht="12">
      <c r="A861" s="148"/>
      <c r="B861" s="174" t="s">
        <v>1822</v>
      </c>
      <c r="C861" s="175" t="s">
        <v>400</v>
      </c>
      <c r="D861" s="176" t="s">
        <v>401</v>
      </c>
      <c r="E861" s="177" t="s">
        <v>1823</v>
      </c>
      <c r="F861" s="175">
        <f t="shared" si="39"/>
        <v>10</v>
      </c>
      <c r="G861" s="175" t="str">
        <f t="shared" si="40"/>
        <v>Waycross</v>
      </c>
      <c r="H861" s="175" t="str">
        <f t="shared" si="41"/>
        <v>Waycross, GA</v>
      </c>
      <c r="I861" s="178" t="s">
        <v>1596</v>
      </c>
      <c r="J861" s="27" t="s">
        <v>401</v>
      </c>
      <c r="K861" s="27">
        <v>2365</v>
      </c>
      <c r="L861" s="179">
        <v>1847</v>
      </c>
      <c r="M861" s="180" t="s">
        <v>1597</v>
      </c>
      <c r="N861" s="181" t="s">
        <v>401</v>
      </c>
      <c r="O861" s="182" t="s">
        <v>1598</v>
      </c>
    </row>
    <row r="862" spans="1:15" ht="12">
      <c r="A862" s="148"/>
      <c r="B862" s="174" t="s">
        <v>1824</v>
      </c>
      <c r="C862" s="175" t="s">
        <v>1606</v>
      </c>
      <c r="D862" s="176" t="s">
        <v>1519</v>
      </c>
      <c r="E862" s="177" t="s">
        <v>1825</v>
      </c>
      <c r="F862" s="175">
        <f t="shared" si="39"/>
        <v>7</v>
      </c>
      <c r="G862" s="175" t="str">
        <f t="shared" si="40"/>
        <v>Welch</v>
      </c>
      <c r="H862" s="175" t="str">
        <f t="shared" si="41"/>
        <v>Welch, WV</v>
      </c>
      <c r="I862" s="178" t="s">
        <v>1308</v>
      </c>
      <c r="J862" s="27" t="s">
        <v>1519</v>
      </c>
      <c r="K862" s="27">
        <v>1031</v>
      </c>
      <c r="L862" s="179">
        <v>4646</v>
      </c>
      <c r="M862" s="180" t="s">
        <v>1520</v>
      </c>
      <c r="N862" s="181" t="s">
        <v>1519</v>
      </c>
      <c r="O862" s="182" t="s">
        <v>1521</v>
      </c>
    </row>
    <row r="863" spans="1:15" ht="12">
      <c r="A863" s="148"/>
      <c r="B863" s="174" t="s">
        <v>1826</v>
      </c>
      <c r="C863" s="175" t="s">
        <v>440</v>
      </c>
      <c r="D863" s="176" t="s">
        <v>441</v>
      </c>
      <c r="E863" s="177" t="s">
        <v>1827</v>
      </c>
      <c r="F863" s="175">
        <f t="shared" si="39"/>
        <v>11</v>
      </c>
      <c r="G863" s="175" t="str">
        <f t="shared" si="40"/>
        <v>Wellsboro</v>
      </c>
      <c r="H863" s="175" t="str">
        <f t="shared" si="41"/>
        <v>Wellsboro, PA</v>
      </c>
      <c r="I863" s="178" t="s">
        <v>1426</v>
      </c>
      <c r="J863" s="27" t="s">
        <v>408</v>
      </c>
      <c r="K863" s="27">
        <v>337</v>
      </c>
      <c r="L863" s="179">
        <v>7273</v>
      </c>
      <c r="M863" s="180" t="s">
        <v>1427</v>
      </c>
      <c r="N863" s="181" t="s">
        <v>441</v>
      </c>
      <c r="O863" s="182" t="s">
        <v>1428</v>
      </c>
    </row>
    <row r="864" spans="1:15" ht="12">
      <c r="A864" s="148"/>
      <c r="B864" s="174" t="s">
        <v>1828</v>
      </c>
      <c r="C864" s="175" t="s">
        <v>584</v>
      </c>
      <c r="D864" s="176" t="s">
        <v>1627</v>
      </c>
      <c r="E864" s="177" t="s">
        <v>1829</v>
      </c>
      <c r="F864" s="175">
        <f t="shared" si="39"/>
        <v>11</v>
      </c>
      <c r="G864" s="175" t="str">
        <f t="shared" si="40"/>
        <v>Wenatchee</v>
      </c>
      <c r="H864" s="175" t="str">
        <f t="shared" si="41"/>
        <v>Wenatchee, WA</v>
      </c>
      <c r="I864" s="178" t="s">
        <v>1830</v>
      </c>
      <c r="J864" s="27" t="s">
        <v>1627</v>
      </c>
      <c r="K864" s="27">
        <v>458</v>
      </c>
      <c r="L864" s="179">
        <v>5967</v>
      </c>
      <c r="M864" s="180" t="s">
        <v>1626</v>
      </c>
      <c r="N864" s="181" t="s">
        <v>1627</v>
      </c>
      <c r="O864" s="182" t="s">
        <v>1628</v>
      </c>
    </row>
    <row r="865" spans="1:15" ht="12">
      <c r="A865" s="148"/>
      <c r="B865" s="174" t="s">
        <v>1831</v>
      </c>
      <c r="C865" s="175" t="s">
        <v>1578</v>
      </c>
      <c r="D865" s="176" t="s">
        <v>1579</v>
      </c>
      <c r="E865" s="177" t="s">
        <v>1832</v>
      </c>
      <c r="F865" s="175">
        <f t="shared" si="39"/>
        <v>14</v>
      </c>
      <c r="G865" s="175" t="str">
        <f t="shared" si="40"/>
        <v>West Memphis</v>
      </c>
      <c r="H865" s="175" t="str">
        <f t="shared" si="41"/>
        <v>West Memphis, AR</v>
      </c>
      <c r="I865" s="178" t="s">
        <v>1581</v>
      </c>
      <c r="J865" s="27" t="s">
        <v>1579</v>
      </c>
      <c r="K865" s="27">
        <v>1916</v>
      </c>
      <c r="L865" s="179">
        <v>3228</v>
      </c>
      <c r="M865" s="178" t="s">
        <v>1582</v>
      </c>
      <c r="N865" s="27" t="s">
        <v>1579</v>
      </c>
      <c r="O865" s="182" t="s">
        <v>1583</v>
      </c>
    </row>
    <row r="866" spans="1:15" ht="12">
      <c r="A866" s="148"/>
      <c r="B866" s="174" t="s">
        <v>1833</v>
      </c>
      <c r="C866" s="175" t="s">
        <v>661</v>
      </c>
      <c r="D866" s="176" t="s">
        <v>662</v>
      </c>
      <c r="E866" s="177" t="s">
        <v>1834</v>
      </c>
      <c r="F866" s="175">
        <f t="shared" si="39"/>
        <v>17</v>
      </c>
      <c r="G866" s="175" t="str">
        <f t="shared" si="40"/>
        <v>West Palm Beach</v>
      </c>
      <c r="H866" s="175" t="str">
        <f t="shared" si="41"/>
        <v>West Palm Beach, FL</v>
      </c>
      <c r="I866" s="178" t="s">
        <v>1835</v>
      </c>
      <c r="J866" s="27" t="s">
        <v>662</v>
      </c>
      <c r="K866" s="27">
        <v>3891</v>
      </c>
      <c r="L866" s="179">
        <v>323</v>
      </c>
      <c r="M866" s="180" t="s">
        <v>1836</v>
      </c>
      <c r="N866" s="181" t="s">
        <v>662</v>
      </c>
      <c r="O866" s="182" t="s">
        <v>1837</v>
      </c>
    </row>
    <row r="867" spans="1:15" ht="12">
      <c r="A867" s="148"/>
      <c r="B867" s="174" t="s">
        <v>1838</v>
      </c>
      <c r="C867" s="175" t="s">
        <v>407</v>
      </c>
      <c r="D867" s="176" t="s">
        <v>408</v>
      </c>
      <c r="E867" s="177" t="s">
        <v>1839</v>
      </c>
      <c r="F867" s="175">
        <f t="shared" si="39"/>
        <v>13</v>
      </c>
      <c r="G867" s="175" t="str">
        <f t="shared" si="40"/>
        <v>Westchester</v>
      </c>
      <c r="H867" s="175" t="str">
        <f t="shared" si="41"/>
        <v>Westchester, NY</v>
      </c>
      <c r="I867" s="178" t="s">
        <v>683</v>
      </c>
      <c r="J867" s="27" t="s">
        <v>681</v>
      </c>
      <c r="K867" s="27">
        <v>724</v>
      </c>
      <c r="L867" s="179">
        <v>5537</v>
      </c>
      <c r="M867" s="178" t="s">
        <v>684</v>
      </c>
      <c r="N867" s="27" t="s">
        <v>681</v>
      </c>
      <c r="O867" s="182" t="s">
        <v>685</v>
      </c>
    </row>
    <row r="868" spans="1:15" ht="12">
      <c r="A868" s="148"/>
      <c r="B868" s="174" t="s">
        <v>1840</v>
      </c>
      <c r="C868" s="175" t="s">
        <v>1402</v>
      </c>
      <c r="D868" s="176" t="s">
        <v>1403</v>
      </c>
      <c r="E868" s="177" t="s">
        <v>1841</v>
      </c>
      <c r="F868" s="175">
        <f t="shared" si="39"/>
        <v>11</v>
      </c>
      <c r="G868" s="175" t="str">
        <f t="shared" si="40"/>
        <v>Wheatland</v>
      </c>
      <c r="H868" s="175" t="str">
        <f t="shared" si="41"/>
        <v>Wheatland, WY</v>
      </c>
      <c r="I868" s="178" t="s">
        <v>1842</v>
      </c>
      <c r="J868" s="27" t="s">
        <v>448</v>
      </c>
      <c r="K868" s="27">
        <v>713</v>
      </c>
      <c r="L868" s="179">
        <v>6729</v>
      </c>
      <c r="M868" s="180" t="s">
        <v>2355</v>
      </c>
      <c r="N868" s="181" t="s">
        <v>1403</v>
      </c>
      <c r="O868" s="182" t="s">
        <v>2356</v>
      </c>
    </row>
    <row r="869" spans="1:15" ht="12">
      <c r="A869" s="148"/>
      <c r="B869" s="174" t="s">
        <v>1843</v>
      </c>
      <c r="C869" s="175" t="s">
        <v>1606</v>
      </c>
      <c r="D869" s="176" t="s">
        <v>1519</v>
      </c>
      <c r="E869" s="177" t="s">
        <v>1844</v>
      </c>
      <c r="F869" s="175">
        <f t="shared" si="39"/>
        <v>10</v>
      </c>
      <c r="G869" s="175" t="str">
        <f t="shared" si="40"/>
        <v>Wheeling</v>
      </c>
      <c r="H869" s="175" t="str">
        <f t="shared" si="41"/>
        <v>Wheeling, WV</v>
      </c>
      <c r="I869" s="178" t="s">
        <v>455</v>
      </c>
      <c r="J869" s="27" t="s">
        <v>441</v>
      </c>
      <c r="K869" s="27">
        <v>654</v>
      </c>
      <c r="L869" s="179">
        <v>5968</v>
      </c>
      <c r="M869" s="180" t="s">
        <v>456</v>
      </c>
      <c r="N869" s="181" t="s">
        <v>441</v>
      </c>
      <c r="O869" s="182" t="s">
        <v>457</v>
      </c>
    </row>
    <row r="870" spans="1:15" ht="12">
      <c r="A870" s="148"/>
      <c r="B870" s="174" t="s">
        <v>1845</v>
      </c>
      <c r="C870" s="175" t="s">
        <v>407</v>
      </c>
      <c r="D870" s="176" t="s">
        <v>408</v>
      </c>
      <c r="E870" s="177" t="s">
        <v>1846</v>
      </c>
      <c r="F870" s="175">
        <f t="shared" si="39"/>
        <v>14</v>
      </c>
      <c r="G870" s="175" t="str">
        <f t="shared" si="40"/>
        <v>White Plains</v>
      </c>
      <c r="H870" s="175" t="str">
        <f t="shared" si="41"/>
        <v>White Plains, NY</v>
      </c>
      <c r="I870" s="178" t="s">
        <v>683</v>
      </c>
      <c r="J870" s="27" t="s">
        <v>681</v>
      </c>
      <c r="K870" s="27">
        <v>724</v>
      </c>
      <c r="L870" s="179">
        <v>5537</v>
      </c>
      <c r="M870" s="178" t="s">
        <v>684</v>
      </c>
      <c r="N870" s="27" t="s">
        <v>681</v>
      </c>
      <c r="O870" s="182" t="s">
        <v>685</v>
      </c>
    </row>
    <row r="871" spans="1:15" ht="12">
      <c r="A871" s="148"/>
      <c r="B871" s="186" t="s">
        <v>1847</v>
      </c>
      <c r="C871" s="175" t="s">
        <v>1611</v>
      </c>
      <c r="D871" s="176" t="s">
        <v>1612</v>
      </c>
      <c r="E871" s="177" t="s">
        <v>1848</v>
      </c>
      <c r="F871" s="175">
        <f t="shared" si="39"/>
        <v>22</v>
      </c>
      <c r="G871" s="175" t="str">
        <f t="shared" si="40"/>
        <v>White River Junction</v>
      </c>
      <c r="H871" s="175" t="str">
        <f t="shared" si="41"/>
        <v>White River Junction, VT</v>
      </c>
      <c r="I871" s="178" t="s">
        <v>1329</v>
      </c>
      <c r="J871" s="27" t="s">
        <v>1612</v>
      </c>
      <c r="K871" s="27">
        <v>388</v>
      </c>
      <c r="L871" s="179">
        <v>7771</v>
      </c>
      <c r="M871" s="180" t="s">
        <v>1330</v>
      </c>
      <c r="N871" s="181" t="s">
        <v>1612</v>
      </c>
      <c r="O871" s="182" t="s">
        <v>1331</v>
      </c>
    </row>
    <row r="872" spans="1:15" ht="12">
      <c r="A872" s="148"/>
      <c r="B872" s="174" t="s">
        <v>1849</v>
      </c>
      <c r="C872" s="175" t="s">
        <v>433</v>
      </c>
      <c r="D872" s="176" t="s">
        <v>434</v>
      </c>
      <c r="E872" s="177" t="s">
        <v>702</v>
      </c>
      <c r="F872" s="175">
        <f t="shared" si="39"/>
        <v>10</v>
      </c>
      <c r="G872" s="175" t="str">
        <f t="shared" si="40"/>
        <v>Whittier</v>
      </c>
      <c r="H872" s="175" t="str">
        <f t="shared" si="41"/>
        <v>Whittier, CA</v>
      </c>
      <c r="I872" s="178" t="s">
        <v>462</v>
      </c>
      <c r="J872" s="27" t="s">
        <v>434</v>
      </c>
      <c r="K872" s="27">
        <v>1201</v>
      </c>
      <c r="L872" s="179">
        <v>1430</v>
      </c>
      <c r="M872" s="178" t="s">
        <v>437</v>
      </c>
      <c r="N872" s="27" t="s">
        <v>434</v>
      </c>
      <c r="O872" s="182" t="s">
        <v>438</v>
      </c>
    </row>
    <row r="873" spans="1:15" ht="12">
      <c r="A873" s="148"/>
      <c r="B873" s="174" t="s">
        <v>703</v>
      </c>
      <c r="C873" s="175" t="s">
        <v>254</v>
      </c>
      <c r="D873" s="176" t="s">
        <v>255</v>
      </c>
      <c r="E873" s="177" t="s">
        <v>704</v>
      </c>
      <c r="F873" s="175">
        <f t="shared" si="39"/>
        <v>15</v>
      </c>
      <c r="G873" s="175" t="str">
        <f t="shared" si="40"/>
        <v>Wichita Falls</v>
      </c>
      <c r="H873" s="175" t="str">
        <f t="shared" si="41"/>
        <v>Wichita Falls, TX</v>
      </c>
      <c r="I873" s="178" t="s">
        <v>2099</v>
      </c>
      <c r="J873" s="27" t="s">
        <v>255</v>
      </c>
      <c r="K873" s="27">
        <v>2340</v>
      </c>
      <c r="L873" s="179">
        <v>3042</v>
      </c>
      <c r="M873" s="180" t="s">
        <v>2100</v>
      </c>
      <c r="N873" s="181" t="s">
        <v>255</v>
      </c>
      <c r="O873" s="182" t="s">
        <v>2101</v>
      </c>
    </row>
    <row r="874" spans="1:15" ht="12">
      <c r="A874" s="148"/>
      <c r="B874" s="174" t="s">
        <v>705</v>
      </c>
      <c r="C874" s="175" t="s">
        <v>1495</v>
      </c>
      <c r="D874" s="176" t="s">
        <v>1496</v>
      </c>
      <c r="E874" s="177" t="s">
        <v>706</v>
      </c>
      <c r="F874" s="175">
        <f t="shared" si="39"/>
        <v>9</v>
      </c>
      <c r="G874" s="175" t="str">
        <f t="shared" si="40"/>
        <v>Wichita</v>
      </c>
      <c r="H874" s="175" t="str">
        <f t="shared" si="41"/>
        <v>Wichita, KS</v>
      </c>
      <c r="I874" s="178" t="s">
        <v>1042</v>
      </c>
      <c r="J874" s="27" t="s">
        <v>1496</v>
      </c>
      <c r="K874" s="27">
        <v>1628</v>
      </c>
      <c r="L874" s="179">
        <v>4791</v>
      </c>
      <c r="M874" s="180" t="s">
        <v>1716</v>
      </c>
      <c r="N874" s="181" t="s">
        <v>1496</v>
      </c>
      <c r="O874" s="182" t="s">
        <v>1717</v>
      </c>
    </row>
    <row r="875" spans="1:15" ht="12">
      <c r="A875" s="148"/>
      <c r="B875" s="174" t="s">
        <v>707</v>
      </c>
      <c r="C875" s="175" t="s">
        <v>1495</v>
      </c>
      <c r="D875" s="176" t="s">
        <v>1496</v>
      </c>
      <c r="E875" s="177" t="s">
        <v>706</v>
      </c>
      <c r="F875" s="175">
        <f t="shared" si="39"/>
        <v>9</v>
      </c>
      <c r="G875" s="175" t="str">
        <f t="shared" si="40"/>
        <v>Wichita</v>
      </c>
      <c r="H875" s="175" t="str">
        <f t="shared" si="41"/>
        <v>Wichita, KS</v>
      </c>
      <c r="I875" s="178" t="s">
        <v>1042</v>
      </c>
      <c r="J875" s="27" t="s">
        <v>1496</v>
      </c>
      <c r="K875" s="27">
        <v>1628</v>
      </c>
      <c r="L875" s="179">
        <v>4791</v>
      </c>
      <c r="M875" s="180" t="s">
        <v>1716</v>
      </c>
      <c r="N875" s="181" t="s">
        <v>1496</v>
      </c>
      <c r="O875" s="182" t="s">
        <v>1717</v>
      </c>
    </row>
    <row r="876" spans="1:15" ht="12">
      <c r="A876" s="148"/>
      <c r="B876" s="174" t="s">
        <v>708</v>
      </c>
      <c r="C876" s="175" t="s">
        <v>1495</v>
      </c>
      <c r="D876" s="176" t="s">
        <v>1496</v>
      </c>
      <c r="E876" s="177" t="s">
        <v>706</v>
      </c>
      <c r="F876" s="175">
        <f t="shared" si="39"/>
        <v>9</v>
      </c>
      <c r="G876" s="175" t="str">
        <f t="shared" si="40"/>
        <v>Wichita</v>
      </c>
      <c r="H876" s="175" t="str">
        <f t="shared" si="41"/>
        <v>Wichita, KS</v>
      </c>
      <c r="I876" s="178" t="s">
        <v>1042</v>
      </c>
      <c r="J876" s="27" t="s">
        <v>1496</v>
      </c>
      <c r="K876" s="27">
        <v>1628</v>
      </c>
      <c r="L876" s="179">
        <v>4791</v>
      </c>
      <c r="M876" s="180" t="s">
        <v>1716</v>
      </c>
      <c r="N876" s="181" t="s">
        <v>1496</v>
      </c>
      <c r="O876" s="182" t="s">
        <v>1717</v>
      </c>
    </row>
    <row r="877" spans="1:15" ht="12">
      <c r="A877" s="148"/>
      <c r="B877" s="174" t="s">
        <v>709</v>
      </c>
      <c r="C877" s="175" t="s">
        <v>440</v>
      </c>
      <c r="D877" s="176" t="s">
        <v>441</v>
      </c>
      <c r="E877" s="177" t="s">
        <v>710</v>
      </c>
      <c r="F877" s="175">
        <f t="shared" si="39"/>
        <v>14</v>
      </c>
      <c r="G877" s="175" t="str">
        <f t="shared" si="40"/>
        <v>Wilkes-Barre</v>
      </c>
      <c r="H877" s="175" t="str">
        <f t="shared" si="41"/>
        <v>Wilkes-Barre, PA</v>
      </c>
      <c r="I877" s="178" t="s">
        <v>764</v>
      </c>
      <c r="J877" s="27" t="s">
        <v>441</v>
      </c>
      <c r="K877" s="27">
        <v>539</v>
      </c>
      <c r="L877" s="179">
        <v>6291</v>
      </c>
      <c r="M877" s="180" t="s">
        <v>1427</v>
      </c>
      <c r="N877" s="181" t="s">
        <v>441</v>
      </c>
      <c r="O877" s="182" t="s">
        <v>1428</v>
      </c>
    </row>
    <row r="878" spans="1:15" ht="12">
      <c r="A878" s="148"/>
      <c r="B878" s="174" t="s">
        <v>711</v>
      </c>
      <c r="C878" s="175" t="s">
        <v>440</v>
      </c>
      <c r="D878" s="176" t="s">
        <v>441</v>
      </c>
      <c r="E878" s="177" t="s">
        <v>710</v>
      </c>
      <c r="F878" s="175">
        <f t="shared" si="39"/>
        <v>14</v>
      </c>
      <c r="G878" s="175" t="str">
        <f t="shared" si="40"/>
        <v>Wilkes-Barre</v>
      </c>
      <c r="H878" s="175" t="str">
        <f t="shared" si="41"/>
        <v>Wilkes-Barre, PA</v>
      </c>
      <c r="I878" s="178" t="s">
        <v>764</v>
      </c>
      <c r="J878" s="27" t="s">
        <v>441</v>
      </c>
      <c r="K878" s="27">
        <v>539</v>
      </c>
      <c r="L878" s="179">
        <v>6291</v>
      </c>
      <c r="M878" s="180" t="s">
        <v>1427</v>
      </c>
      <c r="N878" s="181" t="s">
        <v>441</v>
      </c>
      <c r="O878" s="182" t="s">
        <v>1428</v>
      </c>
    </row>
    <row r="879" spans="1:15" ht="12">
      <c r="A879" s="148"/>
      <c r="B879" s="174" t="s">
        <v>712</v>
      </c>
      <c r="C879" s="175" t="s">
        <v>440</v>
      </c>
      <c r="D879" s="176" t="s">
        <v>441</v>
      </c>
      <c r="E879" s="177" t="s">
        <v>713</v>
      </c>
      <c r="F879" s="175">
        <f t="shared" si="39"/>
        <v>14</v>
      </c>
      <c r="G879" s="175" t="str">
        <f t="shared" si="40"/>
        <v>Williamsport</v>
      </c>
      <c r="H879" s="175" t="str">
        <f t="shared" si="41"/>
        <v>Williamsport, PA</v>
      </c>
      <c r="I879" s="178" t="s">
        <v>1732</v>
      </c>
      <c r="J879" s="27" t="s">
        <v>441</v>
      </c>
      <c r="K879" s="27">
        <v>622</v>
      </c>
      <c r="L879" s="179">
        <v>6087</v>
      </c>
      <c r="M879" s="180" t="s">
        <v>2316</v>
      </c>
      <c r="N879" s="181" t="s">
        <v>441</v>
      </c>
      <c r="O879" s="182" t="s">
        <v>2317</v>
      </c>
    </row>
    <row r="880" spans="1:15" ht="12">
      <c r="A880" s="148"/>
      <c r="B880" s="186" t="s">
        <v>714</v>
      </c>
      <c r="C880" s="175" t="s">
        <v>680</v>
      </c>
      <c r="D880" s="176" t="s">
        <v>681</v>
      </c>
      <c r="E880" s="177" t="s">
        <v>715</v>
      </c>
      <c r="F880" s="175">
        <f t="shared" si="39"/>
        <v>13</v>
      </c>
      <c r="G880" s="175" t="str">
        <f t="shared" si="40"/>
        <v>Willimantic</v>
      </c>
      <c r="H880" s="175" t="str">
        <f t="shared" si="41"/>
        <v>Willimantic, CT</v>
      </c>
      <c r="I880" s="178" t="s">
        <v>640</v>
      </c>
      <c r="J880" s="27" t="s">
        <v>2289</v>
      </c>
      <c r="K880" s="27">
        <v>333</v>
      </c>
      <c r="L880" s="179">
        <v>6979</v>
      </c>
      <c r="M880" s="178" t="s">
        <v>744</v>
      </c>
      <c r="N880" s="27" t="s">
        <v>681</v>
      </c>
      <c r="O880" s="182" t="s">
        <v>745</v>
      </c>
    </row>
    <row r="881" spans="1:15" ht="12">
      <c r="A881" s="148"/>
      <c r="B881" s="174" t="s">
        <v>716</v>
      </c>
      <c r="C881" s="175" t="s">
        <v>1434</v>
      </c>
      <c r="D881" s="176" t="s">
        <v>251</v>
      </c>
      <c r="E881" s="177" t="s">
        <v>717</v>
      </c>
      <c r="F881" s="175">
        <f t="shared" si="39"/>
        <v>11</v>
      </c>
      <c r="G881" s="175" t="str">
        <f t="shared" si="40"/>
        <v>Williston</v>
      </c>
      <c r="H881" s="175" t="str">
        <f t="shared" si="41"/>
        <v>Williston, ND</v>
      </c>
      <c r="I881" s="178" t="s">
        <v>177</v>
      </c>
      <c r="J881" s="27" t="s">
        <v>251</v>
      </c>
      <c r="K881" s="27">
        <v>548</v>
      </c>
      <c r="L881" s="179">
        <v>9090</v>
      </c>
      <c r="M881" s="180" t="s">
        <v>1633</v>
      </c>
      <c r="N881" s="181" t="s">
        <v>251</v>
      </c>
      <c r="O881" s="182" t="s">
        <v>1634</v>
      </c>
    </row>
    <row r="882" spans="1:15" ht="12">
      <c r="A882" s="148"/>
      <c r="B882" s="174" t="s">
        <v>718</v>
      </c>
      <c r="C882" s="175" t="s">
        <v>1615</v>
      </c>
      <c r="D882" s="176" t="s">
        <v>1616</v>
      </c>
      <c r="E882" s="177" t="s">
        <v>719</v>
      </c>
      <c r="F882" s="175">
        <f t="shared" si="39"/>
        <v>9</v>
      </c>
      <c r="G882" s="175" t="str">
        <f t="shared" si="40"/>
        <v>Willmar</v>
      </c>
      <c r="H882" s="175" t="str">
        <f t="shared" si="41"/>
        <v>Willmar, MN</v>
      </c>
      <c r="I882" s="178" t="s">
        <v>720</v>
      </c>
      <c r="J882" s="27" t="s">
        <v>247</v>
      </c>
      <c r="K882" s="27">
        <v>743</v>
      </c>
      <c r="L882" s="179">
        <v>7923</v>
      </c>
      <c r="M882" s="178" t="s">
        <v>675</v>
      </c>
      <c r="N882" s="27" t="s">
        <v>1616</v>
      </c>
      <c r="O882" s="182" t="s">
        <v>676</v>
      </c>
    </row>
    <row r="883" spans="1:15" ht="12">
      <c r="A883" s="148"/>
      <c r="B883" s="174" t="s">
        <v>721</v>
      </c>
      <c r="C883" s="175" t="s">
        <v>1724</v>
      </c>
      <c r="D883" s="176" t="s">
        <v>1725</v>
      </c>
      <c r="E883" s="177" t="s">
        <v>722</v>
      </c>
      <c r="F883" s="175">
        <f t="shared" si="39"/>
        <v>12</v>
      </c>
      <c r="G883" s="175" t="str">
        <f t="shared" si="40"/>
        <v>Wilmington</v>
      </c>
      <c r="H883" s="175" t="str">
        <f t="shared" si="41"/>
        <v>Wilmington, DE</v>
      </c>
      <c r="I883" s="178" t="s">
        <v>1028</v>
      </c>
      <c r="J883" s="27" t="s">
        <v>1725</v>
      </c>
      <c r="K883" s="27">
        <v>1046</v>
      </c>
      <c r="L883" s="179">
        <v>4937</v>
      </c>
      <c r="M883" s="180" t="s">
        <v>1029</v>
      </c>
      <c r="N883" s="181" t="s">
        <v>1725</v>
      </c>
      <c r="O883" s="182" t="s">
        <v>1030</v>
      </c>
    </row>
    <row r="884" spans="1:15" ht="12">
      <c r="A884" s="148"/>
      <c r="B884" s="174" t="s">
        <v>723</v>
      </c>
      <c r="C884" s="175" t="s">
        <v>1724</v>
      </c>
      <c r="D884" s="176" t="s">
        <v>1725</v>
      </c>
      <c r="E884" s="177" t="s">
        <v>722</v>
      </c>
      <c r="F884" s="175">
        <f t="shared" si="39"/>
        <v>12</v>
      </c>
      <c r="G884" s="175" t="str">
        <f t="shared" si="40"/>
        <v>Wilmington</v>
      </c>
      <c r="H884" s="175" t="str">
        <f t="shared" si="41"/>
        <v>Wilmington, DE</v>
      </c>
      <c r="I884" s="178" t="s">
        <v>1028</v>
      </c>
      <c r="J884" s="27" t="s">
        <v>1725</v>
      </c>
      <c r="K884" s="27">
        <v>1046</v>
      </c>
      <c r="L884" s="179">
        <v>4937</v>
      </c>
      <c r="M884" s="180" t="s">
        <v>1029</v>
      </c>
      <c r="N884" s="181" t="s">
        <v>1725</v>
      </c>
      <c r="O884" s="182" t="s">
        <v>1030</v>
      </c>
    </row>
    <row r="885" spans="1:15" ht="12">
      <c r="A885" s="148"/>
      <c r="B885" s="174" t="s">
        <v>724</v>
      </c>
      <c r="C885" s="175" t="s">
        <v>472</v>
      </c>
      <c r="D885" s="176" t="s">
        <v>473</v>
      </c>
      <c r="E885" s="177" t="s">
        <v>722</v>
      </c>
      <c r="F885" s="175">
        <f t="shared" si="39"/>
        <v>12</v>
      </c>
      <c r="G885" s="175" t="str">
        <f t="shared" si="40"/>
        <v>Wilmington</v>
      </c>
      <c r="H885" s="175" t="str">
        <f t="shared" si="41"/>
        <v>Wilmington, NC</v>
      </c>
      <c r="I885" s="178" t="s">
        <v>1933</v>
      </c>
      <c r="J885" s="27" t="s">
        <v>473</v>
      </c>
      <c r="K885" s="27">
        <v>1926</v>
      </c>
      <c r="L885" s="179">
        <v>2470</v>
      </c>
      <c r="M885" s="180" t="s">
        <v>2332</v>
      </c>
      <c r="N885" s="181" t="s">
        <v>473</v>
      </c>
      <c r="O885" s="182" t="s">
        <v>2333</v>
      </c>
    </row>
    <row r="886" spans="1:15" ht="12">
      <c r="A886" s="148"/>
      <c r="B886" s="174" t="s">
        <v>725</v>
      </c>
      <c r="C886" s="175" t="s">
        <v>425</v>
      </c>
      <c r="D886" s="176" t="s">
        <v>426</v>
      </c>
      <c r="E886" s="177" t="s">
        <v>726</v>
      </c>
      <c r="F886" s="175">
        <f t="shared" si="39"/>
        <v>12</v>
      </c>
      <c r="G886" s="175" t="str">
        <f t="shared" si="40"/>
        <v>Winchester</v>
      </c>
      <c r="H886" s="175" t="str">
        <f t="shared" si="41"/>
        <v>Winchester, VA</v>
      </c>
      <c r="I886" s="178" t="s">
        <v>1665</v>
      </c>
      <c r="J886" s="27" t="s">
        <v>428</v>
      </c>
      <c r="K886" s="27">
        <v>973</v>
      </c>
      <c r="L886" s="179">
        <v>5006</v>
      </c>
      <c r="M886" s="180" t="s">
        <v>429</v>
      </c>
      <c r="N886" s="181" t="s">
        <v>430</v>
      </c>
      <c r="O886" s="182" t="s">
        <v>431</v>
      </c>
    </row>
    <row r="887" spans="1:15" ht="12">
      <c r="A887" s="148"/>
      <c r="B887" s="174" t="s">
        <v>727</v>
      </c>
      <c r="C887" s="175" t="s">
        <v>1615</v>
      </c>
      <c r="D887" s="176" t="s">
        <v>1616</v>
      </c>
      <c r="E887" s="177" t="s">
        <v>728</v>
      </c>
      <c r="F887" s="175">
        <f t="shared" si="39"/>
        <v>8</v>
      </c>
      <c r="G887" s="175" t="str">
        <f t="shared" si="40"/>
        <v>Windom</v>
      </c>
      <c r="H887" s="175" t="str">
        <f t="shared" si="41"/>
        <v>Windom, MN</v>
      </c>
      <c r="I887" s="178" t="s">
        <v>1279</v>
      </c>
      <c r="J887" s="27" t="s">
        <v>247</v>
      </c>
      <c r="K887" s="27">
        <v>744</v>
      </c>
      <c r="L887" s="179">
        <v>7809</v>
      </c>
      <c r="M887" s="180" t="s">
        <v>1280</v>
      </c>
      <c r="N887" s="181" t="s">
        <v>247</v>
      </c>
      <c r="O887" s="182" t="s">
        <v>1281</v>
      </c>
    </row>
    <row r="888" spans="1:15" ht="12">
      <c r="A888" s="148"/>
      <c r="B888" s="174" t="s">
        <v>729</v>
      </c>
      <c r="C888" s="175" t="s">
        <v>1300</v>
      </c>
      <c r="D888" s="176" t="s">
        <v>1301</v>
      </c>
      <c r="E888" s="177" t="s">
        <v>730</v>
      </c>
      <c r="F888" s="175">
        <f t="shared" si="39"/>
        <v>13</v>
      </c>
      <c r="G888" s="175" t="str">
        <f t="shared" si="40"/>
        <v>Window Rock</v>
      </c>
      <c r="H888" s="175" t="str">
        <f t="shared" si="41"/>
        <v>Window Rock, AZ</v>
      </c>
      <c r="I888" s="178" t="s">
        <v>1919</v>
      </c>
      <c r="J888" s="27" t="s">
        <v>1301</v>
      </c>
      <c r="K888" s="27">
        <v>145</v>
      </c>
      <c r="L888" s="179">
        <v>7131</v>
      </c>
      <c r="M888" s="178" t="s">
        <v>1920</v>
      </c>
      <c r="N888" s="27" t="s">
        <v>1301</v>
      </c>
      <c r="O888" s="182" t="s">
        <v>1921</v>
      </c>
    </row>
    <row r="889" spans="1:15" ht="12">
      <c r="A889" s="148"/>
      <c r="B889" s="174" t="s">
        <v>731</v>
      </c>
      <c r="C889" s="175" t="s">
        <v>472</v>
      </c>
      <c r="D889" s="176" t="s">
        <v>473</v>
      </c>
      <c r="E889" s="177" t="s">
        <v>732</v>
      </c>
      <c r="F889" s="175">
        <f t="shared" si="39"/>
        <v>15</v>
      </c>
      <c r="G889" s="175" t="str">
        <f t="shared" si="40"/>
        <v>Winston-Salem</v>
      </c>
      <c r="H889" s="175" t="str">
        <f t="shared" si="41"/>
        <v>Winston-Salem, NC</v>
      </c>
      <c r="I889" s="178" t="s">
        <v>2054</v>
      </c>
      <c r="J889" s="27" t="s">
        <v>473</v>
      </c>
      <c r="K889" s="27">
        <v>1253</v>
      </c>
      <c r="L889" s="179">
        <v>3865</v>
      </c>
      <c r="M889" s="180" t="s">
        <v>2055</v>
      </c>
      <c r="N889" s="181" t="s">
        <v>473</v>
      </c>
      <c r="O889" s="182" t="s">
        <v>2056</v>
      </c>
    </row>
    <row r="890" spans="1:15" ht="12">
      <c r="A890" s="148"/>
      <c r="B890" s="174" t="s">
        <v>733</v>
      </c>
      <c r="C890" s="175" t="s">
        <v>472</v>
      </c>
      <c r="D890" s="176" t="s">
        <v>473</v>
      </c>
      <c r="E890" s="177" t="s">
        <v>732</v>
      </c>
      <c r="F890" s="175">
        <f t="shared" si="39"/>
        <v>15</v>
      </c>
      <c r="G890" s="175" t="str">
        <f t="shared" si="40"/>
        <v>Winston-Salem</v>
      </c>
      <c r="H890" s="175" t="str">
        <f t="shared" si="41"/>
        <v>Winston-Salem, NC</v>
      </c>
      <c r="I890" s="178" t="s">
        <v>2054</v>
      </c>
      <c r="J890" s="27" t="s">
        <v>473</v>
      </c>
      <c r="K890" s="27">
        <v>1253</v>
      </c>
      <c r="L890" s="179">
        <v>3865</v>
      </c>
      <c r="M890" s="180" t="s">
        <v>2055</v>
      </c>
      <c r="N890" s="181" t="s">
        <v>473</v>
      </c>
      <c r="O890" s="182" t="s">
        <v>2056</v>
      </c>
    </row>
    <row r="891" spans="1:15" ht="12">
      <c r="A891" s="148"/>
      <c r="B891" s="186" t="s">
        <v>734</v>
      </c>
      <c r="C891" s="175" t="s">
        <v>2288</v>
      </c>
      <c r="D891" s="176" t="s">
        <v>2289</v>
      </c>
      <c r="E891" s="177" t="s">
        <v>735</v>
      </c>
      <c r="F891" s="175">
        <f t="shared" si="39"/>
        <v>8</v>
      </c>
      <c r="G891" s="175" t="str">
        <f t="shared" si="40"/>
        <v>Woburn</v>
      </c>
      <c r="H891" s="175" t="str">
        <f t="shared" si="41"/>
        <v>Woburn, MA</v>
      </c>
      <c r="I891" s="178" t="s">
        <v>640</v>
      </c>
      <c r="J891" s="27" t="s">
        <v>2289</v>
      </c>
      <c r="K891" s="27">
        <v>333</v>
      </c>
      <c r="L891" s="179">
        <v>6979</v>
      </c>
      <c r="M891" s="180" t="s">
        <v>641</v>
      </c>
      <c r="N891" s="181" t="s">
        <v>2289</v>
      </c>
      <c r="O891" s="182" t="s">
        <v>642</v>
      </c>
    </row>
    <row r="892" spans="1:15" ht="12">
      <c r="A892" s="148"/>
      <c r="B892" s="174" t="s">
        <v>736</v>
      </c>
      <c r="C892" s="175" t="s">
        <v>1415</v>
      </c>
      <c r="D892" s="176" t="s">
        <v>1416</v>
      </c>
      <c r="E892" s="177" t="s">
        <v>737</v>
      </c>
      <c r="F892" s="175">
        <f t="shared" si="39"/>
        <v>12</v>
      </c>
      <c r="G892" s="175" t="str">
        <f t="shared" si="40"/>
        <v>Wolf Point</v>
      </c>
      <c r="H892" s="175" t="str">
        <f t="shared" si="41"/>
        <v>Wolf Point, MT</v>
      </c>
      <c r="I892" s="178" t="s">
        <v>161</v>
      </c>
      <c r="J892" s="27" t="s">
        <v>1416</v>
      </c>
      <c r="K892" s="27">
        <v>558</v>
      </c>
      <c r="L892" s="179">
        <v>8745</v>
      </c>
      <c r="M892" s="180" t="s">
        <v>2037</v>
      </c>
      <c r="N892" s="181" t="s">
        <v>1416</v>
      </c>
      <c r="O892" s="182" t="s">
        <v>2038</v>
      </c>
    </row>
    <row r="893" spans="1:15" ht="12">
      <c r="A893" s="148"/>
      <c r="B893" s="174" t="s">
        <v>738</v>
      </c>
      <c r="C893" s="175" t="s">
        <v>500</v>
      </c>
      <c r="D893" s="176" t="s">
        <v>501</v>
      </c>
      <c r="E893" s="177" t="s">
        <v>739</v>
      </c>
      <c r="F893" s="175">
        <f t="shared" si="39"/>
        <v>10</v>
      </c>
      <c r="G893" s="175" t="str">
        <f t="shared" si="40"/>
        <v>Woodward</v>
      </c>
      <c r="H893" s="175" t="str">
        <f t="shared" si="41"/>
        <v>Woodward, OK</v>
      </c>
      <c r="I893" s="178" t="s">
        <v>270</v>
      </c>
      <c r="J893" s="27" t="s">
        <v>255</v>
      </c>
      <c r="K893" s="27">
        <v>1354</v>
      </c>
      <c r="L893" s="179">
        <v>4258</v>
      </c>
      <c r="M893" s="180" t="s">
        <v>271</v>
      </c>
      <c r="N893" s="181" t="s">
        <v>255</v>
      </c>
      <c r="O893" s="182" t="s">
        <v>272</v>
      </c>
    </row>
    <row r="894" spans="1:15" ht="12">
      <c r="A894" s="148"/>
      <c r="B894" s="186" t="s">
        <v>740</v>
      </c>
      <c r="C894" s="175" t="s">
        <v>2288</v>
      </c>
      <c r="D894" s="176" t="s">
        <v>2289</v>
      </c>
      <c r="E894" s="177" t="s">
        <v>741</v>
      </c>
      <c r="F894" s="175">
        <f t="shared" si="39"/>
        <v>11</v>
      </c>
      <c r="G894" s="175" t="str">
        <f t="shared" si="40"/>
        <v>Worcester</v>
      </c>
      <c r="H894" s="175" t="str">
        <f t="shared" si="41"/>
        <v>Worcester, MA</v>
      </c>
      <c r="I894" s="178" t="s">
        <v>640</v>
      </c>
      <c r="J894" s="27" t="s">
        <v>2289</v>
      </c>
      <c r="K894" s="27">
        <v>333</v>
      </c>
      <c r="L894" s="179">
        <v>6979</v>
      </c>
      <c r="M894" s="180" t="s">
        <v>641</v>
      </c>
      <c r="N894" s="181" t="s">
        <v>2289</v>
      </c>
      <c r="O894" s="182" t="s">
        <v>642</v>
      </c>
    </row>
    <row r="895" spans="1:15" ht="12">
      <c r="A895" s="148"/>
      <c r="B895" s="186" t="s">
        <v>742</v>
      </c>
      <c r="C895" s="175" t="s">
        <v>2288</v>
      </c>
      <c r="D895" s="176" t="s">
        <v>2289</v>
      </c>
      <c r="E895" s="177" t="s">
        <v>741</v>
      </c>
      <c r="F895" s="175">
        <f t="shared" si="39"/>
        <v>11</v>
      </c>
      <c r="G895" s="175" t="str">
        <f t="shared" si="40"/>
        <v>Worcester</v>
      </c>
      <c r="H895" s="175" t="str">
        <f t="shared" si="41"/>
        <v>Worcester, MA</v>
      </c>
      <c r="I895" s="178" t="s">
        <v>640</v>
      </c>
      <c r="J895" s="27" t="s">
        <v>2289</v>
      </c>
      <c r="K895" s="27">
        <v>333</v>
      </c>
      <c r="L895" s="179">
        <v>6979</v>
      </c>
      <c r="M895" s="180" t="s">
        <v>641</v>
      </c>
      <c r="N895" s="181" t="s">
        <v>2289</v>
      </c>
      <c r="O895" s="182" t="s">
        <v>642</v>
      </c>
    </row>
    <row r="896" spans="1:15" ht="12">
      <c r="A896" s="148"/>
      <c r="B896" s="186" t="s">
        <v>743</v>
      </c>
      <c r="C896" s="175" t="s">
        <v>2288</v>
      </c>
      <c r="D896" s="176" t="s">
        <v>2289</v>
      </c>
      <c r="E896" s="177" t="s">
        <v>741</v>
      </c>
      <c r="F896" s="175">
        <f t="shared" si="39"/>
        <v>11</v>
      </c>
      <c r="G896" s="175" t="str">
        <f t="shared" si="40"/>
        <v>Worcester</v>
      </c>
      <c r="H896" s="175" t="str">
        <f t="shared" si="41"/>
        <v>Worcester, MA</v>
      </c>
      <c r="I896" s="178" t="s">
        <v>640</v>
      </c>
      <c r="J896" s="27" t="s">
        <v>2289</v>
      </c>
      <c r="K896" s="27">
        <v>333</v>
      </c>
      <c r="L896" s="179">
        <v>6979</v>
      </c>
      <c r="M896" s="180" t="s">
        <v>641</v>
      </c>
      <c r="N896" s="181" t="s">
        <v>2289</v>
      </c>
      <c r="O896" s="182" t="s">
        <v>642</v>
      </c>
    </row>
    <row r="897" spans="1:15" ht="12">
      <c r="A897" s="148"/>
      <c r="B897" s="174" t="s">
        <v>1850</v>
      </c>
      <c r="C897" s="175" t="s">
        <v>1402</v>
      </c>
      <c r="D897" s="176" t="s">
        <v>1403</v>
      </c>
      <c r="E897" s="177" t="s">
        <v>1851</v>
      </c>
      <c r="F897" s="175">
        <f t="shared" si="39"/>
        <v>9</v>
      </c>
      <c r="G897" s="175" t="str">
        <f t="shared" si="40"/>
        <v>Worland</v>
      </c>
      <c r="H897" s="175" t="str">
        <f t="shared" si="41"/>
        <v>Worland, WY</v>
      </c>
      <c r="I897" s="178" t="s">
        <v>103</v>
      </c>
      <c r="J897" s="27" t="s">
        <v>1403</v>
      </c>
      <c r="K897" s="27">
        <v>479</v>
      </c>
      <c r="L897" s="179">
        <v>7889</v>
      </c>
      <c r="M897" s="180" t="s">
        <v>1406</v>
      </c>
      <c r="N897" s="181" t="s">
        <v>1403</v>
      </c>
      <c r="O897" s="182" t="s">
        <v>2304</v>
      </c>
    </row>
    <row r="898" spans="1:15" ht="12">
      <c r="A898" s="148"/>
      <c r="B898" s="174" t="s">
        <v>1852</v>
      </c>
      <c r="C898" s="175" t="s">
        <v>584</v>
      </c>
      <c r="D898" s="176" t="s">
        <v>1627</v>
      </c>
      <c r="E898" s="177" t="s">
        <v>1853</v>
      </c>
      <c r="F898" s="175">
        <f t="shared" si="39"/>
        <v>8</v>
      </c>
      <c r="G898" s="175" t="str">
        <f t="shared" si="40"/>
        <v>Yakima</v>
      </c>
      <c r="H898" s="175" t="str">
        <f t="shared" si="41"/>
        <v>Yakima, WA</v>
      </c>
      <c r="I898" s="178" t="s">
        <v>1830</v>
      </c>
      <c r="J898" s="27" t="s">
        <v>1627</v>
      </c>
      <c r="K898" s="27">
        <v>458</v>
      </c>
      <c r="L898" s="179">
        <v>5967</v>
      </c>
      <c r="M898" s="180" t="s">
        <v>1626</v>
      </c>
      <c r="N898" s="181" t="s">
        <v>1627</v>
      </c>
      <c r="O898" s="182" t="s">
        <v>1628</v>
      </c>
    </row>
    <row r="899" spans="1:15" ht="12">
      <c r="A899" s="148"/>
      <c r="B899" s="174" t="s">
        <v>1854</v>
      </c>
      <c r="C899" s="175" t="s">
        <v>1402</v>
      </c>
      <c r="D899" s="176" t="s">
        <v>1403</v>
      </c>
      <c r="E899" s="177" t="s">
        <v>1855</v>
      </c>
      <c r="F899" s="175">
        <f t="shared" si="39"/>
        <v>20</v>
      </c>
      <c r="G899" s="175" t="str">
        <f t="shared" si="40"/>
        <v>Yellowstone Nat Pk</v>
      </c>
      <c r="H899" s="175" t="str">
        <f t="shared" si="41"/>
        <v>Yellowstone Nat Pk, WY</v>
      </c>
      <c r="I899" s="178" t="s">
        <v>767</v>
      </c>
      <c r="J899" s="27" t="s">
        <v>1416</v>
      </c>
      <c r="K899" s="27">
        <v>386</v>
      </c>
      <c r="L899" s="179">
        <v>8031</v>
      </c>
      <c r="M899" s="180" t="s">
        <v>1345</v>
      </c>
      <c r="N899" s="181" t="s">
        <v>1416</v>
      </c>
      <c r="O899" s="182" t="s">
        <v>1346</v>
      </c>
    </row>
    <row r="900" spans="1:15" ht="12">
      <c r="A900" s="148"/>
      <c r="B900" s="174" t="s">
        <v>1856</v>
      </c>
      <c r="C900" s="175" t="s">
        <v>407</v>
      </c>
      <c r="D900" s="176" t="s">
        <v>408</v>
      </c>
      <c r="E900" s="177" t="s">
        <v>1857</v>
      </c>
      <c r="F900" s="175">
        <f t="shared" si="39"/>
        <v>9</v>
      </c>
      <c r="G900" s="175" t="str">
        <f t="shared" si="40"/>
        <v>Yonkers</v>
      </c>
      <c r="H900" s="175" t="str">
        <f t="shared" si="41"/>
        <v>Yonkers, NY</v>
      </c>
      <c r="I900" s="178" t="s">
        <v>2265</v>
      </c>
      <c r="J900" s="27" t="s">
        <v>408</v>
      </c>
      <c r="K900" s="27">
        <v>1052</v>
      </c>
      <c r="L900" s="179">
        <v>4910</v>
      </c>
      <c r="M900" s="180" t="s">
        <v>2266</v>
      </c>
      <c r="N900" s="181" t="s">
        <v>408</v>
      </c>
      <c r="O900" s="182" t="s">
        <v>1287</v>
      </c>
    </row>
    <row r="901" spans="1:15" ht="12">
      <c r="A901" s="148"/>
      <c r="B901" s="174" t="s">
        <v>1858</v>
      </c>
      <c r="C901" s="175" t="s">
        <v>440</v>
      </c>
      <c r="D901" s="176" t="s">
        <v>441</v>
      </c>
      <c r="E901" s="177" t="s">
        <v>1859</v>
      </c>
      <c r="F901" s="175">
        <f t="shared" si="39"/>
        <v>6</v>
      </c>
      <c r="G901" s="175" t="str">
        <f t="shared" si="40"/>
        <v>York</v>
      </c>
      <c r="H901" s="175" t="str">
        <f t="shared" si="41"/>
        <v>York, PA</v>
      </c>
      <c r="I901" s="178" t="s">
        <v>2315</v>
      </c>
      <c r="J901" s="27" t="s">
        <v>441</v>
      </c>
      <c r="K901" s="27">
        <v>962</v>
      </c>
      <c r="L901" s="179">
        <v>5347</v>
      </c>
      <c r="M901" s="180" t="s">
        <v>2316</v>
      </c>
      <c r="N901" s="181" t="s">
        <v>441</v>
      </c>
      <c r="O901" s="182" t="s">
        <v>2317</v>
      </c>
    </row>
    <row r="902" spans="1:15" ht="12">
      <c r="A902" s="148"/>
      <c r="B902" s="174" t="s">
        <v>1860</v>
      </c>
      <c r="C902" s="175" t="s">
        <v>440</v>
      </c>
      <c r="D902" s="176" t="s">
        <v>441</v>
      </c>
      <c r="E902" s="177" t="s">
        <v>1859</v>
      </c>
      <c r="F902" s="175">
        <f>LEN(E902)</f>
        <v>6</v>
      </c>
      <c r="G902" s="175" t="str">
        <f>MID(E902,2,F902-2)</f>
        <v>York</v>
      </c>
      <c r="H902" s="175" t="str">
        <f>CONCATENATE(G902,", ",+D902)</f>
        <v>York, PA</v>
      </c>
      <c r="I902" s="178" t="s">
        <v>2315</v>
      </c>
      <c r="J902" s="27" t="s">
        <v>441</v>
      </c>
      <c r="K902" s="27">
        <v>962</v>
      </c>
      <c r="L902" s="179">
        <v>5347</v>
      </c>
      <c r="M902" s="180" t="s">
        <v>2316</v>
      </c>
      <c r="N902" s="181" t="s">
        <v>441</v>
      </c>
      <c r="O902" s="182" t="s">
        <v>2317</v>
      </c>
    </row>
    <row r="903" spans="1:15" ht="12">
      <c r="A903" s="148"/>
      <c r="B903" s="174" t="s">
        <v>1861</v>
      </c>
      <c r="C903" s="175" t="s">
        <v>385</v>
      </c>
      <c r="D903" s="176" t="s">
        <v>386</v>
      </c>
      <c r="E903" s="177" t="s">
        <v>1862</v>
      </c>
      <c r="F903" s="175">
        <f>LEN(E903)</f>
        <v>12</v>
      </c>
      <c r="G903" s="175" t="str">
        <f>MID(E903,2,F903-2)</f>
        <v>Youngstown</v>
      </c>
      <c r="H903" s="175" t="str">
        <f>CONCATENATE(G903,", ",+D903)</f>
        <v>Youngstown, OH</v>
      </c>
      <c r="I903" s="178" t="s">
        <v>1339</v>
      </c>
      <c r="J903" s="27" t="s">
        <v>386</v>
      </c>
      <c r="K903" s="27">
        <v>497</v>
      </c>
      <c r="L903" s="179">
        <v>6544</v>
      </c>
      <c r="M903" s="180" t="s">
        <v>1340</v>
      </c>
      <c r="N903" s="181" t="s">
        <v>386</v>
      </c>
      <c r="O903" s="182" t="s">
        <v>1341</v>
      </c>
    </row>
    <row r="904" spans="1:15" ht="12">
      <c r="A904" s="148"/>
      <c r="B904" s="174" t="s">
        <v>1863</v>
      </c>
      <c r="C904" s="175" t="s">
        <v>385</v>
      </c>
      <c r="D904" s="176" t="s">
        <v>386</v>
      </c>
      <c r="E904" s="177" t="s">
        <v>1862</v>
      </c>
      <c r="F904" s="175">
        <f>LEN(E904)</f>
        <v>12</v>
      </c>
      <c r="G904" s="175" t="str">
        <f>MID(E904,2,F904-2)</f>
        <v>Youngstown</v>
      </c>
      <c r="H904" s="175" t="str">
        <f>CONCATENATE(G904,", ",+D904)</f>
        <v>Youngstown, OH</v>
      </c>
      <c r="I904" s="178" t="s">
        <v>1339</v>
      </c>
      <c r="J904" s="27" t="s">
        <v>386</v>
      </c>
      <c r="K904" s="27">
        <v>497</v>
      </c>
      <c r="L904" s="179">
        <v>6544</v>
      </c>
      <c r="M904" s="180" t="s">
        <v>1340</v>
      </c>
      <c r="N904" s="181" t="s">
        <v>386</v>
      </c>
      <c r="O904" s="182" t="s">
        <v>1341</v>
      </c>
    </row>
    <row r="905" spans="1:15" ht="12">
      <c r="A905" s="148"/>
      <c r="B905" s="174" t="s">
        <v>1864</v>
      </c>
      <c r="C905" s="175" t="s">
        <v>385</v>
      </c>
      <c r="D905" s="176" t="s">
        <v>386</v>
      </c>
      <c r="E905" s="177" t="s">
        <v>1865</v>
      </c>
      <c r="F905" s="175">
        <f>LEN(E905)</f>
        <v>12</v>
      </c>
      <c r="G905" s="175" t="str">
        <f>MID(E905,2,F905-2)</f>
        <v>Zanesville</v>
      </c>
      <c r="H905" s="175" t="str">
        <f>CONCATENATE(G905,", ",+D905)</f>
        <v>Zanesville, OH</v>
      </c>
      <c r="I905" s="178" t="s">
        <v>455</v>
      </c>
      <c r="J905" s="27" t="s">
        <v>441</v>
      </c>
      <c r="K905" s="27">
        <v>654</v>
      </c>
      <c r="L905" s="179">
        <v>5968</v>
      </c>
      <c r="M905" s="180" t="s">
        <v>456</v>
      </c>
      <c r="N905" s="181" t="s">
        <v>441</v>
      </c>
      <c r="O905" s="182" t="s">
        <v>457</v>
      </c>
    </row>
    <row r="906" spans="1:15" ht="12">
      <c r="A906" s="148"/>
      <c r="B906" s="174" t="s">
        <v>1866</v>
      </c>
      <c r="C906" s="175" t="s">
        <v>385</v>
      </c>
      <c r="D906" s="176" t="s">
        <v>386</v>
      </c>
      <c r="E906" s="177" t="s">
        <v>1865</v>
      </c>
      <c r="F906" s="175">
        <f>LEN(E906)</f>
        <v>12</v>
      </c>
      <c r="G906" s="175" t="str">
        <f>MID(E906,2,F906-2)</f>
        <v>Zanesville</v>
      </c>
      <c r="H906" s="175" t="str">
        <f>CONCATENATE(G906,", ",+D906)</f>
        <v>Zanesville, OH</v>
      </c>
      <c r="I906" s="178" t="s">
        <v>1528</v>
      </c>
      <c r="J906" s="27" t="s">
        <v>386</v>
      </c>
      <c r="K906" s="27">
        <v>797</v>
      </c>
      <c r="L906" s="179">
        <v>5708</v>
      </c>
      <c r="M906" s="180" t="s">
        <v>404</v>
      </c>
      <c r="N906" s="181" t="s">
        <v>386</v>
      </c>
      <c r="O906" s="182" t="s">
        <v>1529</v>
      </c>
    </row>
    <row r="907" spans="1:15" ht="12">
      <c r="A907" s="148"/>
      <c r="B907" s="189"/>
      <c r="C907" s="190"/>
      <c r="D907" s="181"/>
      <c r="E907" s="191"/>
      <c r="F907" s="190"/>
      <c r="G907" s="190"/>
      <c r="H907" s="190"/>
      <c r="I907" s="192"/>
      <c r="J907" s="190"/>
      <c r="K907" s="190"/>
      <c r="L907" s="191"/>
      <c r="M907" s="192"/>
      <c r="N907" s="190"/>
      <c r="O907" s="191"/>
    </row>
    <row r="908" spans="1:15" ht="12">
      <c r="A908" s="148"/>
      <c r="B908" s="189"/>
      <c r="C908" s="190"/>
      <c r="D908" s="181"/>
      <c r="E908" s="191"/>
      <c r="F908" s="190"/>
      <c r="G908" s="190"/>
      <c r="H908" s="190"/>
      <c r="I908" s="192"/>
      <c r="J908" s="190"/>
      <c r="K908" s="190"/>
      <c r="L908" s="191"/>
      <c r="M908" s="192"/>
      <c r="N908" s="190"/>
      <c r="O908" s="191"/>
    </row>
    <row r="909" spans="1:15" thickBot="1">
      <c r="A909" s="148"/>
      <c r="B909" s="193"/>
      <c r="C909" s="194"/>
      <c r="D909" s="195"/>
      <c r="E909" s="196"/>
      <c r="F909" s="194"/>
      <c r="G909" s="194"/>
      <c r="H909" s="194"/>
      <c r="I909" s="197"/>
      <c r="J909" s="194"/>
      <c r="K909" s="194"/>
      <c r="L909" s="196"/>
      <c r="M909" s="197"/>
      <c r="N909" s="194"/>
      <c r="O909" s="196"/>
    </row>
    <row r="910" spans="1:15" ht="21" thickBot="1">
      <c r="A910" s="148"/>
      <c r="B910" s="2324" t="s">
        <v>1867</v>
      </c>
      <c r="C910" s="2325"/>
      <c r="D910" s="2325"/>
      <c r="E910" s="2326"/>
      <c r="F910" s="198"/>
      <c r="G910" s="198"/>
      <c r="H910" s="198"/>
      <c r="I910" s="2324" t="s">
        <v>1868</v>
      </c>
      <c r="J910" s="2325"/>
      <c r="K910" s="2325"/>
      <c r="L910" s="2326"/>
      <c r="M910" s="2324" t="s">
        <v>1869</v>
      </c>
      <c r="N910" s="2325"/>
      <c r="O910" s="2326"/>
    </row>
    <row r="911" spans="1:15" ht="12">
      <c r="A911" s="148"/>
    </row>
    <row r="912" spans="1:15" ht="12">
      <c r="A912" s="148"/>
    </row>
    <row r="913" spans="1:1" ht="12">
      <c r="A913" s="148"/>
    </row>
    <row r="914" spans="1:1" ht="12">
      <c r="A914" s="148"/>
    </row>
    <row r="915" spans="1:1" ht="12">
      <c r="A915" s="148"/>
    </row>
  </sheetData>
  <mergeCells count="6">
    <mergeCell ref="I1:L1"/>
    <mergeCell ref="P1:R1"/>
    <mergeCell ref="M1:O1"/>
    <mergeCell ref="B910:E910"/>
    <mergeCell ref="I910:L910"/>
    <mergeCell ref="M910:O910"/>
  </mergeCells>
  <phoneticPr fontId="0" type="noConversion"/>
  <pageMargins left="0.75" right="0.75" top="1" bottom="1" header="0.5" footer="0.5"/>
  <pageSetup scale="35" fitToHeight="16" orientation="portrait"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AM31"/>
  <sheetViews>
    <sheetView topLeftCell="F1" zoomScale="75" workbookViewId="0">
      <selection activeCell="Q10" sqref="Q10"/>
    </sheetView>
  </sheetViews>
  <sheetFormatPr defaultRowHeight="12.75"/>
  <cols>
    <col min="1" max="9" width="9.140625" style="199"/>
    <col min="10" max="10" width="16.7109375" style="199" customWidth="1"/>
    <col min="11" max="11" width="11.28515625" style="199" customWidth="1"/>
    <col min="12" max="14" width="9.140625" style="199"/>
    <col min="15" max="15" width="11.28515625" style="199" customWidth="1"/>
    <col min="16" max="16384" width="9.140625" style="199"/>
  </cols>
  <sheetData>
    <row r="2" spans="2:39">
      <c r="B2" s="2327"/>
      <c r="C2" s="2328"/>
      <c r="D2" s="2329"/>
      <c r="E2" s="2327"/>
      <c r="F2" s="2328"/>
      <c r="G2" s="2329"/>
      <c r="H2" s="2327" t="s">
        <v>1870</v>
      </c>
      <c r="I2" s="2328"/>
      <c r="J2" s="2328"/>
      <c r="K2" s="2329"/>
      <c r="L2" s="2327" t="s">
        <v>1871</v>
      </c>
      <c r="M2" s="2328"/>
      <c r="N2" s="2328"/>
      <c r="O2" s="2329"/>
      <c r="P2" s="2327" t="s">
        <v>1872</v>
      </c>
      <c r="Q2" s="2328"/>
      <c r="R2" s="2328"/>
      <c r="S2" s="2329"/>
      <c r="T2" s="2327" t="s">
        <v>1873</v>
      </c>
      <c r="U2" s="2328"/>
      <c r="V2" s="2328"/>
      <c r="W2" s="2329"/>
      <c r="X2" s="2327" t="s">
        <v>1874</v>
      </c>
      <c r="Y2" s="2328"/>
      <c r="Z2" s="2328"/>
      <c r="AA2" s="2329"/>
      <c r="AB2" s="2327" t="s">
        <v>1875</v>
      </c>
      <c r="AC2" s="2328"/>
      <c r="AD2" s="2328"/>
      <c r="AE2" s="2329"/>
      <c r="AF2" s="2327" t="s">
        <v>1876</v>
      </c>
      <c r="AG2" s="2328"/>
      <c r="AH2" s="2328"/>
      <c r="AI2" s="2329"/>
      <c r="AJ2" s="2327" t="s">
        <v>1877</v>
      </c>
      <c r="AK2" s="2328"/>
      <c r="AL2" s="2328"/>
      <c r="AM2" s="2329"/>
    </row>
    <row r="3" spans="2:39">
      <c r="B3" s="200"/>
      <c r="C3" s="201"/>
      <c r="D3" s="202"/>
      <c r="E3" s="200"/>
      <c r="F3" s="201"/>
      <c r="G3" s="201"/>
      <c r="H3" s="200"/>
      <c r="I3" s="201"/>
      <c r="J3" s="201" t="s">
        <v>1878</v>
      </c>
      <c r="K3" s="203" t="s">
        <v>1879</v>
      </c>
      <c r="L3" s="200"/>
      <c r="M3" s="201"/>
      <c r="N3" s="201" t="s">
        <v>1878</v>
      </c>
      <c r="O3" s="203" t="s">
        <v>1879</v>
      </c>
      <c r="P3" s="200"/>
      <c r="Q3" s="201"/>
      <c r="R3" s="201" t="s">
        <v>1878</v>
      </c>
      <c r="S3" s="203" t="s">
        <v>1879</v>
      </c>
      <c r="T3" s="200"/>
      <c r="U3" s="201"/>
      <c r="V3" s="201" t="s">
        <v>1878</v>
      </c>
      <c r="W3" s="203" t="s">
        <v>1879</v>
      </c>
      <c r="X3" s="200"/>
      <c r="Y3" s="201"/>
      <c r="Z3" s="201" t="s">
        <v>1878</v>
      </c>
      <c r="AA3" s="203" t="s">
        <v>1879</v>
      </c>
      <c r="AB3" s="200"/>
      <c r="AC3" s="201"/>
      <c r="AD3" s="201" t="s">
        <v>1880</v>
      </c>
      <c r="AE3" s="203"/>
      <c r="AF3" s="200"/>
      <c r="AG3" s="201" t="s">
        <v>1880</v>
      </c>
      <c r="AH3" s="201"/>
      <c r="AI3" s="203"/>
      <c r="AJ3" s="200"/>
      <c r="AK3" s="201" t="s">
        <v>1880</v>
      </c>
      <c r="AL3" s="201"/>
      <c r="AM3" s="203"/>
    </row>
    <row r="4" spans="2:39" ht="15">
      <c r="B4" s="204"/>
      <c r="C4" s="205"/>
      <c r="D4" s="206"/>
      <c r="E4" s="204"/>
      <c r="F4" s="205"/>
      <c r="G4" s="21"/>
      <c r="H4" s="204">
        <v>2</v>
      </c>
      <c r="I4" s="205" t="str">
        <f ca="1">INDIRECT(ADDRESS($H$4+H5,COLUMN(I$2)))</f>
        <v>kBTU</v>
      </c>
      <c r="J4" s="207">
        <f ca="1">INDIRECT(ADDRESS($H$4+H5,COLUMN(J$2)))</f>
        <v>3.0187573270808912</v>
      </c>
      <c r="K4" s="208">
        <f ca="1">INDIRECT(ADDRESS($H$4+H5,COLUMN(K$2)))</f>
        <v>1</v>
      </c>
      <c r="L4" s="204">
        <v>2</v>
      </c>
      <c r="M4" s="205" t="str">
        <f ca="1">INDIRECT(ADDRESS($L$4+L5,COLUMN(M$2)))</f>
        <v>kBTU</v>
      </c>
      <c r="N4" s="209">
        <f ca="1">INDIRECT(ADDRESS($L$4+L5,COLUMN(N$2)))</f>
        <v>1.024</v>
      </c>
      <c r="O4" s="206">
        <f ca="1">INDIRECT(ADDRESS($L$4+L5,COLUMN(O$2)))</f>
        <v>1</v>
      </c>
      <c r="P4" s="204">
        <v>0</v>
      </c>
      <c r="Q4" s="205">
        <f ca="1">INDIRECT(ADDRESS($P$4+P5,COLUMN(Q$2)))</f>
        <v>0</v>
      </c>
      <c r="R4" s="209">
        <f ca="1">INDIRECT(ADDRESS($P$4+P5,COLUMN(R$2)))</f>
        <v>0</v>
      </c>
      <c r="S4" s="206">
        <f ca="1">INDIRECT(ADDRESS($P$4+P5,COLUMN(S$2)))</f>
        <v>0</v>
      </c>
      <c r="T4" s="204">
        <v>0</v>
      </c>
      <c r="U4" s="205">
        <f ca="1">INDIRECT(ADDRESS($T$4+T5,COLUMN(U$2)))</f>
        <v>0</v>
      </c>
      <c r="V4" s="209">
        <f ca="1">INDIRECT(ADDRESS($T$4+T5,COLUMN(V$2)))</f>
        <v>0</v>
      </c>
      <c r="W4" s="206">
        <f ca="1">INDIRECT(ADDRESS($T$4+T5,COLUMN(W$2)))</f>
        <v>0</v>
      </c>
      <c r="X4" s="204">
        <v>0</v>
      </c>
      <c r="Y4" s="205">
        <f ca="1">INDIRECT(ADDRESS($X$4+X5,COLUMN(Y$2)))</f>
        <v>0</v>
      </c>
      <c r="Z4" s="21">
        <f ca="1">INDIRECT(ADDRESS($X$4+X5,COLUMN(Z$2)))</f>
        <v>0</v>
      </c>
      <c r="AA4" s="206">
        <f ca="1">INDIRECT(ADDRESS($X$4+X5,COLUMN(AA$2)))</f>
        <v>0</v>
      </c>
      <c r="AB4" s="204">
        <v>1</v>
      </c>
      <c r="AC4" s="205" t="str">
        <f ca="1">INDIRECT(ADDRESS($AB$4+AB5,COLUMN(AC$2)))</f>
        <v>Yes</v>
      </c>
      <c r="AD4" s="21">
        <f ca="1">INDIRECT(ADDRESS($AB$4+AB5,COLUMN(AD$2)))</f>
        <v>1</v>
      </c>
      <c r="AE4" s="206"/>
      <c r="AF4" s="204">
        <v>1</v>
      </c>
      <c r="AG4" s="205">
        <f ca="1">INDIRECT(ADDRESS($AF$4+AF5,COLUMN(AG$2)))</f>
        <v>0</v>
      </c>
      <c r="AH4" s="21"/>
      <c r="AI4" s="206"/>
      <c r="AJ4" s="204">
        <v>2</v>
      </c>
      <c r="AK4" s="205">
        <f ca="1">INDIRECT(ADDRESS($AJ$4+AJ5,COLUMN(AK$2)))</f>
        <v>10</v>
      </c>
      <c r="AL4" s="21"/>
      <c r="AM4" s="206"/>
    </row>
    <row r="5" spans="2:39" ht="15">
      <c r="B5" s="210"/>
      <c r="C5" s="23"/>
      <c r="D5" s="211"/>
      <c r="E5" s="210"/>
      <c r="F5" s="23"/>
      <c r="G5" s="24"/>
      <c r="H5" s="210">
        <v>5</v>
      </c>
      <c r="I5" s="23"/>
      <c r="J5" s="24"/>
      <c r="K5" s="211"/>
      <c r="L5" s="210">
        <v>5</v>
      </c>
      <c r="M5" s="23"/>
      <c r="N5" s="24"/>
      <c r="O5" s="211"/>
      <c r="P5" s="210">
        <v>5</v>
      </c>
      <c r="Q5" s="23"/>
      <c r="R5" s="24"/>
      <c r="S5" s="211"/>
      <c r="T5" s="210">
        <v>5</v>
      </c>
      <c r="U5" s="23"/>
      <c r="V5" s="24"/>
      <c r="W5" s="211"/>
      <c r="X5" s="210">
        <v>5</v>
      </c>
      <c r="Y5" s="23"/>
      <c r="Z5" s="212"/>
      <c r="AA5" s="213"/>
      <c r="AB5" s="210">
        <v>5</v>
      </c>
      <c r="AC5" s="23"/>
      <c r="AD5" s="212"/>
      <c r="AE5" s="213"/>
      <c r="AF5" s="210">
        <v>5</v>
      </c>
      <c r="AG5" s="23"/>
      <c r="AH5" s="212"/>
      <c r="AI5" s="213"/>
      <c r="AJ5" s="210">
        <v>5</v>
      </c>
      <c r="AK5" s="23"/>
      <c r="AL5" s="212"/>
      <c r="AM5" s="213"/>
    </row>
    <row r="6" spans="2:39">
      <c r="B6" s="214"/>
      <c r="C6" s="215"/>
      <c r="D6" s="216"/>
      <c r="E6" s="214"/>
      <c r="F6" s="215"/>
      <c r="G6" s="215"/>
      <c r="H6" s="214"/>
      <c r="I6" s="215" t="s">
        <v>139</v>
      </c>
      <c r="J6" s="215">
        <v>10.3</v>
      </c>
      <c r="K6" s="216">
        <v>3.4119999999999999</v>
      </c>
      <c r="L6" s="214"/>
      <c r="M6" s="215" t="s">
        <v>1881</v>
      </c>
      <c r="N6" s="215">
        <f>100*1.024</f>
        <v>102.4</v>
      </c>
      <c r="O6" s="216">
        <v>100</v>
      </c>
      <c r="P6" s="214"/>
      <c r="Q6" s="215" t="s">
        <v>1882</v>
      </c>
      <c r="R6" s="215">
        <v>138.6</v>
      </c>
      <c r="S6" s="216">
        <v>138.6</v>
      </c>
      <c r="T6" s="214"/>
      <c r="U6" s="215" t="s">
        <v>1883</v>
      </c>
      <c r="V6" s="215">
        <f>10.78*1.38</f>
        <v>14.876399999999999</v>
      </c>
      <c r="W6" s="216">
        <v>10.78</v>
      </c>
      <c r="X6" s="214"/>
      <c r="Y6" s="215" t="s">
        <v>1884</v>
      </c>
      <c r="Z6" s="217">
        <v>12000</v>
      </c>
      <c r="AA6" s="218">
        <v>12000</v>
      </c>
      <c r="AB6" s="214"/>
      <c r="AC6" s="215" t="s">
        <v>1482</v>
      </c>
      <c r="AD6" s="217">
        <v>1</v>
      </c>
      <c r="AE6" s="218"/>
      <c r="AF6" s="214"/>
      <c r="AG6" s="215">
        <v>0</v>
      </c>
      <c r="AH6" s="217"/>
      <c r="AI6" s="218"/>
      <c r="AJ6" s="214"/>
      <c r="AK6" s="215">
        <v>9</v>
      </c>
      <c r="AL6" s="217"/>
      <c r="AM6" s="218"/>
    </row>
    <row r="7" spans="2:39">
      <c r="B7" s="219"/>
      <c r="C7" s="220"/>
      <c r="D7" s="221"/>
      <c r="E7" s="219"/>
      <c r="F7" s="220"/>
      <c r="G7" s="220"/>
      <c r="H7" s="219"/>
      <c r="I7" s="220" t="s">
        <v>1885</v>
      </c>
      <c r="J7" s="222">
        <f>+J6/K6</f>
        <v>3.0187573270808912</v>
      </c>
      <c r="K7" s="221">
        <v>1</v>
      </c>
      <c r="L7" s="219"/>
      <c r="M7" s="220" t="s">
        <v>1885</v>
      </c>
      <c r="N7" s="223">
        <v>1.024</v>
      </c>
      <c r="O7" s="221">
        <v>1</v>
      </c>
      <c r="P7" s="219"/>
      <c r="Q7" s="220" t="s">
        <v>1885</v>
      </c>
      <c r="R7" s="224">
        <v>1</v>
      </c>
      <c r="S7" s="221">
        <v>1</v>
      </c>
      <c r="T7" s="219"/>
      <c r="U7" s="220" t="s">
        <v>1885</v>
      </c>
      <c r="V7" s="222">
        <v>1.38</v>
      </c>
      <c r="W7" s="221">
        <v>1</v>
      </c>
      <c r="X7" s="219"/>
      <c r="Y7" s="220" t="s">
        <v>1885</v>
      </c>
      <c r="Z7" s="224">
        <v>1</v>
      </c>
      <c r="AA7" s="225">
        <v>1</v>
      </c>
      <c r="AB7" s="219"/>
      <c r="AC7" s="220" t="s">
        <v>1483</v>
      </c>
      <c r="AD7" s="224">
        <v>0</v>
      </c>
      <c r="AE7" s="225"/>
      <c r="AF7" s="219"/>
      <c r="AG7" s="220">
        <v>10</v>
      </c>
      <c r="AH7" s="224"/>
      <c r="AI7" s="225"/>
      <c r="AJ7" s="219"/>
      <c r="AK7" s="220">
        <v>10</v>
      </c>
      <c r="AL7" s="224"/>
      <c r="AM7" s="225"/>
    </row>
    <row r="8" spans="2:39">
      <c r="AG8" s="226">
        <v>20</v>
      </c>
      <c r="AK8" s="226">
        <v>11</v>
      </c>
    </row>
    <row r="9" spans="2:39">
      <c r="C9" s="227" t="s">
        <v>1886</v>
      </c>
      <c r="D9" s="199">
        <v>131.4</v>
      </c>
      <c r="E9" s="199" t="s">
        <v>1887</v>
      </c>
      <c r="AG9" s="226">
        <v>30</v>
      </c>
      <c r="AK9" s="226">
        <v>12</v>
      </c>
    </row>
    <row r="10" spans="2:39">
      <c r="C10" s="227" t="s">
        <v>1888</v>
      </c>
      <c r="D10" s="199">
        <v>76.3</v>
      </c>
      <c r="E10" s="199" t="s">
        <v>1887</v>
      </c>
      <c r="AG10" s="226">
        <v>40</v>
      </c>
    </row>
    <row r="11" spans="2:39">
      <c r="AG11" s="226">
        <v>50</v>
      </c>
    </row>
    <row r="12" spans="2:39">
      <c r="J12" s="226" t="s">
        <v>1474</v>
      </c>
      <c r="K12" s="226" t="s">
        <v>2186</v>
      </c>
      <c r="L12" s="226" t="s">
        <v>1477</v>
      </c>
      <c r="M12" s="226" t="s">
        <v>2187</v>
      </c>
      <c r="N12" s="226" t="s">
        <v>2188</v>
      </c>
      <c r="O12" s="226" t="s">
        <v>1255</v>
      </c>
      <c r="AG12" s="226">
        <v>60</v>
      </c>
    </row>
    <row r="13" spans="2:39">
      <c r="J13" s="226" t="s">
        <v>2191</v>
      </c>
      <c r="K13" s="226" t="s">
        <v>2191</v>
      </c>
      <c r="L13" s="226" t="s">
        <v>2191</v>
      </c>
      <c r="M13" s="226" t="s">
        <v>2191</v>
      </c>
      <c r="N13" s="226" t="s">
        <v>2191</v>
      </c>
      <c r="O13" s="226" t="s">
        <v>2191</v>
      </c>
      <c r="AG13" s="226">
        <v>70</v>
      </c>
    </row>
    <row r="14" spans="2:39">
      <c r="C14" s="227"/>
      <c r="D14" s="226"/>
      <c r="F14" s="227"/>
      <c r="G14" s="228"/>
      <c r="I14" s="227" t="s">
        <v>1878</v>
      </c>
      <c r="J14" s="229" t="e">
        <f ca="1">+'RECS - Baseline'!C32*'Side Calcs - Baseline'!J4</f>
        <v>#DIV/0!</v>
      </c>
      <c r="K14" s="229" t="e">
        <f ca="1">+'RECS - Baseline'!D32*'Side Calcs - Baseline'!N4</f>
        <v>#DIV/0!</v>
      </c>
      <c r="L14" s="229">
        <f ca="1">+'RECS - Baseline'!E32*'Side Calcs - Baseline'!R4</f>
        <v>0</v>
      </c>
      <c r="M14" s="229">
        <f ca="1">+'RECS - Baseline'!F32*'Side Calcs - Baseline'!V4</f>
        <v>0</v>
      </c>
      <c r="N14" s="229">
        <f ca="1">+'RECS - Baseline'!G32*'Side Calcs - Baseline'!Z4</f>
        <v>0</v>
      </c>
      <c r="O14" s="229" t="e">
        <f ca="1">SUM(J14:N14)</f>
        <v>#DIV/0!</v>
      </c>
      <c r="AG14" s="226">
        <v>80</v>
      </c>
    </row>
    <row r="15" spans="2:39">
      <c r="C15" s="227"/>
      <c r="D15" s="226"/>
      <c r="F15" s="227"/>
      <c r="G15" s="230"/>
      <c r="I15" s="227" t="s">
        <v>1879</v>
      </c>
      <c r="J15" s="229" t="e">
        <f ca="1">+'RECS - Baseline'!C32*'Side Calcs - Baseline'!K4</f>
        <v>#DIV/0!</v>
      </c>
      <c r="K15" s="229" t="e">
        <f ca="1">+'RECS - Baseline'!D32*'Side Calcs - Baseline'!O4</f>
        <v>#DIV/0!</v>
      </c>
      <c r="L15" s="229">
        <f ca="1">+'RECS - Baseline'!E32*'Side Calcs - Baseline'!S4</f>
        <v>0</v>
      </c>
      <c r="M15" s="229">
        <f ca="1">+'RECS - Baseline'!F32*'Side Calcs - Baseline'!W4</f>
        <v>0</v>
      </c>
      <c r="N15" s="229">
        <f ca="1">+'RECS - Baseline'!G32*'Side Calcs - Baseline'!AA4</f>
        <v>0</v>
      </c>
      <c r="O15" s="229" t="e">
        <f ca="1">SUM(J15:N15)</f>
        <v>#DIV/0!</v>
      </c>
      <c r="AG15" s="226">
        <v>90</v>
      </c>
    </row>
    <row r="16" spans="2:39">
      <c r="C16" s="227"/>
      <c r="D16" s="226"/>
      <c r="I16" s="227" t="s">
        <v>1889</v>
      </c>
      <c r="J16" s="231" t="e">
        <f ca="1">+J14/$O$14</f>
        <v>#DIV/0!</v>
      </c>
      <c r="K16" s="231" t="e">
        <f ca="1">+K14/$O$14</f>
        <v>#DIV/0!</v>
      </c>
      <c r="L16" s="230" t="e">
        <f ca="1">+L14/$O$14</f>
        <v>#DIV/0!</v>
      </c>
      <c r="M16" s="230" t="e">
        <f ca="1">+M14/$O$14</f>
        <v>#DIV/0!</v>
      </c>
      <c r="N16" s="230" t="e">
        <f ca="1">+N14/$O$14</f>
        <v>#DIV/0!</v>
      </c>
      <c r="AG16" s="226">
        <v>100</v>
      </c>
    </row>
    <row r="18" spans="3:11">
      <c r="C18" s="227"/>
      <c r="I18" s="232" t="s">
        <v>1890</v>
      </c>
      <c r="J18" s="231" t="e">
        <f ca="1">+J15/(J15+K15)</f>
        <v>#DIV/0!</v>
      </c>
      <c r="K18" s="231" t="e">
        <f ca="1">+K15/(J15+K15)</f>
        <v>#DIV/0!</v>
      </c>
    </row>
    <row r="19" spans="3:11">
      <c r="C19" s="227"/>
    </row>
    <row r="20" spans="3:11">
      <c r="C20" s="227"/>
      <c r="D20" s="233"/>
    </row>
    <row r="21" spans="3:11">
      <c r="C21" s="227"/>
      <c r="D21" s="234"/>
    </row>
    <row r="22" spans="3:11">
      <c r="C22" s="227"/>
      <c r="D22" s="234"/>
    </row>
    <row r="26" spans="3:11">
      <c r="C26" s="227"/>
      <c r="D26" s="230"/>
    </row>
    <row r="27" spans="3:11">
      <c r="C27" s="227"/>
      <c r="D27" s="230"/>
    </row>
    <row r="28" spans="3:11">
      <c r="C28" s="227"/>
      <c r="D28" s="226"/>
    </row>
    <row r="29" spans="3:11">
      <c r="C29" s="227"/>
      <c r="D29" s="235"/>
    </row>
    <row r="30" spans="3:11">
      <c r="C30" s="227"/>
      <c r="D30" s="235"/>
    </row>
    <row r="31" spans="3:11">
      <c r="C31" s="227"/>
      <c r="D31" s="235"/>
    </row>
  </sheetData>
  <mergeCells count="10">
    <mergeCell ref="AF2:AI2"/>
    <mergeCell ref="AJ2:AM2"/>
    <mergeCell ref="T2:W2"/>
    <mergeCell ref="X2:AA2"/>
    <mergeCell ref="AB2:AE2"/>
    <mergeCell ref="B2:D2"/>
    <mergeCell ref="P2:S2"/>
    <mergeCell ref="H2:K2"/>
    <mergeCell ref="L2:O2"/>
    <mergeCell ref="E2:G2"/>
  </mergeCells>
  <phoneticPr fontId="0" type="noConversion"/>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912"/>
  <sheetViews>
    <sheetView zoomScale="75" zoomScaleNormal="100" workbookViewId="0">
      <selection activeCell="B6" sqref="B6"/>
    </sheetView>
  </sheetViews>
  <sheetFormatPr defaultColWidth="11.42578125" defaultRowHeight="12"/>
  <cols>
    <col min="1" max="1" width="11.42578125" style="148" customWidth="1"/>
    <col min="2" max="2" width="11.28515625" style="147" bestFit="1" customWidth="1"/>
    <col min="3" max="3" width="15.7109375" style="148" bestFit="1" customWidth="1"/>
    <col min="4" max="4" width="6" style="147" customWidth="1"/>
    <col min="5" max="5" width="21.85546875" style="148" customWidth="1"/>
    <col min="6" max="6" width="3.5703125" style="148" customWidth="1"/>
    <col min="7" max="7" width="12.7109375" style="148" customWidth="1"/>
    <col min="8" max="8" width="20.140625" style="148" customWidth="1"/>
    <col min="9" max="9" width="29.5703125" style="148" customWidth="1"/>
    <col min="10" max="12" width="7.5703125" style="148" customWidth="1"/>
    <col min="13" max="13" width="18.5703125" style="148" customWidth="1"/>
    <col min="14" max="14" width="7.5703125" style="148" customWidth="1"/>
    <col min="15" max="15" width="18.28515625" style="148" customWidth="1"/>
    <col min="16" max="16" width="28.7109375" style="184" customWidth="1"/>
    <col min="17" max="17" width="5.7109375" style="147" customWidth="1"/>
    <col min="18" max="18" width="14" style="185" customWidth="1"/>
    <col min="19" max="19" width="5.140625" style="148" customWidth="1"/>
    <col min="20" max="20" width="6" style="148" customWidth="1"/>
    <col min="21" max="16384" width="11.42578125" style="148"/>
  </cols>
  <sheetData>
    <row r="1" spans="1:20" ht="15.75">
      <c r="B1" s="142" t="s">
        <v>234</v>
      </c>
      <c r="C1" s="143" t="s">
        <v>234</v>
      </c>
      <c r="D1" s="144"/>
      <c r="E1" s="145" t="s">
        <v>234</v>
      </c>
      <c r="F1" s="146"/>
      <c r="G1" s="146"/>
      <c r="H1" s="146"/>
      <c r="I1" s="2318" t="s">
        <v>235</v>
      </c>
      <c r="J1" s="2319"/>
      <c r="K1" s="2319"/>
      <c r="L1" s="2320"/>
      <c r="M1" s="2322" t="s">
        <v>236</v>
      </c>
      <c r="N1" s="2322"/>
      <c r="O1" s="2323"/>
      <c r="P1" s="2321"/>
      <c r="Q1" s="2321"/>
      <c r="R1" s="2321"/>
    </row>
    <row r="2" spans="1:20" ht="16.5" thickBot="1">
      <c r="B2" s="149" t="s">
        <v>237</v>
      </c>
      <c r="C2" s="150" t="s">
        <v>238</v>
      </c>
      <c r="D2" s="151"/>
      <c r="E2" s="152" t="s">
        <v>239</v>
      </c>
      <c r="F2" s="153"/>
      <c r="G2" s="153"/>
      <c r="H2" s="153"/>
      <c r="I2" s="154" t="s">
        <v>240</v>
      </c>
      <c r="J2" s="155" t="s">
        <v>241</v>
      </c>
      <c r="K2" s="155" t="s">
        <v>40</v>
      </c>
      <c r="L2" s="156" t="s">
        <v>41</v>
      </c>
      <c r="M2" s="157" t="s">
        <v>242</v>
      </c>
      <c r="N2" s="155" t="s">
        <v>241</v>
      </c>
      <c r="O2" s="158" t="s">
        <v>243</v>
      </c>
      <c r="P2" s="159"/>
      <c r="Q2" s="160"/>
      <c r="R2" s="161"/>
    </row>
    <row r="3" spans="1:20" ht="15.75">
      <c r="B3" s="162"/>
      <c r="C3" s="163"/>
      <c r="D3" s="164"/>
      <c r="E3" s="165"/>
      <c r="F3" s="163"/>
      <c r="G3" s="163"/>
      <c r="H3" s="163"/>
      <c r="I3" s="162"/>
      <c r="J3" s="164"/>
      <c r="K3" s="164"/>
      <c r="L3" s="166"/>
      <c r="M3" s="167"/>
      <c r="N3" s="164"/>
      <c r="O3" s="168"/>
      <c r="P3" s="159"/>
      <c r="Q3" s="160"/>
      <c r="R3" s="161"/>
    </row>
    <row r="4" spans="1:20" ht="16.5" thickBot="1">
      <c r="B4" s="162"/>
      <c r="C4" s="163"/>
      <c r="D4" s="164"/>
      <c r="E4" s="165"/>
      <c r="F4" s="163"/>
      <c r="G4" s="163"/>
      <c r="H4" s="163"/>
      <c r="I4" s="162"/>
      <c r="J4" s="164"/>
      <c r="K4" s="164"/>
      <c r="L4" s="166"/>
      <c r="M4" s="167"/>
      <c r="N4" s="164"/>
      <c r="O4" s="168"/>
      <c r="P4" s="159"/>
      <c r="Q4" s="160"/>
      <c r="R4" s="161"/>
    </row>
    <row r="5" spans="1:20" s="236" customFormat="1" ht="15.75" thickBot="1">
      <c r="A5" s="236" t="s">
        <v>1891</v>
      </c>
      <c r="B5" s="237" t="str">
        <f>LEFT('RECS - Proposed'!C14,3)</f>
        <v>0</v>
      </c>
      <c r="C5" s="238" t="e">
        <f>LOOKUP($B$5,$B$8:$B$908,C$8:C$908)</f>
        <v>#N/A</v>
      </c>
      <c r="D5" s="238" t="e">
        <f>LOOKUP($B$5,$B$8:$B$908,D$8:D$908)</f>
        <v>#N/A</v>
      </c>
      <c r="E5" s="239" t="e">
        <f>LOOKUP($B$5,$B$8:$B$908,E$8:E$908)</f>
        <v>#N/A</v>
      </c>
      <c r="F5" s="237"/>
      <c r="G5" s="238" t="e">
        <f>LOOKUP($B$5,$B$8:$B$908,G$8:G$908)</f>
        <v>#N/A</v>
      </c>
      <c r="H5" s="239" t="e">
        <f>CONCATENATE(G5,","," ",D5)</f>
        <v>#N/A</v>
      </c>
      <c r="I5" s="237" t="e">
        <f t="shared" ref="I5:O5" si="0">LOOKUP($B$5,$B$8:$B$908,I$8:I$908)</f>
        <v>#N/A</v>
      </c>
      <c r="J5" s="238" t="e">
        <f t="shared" si="0"/>
        <v>#N/A</v>
      </c>
      <c r="K5" s="238" t="e">
        <f>LOOKUP($B$5,$B$8:$B$908,K$8:K$908)</f>
        <v>#N/A</v>
      </c>
      <c r="L5" s="239" t="e">
        <f t="shared" si="0"/>
        <v>#N/A</v>
      </c>
      <c r="M5" s="237" t="e">
        <f t="shared" si="0"/>
        <v>#N/A</v>
      </c>
      <c r="N5" s="238" t="e">
        <f t="shared" si="0"/>
        <v>#N/A</v>
      </c>
      <c r="O5" s="239" t="e">
        <f t="shared" si="0"/>
        <v>#N/A</v>
      </c>
      <c r="P5" s="240"/>
      <c r="Q5" s="240"/>
      <c r="R5" s="240"/>
    </row>
    <row r="6" spans="1:20" ht="15.75">
      <c r="B6" s="162"/>
      <c r="C6" s="163"/>
      <c r="D6" s="164"/>
      <c r="E6" s="165"/>
      <c r="F6" s="163"/>
      <c r="G6" s="163"/>
      <c r="H6" s="163"/>
      <c r="I6" s="162"/>
      <c r="J6" s="164"/>
      <c r="K6" s="164"/>
      <c r="L6" s="166"/>
      <c r="M6" s="167"/>
      <c r="N6" s="164"/>
      <c r="O6" s="168"/>
      <c r="P6" s="159"/>
      <c r="Q6" s="160"/>
      <c r="R6" s="161"/>
    </row>
    <row r="7" spans="1:20" ht="15.75">
      <c r="B7" s="162"/>
      <c r="C7" s="163"/>
      <c r="D7" s="164"/>
      <c r="E7" s="165"/>
      <c r="F7" s="163"/>
      <c r="G7" s="163"/>
      <c r="H7" s="163"/>
      <c r="I7" s="162"/>
      <c r="J7" s="164"/>
      <c r="K7" s="164"/>
      <c r="L7" s="166"/>
      <c r="M7" s="167"/>
      <c r="N7" s="164"/>
      <c r="O7" s="168"/>
      <c r="P7" s="159"/>
      <c r="Q7" s="160"/>
      <c r="R7" s="161"/>
    </row>
    <row r="8" spans="1:20">
      <c r="B8" s="186" t="s">
        <v>984</v>
      </c>
      <c r="C8" s="175" t="s">
        <v>985</v>
      </c>
      <c r="D8" s="176" t="s">
        <v>986</v>
      </c>
      <c r="E8" s="177" t="s">
        <v>987</v>
      </c>
      <c r="F8" s="175">
        <f>LEN(E8)</f>
        <v>10</v>
      </c>
      <c r="G8" s="175" t="str">
        <f>MID(E8,2,F8-2)</f>
        <v>San Juan</v>
      </c>
      <c r="I8" s="178" t="s">
        <v>988</v>
      </c>
      <c r="J8" s="27" t="s">
        <v>986</v>
      </c>
      <c r="K8" s="27">
        <v>5558</v>
      </c>
      <c r="L8" s="179">
        <v>0</v>
      </c>
      <c r="M8" s="178" t="s">
        <v>989</v>
      </c>
      <c r="N8" s="27" t="s">
        <v>986</v>
      </c>
      <c r="O8" s="182" t="s">
        <v>990</v>
      </c>
      <c r="P8" s="159"/>
      <c r="Q8" s="160"/>
      <c r="R8" s="161"/>
    </row>
    <row r="9" spans="1:20">
      <c r="B9" s="186" t="s">
        <v>1233</v>
      </c>
      <c r="C9" s="175" t="s">
        <v>2288</v>
      </c>
      <c r="D9" s="176" t="s">
        <v>2289</v>
      </c>
      <c r="E9" s="177" t="s">
        <v>1230</v>
      </c>
      <c r="F9" s="175">
        <f>LEN(E9)</f>
        <v>13</v>
      </c>
      <c r="G9" s="175" t="str">
        <f>MID(E9,2,F9-2)</f>
        <v>Springfield</v>
      </c>
      <c r="I9" s="178" t="s">
        <v>640</v>
      </c>
      <c r="J9" s="27" t="s">
        <v>2289</v>
      </c>
      <c r="K9" s="27">
        <v>333</v>
      </c>
      <c r="L9" s="179">
        <v>6979</v>
      </c>
      <c r="M9" s="178" t="s">
        <v>744</v>
      </c>
      <c r="N9" s="27" t="s">
        <v>681</v>
      </c>
      <c r="O9" s="182" t="s">
        <v>745</v>
      </c>
      <c r="P9" s="26"/>
      <c r="Q9" s="27"/>
      <c r="R9" s="183"/>
      <c r="S9" s="27"/>
      <c r="T9" s="27"/>
    </row>
    <row r="10" spans="1:20">
      <c r="B10" s="186" t="s">
        <v>1234</v>
      </c>
      <c r="C10" s="175" t="s">
        <v>2288</v>
      </c>
      <c r="D10" s="176" t="s">
        <v>2289</v>
      </c>
      <c r="E10" s="177" t="s">
        <v>1230</v>
      </c>
      <c r="F10" s="175">
        <f t="shared" ref="F10:F73" si="1">LEN(E10)</f>
        <v>13</v>
      </c>
      <c r="G10" s="175" t="str">
        <f t="shared" ref="G10:G73" si="2">MID(E10,2,F10-2)</f>
        <v>Springfield</v>
      </c>
      <c r="I10" s="178" t="s">
        <v>747</v>
      </c>
      <c r="J10" s="27" t="s">
        <v>681</v>
      </c>
      <c r="K10" s="27">
        <v>677</v>
      </c>
      <c r="L10" s="179">
        <v>6151</v>
      </c>
      <c r="M10" s="178" t="s">
        <v>744</v>
      </c>
      <c r="N10" s="27" t="s">
        <v>681</v>
      </c>
      <c r="O10" s="182" t="s">
        <v>745</v>
      </c>
    </row>
    <row r="11" spans="1:20">
      <c r="B11" s="186" t="s">
        <v>2430</v>
      </c>
      <c r="C11" s="175" t="s">
        <v>2288</v>
      </c>
      <c r="D11" s="176" t="s">
        <v>2289</v>
      </c>
      <c r="E11" s="177" t="s">
        <v>2431</v>
      </c>
      <c r="F11" s="175">
        <f t="shared" si="1"/>
        <v>12</v>
      </c>
      <c r="G11" s="175" t="str">
        <f t="shared" si="2"/>
        <v>Pittsfield</v>
      </c>
      <c r="I11" s="178" t="s">
        <v>409</v>
      </c>
      <c r="J11" s="27" t="s">
        <v>408</v>
      </c>
      <c r="K11" s="27">
        <v>507</v>
      </c>
      <c r="L11" s="179">
        <v>6894</v>
      </c>
      <c r="M11" s="180" t="s">
        <v>410</v>
      </c>
      <c r="N11" s="181" t="s">
        <v>408</v>
      </c>
      <c r="O11" s="182" t="s">
        <v>411</v>
      </c>
    </row>
    <row r="12" spans="1:20">
      <c r="B12" s="186" t="s">
        <v>2050</v>
      </c>
      <c r="C12" s="175" t="s">
        <v>2288</v>
      </c>
      <c r="D12" s="176" t="s">
        <v>2289</v>
      </c>
      <c r="E12" s="177" t="s">
        <v>2051</v>
      </c>
      <c r="F12" s="175">
        <f t="shared" si="1"/>
        <v>12</v>
      </c>
      <c r="G12" s="175" t="str">
        <f t="shared" si="2"/>
        <v>Greenfield</v>
      </c>
      <c r="I12" s="178" t="s">
        <v>640</v>
      </c>
      <c r="J12" s="27" t="s">
        <v>2289</v>
      </c>
      <c r="K12" s="27">
        <v>333</v>
      </c>
      <c r="L12" s="179">
        <v>6979</v>
      </c>
      <c r="M12" s="180" t="s">
        <v>641</v>
      </c>
      <c r="N12" s="181" t="s">
        <v>2289</v>
      </c>
      <c r="O12" s="182" t="s">
        <v>642</v>
      </c>
    </row>
    <row r="13" spans="1:20">
      <c r="B13" s="186" t="s">
        <v>740</v>
      </c>
      <c r="C13" s="175" t="s">
        <v>2288</v>
      </c>
      <c r="D13" s="176" t="s">
        <v>2289</v>
      </c>
      <c r="E13" s="177" t="s">
        <v>741</v>
      </c>
      <c r="F13" s="175">
        <f t="shared" si="1"/>
        <v>11</v>
      </c>
      <c r="G13" s="175" t="str">
        <f t="shared" si="2"/>
        <v>Worcester</v>
      </c>
      <c r="I13" s="178" t="s">
        <v>640</v>
      </c>
      <c r="J13" s="27" t="s">
        <v>2289</v>
      </c>
      <c r="K13" s="27">
        <v>333</v>
      </c>
      <c r="L13" s="179">
        <v>6979</v>
      </c>
      <c r="M13" s="180" t="s">
        <v>641</v>
      </c>
      <c r="N13" s="181" t="s">
        <v>2289</v>
      </c>
      <c r="O13" s="182" t="s">
        <v>642</v>
      </c>
      <c r="S13" s="160"/>
      <c r="T13" s="160"/>
    </row>
    <row r="14" spans="1:20">
      <c r="B14" s="186" t="s">
        <v>742</v>
      </c>
      <c r="C14" s="175" t="s">
        <v>2288</v>
      </c>
      <c r="D14" s="176" t="s">
        <v>2289</v>
      </c>
      <c r="E14" s="177" t="s">
        <v>741</v>
      </c>
      <c r="F14" s="175">
        <f t="shared" si="1"/>
        <v>11</v>
      </c>
      <c r="G14" s="175" t="str">
        <f t="shared" si="2"/>
        <v>Worcester</v>
      </c>
      <c r="I14" s="178" t="s">
        <v>640</v>
      </c>
      <c r="J14" s="27" t="s">
        <v>2289</v>
      </c>
      <c r="K14" s="27">
        <v>333</v>
      </c>
      <c r="L14" s="179">
        <v>6979</v>
      </c>
      <c r="M14" s="180" t="s">
        <v>641</v>
      </c>
      <c r="N14" s="181" t="s">
        <v>2289</v>
      </c>
      <c r="O14" s="182" t="s">
        <v>642</v>
      </c>
      <c r="S14" s="27"/>
      <c r="T14" s="27"/>
    </row>
    <row r="15" spans="1:20">
      <c r="B15" s="186" t="s">
        <v>743</v>
      </c>
      <c r="C15" s="175" t="s">
        <v>2288</v>
      </c>
      <c r="D15" s="176" t="s">
        <v>2289</v>
      </c>
      <c r="E15" s="177" t="s">
        <v>741</v>
      </c>
      <c r="F15" s="175">
        <f t="shared" si="1"/>
        <v>11</v>
      </c>
      <c r="G15" s="175" t="str">
        <f t="shared" si="2"/>
        <v>Worcester</v>
      </c>
      <c r="I15" s="178" t="s">
        <v>640</v>
      </c>
      <c r="J15" s="27" t="s">
        <v>2289</v>
      </c>
      <c r="K15" s="27">
        <v>333</v>
      </c>
      <c r="L15" s="179">
        <v>6979</v>
      </c>
      <c r="M15" s="180" t="s">
        <v>641</v>
      </c>
      <c r="N15" s="181" t="s">
        <v>2289</v>
      </c>
      <c r="O15" s="182" t="s">
        <v>642</v>
      </c>
      <c r="S15" s="27"/>
      <c r="T15" s="27"/>
    </row>
    <row r="16" spans="1:20">
      <c r="B16" s="186" t="s">
        <v>1968</v>
      </c>
      <c r="C16" s="175" t="s">
        <v>2288</v>
      </c>
      <c r="D16" s="176" t="s">
        <v>2289</v>
      </c>
      <c r="E16" s="177" t="s">
        <v>1969</v>
      </c>
      <c r="F16" s="175">
        <f t="shared" si="1"/>
        <v>12</v>
      </c>
      <c r="G16" s="175" t="str">
        <f t="shared" si="2"/>
        <v>Framingham</v>
      </c>
      <c r="I16" s="178" t="s">
        <v>640</v>
      </c>
      <c r="J16" s="27" t="s">
        <v>2289</v>
      </c>
      <c r="K16" s="27">
        <v>333</v>
      </c>
      <c r="L16" s="179">
        <v>6979</v>
      </c>
      <c r="M16" s="180" t="s">
        <v>641</v>
      </c>
      <c r="N16" s="181" t="s">
        <v>2289</v>
      </c>
      <c r="O16" s="182" t="s">
        <v>642</v>
      </c>
      <c r="S16" s="27"/>
      <c r="T16" s="27"/>
    </row>
    <row r="17" spans="2:20">
      <c r="B17" s="186" t="s">
        <v>734</v>
      </c>
      <c r="C17" s="175" t="s">
        <v>2288</v>
      </c>
      <c r="D17" s="176" t="s">
        <v>2289</v>
      </c>
      <c r="E17" s="177" t="s">
        <v>735</v>
      </c>
      <c r="F17" s="175">
        <f t="shared" si="1"/>
        <v>8</v>
      </c>
      <c r="G17" s="175" t="str">
        <f t="shared" si="2"/>
        <v>Woburn</v>
      </c>
      <c r="I17" s="178" t="s">
        <v>640</v>
      </c>
      <c r="J17" s="27" t="s">
        <v>2289</v>
      </c>
      <c r="K17" s="27">
        <v>333</v>
      </c>
      <c r="L17" s="179">
        <v>6979</v>
      </c>
      <c r="M17" s="180" t="s">
        <v>641</v>
      </c>
      <c r="N17" s="181" t="s">
        <v>2289</v>
      </c>
      <c r="O17" s="182" t="s">
        <v>642</v>
      </c>
      <c r="S17" s="27"/>
      <c r="T17" s="27"/>
    </row>
    <row r="18" spans="2:20">
      <c r="B18" s="186" t="s">
        <v>2155</v>
      </c>
      <c r="C18" s="175" t="s">
        <v>2288</v>
      </c>
      <c r="D18" s="176" t="s">
        <v>2289</v>
      </c>
      <c r="E18" s="177" t="s">
        <v>2156</v>
      </c>
      <c r="F18" s="175">
        <f t="shared" si="1"/>
        <v>6</v>
      </c>
      <c r="G18" s="175" t="str">
        <f t="shared" si="2"/>
        <v>Lynn</v>
      </c>
      <c r="I18" s="178" t="s">
        <v>644</v>
      </c>
      <c r="J18" s="27" t="s">
        <v>2289</v>
      </c>
      <c r="K18" s="27">
        <v>678</v>
      </c>
      <c r="L18" s="179">
        <v>5641</v>
      </c>
      <c r="M18" s="180" t="s">
        <v>641</v>
      </c>
      <c r="N18" s="181" t="s">
        <v>2289</v>
      </c>
      <c r="O18" s="182" t="s">
        <v>642</v>
      </c>
      <c r="S18" s="27"/>
      <c r="T18" s="27"/>
    </row>
    <row r="19" spans="2:20">
      <c r="B19" s="186" t="s">
        <v>2287</v>
      </c>
      <c r="C19" s="175" t="s">
        <v>2288</v>
      </c>
      <c r="D19" s="176" t="s">
        <v>2289</v>
      </c>
      <c r="E19" s="177" t="s">
        <v>2290</v>
      </c>
      <c r="F19" s="175">
        <f t="shared" si="1"/>
        <v>8</v>
      </c>
      <c r="G19" s="175" t="str">
        <f t="shared" si="2"/>
        <v>Boston</v>
      </c>
      <c r="H19" s="175"/>
      <c r="I19" s="178" t="s">
        <v>640</v>
      </c>
      <c r="J19" s="27" t="s">
        <v>2289</v>
      </c>
      <c r="K19" s="27">
        <v>333</v>
      </c>
      <c r="L19" s="179">
        <v>6979</v>
      </c>
      <c r="M19" s="180" t="s">
        <v>641</v>
      </c>
      <c r="N19" s="181" t="s">
        <v>2289</v>
      </c>
      <c r="O19" s="182" t="s">
        <v>642</v>
      </c>
      <c r="S19" s="27"/>
      <c r="T19" s="27"/>
    </row>
    <row r="20" spans="2:20">
      <c r="B20" s="186" t="s">
        <v>643</v>
      </c>
      <c r="C20" s="175" t="s">
        <v>2288</v>
      </c>
      <c r="D20" s="176" t="s">
        <v>2289</v>
      </c>
      <c r="E20" s="177" t="s">
        <v>2290</v>
      </c>
      <c r="F20" s="175">
        <f t="shared" si="1"/>
        <v>8</v>
      </c>
      <c r="G20" s="175" t="str">
        <f t="shared" si="2"/>
        <v>Boston</v>
      </c>
      <c r="H20" s="175"/>
      <c r="I20" s="178" t="s">
        <v>644</v>
      </c>
      <c r="J20" s="27" t="s">
        <v>2289</v>
      </c>
      <c r="K20" s="27">
        <v>678</v>
      </c>
      <c r="L20" s="179">
        <v>5641</v>
      </c>
      <c r="M20" s="180" t="s">
        <v>641</v>
      </c>
      <c r="N20" s="181" t="s">
        <v>2289</v>
      </c>
      <c r="O20" s="182" t="s">
        <v>642</v>
      </c>
      <c r="S20" s="27"/>
      <c r="T20" s="27"/>
    </row>
    <row r="21" spans="2:20">
      <c r="B21" s="186" t="s">
        <v>645</v>
      </c>
      <c r="C21" s="175" t="s">
        <v>2288</v>
      </c>
      <c r="D21" s="176" t="s">
        <v>2289</v>
      </c>
      <c r="E21" s="177" t="s">
        <v>2290</v>
      </c>
      <c r="F21" s="175">
        <f t="shared" si="1"/>
        <v>8</v>
      </c>
      <c r="G21" s="175" t="str">
        <f t="shared" si="2"/>
        <v>Boston</v>
      </c>
      <c r="H21" s="175"/>
      <c r="I21" s="178" t="s">
        <v>644</v>
      </c>
      <c r="J21" s="27" t="s">
        <v>2289</v>
      </c>
      <c r="K21" s="27">
        <v>678</v>
      </c>
      <c r="L21" s="179">
        <v>5641</v>
      </c>
      <c r="M21" s="180" t="s">
        <v>641</v>
      </c>
      <c r="N21" s="181" t="s">
        <v>2289</v>
      </c>
      <c r="O21" s="182" t="s">
        <v>642</v>
      </c>
      <c r="S21" s="27"/>
      <c r="T21" s="27"/>
    </row>
    <row r="22" spans="2:20">
      <c r="B22" s="186" t="s">
        <v>688</v>
      </c>
      <c r="C22" s="175" t="s">
        <v>2288</v>
      </c>
      <c r="D22" s="176" t="s">
        <v>2289</v>
      </c>
      <c r="E22" s="177" t="s">
        <v>2257</v>
      </c>
      <c r="F22" s="175">
        <f t="shared" si="1"/>
        <v>10</v>
      </c>
      <c r="G22" s="175" t="str">
        <f t="shared" si="2"/>
        <v>Brockton</v>
      </c>
      <c r="H22" s="175"/>
      <c r="I22" s="178" t="s">
        <v>2258</v>
      </c>
      <c r="J22" s="27" t="s">
        <v>2259</v>
      </c>
      <c r="K22" s="27">
        <v>606</v>
      </c>
      <c r="L22" s="179">
        <v>5884</v>
      </c>
      <c r="M22" s="180" t="s">
        <v>2260</v>
      </c>
      <c r="N22" s="181" t="s">
        <v>2259</v>
      </c>
      <c r="O22" s="182" t="s">
        <v>2261</v>
      </c>
      <c r="S22" s="27"/>
      <c r="T22" s="27"/>
    </row>
    <row r="23" spans="2:20">
      <c r="B23" s="186" t="s">
        <v>2262</v>
      </c>
      <c r="C23" s="175" t="s">
        <v>2288</v>
      </c>
      <c r="D23" s="176" t="s">
        <v>2289</v>
      </c>
      <c r="E23" s="177" t="s">
        <v>2257</v>
      </c>
      <c r="F23" s="175">
        <f t="shared" si="1"/>
        <v>10</v>
      </c>
      <c r="G23" s="175" t="str">
        <f t="shared" si="2"/>
        <v>Brockton</v>
      </c>
      <c r="H23" s="175"/>
      <c r="I23" s="178" t="s">
        <v>644</v>
      </c>
      <c r="J23" s="27" t="s">
        <v>2289</v>
      </c>
      <c r="K23" s="27">
        <v>678</v>
      </c>
      <c r="L23" s="179">
        <v>5641</v>
      </c>
      <c r="M23" s="180" t="s">
        <v>641</v>
      </c>
      <c r="N23" s="181" t="s">
        <v>2289</v>
      </c>
      <c r="O23" s="182" t="s">
        <v>642</v>
      </c>
      <c r="S23" s="27"/>
      <c r="T23" s="27"/>
    </row>
    <row r="24" spans="2:20">
      <c r="B24" s="186" t="s">
        <v>1347</v>
      </c>
      <c r="C24" s="175" t="s">
        <v>2288</v>
      </c>
      <c r="D24" s="176" t="s">
        <v>2289</v>
      </c>
      <c r="E24" s="177" t="s">
        <v>1348</v>
      </c>
      <c r="F24" s="175">
        <f t="shared" si="1"/>
        <v>14</v>
      </c>
      <c r="G24" s="175" t="str">
        <f t="shared" si="2"/>
        <v>Buzzards Bay</v>
      </c>
      <c r="H24" s="175"/>
      <c r="I24" s="178" t="s">
        <v>2258</v>
      </c>
      <c r="J24" s="27" t="s">
        <v>2259</v>
      </c>
      <c r="K24" s="27">
        <v>606</v>
      </c>
      <c r="L24" s="179">
        <v>5884</v>
      </c>
      <c r="M24" s="180" t="s">
        <v>2260</v>
      </c>
      <c r="N24" s="181" t="s">
        <v>2259</v>
      </c>
      <c r="O24" s="182" t="s">
        <v>2261</v>
      </c>
      <c r="S24" s="27"/>
      <c r="T24" s="27"/>
    </row>
    <row r="25" spans="2:20">
      <c r="B25" s="186" t="s">
        <v>811</v>
      </c>
      <c r="C25" s="175" t="s">
        <v>2288</v>
      </c>
      <c r="D25" s="176" t="s">
        <v>2289</v>
      </c>
      <c r="E25" s="177" t="s">
        <v>74</v>
      </c>
      <c r="F25" s="175">
        <f t="shared" si="1"/>
        <v>9</v>
      </c>
      <c r="G25" s="175" t="str">
        <f t="shared" si="2"/>
        <v>Hyannis</v>
      </c>
      <c r="H25" s="175"/>
      <c r="I25" s="178" t="s">
        <v>2258</v>
      </c>
      <c r="J25" s="27" t="s">
        <v>2259</v>
      </c>
      <c r="K25" s="27">
        <v>606</v>
      </c>
      <c r="L25" s="179">
        <v>5884</v>
      </c>
      <c r="M25" s="180" t="s">
        <v>2260</v>
      </c>
      <c r="N25" s="181" t="s">
        <v>2259</v>
      </c>
      <c r="O25" s="182" t="s">
        <v>2261</v>
      </c>
      <c r="S25" s="27"/>
      <c r="T25" s="27"/>
    </row>
    <row r="26" spans="2:20">
      <c r="B26" s="186" t="s">
        <v>1092</v>
      </c>
      <c r="C26" s="175" t="s">
        <v>2288</v>
      </c>
      <c r="D26" s="176" t="s">
        <v>2289</v>
      </c>
      <c r="E26" s="177" t="s">
        <v>1093</v>
      </c>
      <c r="F26" s="175">
        <f t="shared" si="1"/>
        <v>13</v>
      </c>
      <c r="G26" s="175" t="str">
        <f t="shared" si="2"/>
        <v>New Bedford</v>
      </c>
      <c r="H26" s="175"/>
      <c r="I26" s="178" t="s">
        <v>2258</v>
      </c>
      <c r="J26" s="27" t="s">
        <v>2259</v>
      </c>
      <c r="K26" s="27">
        <v>606</v>
      </c>
      <c r="L26" s="179">
        <v>5884</v>
      </c>
      <c r="M26" s="180" t="s">
        <v>2260</v>
      </c>
      <c r="N26" s="181" t="s">
        <v>2259</v>
      </c>
      <c r="O26" s="182" t="s">
        <v>2261</v>
      </c>
      <c r="S26" s="27"/>
      <c r="T26" s="27"/>
    </row>
    <row r="27" spans="2:20">
      <c r="B27" s="186" t="s">
        <v>2469</v>
      </c>
      <c r="C27" s="175" t="s">
        <v>2470</v>
      </c>
      <c r="D27" s="176" t="s">
        <v>2259</v>
      </c>
      <c r="E27" s="177" t="s">
        <v>2471</v>
      </c>
      <c r="F27" s="175">
        <f t="shared" si="1"/>
        <v>12</v>
      </c>
      <c r="G27" s="175" t="str">
        <f t="shared" si="2"/>
        <v>Providence</v>
      </c>
      <c r="H27" s="175"/>
      <c r="I27" s="178" t="s">
        <v>640</v>
      </c>
      <c r="J27" s="27" t="s">
        <v>2289</v>
      </c>
      <c r="K27" s="27">
        <v>333</v>
      </c>
      <c r="L27" s="179">
        <v>6979</v>
      </c>
      <c r="M27" s="180" t="s">
        <v>2260</v>
      </c>
      <c r="N27" s="181" t="s">
        <v>2259</v>
      </c>
      <c r="O27" s="182" t="s">
        <v>2261</v>
      </c>
      <c r="S27" s="27"/>
      <c r="T27" s="27"/>
    </row>
    <row r="28" spans="2:20">
      <c r="B28" s="186" t="s">
        <v>2472</v>
      </c>
      <c r="C28" s="175" t="s">
        <v>2470</v>
      </c>
      <c r="D28" s="176" t="s">
        <v>2259</v>
      </c>
      <c r="E28" s="177" t="s">
        <v>2471</v>
      </c>
      <c r="F28" s="175">
        <f t="shared" si="1"/>
        <v>12</v>
      </c>
      <c r="G28" s="175" t="str">
        <f t="shared" si="2"/>
        <v>Providence</v>
      </c>
      <c r="H28" s="175"/>
      <c r="I28" s="178" t="s">
        <v>2258</v>
      </c>
      <c r="J28" s="27" t="s">
        <v>2259</v>
      </c>
      <c r="K28" s="27">
        <v>606</v>
      </c>
      <c r="L28" s="179">
        <v>5884</v>
      </c>
      <c r="M28" s="180" t="s">
        <v>2260</v>
      </c>
      <c r="N28" s="181" t="s">
        <v>2259</v>
      </c>
      <c r="O28" s="182" t="s">
        <v>2261</v>
      </c>
      <c r="S28" s="27"/>
      <c r="T28" s="27"/>
    </row>
    <row r="29" spans="2:20">
      <c r="B29" s="186" t="s">
        <v>2170</v>
      </c>
      <c r="C29" s="175" t="s">
        <v>262</v>
      </c>
      <c r="D29" s="176" t="s">
        <v>263</v>
      </c>
      <c r="E29" s="177" t="s">
        <v>2171</v>
      </c>
      <c r="F29" s="175">
        <f t="shared" si="1"/>
        <v>12</v>
      </c>
      <c r="G29" s="175" t="str">
        <f t="shared" si="2"/>
        <v>Manchester</v>
      </c>
      <c r="H29" s="175"/>
      <c r="I29" s="178" t="s">
        <v>640</v>
      </c>
      <c r="J29" s="27" t="s">
        <v>2289</v>
      </c>
      <c r="K29" s="27">
        <v>333</v>
      </c>
      <c r="L29" s="179">
        <v>6979</v>
      </c>
      <c r="M29" s="180" t="s">
        <v>266</v>
      </c>
      <c r="N29" s="181" t="s">
        <v>263</v>
      </c>
      <c r="O29" s="182" t="s">
        <v>267</v>
      </c>
      <c r="S29" s="27"/>
      <c r="T29" s="27"/>
    </row>
    <row r="30" spans="2:20">
      <c r="B30" s="186" t="s">
        <v>2172</v>
      </c>
      <c r="C30" s="175" t="s">
        <v>262</v>
      </c>
      <c r="D30" s="176" t="s">
        <v>263</v>
      </c>
      <c r="E30" s="177" t="s">
        <v>2171</v>
      </c>
      <c r="F30" s="175">
        <f t="shared" si="1"/>
        <v>12</v>
      </c>
      <c r="G30" s="175" t="str">
        <f t="shared" si="2"/>
        <v>Manchester</v>
      </c>
      <c r="H30" s="175"/>
      <c r="I30" s="178" t="s">
        <v>265</v>
      </c>
      <c r="J30" s="27" t="s">
        <v>263</v>
      </c>
      <c r="K30" s="27">
        <v>328</v>
      </c>
      <c r="L30" s="179">
        <v>7554</v>
      </c>
      <c r="M30" s="180" t="s">
        <v>266</v>
      </c>
      <c r="N30" s="181" t="s">
        <v>263</v>
      </c>
      <c r="O30" s="182" t="s">
        <v>267</v>
      </c>
      <c r="S30" s="27"/>
      <c r="T30" s="27"/>
    </row>
    <row r="31" spans="2:20">
      <c r="B31" s="186" t="s">
        <v>2432</v>
      </c>
      <c r="C31" s="175" t="s">
        <v>262</v>
      </c>
      <c r="D31" s="176" t="s">
        <v>263</v>
      </c>
      <c r="E31" s="177" t="s">
        <v>2431</v>
      </c>
      <c r="F31" s="175">
        <f t="shared" si="1"/>
        <v>12</v>
      </c>
      <c r="G31" s="175" t="str">
        <f t="shared" si="2"/>
        <v>Pittsfield</v>
      </c>
      <c r="H31" s="175"/>
      <c r="I31" s="178" t="s">
        <v>265</v>
      </c>
      <c r="J31" s="27" t="s">
        <v>263</v>
      </c>
      <c r="K31" s="27">
        <v>328</v>
      </c>
      <c r="L31" s="179">
        <v>7554</v>
      </c>
      <c r="M31" s="180" t="s">
        <v>266</v>
      </c>
      <c r="N31" s="181" t="s">
        <v>263</v>
      </c>
      <c r="O31" s="182" t="s">
        <v>267</v>
      </c>
    </row>
    <row r="32" spans="2:20">
      <c r="B32" s="186" t="s">
        <v>634</v>
      </c>
      <c r="C32" s="175" t="s">
        <v>262</v>
      </c>
      <c r="D32" s="176" t="s">
        <v>263</v>
      </c>
      <c r="E32" s="177" t="s">
        <v>630</v>
      </c>
      <c r="F32" s="175">
        <f t="shared" si="1"/>
        <v>9</v>
      </c>
      <c r="G32" s="175" t="str">
        <f t="shared" si="2"/>
        <v>Concord</v>
      </c>
      <c r="H32" s="175"/>
      <c r="I32" s="178" t="s">
        <v>265</v>
      </c>
      <c r="J32" s="27" t="s">
        <v>263</v>
      </c>
      <c r="K32" s="27">
        <v>328</v>
      </c>
      <c r="L32" s="179">
        <v>7554</v>
      </c>
      <c r="M32" s="180" t="s">
        <v>266</v>
      </c>
      <c r="N32" s="181" t="s">
        <v>263</v>
      </c>
      <c r="O32" s="182" t="s">
        <v>267</v>
      </c>
      <c r="S32" s="27"/>
      <c r="T32" s="27"/>
    </row>
    <row r="33" spans="2:20">
      <c r="B33" s="186" t="s">
        <v>900</v>
      </c>
      <c r="C33" s="175" t="s">
        <v>262</v>
      </c>
      <c r="D33" s="176" t="s">
        <v>263</v>
      </c>
      <c r="E33" s="177" t="s">
        <v>901</v>
      </c>
      <c r="F33" s="175">
        <f t="shared" si="1"/>
        <v>7</v>
      </c>
      <c r="G33" s="175" t="str">
        <f t="shared" si="2"/>
        <v>Keene</v>
      </c>
      <c r="H33" s="175"/>
      <c r="I33" s="178" t="s">
        <v>640</v>
      </c>
      <c r="J33" s="27" t="s">
        <v>2289</v>
      </c>
      <c r="K33" s="27">
        <v>333</v>
      </c>
      <c r="L33" s="179">
        <v>6979</v>
      </c>
      <c r="M33" s="180" t="s">
        <v>266</v>
      </c>
      <c r="N33" s="181" t="s">
        <v>263</v>
      </c>
      <c r="O33" s="182" t="s">
        <v>267</v>
      </c>
    </row>
    <row r="34" spans="2:20">
      <c r="B34" s="186" t="s">
        <v>2126</v>
      </c>
      <c r="C34" s="175" t="s">
        <v>262</v>
      </c>
      <c r="D34" s="176" t="s">
        <v>263</v>
      </c>
      <c r="E34" s="177" t="s">
        <v>2127</v>
      </c>
      <c r="F34" s="175">
        <f t="shared" si="1"/>
        <v>11</v>
      </c>
      <c r="G34" s="175" t="str">
        <f t="shared" si="2"/>
        <v>Littleton</v>
      </c>
      <c r="H34" s="175"/>
      <c r="I34" s="178" t="s">
        <v>1329</v>
      </c>
      <c r="J34" s="27" t="s">
        <v>1612</v>
      </c>
      <c r="K34" s="27">
        <v>388</v>
      </c>
      <c r="L34" s="179">
        <v>7771</v>
      </c>
      <c r="M34" s="180" t="s">
        <v>1330</v>
      </c>
      <c r="N34" s="181" t="s">
        <v>1612</v>
      </c>
      <c r="O34" s="182" t="s">
        <v>1331</v>
      </c>
      <c r="S34" s="27"/>
      <c r="T34" s="27"/>
    </row>
    <row r="35" spans="2:20">
      <c r="B35" s="186" t="s">
        <v>261</v>
      </c>
      <c r="C35" s="175" t="s">
        <v>262</v>
      </c>
      <c r="D35" s="176" t="s">
        <v>263</v>
      </c>
      <c r="E35" s="177" t="s">
        <v>264</v>
      </c>
      <c r="F35" s="175">
        <f t="shared" si="1"/>
        <v>9</v>
      </c>
      <c r="G35" s="175" t="str">
        <f t="shared" si="2"/>
        <v>Acworth</v>
      </c>
      <c r="H35" s="175"/>
      <c r="I35" s="178" t="s">
        <v>265</v>
      </c>
      <c r="J35" s="27" t="s">
        <v>263</v>
      </c>
      <c r="K35" s="27">
        <v>328</v>
      </c>
      <c r="L35" s="179">
        <v>7554</v>
      </c>
      <c r="M35" s="180" t="s">
        <v>266</v>
      </c>
      <c r="N35" s="181" t="s">
        <v>263</v>
      </c>
      <c r="O35" s="182" t="s">
        <v>267</v>
      </c>
      <c r="S35" s="27"/>
      <c r="T35" s="27"/>
    </row>
    <row r="36" spans="2:20">
      <c r="B36" s="186" t="s">
        <v>2381</v>
      </c>
      <c r="C36" s="175" t="s">
        <v>262</v>
      </c>
      <c r="D36" s="176" t="s">
        <v>263</v>
      </c>
      <c r="E36" s="177" t="s">
        <v>2382</v>
      </c>
      <c r="F36" s="175">
        <f t="shared" si="1"/>
        <v>11</v>
      </c>
      <c r="G36" s="175" t="str">
        <f t="shared" si="2"/>
        <v>Claremont</v>
      </c>
      <c r="H36" s="175"/>
      <c r="I36" s="178" t="s">
        <v>1329</v>
      </c>
      <c r="J36" s="27" t="s">
        <v>1612</v>
      </c>
      <c r="K36" s="27">
        <v>388</v>
      </c>
      <c r="L36" s="179">
        <v>7771</v>
      </c>
      <c r="M36" s="180" t="s">
        <v>1330</v>
      </c>
      <c r="N36" s="181" t="s">
        <v>1612</v>
      </c>
      <c r="O36" s="182" t="s">
        <v>1331</v>
      </c>
    </row>
    <row r="37" spans="2:20">
      <c r="B37" s="186" t="s">
        <v>2457</v>
      </c>
      <c r="C37" s="175" t="s">
        <v>262</v>
      </c>
      <c r="D37" s="176" t="s">
        <v>263</v>
      </c>
      <c r="E37" s="177" t="s">
        <v>2458</v>
      </c>
      <c r="F37" s="175">
        <f t="shared" si="1"/>
        <v>12</v>
      </c>
      <c r="G37" s="175" t="str">
        <f t="shared" si="2"/>
        <v>Portsmouth</v>
      </c>
      <c r="H37" s="175"/>
      <c r="I37" s="178" t="s">
        <v>1547</v>
      </c>
      <c r="J37" s="27" t="s">
        <v>1545</v>
      </c>
      <c r="K37" s="27">
        <v>268</v>
      </c>
      <c r="L37" s="179">
        <v>7378</v>
      </c>
      <c r="M37" s="180" t="s">
        <v>1548</v>
      </c>
      <c r="N37" s="181" t="s">
        <v>1545</v>
      </c>
      <c r="O37" s="182" t="s">
        <v>1549</v>
      </c>
      <c r="S37" s="27"/>
      <c r="T37" s="27"/>
    </row>
    <row r="38" spans="2:20">
      <c r="B38" s="186" t="s">
        <v>922</v>
      </c>
      <c r="C38" s="175" t="s">
        <v>1544</v>
      </c>
      <c r="D38" s="176" t="s">
        <v>1545</v>
      </c>
      <c r="E38" s="177" t="s">
        <v>923</v>
      </c>
      <c r="F38" s="175">
        <f t="shared" si="1"/>
        <v>9</v>
      </c>
      <c r="G38" s="175" t="str">
        <f t="shared" si="2"/>
        <v>Kittery</v>
      </c>
      <c r="H38" s="175"/>
      <c r="I38" s="178" t="s">
        <v>1547</v>
      </c>
      <c r="J38" s="27" t="s">
        <v>1545</v>
      </c>
      <c r="K38" s="27">
        <v>268</v>
      </c>
      <c r="L38" s="179">
        <v>7378</v>
      </c>
      <c r="M38" s="180" t="s">
        <v>1548</v>
      </c>
      <c r="N38" s="181" t="s">
        <v>1545</v>
      </c>
      <c r="O38" s="182" t="s">
        <v>1549</v>
      </c>
      <c r="S38" s="27"/>
      <c r="T38" s="27"/>
    </row>
    <row r="39" spans="2:20">
      <c r="B39" s="186" t="s">
        <v>2450</v>
      </c>
      <c r="C39" s="175" t="s">
        <v>1544</v>
      </c>
      <c r="D39" s="176" t="s">
        <v>1545</v>
      </c>
      <c r="E39" s="177" t="s">
        <v>2451</v>
      </c>
      <c r="F39" s="175">
        <f t="shared" si="1"/>
        <v>10</v>
      </c>
      <c r="G39" s="175" t="str">
        <f t="shared" si="2"/>
        <v>Portland</v>
      </c>
      <c r="H39" s="175"/>
      <c r="I39" s="178" t="s">
        <v>1547</v>
      </c>
      <c r="J39" s="27" t="s">
        <v>1545</v>
      </c>
      <c r="K39" s="27">
        <v>268</v>
      </c>
      <c r="L39" s="179">
        <v>7378</v>
      </c>
      <c r="M39" s="180" t="s">
        <v>1548</v>
      </c>
      <c r="N39" s="181" t="s">
        <v>1545</v>
      </c>
      <c r="O39" s="182" t="s">
        <v>1549</v>
      </c>
    </row>
    <row r="40" spans="2:20">
      <c r="B40" s="186" t="s">
        <v>2452</v>
      </c>
      <c r="C40" s="175" t="s">
        <v>1544</v>
      </c>
      <c r="D40" s="176" t="s">
        <v>1545</v>
      </c>
      <c r="E40" s="177" t="s">
        <v>2451</v>
      </c>
      <c r="F40" s="175">
        <f t="shared" si="1"/>
        <v>10</v>
      </c>
      <c r="G40" s="175" t="str">
        <f t="shared" si="2"/>
        <v>Portland</v>
      </c>
      <c r="H40" s="175"/>
      <c r="I40" s="178" t="s">
        <v>1547</v>
      </c>
      <c r="J40" s="27" t="s">
        <v>1545</v>
      </c>
      <c r="K40" s="27">
        <v>268</v>
      </c>
      <c r="L40" s="179">
        <v>7378</v>
      </c>
      <c r="M40" s="180" t="s">
        <v>1548</v>
      </c>
      <c r="N40" s="181" t="s">
        <v>1545</v>
      </c>
      <c r="O40" s="182" t="s">
        <v>1549</v>
      </c>
      <c r="S40" s="27"/>
      <c r="T40" s="27"/>
    </row>
    <row r="41" spans="2:20">
      <c r="B41" s="186" t="s">
        <v>1543</v>
      </c>
      <c r="C41" s="175" t="s">
        <v>1544</v>
      </c>
      <c r="D41" s="176" t="s">
        <v>1545</v>
      </c>
      <c r="E41" s="177" t="s">
        <v>1546</v>
      </c>
      <c r="F41" s="175">
        <f t="shared" si="1"/>
        <v>8</v>
      </c>
      <c r="G41" s="175" t="str">
        <f t="shared" si="2"/>
        <v>Auburn</v>
      </c>
      <c r="H41" s="175"/>
      <c r="I41" s="178" t="s">
        <v>1547</v>
      </c>
      <c r="J41" s="27" t="s">
        <v>1545</v>
      </c>
      <c r="K41" s="27">
        <v>268</v>
      </c>
      <c r="L41" s="179">
        <v>7378</v>
      </c>
      <c r="M41" s="180" t="s">
        <v>1548</v>
      </c>
      <c r="N41" s="181" t="s">
        <v>1545</v>
      </c>
      <c r="O41" s="182" t="s">
        <v>1549</v>
      </c>
    </row>
    <row r="42" spans="2:20">
      <c r="B42" s="186" t="s">
        <v>1554</v>
      </c>
      <c r="C42" s="175" t="s">
        <v>1544</v>
      </c>
      <c r="D42" s="176" t="s">
        <v>1545</v>
      </c>
      <c r="E42" s="177" t="s">
        <v>1551</v>
      </c>
      <c r="F42" s="175">
        <f t="shared" si="1"/>
        <v>9</v>
      </c>
      <c r="G42" s="175" t="str">
        <f t="shared" si="2"/>
        <v>Augusta</v>
      </c>
      <c r="H42" s="175"/>
      <c r="I42" s="178" t="s">
        <v>1547</v>
      </c>
      <c r="J42" s="27" t="s">
        <v>1545</v>
      </c>
      <c r="K42" s="27">
        <v>268</v>
      </c>
      <c r="L42" s="179">
        <v>7378</v>
      </c>
      <c r="M42" s="180" t="s">
        <v>1548</v>
      </c>
      <c r="N42" s="181" t="s">
        <v>1545</v>
      </c>
      <c r="O42" s="182" t="s">
        <v>1549</v>
      </c>
      <c r="S42" s="27"/>
      <c r="T42" s="27"/>
    </row>
    <row r="43" spans="2:20">
      <c r="B43" s="186" t="s">
        <v>1575</v>
      </c>
      <c r="C43" s="175" t="s">
        <v>1544</v>
      </c>
      <c r="D43" s="176" t="s">
        <v>1545</v>
      </c>
      <c r="E43" s="177" t="s">
        <v>1576</v>
      </c>
      <c r="F43" s="175">
        <f t="shared" si="1"/>
        <v>8</v>
      </c>
      <c r="G43" s="175" t="str">
        <f t="shared" si="2"/>
        <v>Bangor</v>
      </c>
      <c r="H43" s="175"/>
      <c r="I43" s="178" t="s">
        <v>1547</v>
      </c>
      <c r="J43" s="27" t="s">
        <v>1545</v>
      </c>
      <c r="K43" s="27">
        <v>268</v>
      </c>
      <c r="L43" s="179">
        <v>7378</v>
      </c>
      <c r="M43" s="180" t="s">
        <v>1548</v>
      </c>
      <c r="N43" s="181" t="s">
        <v>1545</v>
      </c>
      <c r="O43" s="182" t="s">
        <v>1549</v>
      </c>
    </row>
    <row r="44" spans="2:20">
      <c r="B44" s="186" t="s">
        <v>1584</v>
      </c>
      <c r="C44" s="175" t="s">
        <v>1544</v>
      </c>
      <c r="D44" s="176" t="s">
        <v>1545</v>
      </c>
      <c r="E44" s="177" t="s">
        <v>1585</v>
      </c>
      <c r="F44" s="175">
        <f t="shared" si="1"/>
        <v>6</v>
      </c>
      <c r="G44" s="175" t="str">
        <f t="shared" si="2"/>
        <v>Bath</v>
      </c>
      <c r="H44" s="175"/>
      <c r="I44" s="178" t="s">
        <v>1547</v>
      </c>
      <c r="J44" s="27" t="s">
        <v>1545</v>
      </c>
      <c r="K44" s="27">
        <v>268</v>
      </c>
      <c r="L44" s="179">
        <v>7378</v>
      </c>
      <c r="M44" s="180" t="s">
        <v>1548</v>
      </c>
      <c r="N44" s="181" t="s">
        <v>1545</v>
      </c>
      <c r="O44" s="182" t="s">
        <v>1549</v>
      </c>
      <c r="S44" s="27"/>
      <c r="T44" s="27"/>
    </row>
    <row r="45" spans="2:20">
      <c r="B45" s="186" t="s">
        <v>1031</v>
      </c>
      <c r="C45" s="175" t="s">
        <v>1544</v>
      </c>
      <c r="D45" s="176" t="s">
        <v>1545</v>
      </c>
      <c r="E45" s="177" t="s">
        <v>1032</v>
      </c>
      <c r="F45" s="175">
        <f t="shared" si="1"/>
        <v>11</v>
      </c>
      <c r="G45" s="175" t="str">
        <f t="shared" si="2"/>
        <v>Ellsworth</v>
      </c>
      <c r="H45" s="175"/>
      <c r="I45" s="178" t="s">
        <v>1547</v>
      </c>
      <c r="J45" s="27" t="s">
        <v>1545</v>
      </c>
      <c r="K45" s="27">
        <v>268</v>
      </c>
      <c r="L45" s="179">
        <v>7378</v>
      </c>
      <c r="M45" s="180" t="s">
        <v>1548</v>
      </c>
      <c r="N45" s="181" t="s">
        <v>1545</v>
      </c>
      <c r="O45" s="182" t="s">
        <v>1549</v>
      </c>
    </row>
    <row r="46" spans="2:20">
      <c r="B46" s="186" t="s">
        <v>1377</v>
      </c>
      <c r="C46" s="175" t="s">
        <v>1544</v>
      </c>
      <c r="D46" s="176" t="s">
        <v>1545</v>
      </c>
      <c r="E46" s="177" t="s">
        <v>1378</v>
      </c>
      <c r="F46" s="175">
        <f t="shared" si="1"/>
        <v>9</v>
      </c>
      <c r="G46" s="175" t="str">
        <f t="shared" si="2"/>
        <v>Caribou</v>
      </c>
      <c r="H46" s="175"/>
      <c r="I46" s="178" t="s">
        <v>1379</v>
      </c>
      <c r="J46" s="27" t="s">
        <v>1545</v>
      </c>
      <c r="K46" s="27">
        <v>131</v>
      </c>
      <c r="L46" s="179">
        <v>9651</v>
      </c>
      <c r="M46" s="180" t="s">
        <v>1380</v>
      </c>
      <c r="N46" s="181" t="s">
        <v>1545</v>
      </c>
      <c r="O46" s="182" t="s">
        <v>1381</v>
      </c>
      <c r="S46" s="27"/>
      <c r="T46" s="27"/>
    </row>
    <row r="47" spans="2:20">
      <c r="B47" s="186" t="s">
        <v>308</v>
      </c>
      <c r="C47" s="175" t="s">
        <v>1544</v>
      </c>
      <c r="D47" s="176" t="s">
        <v>1545</v>
      </c>
      <c r="E47" s="177" t="s">
        <v>309</v>
      </c>
      <c r="F47" s="175">
        <f t="shared" si="1"/>
        <v>10</v>
      </c>
      <c r="G47" s="175" t="str">
        <f t="shared" si="2"/>
        <v>Rockland</v>
      </c>
      <c r="H47" s="175"/>
      <c r="I47" s="178" t="s">
        <v>1547</v>
      </c>
      <c r="J47" s="27" t="s">
        <v>1545</v>
      </c>
      <c r="K47" s="27">
        <v>268</v>
      </c>
      <c r="L47" s="179">
        <v>7378</v>
      </c>
      <c r="M47" s="180" t="s">
        <v>1548</v>
      </c>
      <c r="N47" s="181" t="s">
        <v>1545</v>
      </c>
      <c r="O47" s="182" t="s">
        <v>1549</v>
      </c>
    </row>
    <row r="48" spans="2:20">
      <c r="B48" s="186" t="s">
        <v>1818</v>
      </c>
      <c r="C48" s="175" t="s">
        <v>1544</v>
      </c>
      <c r="D48" s="176" t="s">
        <v>1545</v>
      </c>
      <c r="E48" s="177" t="s">
        <v>1819</v>
      </c>
      <c r="F48" s="175">
        <f t="shared" si="1"/>
        <v>12</v>
      </c>
      <c r="G48" s="175" t="str">
        <f t="shared" si="2"/>
        <v>Waterville</v>
      </c>
      <c r="H48" s="175"/>
      <c r="I48" s="178" t="s">
        <v>1547</v>
      </c>
      <c r="J48" s="27" t="s">
        <v>1545</v>
      </c>
      <c r="K48" s="27">
        <v>268</v>
      </c>
      <c r="L48" s="179">
        <v>7378</v>
      </c>
      <c r="M48" s="180" t="s">
        <v>1548</v>
      </c>
      <c r="N48" s="181" t="s">
        <v>1545</v>
      </c>
      <c r="O48" s="182" t="s">
        <v>1549</v>
      </c>
      <c r="S48" s="27"/>
      <c r="T48" s="27"/>
    </row>
    <row r="49" spans="2:20">
      <c r="B49" s="186" t="s">
        <v>1847</v>
      </c>
      <c r="C49" s="175" t="s">
        <v>1611</v>
      </c>
      <c r="D49" s="176" t="s">
        <v>1612</v>
      </c>
      <c r="E49" s="177" t="s">
        <v>1848</v>
      </c>
      <c r="F49" s="175">
        <f t="shared" si="1"/>
        <v>22</v>
      </c>
      <c r="G49" s="175" t="str">
        <f t="shared" si="2"/>
        <v>White River Junction</v>
      </c>
      <c r="H49" s="175"/>
      <c r="I49" s="178" t="s">
        <v>1329</v>
      </c>
      <c r="J49" s="27" t="s">
        <v>1612</v>
      </c>
      <c r="K49" s="27">
        <v>388</v>
      </c>
      <c r="L49" s="179">
        <v>7771</v>
      </c>
      <c r="M49" s="180" t="s">
        <v>1330</v>
      </c>
      <c r="N49" s="181" t="s">
        <v>1612</v>
      </c>
      <c r="O49" s="182" t="s">
        <v>1331</v>
      </c>
    </row>
    <row r="50" spans="2:20">
      <c r="B50" s="186" t="s">
        <v>1610</v>
      </c>
      <c r="C50" s="175" t="s">
        <v>1611</v>
      </c>
      <c r="D50" s="176" t="s">
        <v>1612</v>
      </c>
      <c r="E50" s="177" t="s">
        <v>1613</v>
      </c>
      <c r="F50" s="175">
        <f t="shared" si="1"/>
        <v>15</v>
      </c>
      <c r="G50" s="175" t="str">
        <f t="shared" si="2"/>
        <v>Bellows Falls</v>
      </c>
      <c r="H50" s="175"/>
      <c r="I50" s="178" t="s">
        <v>265</v>
      </c>
      <c r="J50" s="27" t="s">
        <v>263</v>
      </c>
      <c r="K50" s="27">
        <v>328</v>
      </c>
      <c r="L50" s="179">
        <v>7554</v>
      </c>
      <c r="M50" s="180" t="s">
        <v>266</v>
      </c>
      <c r="N50" s="181" t="s">
        <v>263</v>
      </c>
      <c r="O50" s="182" t="s">
        <v>267</v>
      </c>
    </row>
    <row r="51" spans="2:20">
      <c r="B51" s="186" t="s">
        <v>1629</v>
      </c>
      <c r="C51" s="175" t="s">
        <v>1611</v>
      </c>
      <c r="D51" s="176" t="s">
        <v>1612</v>
      </c>
      <c r="E51" s="177" t="s">
        <v>1630</v>
      </c>
      <c r="F51" s="175">
        <f t="shared" si="1"/>
        <v>12</v>
      </c>
      <c r="G51" s="175" t="str">
        <f t="shared" si="2"/>
        <v>Bennington</v>
      </c>
      <c r="H51" s="175"/>
      <c r="I51" s="178" t="s">
        <v>409</v>
      </c>
      <c r="J51" s="27" t="s">
        <v>408</v>
      </c>
      <c r="K51" s="27">
        <v>507</v>
      </c>
      <c r="L51" s="179">
        <v>6894</v>
      </c>
      <c r="M51" s="180" t="s">
        <v>410</v>
      </c>
      <c r="N51" s="181" t="s">
        <v>408</v>
      </c>
      <c r="O51" s="182" t="s">
        <v>411</v>
      </c>
      <c r="S51" s="27"/>
      <c r="T51" s="27"/>
    </row>
    <row r="52" spans="2:20">
      <c r="B52" s="186" t="s">
        <v>677</v>
      </c>
      <c r="C52" s="175" t="s">
        <v>1611</v>
      </c>
      <c r="D52" s="176" t="s">
        <v>1612</v>
      </c>
      <c r="E52" s="177" t="s">
        <v>678</v>
      </c>
      <c r="F52" s="175">
        <f t="shared" si="1"/>
        <v>13</v>
      </c>
      <c r="G52" s="175" t="str">
        <f t="shared" si="2"/>
        <v>Brattleboro</v>
      </c>
      <c r="H52" s="175"/>
      <c r="I52" s="178" t="s">
        <v>640</v>
      </c>
      <c r="J52" s="27" t="s">
        <v>2289</v>
      </c>
      <c r="K52" s="27">
        <v>333</v>
      </c>
      <c r="L52" s="179">
        <v>6979</v>
      </c>
      <c r="M52" s="180" t="s">
        <v>410</v>
      </c>
      <c r="N52" s="181" t="s">
        <v>408</v>
      </c>
      <c r="O52" s="182" t="s">
        <v>411</v>
      </c>
      <c r="S52" s="27"/>
      <c r="T52" s="27"/>
    </row>
    <row r="53" spans="2:20">
      <c r="B53" s="186" t="s">
        <v>1328</v>
      </c>
      <c r="C53" s="175" t="s">
        <v>1611</v>
      </c>
      <c r="D53" s="176" t="s">
        <v>1612</v>
      </c>
      <c r="E53" s="177" t="s">
        <v>1324</v>
      </c>
      <c r="F53" s="175">
        <f t="shared" si="1"/>
        <v>12</v>
      </c>
      <c r="G53" s="175" t="str">
        <f t="shared" si="2"/>
        <v>Burlington</v>
      </c>
      <c r="H53" s="175"/>
      <c r="I53" s="178" t="s">
        <v>1329</v>
      </c>
      <c r="J53" s="27" t="s">
        <v>1612</v>
      </c>
      <c r="K53" s="27">
        <v>388</v>
      </c>
      <c r="L53" s="179">
        <v>7771</v>
      </c>
      <c r="M53" s="180" t="s">
        <v>1330</v>
      </c>
      <c r="N53" s="181" t="s">
        <v>1612</v>
      </c>
      <c r="O53" s="182" t="s">
        <v>1331</v>
      </c>
      <c r="S53" s="27"/>
      <c r="T53" s="27"/>
    </row>
    <row r="54" spans="2:20">
      <c r="B54" s="186" t="s">
        <v>1071</v>
      </c>
      <c r="C54" s="175" t="s">
        <v>1611</v>
      </c>
      <c r="D54" s="176" t="s">
        <v>1612</v>
      </c>
      <c r="E54" s="177" t="s">
        <v>1072</v>
      </c>
      <c r="F54" s="175">
        <f t="shared" si="1"/>
        <v>12</v>
      </c>
      <c r="G54" s="175" t="str">
        <f t="shared" si="2"/>
        <v>Montpelier</v>
      </c>
      <c r="H54" s="175"/>
      <c r="I54" s="178" t="s">
        <v>1329</v>
      </c>
      <c r="J54" s="27" t="s">
        <v>1612</v>
      </c>
      <c r="K54" s="27">
        <v>388</v>
      </c>
      <c r="L54" s="179">
        <v>7771</v>
      </c>
      <c r="M54" s="180" t="s">
        <v>1330</v>
      </c>
      <c r="N54" s="181" t="s">
        <v>1612</v>
      </c>
      <c r="O54" s="182" t="s">
        <v>1331</v>
      </c>
      <c r="S54" s="27"/>
      <c r="T54" s="27"/>
    </row>
    <row r="55" spans="2:20">
      <c r="B55" s="186" t="s">
        <v>325</v>
      </c>
      <c r="C55" s="175" t="s">
        <v>1611</v>
      </c>
      <c r="D55" s="176" t="s">
        <v>1612</v>
      </c>
      <c r="E55" s="177" t="s">
        <v>326</v>
      </c>
      <c r="F55" s="175">
        <f t="shared" si="1"/>
        <v>9</v>
      </c>
      <c r="G55" s="175" t="str">
        <f t="shared" si="2"/>
        <v>Rutland</v>
      </c>
      <c r="H55" s="175"/>
      <c r="I55" s="178" t="s">
        <v>409</v>
      </c>
      <c r="J55" s="27" t="s">
        <v>408</v>
      </c>
      <c r="K55" s="27">
        <v>507</v>
      </c>
      <c r="L55" s="179">
        <v>6894</v>
      </c>
      <c r="M55" s="180" t="s">
        <v>410</v>
      </c>
      <c r="N55" s="181" t="s">
        <v>408</v>
      </c>
      <c r="O55" s="182" t="s">
        <v>411</v>
      </c>
      <c r="S55" s="27"/>
      <c r="T55" s="27"/>
    </row>
    <row r="56" spans="2:20">
      <c r="B56" s="186" t="s">
        <v>1239</v>
      </c>
      <c r="C56" s="175" t="s">
        <v>1611</v>
      </c>
      <c r="D56" s="176" t="s">
        <v>1612</v>
      </c>
      <c r="E56" s="177" t="s">
        <v>1240</v>
      </c>
      <c r="F56" s="175">
        <f t="shared" si="1"/>
        <v>15</v>
      </c>
      <c r="G56" s="175" t="str">
        <f t="shared" si="2"/>
        <v>St. Johnsbury</v>
      </c>
      <c r="H56" s="175"/>
      <c r="I56" s="178" t="s">
        <v>1329</v>
      </c>
      <c r="J56" s="27" t="s">
        <v>1612</v>
      </c>
      <c r="K56" s="27">
        <v>388</v>
      </c>
      <c r="L56" s="179">
        <v>7771</v>
      </c>
      <c r="M56" s="180" t="s">
        <v>1330</v>
      </c>
      <c r="N56" s="181" t="s">
        <v>1612</v>
      </c>
      <c r="O56" s="182" t="s">
        <v>1331</v>
      </c>
      <c r="S56" s="27"/>
      <c r="T56" s="27"/>
    </row>
    <row r="57" spans="2:20">
      <c r="B57" s="186" t="s">
        <v>1360</v>
      </c>
      <c r="C57" s="175" t="s">
        <v>1611</v>
      </c>
      <c r="D57" s="176" t="s">
        <v>1612</v>
      </c>
      <c r="E57" s="177" t="s">
        <v>1361</v>
      </c>
      <c r="F57" s="175">
        <f t="shared" si="1"/>
        <v>8</v>
      </c>
      <c r="G57" s="175" t="str">
        <f t="shared" si="2"/>
        <v>Canaan</v>
      </c>
      <c r="H57" s="175"/>
      <c r="I57" s="178" t="s">
        <v>1329</v>
      </c>
      <c r="J57" s="27" t="s">
        <v>1612</v>
      </c>
      <c r="K57" s="27">
        <v>388</v>
      </c>
      <c r="L57" s="179">
        <v>7771</v>
      </c>
      <c r="M57" s="180" t="s">
        <v>1330</v>
      </c>
      <c r="N57" s="181" t="s">
        <v>1612</v>
      </c>
      <c r="O57" s="182" t="s">
        <v>1331</v>
      </c>
      <c r="S57" s="27"/>
      <c r="T57" s="27"/>
    </row>
    <row r="58" spans="2:20">
      <c r="B58" s="186" t="s">
        <v>2181</v>
      </c>
      <c r="C58" s="175" t="s">
        <v>680</v>
      </c>
      <c r="D58" s="176" t="s">
        <v>681</v>
      </c>
      <c r="E58" s="177" t="s">
        <v>2182</v>
      </c>
      <c r="F58" s="175">
        <f t="shared" si="1"/>
        <v>10</v>
      </c>
      <c r="G58" s="175" t="str">
        <f t="shared" si="2"/>
        <v>Hartford</v>
      </c>
      <c r="H58" s="175"/>
      <c r="I58" s="178" t="s">
        <v>640</v>
      </c>
      <c r="J58" s="27" t="s">
        <v>2289</v>
      </c>
      <c r="K58" s="27">
        <v>333</v>
      </c>
      <c r="L58" s="179">
        <v>6979</v>
      </c>
      <c r="M58" s="178" t="s">
        <v>744</v>
      </c>
      <c r="N58" s="27" t="s">
        <v>681</v>
      </c>
      <c r="O58" s="182" t="s">
        <v>745</v>
      </c>
      <c r="S58" s="27"/>
      <c r="T58" s="27"/>
    </row>
    <row r="59" spans="2:20">
      <c r="B59" s="186" t="s">
        <v>746</v>
      </c>
      <c r="C59" s="175" t="s">
        <v>680</v>
      </c>
      <c r="D59" s="176" t="s">
        <v>681</v>
      </c>
      <c r="E59" s="177" t="s">
        <v>2182</v>
      </c>
      <c r="F59" s="175">
        <f t="shared" si="1"/>
        <v>10</v>
      </c>
      <c r="G59" s="175" t="str">
        <f t="shared" si="2"/>
        <v>Hartford</v>
      </c>
      <c r="H59" s="175"/>
      <c r="I59" s="178" t="s">
        <v>747</v>
      </c>
      <c r="J59" s="27" t="s">
        <v>681</v>
      </c>
      <c r="K59" s="27">
        <v>677</v>
      </c>
      <c r="L59" s="179">
        <v>6151</v>
      </c>
      <c r="M59" s="178" t="s">
        <v>744</v>
      </c>
      <c r="N59" s="27" t="s">
        <v>681</v>
      </c>
      <c r="O59" s="182" t="s">
        <v>745</v>
      </c>
    </row>
    <row r="60" spans="2:20">
      <c r="B60" s="186" t="s">
        <v>714</v>
      </c>
      <c r="C60" s="175" t="s">
        <v>680</v>
      </c>
      <c r="D60" s="176" t="s">
        <v>681</v>
      </c>
      <c r="E60" s="177" t="s">
        <v>715</v>
      </c>
      <c r="F60" s="175">
        <f t="shared" si="1"/>
        <v>13</v>
      </c>
      <c r="G60" s="175" t="str">
        <f t="shared" si="2"/>
        <v>Willimantic</v>
      </c>
      <c r="H60" s="175"/>
      <c r="I60" s="178" t="s">
        <v>640</v>
      </c>
      <c r="J60" s="27" t="s">
        <v>2289</v>
      </c>
      <c r="K60" s="27">
        <v>333</v>
      </c>
      <c r="L60" s="179">
        <v>6979</v>
      </c>
      <c r="M60" s="178" t="s">
        <v>744</v>
      </c>
      <c r="N60" s="27" t="s">
        <v>681</v>
      </c>
      <c r="O60" s="182" t="s">
        <v>745</v>
      </c>
      <c r="S60" s="27"/>
      <c r="T60" s="27"/>
    </row>
    <row r="61" spans="2:20">
      <c r="B61" s="186" t="s">
        <v>1102</v>
      </c>
      <c r="C61" s="175" t="s">
        <v>680</v>
      </c>
      <c r="D61" s="176" t="s">
        <v>681</v>
      </c>
      <c r="E61" s="177" t="s">
        <v>1103</v>
      </c>
      <c r="F61" s="175">
        <f t="shared" si="1"/>
        <v>12</v>
      </c>
      <c r="G61" s="175" t="str">
        <f t="shared" si="2"/>
        <v>New London</v>
      </c>
      <c r="H61" s="175"/>
      <c r="I61" s="178" t="s">
        <v>2258</v>
      </c>
      <c r="J61" s="27" t="s">
        <v>2259</v>
      </c>
      <c r="K61" s="27">
        <v>606</v>
      </c>
      <c r="L61" s="179">
        <v>5884</v>
      </c>
      <c r="M61" s="180" t="s">
        <v>2260</v>
      </c>
      <c r="N61" s="181" t="s">
        <v>2259</v>
      </c>
      <c r="O61" s="182" t="s">
        <v>2261</v>
      </c>
    </row>
    <row r="62" spans="2:20">
      <c r="B62" s="186" t="s">
        <v>1099</v>
      </c>
      <c r="C62" s="175" t="s">
        <v>680</v>
      </c>
      <c r="D62" s="176" t="s">
        <v>681</v>
      </c>
      <c r="E62" s="177" t="s">
        <v>1100</v>
      </c>
      <c r="F62" s="175">
        <f t="shared" si="1"/>
        <v>11</v>
      </c>
      <c r="G62" s="175" t="str">
        <f t="shared" si="2"/>
        <v>New Haven</v>
      </c>
      <c r="H62" s="175"/>
      <c r="I62" s="178" t="s">
        <v>747</v>
      </c>
      <c r="J62" s="27" t="s">
        <v>681</v>
      </c>
      <c r="K62" s="27">
        <v>677</v>
      </c>
      <c r="L62" s="179">
        <v>6151</v>
      </c>
      <c r="M62" s="178" t="s">
        <v>744</v>
      </c>
      <c r="N62" s="27" t="s">
        <v>681</v>
      </c>
      <c r="O62" s="182" t="s">
        <v>745</v>
      </c>
    </row>
    <row r="63" spans="2:20">
      <c r="B63" s="186" t="s">
        <v>1101</v>
      </c>
      <c r="C63" s="175" t="s">
        <v>680</v>
      </c>
      <c r="D63" s="176" t="s">
        <v>681</v>
      </c>
      <c r="E63" s="177" t="s">
        <v>1100</v>
      </c>
      <c r="F63" s="175">
        <f t="shared" si="1"/>
        <v>11</v>
      </c>
      <c r="G63" s="175" t="str">
        <f t="shared" si="2"/>
        <v>New Haven</v>
      </c>
      <c r="H63" s="175"/>
      <c r="I63" s="178" t="s">
        <v>747</v>
      </c>
      <c r="J63" s="27" t="s">
        <v>681</v>
      </c>
      <c r="K63" s="27">
        <v>677</v>
      </c>
      <c r="L63" s="179">
        <v>6151</v>
      </c>
      <c r="M63" s="178" t="s">
        <v>744</v>
      </c>
      <c r="N63" s="27" t="s">
        <v>681</v>
      </c>
      <c r="O63" s="182" t="s">
        <v>745</v>
      </c>
    </row>
    <row r="64" spans="2:20">
      <c r="B64" s="186" t="s">
        <v>679</v>
      </c>
      <c r="C64" s="175" t="s">
        <v>680</v>
      </c>
      <c r="D64" s="176" t="s">
        <v>681</v>
      </c>
      <c r="E64" s="177" t="s">
        <v>682</v>
      </c>
      <c r="F64" s="175">
        <f t="shared" si="1"/>
        <v>12</v>
      </c>
      <c r="G64" s="175" t="str">
        <f t="shared" si="2"/>
        <v>Bridgeport</v>
      </c>
      <c r="H64" s="175"/>
      <c r="I64" s="178" t="s">
        <v>683</v>
      </c>
      <c r="J64" s="27" t="s">
        <v>681</v>
      </c>
      <c r="K64" s="27">
        <v>724</v>
      </c>
      <c r="L64" s="179">
        <v>5537</v>
      </c>
      <c r="M64" s="178" t="s">
        <v>684</v>
      </c>
      <c r="N64" s="27" t="s">
        <v>681</v>
      </c>
      <c r="O64" s="182" t="s">
        <v>685</v>
      </c>
    </row>
    <row r="65" spans="2:20">
      <c r="B65" s="186" t="s">
        <v>1810</v>
      </c>
      <c r="C65" s="175" t="s">
        <v>680</v>
      </c>
      <c r="D65" s="176" t="s">
        <v>681</v>
      </c>
      <c r="E65" s="177" t="s">
        <v>1811</v>
      </c>
      <c r="F65" s="175">
        <f t="shared" si="1"/>
        <v>11</v>
      </c>
      <c r="G65" s="175" t="str">
        <f t="shared" si="2"/>
        <v>Waterbury</v>
      </c>
      <c r="H65" s="175"/>
      <c r="I65" s="178" t="s">
        <v>747</v>
      </c>
      <c r="J65" s="27" t="s">
        <v>681</v>
      </c>
      <c r="K65" s="27">
        <v>677</v>
      </c>
      <c r="L65" s="179">
        <v>6151</v>
      </c>
      <c r="M65" s="178" t="s">
        <v>744</v>
      </c>
      <c r="N65" s="27" t="s">
        <v>681</v>
      </c>
      <c r="O65" s="182" t="s">
        <v>745</v>
      </c>
    </row>
    <row r="66" spans="2:20">
      <c r="B66" s="186" t="s">
        <v>1243</v>
      </c>
      <c r="C66" s="175" t="s">
        <v>680</v>
      </c>
      <c r="D66" s="176" t="s">
        <v>681</v>
      </c>
      <c r="E66" s="177" t="s">
        <v>1244</v>
      </c>
      <c r="F66" s="175">
        <f t="shared" si="1"/>
        <v>10</v>
      </c>
      <c r="G66" s="175" t="str">
        <f t="shared" si="2"/>
        <v>Stamford</v>
      </c>
      <c r="H66" s="175"/>
      <c r="I66" s="178" t="s">
        <v>683</v>
      </c>
      <c r="J66" s="27" t="s">
        <v>681</v>
      </c>
      <c r="K66" s="27">
        <v>724</v>
      </c>
      <c r="L66" s="179">
        <v>5537</v>
      </c>
      <c r="M66" s="178" t="s">
        <v>684</v>
      </c>
      <c r="N66" s="27" t="s">
        <v>681</v>
      </c>
      <c r="O66" s="182" t="s">
        <v>685</v>
      </c>
    </row>
    <row r="67" spans="2:20">
      <c r="B67" s="186" t="s">
        <v>1245</v>
      </c>
      <c r="C67" s="175" t="s">
        <v>680</v>
      </c>
      <c r="D67" s="176" t="s">
        <v>681</v>
      </c>
      <c r="E67" s="177" t="s">
        <v>1244</v>
      </c>
      <c r="F67" s="175">
        <f t="shared" si="1"/>
        <v>10</v>
      </c>
      <c r="G67" s="175" t="str">
        <f t="shared" si="2"/>
        <v>Stamford</v>
      </c>
      <c r="H67" s="175"/>
      <c r="I67" s="178" t="s">
        <v>683</v>
      </c>
      <c r="J67" s="27" t="s">
        <v>681</v>
      </c>
      <c r="K67" s="27">
        <v>724</v>
      </c>
      <c r="L67" s="179">
        <v>5537</v>
      </c>
      <c r="M67" s="178" t="s">
        <v>684</v>
      </c>
      <c r="N67" s="27" t="s">
        <v>681</v>
      </c>
      <c r="O67" s="182" t="s">
        <v>685</v>
      </c>
    </row>
    <row r="68" spans="2:20">
      <c r="B68" s="186" t="s">
        <v>1114</v>
      </c>
      <c r="C68" s="175" t="s">
        <v>1537</v>
      </c>
      <c r="D68" s="176" t="s">
        <v>1538</v>
      </c>
      <c r="E68" s="177" t="s">
        <v>1115</v>
      </c>
      <c r="F68" s="175">
        <f t="shared" si="1"/>
        <v>8</v>
      </c>
      <c r="G68" s="175" t="str">
        <f t="shared" si="2"/>
        <v>Newark</v>
      </c>
      <c r="H68" s="175"/>
      <c r="I68" s="178" t="s">
        <v>2265</v>
      </c>
      <c r="J68" s="27" t="s">
        <v>408</v>
      </c>
      <c r="K68" s="27">
        <v>1052</v>
      </c>
      <c r="L68" s="179">
        <v>4910</v>
      </c>
      <c r="M68" s="180" t="s">
        <v>62</v>
      </c>
      <c r="N68" s="181" t="s">
        <v>1538</v>
      </c>
      <c r="O68" s="182" t="s">
        <v>63</v>
      </c>
    </row>
    <row r="69" spans="2:20">
      <c r="B69" s="186" t="s">
        <v>1116</v>
      </c>
      <c r="C69" s="175" t="s">
        <v>1537</v>
      </c>
      <c r="D69" s="176" t="s">
        <v>1538</v>
      </c>
      <c r="E69" s="177" t="s">
        <v>1115</v>
      </c>
      <c r="F69" s="175">
        <f t="shared" si="1"/>
        <v>8</v>
      </c>
      <c r="G69" s="175" t="str">
        <f t="shared" si="2"/>
        <v>Newark</v>
      </c>
      <c r="H69" s="175"/>
      <c r="I69" s="178" t="s">
        <v>61</v>
      </c>
      <c r="J69" s="27" t="s">
        <v>1538</v>
      </c>
      <c r="K69" s="27">
        <v>1201</v>
      </c>
      <c r="L69" s="179">
        <v>4888</v>
      </c>
      <c r="M69" s="180" t="s">
        <v>62</v>
      </c>
      <c r="N69" s="181" t="s">
        <v>1538</v>
      </c>
      <c r="O69" s="182" t="s">
        <v>63</v>
      </c>
    </row>
    <row r="70" spans="2:20">
      <c r="B70" s="186" t="s">
        <v>59</v>
      </c>
      <c r="C70" s="175" t="s">
        <v>1537</v>
      </c>
      <c r="D70" s="176" t="s">
        <v>1538</v>
      </c>
      <c r="E70" s="177" t="s">
        <v>60</v>
      </c>
      <c r="F70" s="175">
        <f t="shared" si="1"/>
        <v>11</v>
      </c>
      <c r="G70" s="175" t="str">
        <f t="shared" si="2"/>
        <v>Elizabeth</v>
      </c>
      <c r="H70" s="175"/>
      <c r="I70" s="178" t="s">
        <v>61</v>
      </c>
      <c r="J70" s="27" t="s">
        <v>1538</v>
      </c>
      <c r="K70" s="27">
        <v>1201</v>
      </c>
      <c r="L70" s="179">
        <v>4888</v>
      </c>
      <c r="M70" s="180" t="s">
        <v>62</v>
      </c>
      <c r="N70" s="181" t="s">
        <v>1538</v>
      </c>
      <c r="O70" s="182" t="s">
        <v>63</v>
      </c>
    </row>
    <row r="71" spans="2:20">
      <c r="B71" s="186" t="s">
        <v>119</v>
      </c>
      <c r="C71" s="175" t="s">
        <v>1537</v>
      </c>
      <c r="D71" s="176" t="s">
        <v>1538</v>
      </c>
      <c r="E71" s="177" t="s">
        <v>120</v>
      </c>
      <c r="F71" s="175">
        <f t="shared" si="1"/>
        <v>13</v>
      </c>
      <c r="G71" s="175" t="str">
        <f t="shared" si="2"/>
        <v>Jersey_City</v>
      </c>
      <c r="H71" s="175"/>
      <c r="I71" s="178" t="s">
        <v>61</v>
      </c>
      <c r="J71" s="27" t="s">
        <v>1538</v>
      </c>
      <c r="K71" s="27">
        <v>1201</v>
      </c>
      <c r="L71" s="179">
        <v>4888</v>
      </c>
      <c r="M71" s="180" t="s">
        <v>62</v>
      </c>
      <c r="N71" s="181" t="s">
        <v>1538</v>
      </c>
      <c r="O71" s="182" t="s">
        <v>63</v>
      </c>
    </row>
    <row r="72" spans="2:20">
      <c r="B72" s="186" t="s">
        <v>609</v>
      </c>
      <c r="C72" s="175" t="s">
        <v>1537</v>
      </c>
      <c r="D72" s="176" t="s">
        <v>1538</v>
      </c>
      <c r="E72" s="177" t="s">
        <v>610</v>
      </c>
      <c r="F72" s="175">
        <f t="shared" si="1"/>
        <v>10</v>
      </c>
      <c r="G72" s="175" t="str">
        <f t="shared" si="2"/>
        <v>Paterson</v>
      </c>
      <c r="H72" s="175"/>
      <c r="I72" s="178" t="s">
        <v>61</v>
      </c>
      <c r="J72" s="27" t="s">
        <v>1538</v>
      </c>
      <c r="K72" s="27">
        <v>1201</v>
      </c>
      <c r="L72" s="179">
        <v>4888</v>
      </c>
      <c r="M72" s="180" t="s">
        <v>62</v>
      </c>
      <c r="N72" s="181" t="s">
        <v>1538</v>
      </c>
      <c r="O72" s="182" t="s">
        <v>63</v>
      </c>
    </row>
    <row r="73" spans="2:20">
      <c r="B73" s="186" t="s">
        <v>611</v>
      </c>
      <c r="C73" s="175" t="s">
        <v>1537</v>
      </c>
      <c r="D73" s="176" t="s">
        <v>1538</v>
      </c>
      <c r="E73" s="177" t="s">
        <v>610</v>
      </c>
      <c r="F73" s="175">
        <f t="shared" si="1"/>
        <v>10</v>
      </c>
      <c r="G73" s="175" t="str">
        <f t="shared" si="2"/>
        <v>Paterson</v>
      </c>
      <c r="H73" s="175"/>
      <c r="I73" s="178" t="s">
        <v>61</v>
      </c>
      <c r="J73" s="27" t="s">
        <v>1538</v>
      </c>
      <c r="K73" s="27">
        <v>1201</v>
      </c>
      <c r="L73" s="179">
        <v>4888</v>
      </c>
      <c r="M73" s="180" t="s">
        <v>62</v>
      </c>
      <c r="N73" s="181" t="s">
        <v>1538</v>
      </c>
      <c r="O73" s="182" t="s">
        <v>63</v>
      </c>
    </row>
    <row r="74" spans="2:20">
      <c r="B74" s="186" t="s">
        <v>2077</v>
      </c>
      <c r="C74" s="175" t="s">
        <v>1537</v>
      </c>
      <c r="D74" s="176" t="s">
        <v>1538</v>
      </c>
      <c r="E74" s="177" t="s">
        <v>2078</v>
      </c>
      <c r="F74" s="175">
        <f t="shared" ref="F74:F137" si="3">LEN(E74)</f>
        <v>12</v>
      </c>
      <c r="G74" s="175" t="str">
        <f t="shared" ref="G74:G137" si="4">MID(E74,2,F74-2)</f>
        <v>Hackensack</v>
      </c>
      <c r="H74" s="175"/>
      <c r="I74" s="178" t="s">
        <v>61</v>
      </c>
      <c r="J74" s="27" t="s">
        <v>1538</v>
      </c>
      <c r="K74" s="27">
        <v>1201</v>
      </c>
      <c r="L74" s="179">
        <v>4888</v>
      </c>
      <c r="M74" s="180" t="s">
        <v>62</v>
      </c>
      <c r="N74" s="181" t="s">
        <v>1538</v>
      </c>
      <c r="O74" s="182" t="s">
        <v>63</v>
      </c>
    </row>
    <row r="75" spans="2:20">
      <c r="B75" s="186" t="s">
        <v>2495</v>
      </c>
      <c r="C75" s="175" t="s">
        <v>1537</v>
      </c>
      <c r="D75" s="176" t="s">
        <v>1538</v>
      </c>
      <c r="E75" s="177" t="s">
        <v>2496</v>
      </c>
      <c r="F75" s="175">
        <f t="shared" si="3"/>
        <v>10</v>
      </c>
      <c r="G75" s="175" t="str">
        <f t="shared" si="4"/>
        <v>Red Bank</v>
      </c>
      <c r="H75" s="175"/>
      <c r="I75" s="178" t="s">
        <v>61</v>
      </c>
      <c r="J75" s="27" t="s">
        <v>1538</v>
      </c>
      <c r="K75" s="27">
        <v>1201</v>
      </c>
      <c r="L75" s="179">
        <v>4888</v>
      </c>
      <c r="M75" s="180" t="s">
        <v>62</v>
      </c>
      <c r="N75" s="181" t="s">
        <v>1538</v>
      </c>
      <c r="O75" s="182" t="s">
        <v>63</v>
      </c>
    </row>
    <row r="76" spans="2:20">
      <c r="B76" s="186" t="s">
        <v>1727</v>
      </c>
      <c r="C76" s="175" t="s">
        <v>1537</v>
      </c>
      <c r="D76" s="176" t="s">
        <v>1538</v>
      </c>
      <c r="E76" s="177" t="s">
        <v>1726</v>
      </c>
      <c r="F76" s="175">
        <f t="shared" si="3"/>
        <v>7</v>
      </c>
      <c r="G76" s="175" t="str">
        <f t="shared" si="4"/>
        <v>Dover</v>
      </c>
      <c r="H76" s="175"/>
      <c r="I76" s="178" t="s">
        <v>443</v>
      </c>
      <c r="J76" s="27" t="s">
        <v>441</v>
      </c>
      <c r="K76" s="27">
        <v>773</v>
      </c>
      <c r="L76" s="179">
        <v>5785</v>
      </c>
      <c r="M76" s="178" t="s">
        <v>444</v>
      </c>
      <c r="N76" s="27" t="s">
        <v>441</v>
      </c>
      <c r="O76" s="182" t="s">
        <v>445</v>
      </c>
      <c r="S76" s="27"/>
      <c r="T76" s="27"/>
    </row>
    <row r="77" spans="2:20">
      <c r="B77" s="186" t="s">
        <v>822</v>
      </c>
      <c r="C77" s="175" t="s">
        <v>1537</v>
      </c>
      <c r="D77" s="176" t="s">
        <v>1538</v>
      </c>
      <c r="E77" s="177" t="s">
        <v>823</v>
      </c>
      <c r="F77" s="175">
        <f t="shared" si="3"/>
        <v>8</v>
      </c>
      <c r="G77" s="175" t="str">
        <f t="shared" si="4"/>
        <v>Summit</v>
      </c>
      <c r="H77" s="175"/>
      <c r="I77" s="178" t="s">
        <v>61</v>
      </c>
      <c r="J77" s="27" t="s">
        <v>1538</v>
      </c>
      <c r="K77" s="27">
        <v>1201</v>
      </c>
      <c r="L77" s="179">
        <v>4888</v>
      </c>
      <c r="M77" s="180" t="s">
        <v>62</v>
      </c>
      <c r="N77" s="181" t="s">
        <v>1538</v>
      </c>
      <c r="O77" s="182" t="s">
        <v>63</v>
      </c>
    </row>
    <row r="78" spans="2:20">
      <c r="B78" s="186" t="s">
        <v>2350</v>
      </c>
      <c r="C78" s="175" t="s">
        <v>1537</v>
      </c>
      <c r="D78" s="176" t="s">
        <v>1538</v>
      </c>
      <c r="E78" s="177" t="s">
        <v>2351</v>
      </c>
      <c r="F78" s="175">
        <f t="shared" si="3"/>
        <v>13</v>
      </c>
      <c r="G78" s="175" t="str">
        <f t="shared" si="4"/>
        <v>Cherry Hill</v>
      </c>
      <c r="H78" s="175"/>
      <c r="I78" s="178" t="s">
        <v>1353</v>
      </c>
      <c r="J78" s="27" t="s">
        <v>441</v>
      </c>
      <c r="K78" s="27">
        <v>1101</v>
      </c>
      <c r="L78" s="179">
        <v>4954</v>
      </c>
      <c r="M78" s="180" t="s">
        <v>1354</v>
      </c>
      <c r="N78" s="181" t="s">
        <v>441</v>
      </c>
      <c r="O78" s="182" t="s">
        <v>1355</v>
      </c>
    </row>
    <row r="79" spans="2:20">
      <c r="B79" s="186" t="s">
        <v>1352</v>
      </c>
      <c r="C79" s="175" t="s">
        <v>1537</v>
      </c>
      <c r="D79" s="176" t="s">
        <v>1538</v>
      </c>
      <c r="E79" s="177" t="s">
        <v>1350</v>
      </c>
      <c r="F79" s="175">
        <f t="shared" si="3"/>
        <v>8</v>
      </c>
      <c r="G79" s="175" t="str">
        <f t="shared" si="4"/>
        <v>Camden</v>
      </c>
      <c r="H79" s="175"/>
      <c r="I79" s="178" t="s">
        <v>1353</v>
      </c>
      <c r="J79" s="27" t="s">
        <v>441</v>
      </c>
      <c r="K79" s="27">
        <v>1101</v>
      </c>
      <c r="L79" s="179">
        <v>4954</v>
      </c>
      <c r="M79" s="180" t="s">
        <v>1354</v>
      </c>
      <c r="N79" s="181" t="s">
        <v>441</v>
      </c>
      <c r="O79" s="182" t="s">
        <v>1355</v>
      </c>
    </row>
    <row r="80" spans="2:20">
      <c r="B80" s="186" t="s">
        <v>1208</v>
      </c>
      <c r="C80" s="175" t="s">
        <v>1537</v>
      </c>
      <c r="D80" s="176" t="s">
        <v>1538</v>
      </c>
      <c r="E80" s="177" t="s">
        <v>1209</v>
      </c>
      <c r="F80" s="175">
        <f t="shared" si="3"/>
        <v>14</v>
      </c>
      <c r="G80" s="175" t="str">
        <f t="shared" si="4"/>
        <v>South Jersey</v>
      </c>
      <c r="H80" s="175"/>
      <c r="I80" s="178" t="s">
        <v>1540</v>
      </c>
      <c r="J80" s="27" t="s">
        <v>1538</v>
      </c>
      <c r="K80" s="27">
        <v>826</v>
      </c>
      <c r="L80" s="179">
        <v>5169</v>
      </c>
      <c r="M80" s="180" t="s">
        <v>1541</v>
      </c>
      <c r="N80" s="181" t="s">
        <v>1538</v>
      </c>
      <c r="O80" s="182" t="s">
        <v>1542</v>
      </c>
    </row>
    <row r="81" spans="2:20">
      <c r="B81" s="186" t="s">
        <v>1210</v>
      </c>
      <c r="C81" s="175" t="s">
        <v>1537</v>
      </c>
      <c r="D81" s="176" t="s">
        <v>1538</v>
      </c>
      <c r="E81" s="177" t="s">
        <v>1209</v>
      </c>
      <c r="F81" s="175">
        <f t="shared" si="3"/>
        <v>14</v>
      </c>
      <c r="G81" s="175" t="str">
        <f t="shared" si="4"/>
        <v>South Jersey</v>
      </c>
      <c r="H81" s="175"/>
      <c r="I81" s="178" t="s">
        <v>1028</v>
      </c>
      <c r="J81" s="27" t="s">
        <v>1725</v>
      </c>
      <c r="K81" s="27">
        <v>1046</v>
      </c>
      <c r="L81" s="179">
        <v>4937</v>
      </c>
      <c r="M81" s="180" t="s">
        <v>1029</v>
      </c>
      <c r="N81" s="181" t="s">
        <v>1725</v>
      </c>
      <c r="O81" s="182" t="s">
        <v>1030</v>
      </c>
    </row>
    <row r="82" spans="2:20">
      <c r="B82" s="186" t="s">
        <v>1536</v>
      </c>
      <c r="C82" s="175" t="s">
        <v>1537</v>
      </c>
      <c r="D82" s="176" t="s">
        <v>1538</v>
      </c>
      <c r="E82" s="177" t="s">
        <v>1539</v>
      </c>
      <c r="F82" s="175">
        <f t="shared" si="3"/>
        <v>15</v>
      </c>
      <c r="G82" s="175" t="str">
        <f t="shared" si="4"/>
        <v>Atlantic City</v>
      </c>
      <c r="H82" s="175"/>
      <c r="I82" s="178" t="s">
        <v>1540</v>
      </c>
      <c r="J82" s="27" t="s">
        <v>1538</v>
      </c>
      <c r="K82" s="27">
        <v>826</v>
      </c>
      <c r="L82" s="179">
        <v>5169</v>
      </c>
      <c r="M82" s="180" t="s">
        <v>1541</v>
      </c>
      <c r="N82" s="181" t="s">
        <v>1538</v>
      </c>
      <c r="O82" s="182" t="s">
        <v>1542</v>
      </c>
      <c r="S82" s="27"/>
      <c r="T82" s="27"/>
    </row>
    <row r="83" spans="2:20">
      <c r="B83" s="186" t="s">
        <v>1750</v>
      </c>
      <c r="C83" s="175" t="s">
        <v>1537</v>
      </c>
      <c r="D83" s="176" t="s">
        <v>1538</v>
      </c>
      <c r="E83" s="177" t="s">
        <v>1751</v>
      </c>
      <c r="F83" s="175">
        <f t="shared" si="3"/>
        <v>9</v>
      </c>
      <c r="G83" s="175" t="str">
        <f t="shared" si="4"/>
        <v>Trenton</v>
      </c>
      <c r="H83" s="175"/>
      <c r="I83" s="178" t="s">
        <v>61</v>
      </c>
      <c r="J83" s="27" t="s">
        <v>1538</v>
      </c>
      <c r="K83" s="27">
        <v>1201</v>
      </c>
      <c r="L83" s="179">
        <v>4888</v>
      </c>
      <c r="M83" s="180" t="s">
        <v>62</v>
      </c>
      <c r="N83" s="181" t="s">
        <v>1538</v>
      </c>
      <c r="O83" s="182" t="s">
        <v>63</v>
      </c>
    </row>
    <row r="84" spans="2:20">
      <c r="B84" s="186" t="s">
        <v>1752</v>
      </c>
      <c r="C84" s="175" t="s">
        <v>1537</v>
      </c>
      <c r="D84" s="176" t="s">
        <v>1538</v>
      </c>
      <c r="E84" s="177" t="s">
        <v>1751</v>
      </c>
      <c r="F84" s="175">
        <f t="shared" si="3"/>
        <v>9</v>
      </c>
      <c r="G84" s="175" t="str">
        <f t="shared" si="4"/>
        <v>Trenton</v>
      </c>
      <c r="H84" s="175"/>
      <c r="I84" s="178" t="s">
        <v>61</v>
      </c>
      <c r="J84" s="27" t="s">
        <v>1538</v>
      </c>
      <c r="K84" s="27">
        <v>1201</v>
      </c>
      <c r="L84" s="179">
        <v>4888</v>
      </c>
      <c r="M84" s="180" t="s">
        <v>62</v>
      </c>
      <c r="N84" s="181" t="s">
        <v>1538</v>
      </c>
      <c r="O84" s="182" t="s">
        <v>63</v>
      </c>
    </row>
    <row r="85" spans="2:20">
      <c r="B85" s="186" t="s">
        <v>950</v>
      </c>
      <c r="C85" s="175" t="s">
        <v>1537</v>
      </c>
      <c r="D85" s="176" t="s">
        <v>1538</v>
      </c>
      <c r="E85" s="177" t="s">
        <v>951</v>
      </c>
      <c r="F85" s="175">
        <f t="shared" si="3"/>
        <v>10</v>
      </c>
      <c r="G85" s="175" t="str">
        <f t="shared" si="4"/>
        <v>Lakewood</v>
      </c>
      <c r="H85" s="175"/>
      <c r="I85" s="178" t="s">
        <v>1540</v>
      </c>
      <c r="J85" s="27" t="s">
        <v>1538</v>
      </c>
      <c r="K85" s="27">
        <v>826</v>
      </c>
      <c r="L85" s="179">
        <v>5169</v>
      </c>
      <c r="M85" s="180" t="s">
        <v>1541</v>
      </c>
      <c r="N85" s="181" t="s">
        <v>1538</v>
      </c>
      <c r="O85" s="182" t="s">
        <v>1542</v>
      </c>
    </row>
    <row r="86" spans="2:20">
      <c r="B86" s="186" t="s">
        <v>1094</v>
      </c>
      <c r="C86" s="175" t="s">
        <v>1537</v>
      </c>
      <c r="D86" s="176" t="s">
        <v>1538</v>
      </c>
      <c r="E86" s="177" t="s">
        <v>1095</v>
      </c>
      <c r="F86" s="175">
        <f t="shared" si="3"/>
        <v>15</v>
      </c>
      <c r="G86" s="175" t="str">
        <f t="shared" si="4"/>
        <v>New Brunswick</v>
      </c>
      <c r="H86" s="175"/>
      <c r="I86" s="178" t="s">
        <v>61</v>
      </c>
      <c r="J86" s="27" t="s">
        <v>1538</v>
      </c>
      <c r="K86" s="27">
        <v>1201</v>
      </c>
      <c r="L86" s="179">
        <v>4888</v>
      </c>
      <c r="M86" s="180" t="s">
        <v>62</v>
      </c>
      <c r="N86" s="181" t="s">
        <v>1538</v>
      </c>
      <c r="O86" s="182" t="s">
        <v>63</v>
      </c>
    </row>
    <row r="87" spans="2:20">
      <c r="B87" s="186" t="s">
        <v>1096</v>
      </c>
      <c r="C87" s="175" t="s">
        <v>1537</v>
      </c>
      <c r="D87" s="176" t="s">
        <v>1538</v>
      </c>
      <c r="E87" s="177" t="s">
        <v>1095</v>
      </c>
      <c r="F87" s="175">
        <f t="shared" si="3"/>
        <v>15</v>
      </c>
      <c r="G87" s="175" t="str">
        <f t="shared" si="4"/>
        <v>New Brunswick</v>
      </c>
      <c r="H87" s="175"/>
      <c r="I87" s="178" t="s">
        <v>61</v>
      </c>
      <c r="J87" s="27" t="s">
        <v>1538</v>
      </c>
      <c r="K87" s="27">
        <v>1201</v>
      </c>
      <c r="L87" s="179">
        <v>4888</v>
      </c>
      <c r="M87" s="180" t="s">
        <v>62</v>
      </c>
      <c r="N87" s="181" t="s">
        <v>1538</v>
      </c>
      <c r="O87" s="182" t="s">
        <v>63</v>
      </c>
      <c r="S87" s="27"/>
      <c r="T87" s="27"/>
    </row>
    <row r="88" spans="2:20">
      <c r="B88" s="174" t="s">
        <v>1109</v>
      </c>
      <c r="C88" s="175" t="s">
        <v>407</v>
      </c>
      <c r="D88" s="176" t="s">
        <v>408</v>
      </c>
      <c r="E88" s="177" t="s">
        <v>1110</v>
      </c>
      <c r="F88" s="175">
        <f t="shared" si="3"/>
        <v>10</v>
      </c>
      <c r="G88" s="175" t="str">
        <f t="shared" si="4"/>
        <v>New York</v>
      </c>
      <c r="H88" s="175"/>
      <c r="I88" s="178" t="s">
        <v>1111</v>
      </c>
      <c r="J88" s="27" t="s">
        <v>408</v>
      </c>
      <c r="K88" s="27">
        <v>1096</v>
      </c>
      <c r="L88" s="179">
        <v>4805</v>
      </c>
      <c r="M88" s="180" t="s">
        <v>2266</v>
      </c>
      <c r="N88" s="181" t="s">
        <v>408</v>
      </c>
      <c r="O88" s="182" t="s">
        <v>1287</v>
      </c>
    </row>
    <row r="89" spans="2:20">
      <c r="B89" s="174" t="s">
        <v>1112</v>
      </c>
      <c r="C89" s="175" t="s">
        <v>407</v>
      </c>
      <c r="D89" s="176" t="s">
        <v>408</v>
      </c>
      <c r="E89" s="177" t="s">
        <v>1110</v>
      </c>
      <c r="F89" s="175">
        <f t="shared" si="3"/>
        <v>10</v>
      </c>
      <c r="G89" s="175" t="str">
        <f t="shared" si="4"/>
        <v>New York</v>
      </c>
      <c r="H89" s="175"/>
      <c r="I89" s="178" t="s">
        <v>1111</v>
      </c>
      <c r="J89" s="27" t="s">
        <v>408</v>
      </c>
      <c r="K89" s="27">
        <v>1096</v>
      </c>
      <c r="L89" s="179">
        <v>4805</v>
      </c>
      <c r="M89" s="180" t="s">
        <v>2266</v>
      </c>
      <c r="N89" s="181" t="s">
        <v>408</v>
      </c>
      <c r="O89" s="182" t="s">
        <v>1287</v>
      </c>
    </row>
    <row r="90" spans="2:20">
      <c r="B90" s="174" t="s">
        <v>1113</v>
      </c>
      <c r="C90" s="175" t="s">
        <v>407</v>
      </c>
      <c r="D90" s="176" t="s">
        <v>408</v>
      </c>
      <c r="E90" s="177" t="s">
        <v>1110</v>
      </c>
      <c r="F90" s="175">
        <f t="shared" si="3"/>
        <v>10</v>
      </c>
      <c r="G90" s="175" t="str">
        <f t="shared" si="4"/>
        <v>New York</v>
      </c>
      <c r="H90" s="175"/>
      <c r="I90" s="178" t="s">
        <v>1111</v>
      </c>
      <c r="J90" s="27" t="s">
        <v>408</v>
      </c>
      <c r="K90" s="27">
        <v>1096</v>
      </c>
      <c r="L90" s="179">
        <v>4805</v>
      </c>
      <c r="M90" s="180" t="s">
        <v>2266</v>
      </c>
      <c r="N90" s="181" t="s">
        <v>408</v>
      </c>
      <c r="O90" s="182" t="s">
        <v>1287</v>
      </c>
    </row>
    <row r="91" spans="2:20">
      <c r="B91" s="174" t="s">
        <v>1248</v>
      </c>
      <c r="C91" s="175" t="s">
        <v>407</v>
      </c>
      <c r="D91" s="176" t="s">
        <v>408</v>
      </c>
      <c r="E91" s="177" t="s">
        <v>1249</v>
      </c>
      <c r="F91" s="175">
        <f t="shared" si="3"/>
        <v>15</v>
      </c>
      <c r="G91" s="175" t="str">
        <f t="shared" si="4"/>
        <v>Staten Island</v>
      </c>
      <c r="H91" s="175"/>
      <c r="I91" s="178" t="s">
        <v>2265</v>
      </c>
      <c r="J91" s="27" t="s">
        <v>408</v>
      </c>
      <c r="K91" s="27">
        <v>1052</v>
      </c>
      <c r="L91" s="179">
        <v>4910</v>
      </c>
      <c r="M91" s="180" t="s">
        <v>2266</v>
      </c>
      <c r="N91" s="181" t="s">
        <v>408</v>
      </c>
      <c r="O91" s="182" t="s">
        <v>1287</v>
      </c>
    </row>
    <row r="92" spans="2:20">
      <c r="B92" s="174" t="s">
        <v>2263</v>
      </c>
      <c r="C92" s="175" t="s">
        <v>407</v>
      </c>
      <c r="D92" s="176" t="s">
        <v>408</v>
      </c>
      <c r="E92" s="177" t="s">
        <v>2264</v>
      </c>
      <c r="F92" s="175">
        <f t="shared" si="3"/>
        <v>7</v>
      </c>
      <c r="G92" s="175" t="str">
        <f t="shared" si="4"/>
        <v>Bronx</v>
      </c>
      <c r="H92" s="175"/>
      <c r="I92" s="178" t="s">
        <v>2265</v>
      </c>
      <c r="J92" s="27" t="s">
        <v>408</v>
      </c>
      <c r="K92" s="27">
        <v>1052</v>
      </c>
      <c r="L92" s="179">
        <v>4910</v>
      </c>
      <c r="M92" s="180" t="s">
        <v>2266</v>
      </c>
      <c r="N92" s="181" t="s">
        <v>408</v>
      </c>
      <c r="O92" s="182" t="s">
        <v>1287</v>
      </c>
    </row>
    <row r="93" spans="2:20">
      <c r="B93" s="174" t="s">
        <v>1838</v>
      </c>
      <c r="C93" s="175" t="s">
        <v>407</v>
      </c>
      <c r="D93" s="176" t="s">
        <v>408</v>
      </c>
      <c r="E93" s="177" t="s">
        <v>1839</v>
      </c>
      <c r="F93" s="175">
        <f t="shared" si="3"/>
        <v>13</v>
      </c>
      <c r="G93" s="175" t="str">
        <f t="shared" si="4"/>
        <v>Westchester</v>
      </c>
      <c r="H93" s="175"/>
      <c r="I93" s="178" t="s">
        <v>683</v>
      </c>
      <c r="J93" s="27" t="s">
        <v>681</v>
      </c>
      <c r="K93" s="27">
        <v>724</v>
      </c>
      <c r="L93" s="179">
        <v>5537</v>
      </c>
      <c r="M93" s="178" t="s">
        <v>684</v>
      </c>
      <c r="N93" s="27" t="s">
        <v>681</v>
      </c>
      <c r="O93" s="182" t="s">
        <v>685</v>
      </c>
    </row>
    <row r="94" spans="2:20">
      <c r="B94" s="174" t="s">
        <v>1845</v>
      </c>
      <c r="C94" s="175" t="s">
        <v>407</v>
      </c>
      <c r="D94" s="176" t="s">
        <v>408</v>
      </c>
      <c r="E94" s="177" t="s">
        <v>1846</v>
      </c>
      <c r="F94" s="175">
        <f t="shared" si="3"/>
        <v>14</v>
      </c>
      <c r="G94" s="175" t="str">
        <f t="shared" si="4"/>
        <v>White Plains</v>
      </c>
      <c r="H94" s="175"/>
      <c r="I94" s="178" t="s">
        <v>683</v>
      </c>
      <c r="J94" s="27" t="s">
        <v>681</v>
      </c>
      <c r="K94" s="27">
        <v>724</v>
      </c>
      <c r="L94" s="179">
        <v>5537</v>
      </c>
      <c r="M94" s="178" t="s">
        <v>684</v>
      </c>
      <c r="N94" s="27" t="s">
        <v>681</v>
      </c>
      <c r="O94" s="182" t="s">
        <v>685</v>
      </c>
    </row>
    <row r="95" spans="2:20">
      <c r="B95" s="174" t="s">
        <v>1856</v>
      </c>
      <c r="C95" s="175" t="s">
        <v>407</v>
      </c>
      <c r="D95" s="176" t="s">
        <v>408</v>
      </c>
      <c r="E95" s="177" t="s">
        <v>1857</v>
      </c>
      <c r="F95" s="175">
        <f t="shared" si="3"/>
        <v>9</v>
      </c>
      <c r="G95" s="175" t="str">
        <f t="shared" si="4"/>
        <v>Yonkers</v>
      </c>
      <c r="H95" s="175"/>
      <c r="I95" s="178" t="s">
        <v>2265</v>
      </c>
      <c r="J95" s="27" t="s">
        <v>408</v>
      </c>
      <c r="K95" s="27">
        <v>1052</v>
      </c>
      <c r="L95" s="179">
        <v>4910</v>
      </c>
      <c r="M95" s="180" t="s">
        <v>2266</v>
      </c>
      <c r="N95" s="181" t="s">
        <v>408</v>
      </c>
      <c r="O95" s="182" t="s">
        <v>1287</v>
      </c>
    </row>
    <row r="96" spans="2:20">
      <c r="B96" s="174" t="s">
        <v>1107</v>
      </c>
      <c r="C96" s="175" t="s">
        <v>407</v>
      </c>
      <c r="D96" s="176" t="s">
        <v>408</v>
      </c>
      <c r="E96" s="177" t="s">
        <v>1108</v>
      </c>
      <c r="F96" s="175">
        <f t="shared" si="3"/>
        <v>14</v>
      </c>
      <c r="G96" s="175" t="str">
        <f t="shared" si="4"/>
        <v>New Rochelle</v>
      </c>
      <c r="H96" s="175"/>
      <c r="I96" s="178" t="s">
        <v>2265</v>
      </c>
      <c r="J96" s="27" t="s">
        <v>408</v>
      </c>
      <c r="K96" s="27">
        <v>1052</v>
      </c>
      <c r="L96" s="179">
        <v>4910</v>
      </c>
      <c r="M96" s="180" t="s">
        <v>2266</v>
      </c>
      <c r="N96" s="181" t="s">
        <v>408</v>
      </c>
      <c r="O96" s="182" t="s">
        <v>1287</v>
      </c>
    </row>
    <row r="97" spans="2:15">
      <c r="B97" s="174" t="s">
        <v>820</v>
      </c>
      <c r="C97" s="175" t="s">
        <v>407</v>
      </c>
      <c r="D97" s="176" t="s">
        <v>408</v>
      </c>
      <c r="E97" s="177" t="s">
        <v>821</v>
      </c>
      <c r="F97" s="175">
        <f t="shared" si="3"/>
        <v>9</v>
      </c>
      <c r="G97" s="175" t="str">
        <f t="shared" si="4"/>
        <v>Suffern</v>
      </c>
      <c r="H97" s="175"/>
      <c r="I97" s="178" t="s">
        <v>683</v>
      </c>
      <c r="J97" s="27" t="s">
        <v>681</v>
      </c>
      <c r="K97" s="27">
        <v>724</v>
      </c>
      <c r="L97" s="179">
        <v>5537</v>
      </c>
      <c r="M97" s="178" t="s">
        <v>684</v>
      </c>
      <c r="N97" s="27" t="s">
        <v>681</v>
      </c>
      <c r="O97" s="182" t="s">
        <v>685</v>
      </c>
    </row>
    <row r="98" spans="2:15">
      <c r="B98" s="174" t="s">
        <v>2039</v>
      </c>
      <c r="C98" s="175" t="s">
        <v>407</v>
      </c>
      <c r="D98" s="176" t="s">
        <v>408</v>
      </c>
      <c r="E98" s="177" t="s">
        <v>2040</v>
      </c>
      <c r="F98" s="175">
        <f t="shared" si="3"/>
        <v>12</v>
      </c>
      <c r="G98" s="175" t="str">
        <f t="shared" si="4"/>
        <v>Great Neck</v>
      </c>
      <c r="H98" s="175"/>
      <c r="I98" s="178" t="s">
        <v>2265</v>
      </c>
      <c r="J98" s="27" t="s">
        <v>408</v>
      </c>
      <c r="K98" s="27">
        <v>1052</v>
      </c>
      <c r="L98" s="179">
        <v>4910</v>
      </c>
      <c r="M98" s="180" t="s">
        <v>2266</v>
      </c>
      <c r="N98" s="181" t="s">
        <v>408</v>
      </c>
      <c r="O98" s="182" t="s">
        <v>1287</v>
      </c>
    </row>
    <row r="99" spans="2:15">
      <c r="B99" s="174" t="s">
        <v>2479</v>
      </c>
      <c r="C99" s="175" t="s">
        <v>407</v>
      </c>
      <c r="D99" s="176" t="s">
        <v>408</v>
      </c>
      <c r="E99" s="177" t="s">
        <v>2480</v>
      </c>
      <c r="F99" s="175">
        <f t="shared" si="3"/>
        <v>8</v>
      </c>
      <c r="G99" s="175" t="str">
        <f t="shared" si="4"/>
        <v>Queens</v>
      </c>
      <c r="H99" s="175"/>
      <c r="I99" s="178" t="s">
        <v>2265</v>
      </c>
      <c r="J99" s="27" t="s">
        <v>408</v>
      </c>
      <c r="K99" s="27">
        <v>1052</v>
      </c>
      <c r="L99" s="179">
        <v>4910</v>
      </c>
      <c r="M99" s="180" t="s">
        <v>2266</v>
      </c>
      <c r="N99" s="181" t="s">
        <v>408</v>
      </c>
      <c r="O99" s="182" t="s">
        <v>1287</v>
      </c>
    </row>
    <row r="100" spans="2:15">
      <c r="B100" s="174" t="s">
        <v>1288</v>
      </c>
      <c r="C100" s="175" t="s">
        <v>407</v>
      </c>
      <c r="D100" s="176" t="s">
        <v>408</v>
      </c>
      <c r="E100" s="177" t="s">
        <v>1289</v>
      </c>
      <c r="F100" s="175">
        <f t="shared" si="3"/>
        <v>10</v>
      </c>
      <c r="G100" s="175" t="str">
        <f t="shared" si="4"/>
        <v>Brooklyn</v>
      </c>
      <c r="H100" s="175"/>
      <c r="I100" s="178" t="s">
        <v>2265</v>
      </c>
      <c r="J100" s="27" t="s">
        <v>408</v>
      </c>
      <c r="K100" s="27">
        <v>1052</v>
      </c>
      <c r="L100" s="179">
        <v>4910</v>
      </c>
      <c r="M100" s="180" t="s">
        <v>2266</v>
      </c>
      <c r="N100" s="181" t="s">
        <v>408</v>
      </c>
      <c r="O100" s="182" t="s">
        <v>1287</v>
      </c>
    </row>
    <row r="101" spans="2:15">
      <c r="B101" s="174" t="s">
        <v>1934</v>
      </c>
      <c r="C101" s="175" t="s">
        <v>407</v>
      </c>
      <c r="D101" s="176" t="s">
        <v>408</v>
      </c>
      <c r="E101" s="177" t="s">
        <v>1935</v>
      </c>
      <c r="F101" s="175">
        <f t="shared" si="3"/>
        <v>10</v>
      </c>
      <c r="G101" s="175" t="str">
        <f t="shared" si="4"/>
        <v>Flushing</v>
      </c>
      <c r="H101" s="175"/>
      <c r="I101" s="178" t="s">
        <v>1936</v>
      </c>
      <c r="J101" s="27" t="s">
        <v>408</v>
      </c>
      <c r="K101" s="27">
        <v>921</v>
      </c>
      <c r="L101" s="179">
        <v>5027</v>
      </c>
      <c r="M101" s="180" t="s">
        <v>2266</v>
      </c>
      <c r="N101" s="181" t="s">
        <v>408</v>
      </c>
      <c r="O101" s="182" t="s">
        <v>1287</v>
      </c>
    </row>
    <row r="102" spans="2:15">
      <c r="B102" s="174" t="s">
        <v>109</v>
      </c>
      <c r="C102" s="175" t="s">
        <v>407</v>
      </c>
      <c r="D102" s="176" t="s">
        <v>408</v>
      </c>
      <c r="E102" s="177" t="s">
        <v>110</v>
      </c>
      <c r="F102" s="175">
        <f t="shared" si="3"/>
        <v>9</v>
      </c>
      <c r="G102" s="175" t="str">
        <f t="shared" si="4"/>
        <v>Jamaica</v>
      </c>
      <c r="H102" s="175"/>
      <c r="I102" s="178" t="s">
        <v>1936</v>
      </c>
      <c r="J102" s="27" t="s">
        <v>408</v>
      </c>
      <c r="K102" s="27">
        <v>921</v>
      </c>
      <c r="L102" s="179">
        <v>5027</v>
      </c>
      <c r="M102" s="180" t="s">
        <v>2266</v>
      </c>
      <c r="N102" s="181" t="s">
        <v>408</v>
      </c>
      <c r="O102" s="182" t="s">
        <v>1287</v>
      </c>
    </row>
    <row r="103" spans="2:15">
      <c r="B103" s="174" t="s">
        <v>173</v>
      </c>
      <c r="C103" s="175" t="s">
        <v>407</v>
      </c>
      <c r="D103" s="176" t="s">
        <v>408</v>
      </c>
      <c r="E103" s="177" t="s">
        <v>174</v>
      </c>
      <c r="F103" s="175">
        <f t="shared" si="3"/>
        <v>10</v>
      </c>
      <c r="G103" s="175" t="str">
        <f t="shared" si="4"/>
        <v>Minneola</v>
      </c>
      <c r="H103" s="175"/>
      <c r="I103" s="178" t="s">
        <v>1936</v>
      </c>
      <c r="J103" s="27" t="s">
        <v>408</v>
      </c>
      <c r="K103" s="27">
        <v>921</v>
      </c>
      <c r="L103" s="179">
        <v>5027</v>
      </c>
      <c r="M103" s="180" t="s">
        <v>2266</v>
      </c>
      <c r="N103" s="181" t="s">
        <v>408</v>
      </c>
      <c r="O103" s="182" t="s">
        <v>1287</v>
      </c>
    </row>
    <row r="104" spans="2:15">
      <c r="B104" s="174" t="s">
        <v>1902</v>
      </c>
      <c r="C104" s="175" t="s">
        <v>407</v>
      </c>
      <c r="D104" s="176" t="s">
        <v>408</v>
      </c>
      <c r="E104" s="177" t="s">
        <v>1903</v>
      </c>
      <c r="F104" s="175">
        <f t="shared" si="3"/>
        <v>14</v>
      </c>
      <c r="G104" s="175" t="str">
        <f t="shared" si="4"/>
        <v>Far Rockaway</v>
      </c>
      <c r="H104" s="175"/>
      <c r="I104" s="178" t="s">
        <v>1904</v>
      </c>
      <c r="J104" s="27" t="s">
        <v>408</v>
      </c>
      <c r="K104" s="27">
        <v>706</v>
      </c>
      <c r="L104" s="179">
        <v>5647</v>
      </c>
      <c r="M104" s="178" t="s">
        <v>684</v>
      </c>
      <c r="N104" s="27" t="s">
        <v>681</v>
      </c>
      <c r="O104" s="182" t="s">
        <v>685</v>
      </c>
    </row>
    <row r="105" spans="2:15">
      <c r="B105" s="174" t="s">
        <v>772</v>
      </c>
      <c r="C105" s="175" t="s">
        <v>407</v>
      </c>
      <c r="D105" s="176" t="s">
        <v>408</v>
      </c>
      <c r="E105" s="177" t="s">
        <v>773</v>
      </c>
      <c r="F105" s="175">
        <f t="shared" si="3"/>
        <v>12</v>
      </c>
      <c r="G105" s="175" t="str">
        <f t="shared" si="4"/>
        <v>Hicksville</v>
      </c>
      <c r="H105" s="175"/>
      <c r="I105" s="178" t="s">
        <v>1904</v>
      </c>
      <c r="J105" s="27" t="s">
        <v>408</v>
      </c>
      <c r="K105" s="27">
        <v>706</v>
      </c>
      <c r="L105" s="179">
        <v>5647</v>
      </c>
      <c r="M105" s="178" t="s">
        <v>684</v>
      </c>
      <c r="N105" s="27" t="s">
        <v>681</v>
      </c>
      <c r="O105" s="182" t="s">
        <v>685</v>
      </c>
    </row>
    <row r="106" spans="2:15">
      <c r="B106" s="174" t="s">
        <v>774</v>
      </c>
      <c r="C106" s="175" t="s">
        <v>407</v>
      </c>
      <c r="D106" s="176" t="s">
        <v>408</v>
      </c>
      <c r="E106" s="177" t="s">
        <v>773</v>
      </c>
      <c r="F106" s="175">
        <f t="shared" si="3"/>
        <v>12</v>
      </c>
      <c r="G106" s="175" t="str">
        <f t="shared" si="4"/>
        <v>Hicksville</v>
      </c>
      <c r="H106" s="175"/>
      <c r="I106" s="178" t="s">
        <v>1904</v>
      </c>
      <c r="J106" s="27" t="s">
        <v>408</v>
      </c>
      <c r="K106" s="27">
        <v>706</v>
      </c>
      <c r="L106" s="179">
        <v>5647</v>
      </c>
      <c r="M106" s="178" t="s">
        <v>684</v>
      </c>
      <c r="N106" s="27" t="s">
        <v>681</v>
      </c>
      <c r="O106" s="182" t="s">
        <v>685</v>
      </c>
    </row>
    <row r="107" spans="2:15">
      <c r="B107" s="174" t="s">
        <v>285</v>
      </c>
      <c r="C107" s="175" t="s">
        <v>407</v>
      </c>
      <c r="D107" s="176" t="s">
        <v>408</v>
      </c>
      <c r="E107" s="177" t="s">
        <v>286</v>
      </c>
      <c r="F107" s="175">
        <f t="shared" si="3"/>
        <v>11</v>
      </c>
      <c r="G107" s="175" t="str">
        <f t="shared" si="4"/>
        <v>Riverhead</v>
      </c>
      <c r="H107" s="175"/>
      <c r="I107" s="178" t="s">
        <v>683</v>
      </c>
      <c r="J107" s="27" t="s">
        <v>681</v>
      </c>
      <c r="K107" s="27">
        <v>724</v>
      </c>
      <c r="L107" s="179">
        <v>5537</v>
      </c>
      <c r="M107" s="178" t="s">
        <v>684</v>
      </c>
      <c r="N107" s="27" t="s">
        <v>681</v>
      </c>
      <c r="O107" s="182" t="s">
        <v>685</v>
      </c>
    </row>
    <row r="108" spans="2:15">
      <c r="B108" s="174" t="s">
        <v>406</v>
      </c>
      <c r="C108" s="175" t="s">
        <v>407</v>
      </c>
      <c r="D108" s="176" t="s">
        <v>408</v>
      </c>
      <c r="E108" s="177" t="s">
        <v>402</v>
      </c>
      <c r="F108" s="175">
        <f t="shared" si="3"/>
        <v>8</v>
      </c>
      <c r="G108" s="175" t="str">
        <f t="shared" si="4"/>
        <v>Albany</v>
      </c>
      <c r="H108" s="175"/>
      <c r="I108" s="178" t="s">
        <v>409</v>
      </c>
      <c r="J108" s="27" t="s">
        <v>408</v>
      </c>
      <c r="K108" s="27">
        <v>507</v>
      </c>
      <c r="L108" s="179">
        <v>6894</v>
      </c>
      <c r="M108" s="180" t="s">
        <v>410</v>
      </c>
      <c r="N108" s="181" t="s">
        <v>408</v>
      </c>
      <c r="O108" s="182" t="s">
        <v>411</v>
      </c>
    </row>
    <row r="109" spans="2:15">
      <c r="B109" s="174" t="s">
        <v>412</v>
      </c>
      <c r="C109" s="175" t="s">
        <v>407</v>
      </c>
      <c r="D109" s="176" t="s">
        <v>408</v>
      </c>
      <c r="E109" s="177" t="s">
        <v>402</v>
      </c>
      <c r="F109" s="175">
        <f t="shared" si="3"/>
        <v>8</v>
      </c>
      <c r="G109" s="175" t="str">
        <f t="shared" si="4"/>
        <v>Albany</v>
      </c>
      <c r="H109" s="175"/>
      <c r="I109" s="178" t="s">
        <v>409</v>
      </c>
      <c r="J109" s="27" t="s">
        <v>408</v>
      </c>
      <c r="K109" s="27">
        <v>507</v>
      </c>
      <c r="L109" s="179">
        <v>6894</v>
      </c>
      <c r="M109" s="180" t="s">
        <v>410</v>
      </c>
      <c r="N109" s="181" t="s">
        <v>408</v>
      </c>
      <c r="O109" s="182" t="s">
        <v>411</v>
      </c>
    </row>
    <row r="110" spans="2:15">
      <c r="B110" s="174" t="s">
        <v>413</v>
      </c>
      <c r="C110" s="175" t="s">
        <v>407</v>
      </c>
      <c r="D110" s="176" t="s">
        <v>408</v>
      </c>
      <c r="E110" s="177" t="s">
        <v>402</v>
      </c>
      <c r="F110" s="175">
        <f t="shared" si="3"/>
        <v>8</v>
      </c>
      <c r="G110" s="175" t="str">
        <f t="shared" si="4"/>
        <v>Albany</v>
      </c>
      <c r="H110" s="175"/>
      <c r="I110" s="178" t="s">
        <v>409</v>
      </c>
      <c r="J110" s="27" t="s">
        <v>408</v>
      </c>
      <c r="K110" s="27">
        <v>507</v>
      </c>
      <c r="L110" s="179">
        <v>6894</v>
      </c>
      <c r="M110" s="180" t="s">
        <v>410</v>
      </c>
      <c r="N110" s="181" t="s">
        <v>408</v>
      </c>
      <c r="O110" s="182" t="s">
        <v>411</v>
      </c>
    </row>
    <row r="111" spans="2:15">
      <c r="B111" s="174" t="s">
        <v>1017</v>
      </c>
      <c r="C111" s="175" t="s">
        <v>407</v>
      </c>
      <c r="D111" s="176" t="s">
        <v>408</v>
      </c>
      <c r="E111" s="177" t="s">
        <v>1018</v>
      </c>
      <c r="F111" s="175">
        <f t="shared" si="3"/>
        <v>13</v>
      </c>
      <c r="G111" s="175" t="str">
        <f t="shared" si="4"/>
        <v>Schenectady</v>
      </c>
      <c r="H111" s="175"/>
      <c r="I111" s="178" t="s">
        <v>409</v>
      </c>
      <c r="J111" s="27" t="s">
        <v>408</v>
      </c>
      <c r="K111" s="27">
        <v>507</v>
      </c>
      <c r="L111" s="179">
        <v>6894</v>
      </c>
      <c r="M111" s="180" t="s">
        <v>410</v>
      </c>
      <c r="N111" s="181" t="s">
        <v>408</v>
      </c>
      <c r="O111" s="182" t="s">
        <v>411</v>
      </c>
    </row>
    <row r="112" spans="2:15">
      <c r="B112" s="174" t="s">
        <v>914</v>
      </c>
      <c r="C112" s="175" t="s">
        <v>407</v>
      </c>
      <c r="D112" s="176" t="s">
        <v>408</v>
      </c>
      <c r="E112" s="177" t="s">
        <v>915</v>
      </c>
      <c r="F112" s="175">
        <f t="shared" si="3"/>
        <v>10</v>
      </c>
      <c r="G112" s="175" t="str">
        <f t="shared" si="4"/>
        <v>Kingston</v>
      </c>
      <c r="H112" s="175"/>
      <c r="I112" s="178" t="s">
        <v>409</v>
      </c>
      <c r="J112" s="27" t="s">
        <v>408</v>
      </c>
      <c r="K112" s="27">
        <v>507</v>
      </c>
      <c r="L112" s="179">
        <v>6894</v>
      </c>
      <c r="M112" s="180" t="s">
        <v>410</v>
      </c>
      <c r="N112" s="181" t="s">
        <v>408</v>
      </c>
      <c r="O112" s="182" t="s">
        <v>411</v>
      </c>
    </row>
    <row r="113" spans="2:20">
      <c r="B113" s="174" t="s">
        <v>2464</v>
      </c>
      <c r="C113" s="175" t="s">
        <v>407</v>
      </c>
      <c r="D113" s="176" t="s">
        <v>408</v>
      </c>
      <c r="E113" s="177" t="s">
        <v>2465</v>
      </c>
      <c r="F113" s="175">
        <f t="shared" si="3"/>
        <v>14</v>
      </c>
      <c r="G113" s="175" t="str">
        <f t="shared" si="4"/>
        <v>Poughkeepsie</v>
      </c>
      <c r="H113" s="175"/>
      <c r="I113" s="178" t="s">
        <v>747</v>
      </c>
      <c r="J113" s="27" t="s">
        <v>681</v>
      </c>
      <c r="K113" s="27">
        <v>677</v>
      </c>
      <c r="L113" s="179">
        <v>6151</v>
      </c>
      <c r="M113" s="178" t="s">
        <v>744</v>
      </c>
      <c r="N113" s="27" t="s">
        <v>681</v>
      </c>
      <c r="O113" s="182" t="s">
        <v>745</v>
      </c>
    </row>
    <row r="114" spans="2:20">
      <c r="B114" s="174" t="s">
        <v>2466</v>
      </c>
      <c r="C114" s="175" t="s">
        <v>407</v>
      </c>
      <c r="D114" s="176" t="s">
        <v>408</v>
      </c>
      <c r="E114" s="177" t="s">
        <v>2465</v>
      </c>
      <c r="F114" s="175">
        <f t="shared" si="3"/>
        <v>14</v>
      </c>
      <c r="G114" s="175" t="str">
        <f t="shared" si="4"/>
        <v>Poughkeepsie</v>
      </c>
      <c r="H114" s="175"/>
      <c r="I114" s="178" t="s">
        <v>683</v>
      </c>
      <c r="J114" s="27" t="s">
        <v>681</v>
      </c>
      <c r="K114" s="27">
        <v>724</v>
      </c>
      <c r="L114" s="179">
        <v>5537</v>
      </c>
      <c r="M114" s="178" t="s">
        <v>684</v>
      </c>
      <c r="N114" s="27" t="s">
        <v>681</v>
      </c>
      <c r="O114" s="182" t="s">
        <v>685</v>
      </c>
      <c r="S114" s="27"/>
      <c r="T114" s="27"/>
    </row>
    <row r="115" spans="2:20">
      <c r="B115" s="174" t="s">
        <v>1069</v>
      </c>
      <c r="C115" s="175" t="s">
        <v>407</v>
      </c>
      <c r="D115" s="176" t="s">
        <v>408</v>
      </c>
      <c r="E115" s="177" t="s">
        <v>1070</v>
      </c>
      <c r="F115" s="175">
        <f t="shared" si="3"/>
        <v>12</v>
      </c>
      <c r="G115" s="175" t="str">
        <f t="shared" si="4"/>
        <v>Monticello</v>
      </c>
      <c r="H115" s="175"/>
      <c r="I115" s="178" t="s">
        <v>1426</v>
      </c>
      <c r="J115" s="27" t="s">
        <v>408</v>
      </c>
      <c r="K115" s="27">
        <v>337</v>
      </c>
      <c r="L115" s="179">
        <v>7273</v>
      </c>
      <c r="M115" s="180" t="s">
        <v>1427</v>
      </c>
      <c r="N115" s="181" t="s">
        <v>441</v>
      </c>
      <c r="O115" s="182" t="s">
        <v>1428</v>
      </c>
    </row>
    <row r="116" spans="2:20">
      <c r="B116" s="174" t="s">
        <v>2013</v>
      </c>
      <c r="C116" s="175" t="s">
        <v>407</v>
      </c>
      <c r="D116" s="176" t="s">
        <v>408</v>
      </c>
      <c r="E116" s="177" t="s">
        <v>2014</v>
      </c>
      <c r="F116" s="175">
        <f t="shared" si="3"/>
        <v>13</v>
      </c>
      <c r="G116" s="175" t="str">
        <f t="shared" si="4"/>
        <v>Glens Falls</v>
      </c>
      <c r="H116" s="175"/>
      <c r="I116" s="178" t="s">
        <v>1329</v>
      </c>
      <c r="J116" s="27" t="s">
        <v>1612</v>
      </c>
      <c r="K116" s="27">
        <v>388</v>
      </c>
      <c r="L116" s="179">
        <v>7771</v>
      </c>
      <c r="M116" s="180" t="s">
        <v>1330</v>
      </c>
      <c r="N116" s="181" t="s">
        <v>1612</v>
      </c>
      <c r="O116" s="182" t="s">
        <v>1331</v>
      </c>
    </row>
    <row r="117" spans="2:20">
      <c r="B117" s="174" t="s">
        <v>2435</v>
      </c>
      <c r="C117" s="175" t="s">
        <v>407</v>
      </c>
      <c r="D117" s="176" t="s">
        <v>408</v>
      </c>
      <c r="E117" s="177" t="s">
        <v>2436</v>
      </c>
      <c r="F117" s="175">
        <f t="shared" si="3"/>
        <v>13</v>
      </c>
      <c r="G117" s="175" t="str">
        <f t="shared" si="4"/>
        <v>Plattsburgh</v>
      </c>
      <c r="H117" s="175"/>
      <c r="I117" s="178" t="s">
        <v>1329</v>
      </c>
      <c r="J117" s="27" t="s">
        <v>1612</v>
      </c>
      <c r="K117" s="27">
        <v>388</v>
      </c>
      <c r="L117" s="179">
        <v>7771</v>
      </c>
      <c r="M117" s="180" t="s">
        <v>1330</v>
      </c>
      <c r="N117" s="181" t="s">
        <v>1612</v>
      </c>
      <c r="O117" s="182" t="s">
        <v>1331</v>
      </c>
    </row>
    <row r="118" spans="2:20">
      <c r="B118" s="174" t="s">
        <v>831</v>
      </c>
      <c r="C118" s="175" t="s">
        <v>407</v>
      </c>
      <c r="D118" s="176" t="s">
        <v>408</v>
      </c>
      <c r="E118" s="177" t="s">
        <v>832</v>
      </c>
      <c r="F118" s="175">
        <f t="shared" si="3"/>
        <v>10</v>
      </c>
      <c r="G118" s="175" t="str">
        <f t="shared" si="4"/>
        <v>Syracuse</v>
      </c>
      <c r="H118" s="175"/>
      <c r="I118" s="178" t="s">
        <v>95</v>
      </c>
      <c r="J118" s="27" t="s">
        <v>408</v>
      </c>
      <c r="K118" s="27">
        <v>438</v>
      </c>
      <c r="L118" s="179">
        <v>6834</v>
      </c>
      <c r="M118" s="180" t="s">
        <v>1035</v>
      </c>
      <c r="N118" s="181" t="s">
        <v>408</v>
      </c>
      <c r="O118" s="182" t="s">
        <v>1036</v>
      </c>
    </row>
    <row r="119" spans="2:20">
      <c r="B119" s="174" t="s">
        <v>833</v>
      </c>
      <c r="C119" s="175" t="s">
        <v>407</v>
      </c>
      <c r="D119" s="176" t="s">
        <v>408</v>
      </c>
      <c r="E119" s="177" t="s">
        <v>832</v>
      </c>
      <c r="F119" s="175">
        <f t="shared" si="3"/>
        <v>10</v>
      </c>
      <c r="G119" s="175" t="str">
        <f t="shared" si="4"/>
        <v>Syracuse</v>
      </c>
      <c r="H119" s="175"/>
      <c r="I119" s="178" t="s">
        <v>1312</v>
      </c>
      <c r="J119" s="27" t="s">
        <v>408</v>
      </c>
      <c r="K119" s="27">
        <v>425</v>
      </c>
      <c r="L119" s="179">
        <v>6734</v>
      </c>
      <c r="M119" s="180" t="s">
        <v>1035</v>
      </c>
      <c r="N119" s="181" t="s">
        <v>408</v>
      </c>
      <c r="O119" s="182" t="s">
        <v>1036</v>
      </c>
    </row>
    <row r="120" spans="2:20">
      <c r="B120" s="174" t="s">
        <v>834</v>
      </c>
      <c r="C120" s="175" t="s">
        <v>407</v>
      </c>
      <c r="D120" s="176" t="s">
        <v>408</v>
      </c>
      <c r="E120" s="177" t="s">
        <v>832</v>
      </c>
      <c r="F120" s="175">
        <f t="shared" si="3"/>
        <v>10</v>
      </c>
      <c r="G120" s="175" t="str">
        <f t="shared" si="4"/>
        <v>Syracuse</v>
      </c>
      <c r="H120" s="175"/>
      <c r="I120" s="178" t="s">
        <v>95</v>
      </c>
      <c r="J120" s="27" t="s">
        <v>408</v>
      </c>
      <c r="K120" s="27">
        <v>438</v>
      </c>
      <c r="L120" s="179">
        <v>6834</v>
      </c>
      <c r="M120" s="180" t="s">
        <v>1035</v>
      </c>
      <c r="N120" s="181" t="s">
        <v>408</v>
      </c>
      <c r="O120" s="182" t="s">
        <v>1036</v>
      </c>
    </row>
    <row r="121" spans="2:20">
      <c r="B121" s="174" t="s">
        <v>1773</v>
      </c>
      <c r="C121" s="175" t="s">
        <v>407</v>
      </c>
      <c r="D121" s="176" t="s">
        <v>408</v>
      </c>
      <c r="E121" s="177" t="s">
        <v>1774</v>
      </c>
      <c r="F121" s="175">
        <f t="shared" si="3"/>
        <v>7</v>
      </c>
      <c r="G121" s="175" t="str">
        <f t="shared" si="4"/>
        <v>Utica</v>
      </c>
      <c r="H121" s="175"/>
      <c r="I121" s="178" t="s">
        <v>1426</v>
      </c>
      <c r="J121" s="27" t="s">
        <v>408</v>
      </c>
      <c r="K121" s="27">
        <v>337</v>
      </c>
      <c r="L121" s="179">
        <v>7273</v>
      </c>
      <c r="M121" s="180" t="s">
        <v>1427</v>
      </c>
      <c r="N121" s="181" t="s">
        <v>441</v>
      </c>
      <c r="O121" s="182" t="s">
        <v>1428</v>
      </c>
    </row>
    <row r="122" spans="2:20">
      <c r="B122" s="174" t="s">
        <v>1775</v>
      </c>
      <c r="C122" s="175" t="s">
        <v>407</v>
      </c>
      <c r="D122" s="176" t="s">
        <v>408</v>
      </c>
      <c r="E122" s="177" t="s">
        <v>1774</v>
      </c>
      <c r="F122" s="175">
        <f t="shared" si="3"/>
        <v>7</v>
      </c>
      <c r="G122" s="175" t="str">
        <f t="shared" si="4"/>
        <v>Utica</v>
      </c>
      <c r="H122" s="175"/>
      <c r="I122" s="178" t="s">
        <v>1426</v>
      </c>
      <c r="J122" s="27" t="s">
        <v>408</v>
      </c>
      <c r="K122" s="27">
        <v>337</v>
      </c>
      <c r="L122" s="179">
        <v>7273</v>
      </c>
      <c r="M122" s="180" t="s">
        <v>1427</v>
      </c>
      <c r="N122" s="181" t="s">
        <v>441</v>
      </c>
      <c r="O122" s="182" t="s">
        <v>1428</v>
      </c>
    </row>
    <row r="123" spans="2:20">
      <c r="B123" s="174" t="s">
        <v>1776</v>
      </c>
      <c r="C123" s="175" t="s">
        <v>407</v>
      </c>
      <c r="D123" s="176" t="s">
        <v>408</v>
      </c>
      <c r="E123" s="177" t="s">
        <v>1774</v>
      </c>
      <c r="F123" s="175">
        <f t="shared" si="3"/>
        <v>7</v>
      </c>
      <c r="G123" s="175" t="str">
        <f t="shared" si="4"/>
        <v>Utica</v>
      </c>
      <c r="H123" s="175"/>
      <c r="I123" s="178" t="s">
        <v>95</v>
      </c>
      <c r="J123" s="27" t="s">
        <v>408</v>
      </c>
      <c r="K123" s="27">
        <v>438</v>
      </c>
      <c r="L123" s="179">
        <v>6834</v>
      </c>
      <c r="M123" s="180" t="s">
        <v>1035</v>
      </c>
      <c r="N123" s="181" t="s">
        <v>408</v>
      </c>
      <c r="O123" s="182" t="s">
        <v>1036</v>
      </c>
    </row>
    <row r="124" spans="2:20">
      <c r="B124" s="174" t="s">
        <v>1815</v>
      </c>
      <c r="C124" s="175" t="s">
        <v>407</v>
      </c>
      <c r="D124" s="176" t="s">
        <v>408</v>
      </c>
      <c r="E124" s="177" t="s">
        <v>1816</v>
      </c>
      <c r="F124" s="175">
        <f t="shared" si="3"/>
        <v>11</v>
      </c>
      <c r="G124" s="175" t="str">
        <f t="shared" si="4"/>
        <v>Watertown</v>
      </c>
      <c r="H124" s="175"/>
      <c r="I124" s="178" t="s">
        <v>95</v>
      </c>
      <c r="J124" s="27" t="s">
        <v>408</v>
      </c>
      <c r="K124" s="27">
        <v>438</v>
      </c>
      <c r="L124" s="179">
        <v>6834</v>
      </c>
      <c r="M124" s="180" t="s">
        <v>1035</v>
      </c>
      <c r="N124" s="181" t="s">
        <v>408</v>
      </c>
      <c r="O124" s="182" t="s">
        <v>1036</v>
      </c>
      <c r="S124" s="27"/>
      <c r="T124" s="27"/>
    </row>
    <row r="125" spans="2:20">
      <c r="B125" s="174" t="s">
        <v>1422</v>
      </c>
      <c r="C125" s="175" t="s">
        <v>407</v>
      </c>
      <c r="D125" s="176" t="s">
        <v>408</v>
      </c>
      <c r="E125" s="177" t="s">
        <v>1423</v>
      </c>
      <c r="F125" s="175">
        <f t="shared" si="3"/>
        <v>12</v>
      </c>
      <c r="G125" s="175" t="str">
        <f t="shared" si="4"/>
        <v>Binghamton</v>
      </c>
      <c r="H125" s="175"/>
      <c r="I125" s="178" t="s">
        <v>409</v>
      </c>
      <c r="J125" s="27" t="s">
        <v>408</v>
      </c>
      <c r="K125" s="27">
        <v>507</v>
      </c>
      <c r="L125" s="179">
        <v>6894</v>
      </c>
      <c r="M125" s="180" t="s">
        <v>410</v>
      </c>
      <c r="N125" s="181" t="s">
        <v>408</v>
      </c>
      <c r="O125" s="182" t="s">
        <v>411</v>
      </c>
      <c r="S125" s="27"/>
      <c r="T125" s="27"/>
    </row>
    <row r="126" spans="2:20">
      <c r="B126" s="174" t="s">
        <v>1424</v>
      </c>
      <c r="C126" s="175" t="s">
        <v>407</v>
      </c>
      <c r="D126" s="176" t="s">
        <v>408</v>
      </c>
      <c r="E126" s="177" t="s">
        <v>1423</v>
      </c>
      <c r="F126" s="175">
        <f t="shared" si="3"/>
        <v>12</v>
      </c>
      <c r="G126" s="175" t="str">
        <f t="shared" si="4"/>
        <v>Binghamton</v>
      </c>
      <c r="H126" s="175"/>
      <c r="I126" s="178" t="s">
        <v>409</v>
      </c>
      <c r="J126" s="27" t="s">
        <v>408</v>
      </c>
      <c r="K126" s="27">
        <v>507</v>
      </c>
      <c r="L126" s="179">
        <v>6894</v>
      </c>
      <c r="M126" s="180" t="s">
        <v>410</v>
      </c>
      <c r="N126" s="181" t="s">
        <v>408</v>
      </c>
      <c r="O126" s="182" t="s">
        <v>411</v>
      </c>
    </row>
    <row r="127" spans="2:20">
      <c r="B127" s="174" t="s">
        <v>1425</v>
      </c>
      <c r="C127" s="175" t="s">
        <v>407</v>
      </c>
      <c r="D127" s="176" t="s">
        <v>408</v>
      </c>
      <c r="E127" s="177" t="s">
        <v>1423</v>
      </c>
      <c r="F127" s="175">
        <f t="shared" si="3"/>
        <v>12</v>
      </c>
      <c r="G127" s="175" t="str">
        <f t="shared" si="4"/>
        <v>Binghamton</v>
      </c>
      <c r="H127" s="175"/>
      <c r="I127" s="178" t="s">
        <v>1426</v>
      </c>
      <c r="J127" s="27" t="s">
        <v>408</v>
      </c>
      <c r="K127" s="27">
        <v>337</v>
      </c>
      <c r="L127" s="179">
        <v>7273</v>
      </c>
      <c r="M127" s="180" t="s">
        <v>1427</v>
      </c>
      <c r="N127" s="181" t="s">
        <v>441</v>
      </c>
      <c r="O127" s="182" t="s">
        <v>1428</v>
      </c>
    </row>
    <row r="128" spans="2:20">
      <c r="B128" s="174" t="s">
        <v>1309</v>
      </c>
      <c r="C128" s="175" t="s">
        <v>407</v>
      </c>
      <c r="D128" s="176" t="s">
        <v>408</v>
      </c>
      <c r="E128" s="177" t="s">
        <v>1310</v>
      </c>
      <c r="F128" s="175">
        <f t="shared" si="3"/>
        <v>9</v>
      </c>
      <c r="G128" s="175" t="str">
        <f t="shared" si="4"/>
        <v>Buffalo</v>
      </c>
      <c r="H128" s="175"/>
      <c r="I128" s="178" t="s">
        <v>669</v>
      </c>
      <c r="J128" s="27" t="s">
        <v>441</v>
      </c>
      <c r="K128" s="27">
        <v>550</v>
      </c>
      <c r="L128" s="179">
        <v>6279</v>
      </c>
      <c r="M128" s="180" t="s">
        <v>670</v>
      </c>
      <c r="N128" s="181" t="s">
        <v>441</v>
      </c>
      <c r="O128" s="182" t="s">
        <v>671</v>
      </c>
    </row>
    <row r="129" spans="2:20">
      <c r="B129" s="174" t="s">
        <v>1311</v>
      </c>
      <c r="C129" s="175" t="s">
        <v>407</v>
      </c>
      <c r="D129" s="176" t="s">
        <v>408</v>
      </c>
      <c r="E129" s="177" t="s">
        <v>1310</v>
      </c>
      <c r="F129" s="175">
        <f t="shared" si="3"/>
        <v>9</v>
      </c>
      <c r="G129" s="175" t="str">
        <f t="shared" si="4"/>
        <v>Buffalo</v>
      </c>
      <c r="H129" s="175"/>
      <c r="I129" s="178" t="s">
        <v>1312</v>
      </c>
      <c r="J129" s="27" t="s">
        <v>408</v>
      </c>
      <c r="K129" s="27">
        <v>425</v>
      </c>
      <c r="L129" s="179">
        <v>6734</v>
      </c>
      <c r="M129" s="180" t="s">
        <v>1313</v>
      </c>
      <c r="N129" s="181" t="s">
        <v>408</v>
      </c>
      <c r="O129" s="182" t="s">
        <v>1314</v>
      </c>
    </row>
    <row r="130" spans="2:20">
      <c r="B130" s="174" t="s">
        <v>1315</v>
      </c>
      <c r="C130" s="175" t="s">
        <v>407</v>
      </c>
      <c r="D130" s="176" t="s">
        <v>408</v>
      </c>
      <c r="E130" s="177" t="s">
        <v>1310</v>
      </c>
      <c r="F130" s="175">
        <f t="shared" si="3"/>
        <v>9</v>
      </c>
      <c r="G130" s="175" t="str">
        <f t="shared" si="4"/>
        <v>Buffalo</v>
      </c>
      <c r="H130" s="175"/>
      <c r="I130" s="178" t="s">
        <v>1316</v>
      </c>
      <c r="J130" s="27" t="s">
        <v>408</v>
      </c>
      <c r="K130" s="27">
        <v>477</v>
      </c>
      <c r="L130" s="179">
        <v>6747</v>
      </c>
      <c r="M130" s="180" t="s">
        <v>1317</v>
      </c>
      <c r="N130" s="181" t="s">
        <v>408</v>
      </c>
      <c r="O130" s="182" t="s">
        <v>1318</v>
      </c>
    </row>
    <row r="131" spans="2:20">
      <c r="B131" s="174" t="s">
        <v>143</v>
      </c>
      <c r="C131" s="175" t="s">
        <v>407</v>
      </c>
      <c r="D131" s="176" t="s">
        <v>408</v>
      </c>
      <c r="E131" s="177" t="s">
        <v>144</v>
      </c>
      <c r="F131" s="175">
        <f t="shared" si="3"/>
        <v>15</v>
      </c>
      <c r="G131" s="175" t="str">
        <f t="shared" si="4"/>
        <v>Niagara Falls</v>
      </c>
      <c r="H131" s="175"/>
      <c r="I131" s="178" t="s">
        <v>1316</v>
      </c>
      <c r="J131" s="27" t="s">
        <v>408</v>
      </c>
      <c r="K131" s="27">
        <v>477</v>
      </c>
      <c r="L131" s="179">
        <v>6747</v>
      </c>
      <c r="M131" s="180" t="s">
        <v>1317</v>
      </c>
      <c r="N131" s="181" t="s">
        <v>408</v>
      </c>
      <c r="O131" s="182" t="s">
        <v>1318</v>
      </c>
    </row>
    <row r="132" spans="2:20">
      <c r="B132" s="174" t="s">
        <v>296</v>
      </c>
      <c r="C132" s="175" t="s">
        <v>407</v>
      </c>
      <c r="D132" s="176" t="s">
        <v>408</v>
      </c>
      <c r="E132" s="177" t="s">
        <v>295</v>
      </c>
      <c r="F132" s="175">
        <f t="shared" si="3"/>
        <v>11</v>
      </c>
      <c r="G132" s="175" t="str">
        <f t="shared" si="4"/>
        <v>Rochester</v>
      </c>
      <c r="H132" s="175"/>
      <c r="I132" s="178" t="s">
        <v>1316</v>
      </c>
      <c r="J132" s="27" t="s">
        <v>408</v>
      </c>
      <c r="K132" s="27">
        <v>477</v>
      </c>
      <c r="L132" s="179">
        <v>6747</v>
      </c>
      <c r="M132" s="180" t="s">
        <v>1317</v>
      </c>
      <c r="N132" s="181" t="s">
        <v>408</v>
      </c>
      <c r="O132" s="182" t="s">
        <v>1318</v>
      </c>
    </row>
    <row r="133" spans="2:20">
      <c r="B133" s="174" t="s">
        <v>297</v>
      </c>
      <c r="C133" s="175" t="s">
        <v>407</v>
      </c>
      <c r="D133" s="176" t="s">
        <v>408</v>
      </c>
      <c r="E133" s="177" t="s">
        <v>295</v>
      </c>
      <c r="F133" s="175">
        <f t="shared" si="3"/>
        <v>11</v>
      </c>
      <c r="G133" s="175" t="str">
        <f t="shared" si="4"/>
        <v>Rochester</v>
      </c>
      <c r="H133" s="175"/>
      <c r="I133" s="178" t="s">
        <v>1316</v>
      </c>
      <c r="J133" s="27" t="s">
        <v>408</v>
      </c>
      <c r="K133" s="27">
        <v>477</v>
      </c>
      <c r="L133" s="179">
        <v>6747</v>
      </c>
      <c r="M133" s="180" t="s">
        <v>1317</v>
      </c>
      <c r="N133" s="181" t="s">
        <v>408</v>
      </c>
      <c r="O133" s="182" t="s">
        <v>1318</v>
      </c>
      <c r="S133" s="27"/>
      <c r="T133" s="27"/>
    </row>
    <row r="134" spans="2:20">
      <c r="B134" s="174" t="s">
        <v>298</v>
      </c>
      <c r="C134" s="175" t="s">
        <v>407</v>
      </c>
      <c r="D134" s="176" t="s">
        <v>408</v>
      </c>
      <c r="E134" s="177" t="s">
        <v>295</v>
      </c>
      <c r="F134" s="175">
        <f t="shared" si="3"/>
        <v>11</v>
      </c>
      <c r="G134" s="175" t="str">
        <f t="shared" si="4"/>
        <v>Rochester</v>
      </c>
      <c r="H134" s="175"/>
      <c r="I134" s="178" t="s">
        <v>1312</v>
      </c>
      <c r="J134" s="27" t="s">
        <v>408</v>
      </c>
      <c r="K134" s="27">
        <v>425</v>
      </c>
      <c r="L134" s="179">
        <v>6734</v>
      </c>
      <c r="M134" s="180" t="s">
        <v>1313</v>
      </c>
      <c r="N134" s="181" t="s">
        <v>408</v>
      </c>
      <c r="O134" s="182" t="s">
        <v>1314</v>
      </c>
    </row>
    <row r="135" spans="2:20">
      <c r="B135" s="174" t="s">
        <v>113</v>
      </c>
      <c r="C135" s="175" t="s">
        <v>407</v>
      </c>
      <c r="D135" s="176" t="s">
        <v>408</v>
      </c>
      <c r="E135" s="177" t="s">
        <v>112</v>
      </c>
      <c r="F135" s="175">
        <f t="shared" si="3"/>
        <v>11</v>
      </c>
      <c r="G135" s="175" t="str">
        <f t="shared" si="4"/>
        <v>Jamestown</v>
      </c>
      <c r="H135" s="175"/>
      <c r="I135" s="178" t="s">
        <v>669</v>
      </c>
      <c r="J135" s="27" t="s">
        <v>441</v>
      </c>
      <c r="K135" s="27">
        <v>550</v>
      </c>
      <c r="L135" s="179">
        <v>6279</v>
      </c>
      <c r="M135" s="180" t="s">
        <v>670</v>
      </c>
      <c r="N135" s="181" t="s">
        <v>441</v>
      </c>
      <c r="O135" s="182" t="s">
        <v>671</v>
      </c>
    </row>
    <row r="136" spans="2:20">
      <c r="B136" s="174" t="s">
        <v>93</v>
      </c>
      <c r="C136" s="175" t="s">
        <v>407</v>
      </c>
      <c r="D136" s="176" t="s">
        <v>408</v>
      </c>
      <c r="E136" s="177" t="s">
        <v>94</v>
      </c>
      <c r="F136" s="175">
        <f t="shared" si="3"/>
        <v>8</v>
      </c>
      <c r="G136" s="175" t="str">
        <f t="shared" si="4"/>
        <v>Ithaca</v>
      </c>
      <c r="H136" s="175"/>
      <c r="I136" s="178" t="s">
        <v>95</v>
      </c>
      <c r="J136" s="27" t="s">
        <v>408</v>
      </c>
      <c r="K136" s="27">
        <v>438</v>
      </c>
      <c r="L136" s="179">
        <v>6834</v>
      </c>
      <c r="M136" s="180" t="s">
        <v>1035</v>
      </c>
      <c r="N136" s="181" t="s">
        <v>408</v>
      </c>
      <c r="O136" s="182" t="s">
        <v>1036</v>
      </c>
    </row>
    <row r="137" spans="2:20">
      <c r="B137" s="174" t="s">
        <v>1033</v>
      </c>
      <c r="C137" s="175" t="s">
        <v>407</v>
      </c>
      <c r="D137" s="176" t="s">
        <v>408</v>
      </c>
      <c r="E137" s="177" t="s">
        <v>1034</v>
      </c>
      <c r="F137" s="175">
        <f t="shared" si="3"/>
        <v>8</v>
      </c>
      <c r="G137" s="175" t="str">
        <f t="shared" si="4"/>
        <v>Elmira</v>
      </c>
      <c r="H137" s="175"/>
      <c r="I137" s="178" t="s">
        <v>1426</v>
      </c>
      <c r="J137" s="27" t="s">
        <v>408</v>
      </c>
      <c r="K137" s="27">
        <v>337</v>
      </c>
      <c r="L137" s="179">
        <v>7273</v>
      </c>
      <c r="M137" s="180" t="s">
        <v>1035</v>
      </c>
      <c r="N137" s="181" t="s">
        <v>408</v>
      </c>
      <c r="O137" s="182" t="s">
        <v>1036</v>
      </c>
    </row>
    <row r="138" spans="2:20">
      <c r="B138" s="174" t="s">
        <v>2426</v>
      </c>
      <c r="C138" s="175" t="s">
        <v>440</v>
      </c>
      <c r="D138" s="176" t="s">
        <v>441</v>
      </c>
      <c r="E138" s="177" t="s">
        <v>2427</v>
      </c>
      <c r="F138" s="175">
        <f t="shared" ref="F138:F201" si="5">LEN(E138)</f>
        <v>12</v>
      </c>
      <c r="G138" s="175" t="str">
        <f t="shared" ref="G138:G201" si="6">MID(E138,2,F138-2)</f>
        <v>Pittsburgh</v>
      </c>
      <c r="H138" s="175"/>
      <c r="I138" s="178" t="s">
        <v>455</v>
      </c>
      <c r="J138" s="27" t="s">
        <v>441</v>
      </c>
      <c r="K138" s="27">
        <v>654</v>
      </c>
      <c r="L138" s="179">
        <v>5968</v>
      </c>
      <c r="M138" s="180" t="s">
        <v>456</v>
      </c>
      <c r="N138" s="181" t="s">
        <v>441</v>
      </c>
      <c r="O138" s="182" t="s">
        <v>457</v>
      </c>
    </row>
    <row r="139" spans="2:20">
      <c r="B139" s="174" t="s">
        <v>2428</v>
      </c>
      <c r="C139" s="175" t="s">
        <v>440</v>
      </c>
      <c r="D139" s="176" t="s">
        <v>441</v>
      </c>
      <c r="E139" s="177" t="s">
        <v>2427</v>
      </c>
      <c r="F139" s="175">
        <f t="shared" si="5"/>
        <v>12</v>
      </c>
      <c r="G139" s="175" t="str">
        <f t="shared" si="6"/>
        <v>Pittsburgh</v>
      </c>
      <c r="H139" s="175"/>
      <c r="I139" s="178" t="s">
        <v>455</v>
      </c>
      <c r="J139" s="27" t="s">
        <v>441</v>
      </c>
      <c r="K139" s="27">
        <v>654</v>
      </c>
      <c r="L139" s="179">
        <v>5968</v>
      </c>
      <c r="M139" s="180" t="s">
        <v>456</v>
      </c>
      <c r="N139" s="181" t="s">
        <v>441</v>
      </c>
      <c r="O139" s="182" t="s">
        <v>457</v>
      </c>
    </row>
    <row r="140" spans="2:20">
      <c r="B140" s="174" t="s">
        <v>2429</v>
      </c>
      <c r="C140" s="175" t="s">
        <v>440</v>
      </c>
      <c r="D140" s="176" t="s">
        <v>441</v>
      </c>
      <c r="E140" s="177" t="s">
        <v>2427</v>
      </c>
      <c r="F140" s="175">
        <f t="shared" si="5"/>
        <v>12</v>
      </c>
      <c r="G140" s="175" t="str">
        <f t="shared" si="6"/>
        <v>Pittsburgh</v>
      </c>
      <c r="H140" s="175"/>
      <c r="I140" s="178" t="s">
        <v>455</v>
      </c>
      <c r="J140" s="27" t="s">
        <v>441</v>
      </c>
      <c r="K140" s="27">
        <v>654</v>
      </c>
      <c r="L140" s="179">
        <v>5968</v>
      </c>
      <c r="M140" s="180" t="s">
        <v>456</v>
      </c>
      <c r="N140" s="181" t="s">
        <v>441</v>
      </c>
      <c r="O140" s="182" t="s">
        <v>457</v>
      </c>
    </row>
    <row r="141" spans="2:20">
      <c r="B141" s="174" t="s">
        <v>1809</v>
      </c>
      <c r="C141" s="175" t="s">
        <v>440</v>
      </c>
      <c r="D141" s="176" t="s">
        <v>441</v>
      </c>
      <c r="E141" s="177" t="s">
        <v>584</v>
      </c>
      <c r="F141" s="175">
        <f t="shared" si="5"/>
        <v>12</v>
      </c>
      <c r="G141" s="175" t="str">
        <f t="shared" si="6"/>
        <v>Washington</v>
      </c>
      <c r="H141" s="175"/>
      <c r="I141" s="178" t="s">
        <v>455</v>
      </c>
      <c r="J141" s="27" t="s">
        <v>441</v>
      </c>
      <c r="K141" s="27">
        <v>654</v>
      </c>
      <c r="L141" s="179">
        <v>5968</v>
      </c>
      <c r="M141" s="180" t="s">
        <v>456</v>
      </c>
      <c r="N141" s="181" t="s">
        <v>441</v>
      </c>
      <c r="O141" s="182" t="s">
        <v>457</v>
      </c>
    </row>
    <row r="142" spans="2:20">
      <c r="B142" s="174" t="s">
        <v>1771</v>
      </c>
      <c r="C142" s="175" t="s">
        <v>440</v>
      </c>
      <c r="D142" s="176" t="s">
        <v>441</v>
      </c>
      <c r="E142" s="177" t="s">
        <v>1772</v>
      </c>
      <c r="F142" s="175">
        <f t="shared" si="5"/>
        <v>11</v>
      </c>
      <c r="G142" s="175" t="str">
        <f t="shared" si="6"/>
        <v>Uniontown</v>
      </c>
      <c r="H142" s="175"/>
      <c r="I142" s="178" t="s">
        <v>455</v>
      </c>
      <c r="J142" s="27" t="s">
        <v>441</v>
      </c>
      <c r="K142" s="27">
        <v>654</v>
      </c>
      <c r="L142" s="179">
        <v>5968</v>
      </c>
      <c r="M142" s="180" t="s">
        <v>456</v>
      </c>
      <c r="N142" s="181" t="s">
        <v>441</v>
      </c>
      <c r="O142" s="182" t="s">
        <v>457</v>
      </c>
    </row>
    <row r="143" spans="2:20">
      <c r="B143" s="174" t="s">
        <v>2248</v>
      </c>
      <c r="C143" s="175" t="s">
        <v>440</v>
      </c>
      <c r="D143" s="176" t="s">
        <v>441</v>
      </c>
      <c r="E143" s="177" t="s">
        <v>2246</v>
      </c>
      <c r="F143" s="175">
        <f t="shared" si="5"/>
        <v>10</v>
      </c>
      <c r="G143" s="175" t="str">
        <f t="shared" si="6"/>
        <v>Somerset</v>
      </c>
      <c r="H143" s="175"/>
      <c r="I143" s="178" t="s">
        <v>455</v>
      </c>
      <c r="J143" s="27" t="s">
        <v>441</v>
      </c>
      <c r="K143" s="27">
        <v>654</v>
      </c>
      <c r="L143" s="179">
        <v>5968</v>
      </c>
      <c r="M143" s="180" t="s">
        <v>456</v>
      </c>
      <c r="N143" s="181" t="s">
        <v>441</v>
      </c>
      <c r="O143" s="182" t="s">
        <v>457</v>
      </c>
    </row>
    <row r="144" spans="2:20">
      <c r="B144" s="174" t="s">
        <v>2059</v>
      </c>
      <c r="C144" s="175" t="s">
        <v>440</v>
      </c>
      <c r="D144" s="176" t="s">
        <v>441</v>
      </c>
      <c r="E144" s="177" t="s">
        <v>2060</v>
      </c>
      <c r="F144" s="175">
        <f t="shared" si="5"/>
        <v>12</v>
      </c>
      <c r="G144" s="175" t="str">
        <f t="shared" si="6"/>
        <v>Greensburg</v>
      </c>
      <c r="H144" s="175"/>
      <c r="I144" s="178" t="s">
        <v>455</v>
      </c>
      <c r="J144" s="27" t="s">
        <v>441</v>
      </c>
      <c r="K144" s="27">
        <v>654</v>
      </c>
      <c r="L144" s="179">
        <v>5968</v>
      </c>
      <c r="M144" s="180" t="s">
        <v>456</v>
      </c>
      <c r="N144" s="181" t="s">
        <v>441</v>
      </c>
      <c r="O144" s="182" t="s">
        <v>457</v>
      </c>
    </row>
    <row r="145" spans="2:15">
      <c r="B145" s="174" t="s">
        <v>82</v>
      </c>
      <c r="C145" s="175" t="s">
        <v>440</v>
      </c>
      <c r="D145" s="176" t="s">
        <v>441</v>
      </c>
      <c r="E145" s="177" t="s">
        <v>2269</v>
      </c>
      <c r="F145" s="175">
        <f t="shared" si="5"/>
        <v>9</v>
      </c>
      <c r="G145" s="175" t="str">
        <f t="shared" si="6"/>
        <v>Indiana</v>
      </c>
      <c r="H145" s="175"/>
      <c r="I145" s="178" t="s">
        <v>455</v>
      </c>
      <c r="J145" s="27" t="s">
        <v>441</v>
      </c>
      <c r="K145" s="27">
        <v>654</v>
      </c>
      <c r="L145" s="179">
        <v>5968</v>
      </c>
      <c r="M145" s="180" t="s">
        <v>456</v>
      </c>
      <c r="N145" s="181" t="s">
        <v>441</v>
      </c>
      <c r="O145" s="182" t="s">
        <v>457</v>
      </c>
    </row>
    <row r="146" spans="2:15">
      <c r="B146" s="174" t="s">
        <v>1730</v>
      </c>
      <c r="C146" s="175" t="s">
        <v>440</v>
      </c>
      <c r="D146" s="176" t="s">
        <v>441</v>
      </c>
      <c r="E146" s="177" t="s">
        <v>1731</v>
      </c>
      <c r="F146" s="175">
        <f t="shared" si="5"/>
        <v>9</v>
      </c>
      <c r="G146" s="175" t="str">
        <f t="shared" si="6"/>
        <v>Du Bois</v>
      </c>
      <c r="H146" s="175"/>
      <c r="I146" s="178" t="s">
        <v>1732</v>
      </c>
      <c r="J146" s="27" t="s">
        <v>441</v>
      </c>
      <c r="K146" s="27">
        <v>622</v>
      </c>
      <c r="L146" s="179">
        <v>6087</v>
      </c>
      <c r="M146" s="180" t="s">
        <v>456</v>
      </c>
      <c r="N146" s="181" t="s">
        <v>441</v>
      </c>
      <c r="O146" s="182" t="s">
        <v>457</v>
      </c>
    </row>
    <row r="147" spans="2:15">
      <c r="B147" s="174" t="s">
        <v>123</v>
      </c>
      <c r="C147" s="175" t="s">
        <v>440</v>
      </c>
      <c r="D147" s="176" t="s">
        <v>441</v>
      </c>
      <c r="E147" s="177" t="s">
        <v>124</v>
      </c>
      <c r="F147" s="175">
        <f t="shared" si="5"/>
        <v>11</v>
      </c>
      <c r="G147" s="175" t="str">
        <f t="shared" si="6"/>
        <v>Johnstown</v>
      </c>
      <c r="H147" s="175"/>
      <c r="I147" s="178" t="s">
        <v>455</v>
      </c>
      <c r="J147" s="27" t="s">
        <v>441</v>
      </c>
      <c r="K147" s="27">
        <v>654</v>
      </c>
      <c r="L147" s="179">
        <v>5968</v>
      </c>
      <c r="M147" s="180" t="s">
        <v>456</v>
      </c>
      <c r="N147" s="181" t="s">
        <v>441</v>
      </c>
      <c r="O147" s="182" t="s">
        <v>457</v>
      </c>
    </row>
    <row r="148" spans="2:15">
      <c r="B148" s="174" t="s">
        <v>1338</v>
      </c>
      <c r="C148" s="175" t="s">
        <v>440</v>
      </c>
      <c r="D148" s="176" t="s">
        <v>441</v>
      </c>
      <c r="E148" s="177" t="s">
        <v>1333</v>
      </c>
      <c r="F148" s="175">
        <f t="shared" si="5"/>
        <v>8</v>
      </c>
      <c r="G148" s="175" t="str">
        <f t="shared" si="6"/>
        <v>Butler</v>
      </c>
      <c r="H148" s="175"/>
      <c r="I148" s="178" t="s">
        <v>1339</v>
      </c>
      <c r="J148" s="27" t="s">
        <v>386</v>
      </c>
      <c r="K148" s="27">
        <v>497</v>
      </c>
      <c r="L148" s="179">
        <v>6544</v>
      </c>
      <c r="M148" s="180" t="s">
        <v>1340</v>
      </c>
      <c r="N148" s="181" t="s">
        <v>386</v>
      </c>
      <c r="O148" s="182" t="s">
        <v>1341</v>
      </c>
    </row>
    <row r="149" spans="2:15">
      <c r="B149" s="174" t="s">
        <v>1097</v>
      </c>
      <c r="C149" s="175" t="s">
        <v>440</v>
      </c>
      <c r="D149" s="176" t="s">
        <v>441</v>
      </c>
      <c r="E149" s="177" t="s">
        <v>1098</v>
      </c>
      <c r="F149" s="175">
        <f t="shared" si="5"/>
        <v>12</v>
      </c>
      <c r="G149" s="175" t="str">
        <f t="shared" si="6"/>
        <v>New Castle</v>
      </c>
      <c r="H149" s="175"/>
      <c r="I149" s="178" t="s">
        <v>455</v>
      </c>
      <c r="J149" s="27" t="s">
        <v>441</v>
      </c>
      <c r="K149" s="27">
        <v>654</v>
      </c>
      <c r="L149" s="179">
        <v>5968</v>
      </c>
      <c r="M149" s="180" t="s">
        <v>456</v>
      </c>
      <c r="N149" s="181" t="s">
        <v>441</v>
      </c>
      <c r="O149" s="182" t="s">
        <v>457</v>
      </c>
    </row>
    <row r="150" spans="2:15">
      <c r="B150" s="174" t="s">
        <v>920</v>
      </c>
      <c r="C150" s="175" t="s">
        <v>440</v>
      </c>
      <c r="D150" s="176" t="s">
        <v>441</v>
      </c>
      <c r="E150" s="177" t="s">
        <v>921</v>
      </c>
      <c r="F150" s="175">
        <f t="shared" si="5"/>
        <v>12</v>
      </c>
      <c r="G150" s="175" t="str">
        <f t="shared" si="6"/>
        <v>Kittanning</v>
      </c>
      <c r="H150" s="175"/>
      <c r="I150" s="178" t="s">
        <v>1339</v>
      </c>
      <c r="J150" s="27" t="s">
        <v>386</v>
      </c>
      <c r="K150" s="27">
        <v>497</v>
      </c>
      <c r="L150" s="179">
        <v>6544</v>
      </c>
      <c r="M150" s="180" t="s">
        <v>1340</v>
      </c>
      <c r="N150" s="181" t="s">
        <v>386</v>
      </c>
      <c r="O150" s="182" t="s">
        <v>1341</v>
      </c>
    </row>
    <row r="151" spans="2:15">
      <c r="B151" s="174" t="s">
        <v>1437</v>
      </c>
      <c r="C151" s="175" t="s">
        <v>440</v>
      </c>
      <c r="D151" s="176" t="s">
        <v>441</v>
      </c>
      <c r="E151" s="177" t="s">
        <v>1438</v>
      </c>
      <c r="F151" s="175">
        <f t="shared" si="5"/>
        <v>10</v>
      </c>
      <c r="G151" s="175" t="str">
        <f t="shared" si="6"/>
        <v>Oil City</v>
      </c>
      <c r="H151" s="175"/>
      <c r="I151" s="178" t="s">
        <v>1339</v>
      </c>
      <c r="J151" s="27" t="s">
        <v>386</v>
      </c>
      <c r="K151" s="27">
        <v>497</v>
      </c>
      <c r="L151" s="179">
        <v>6544</v>
      </c>
      <c r="M151" s="180" t="s">
        <v>1340</v>
      </c>
      <c r="N151" s="181" t="s">
        <v>386</v>
      </c>
      <c r="O151" s="182" t="s">
        <v>1341</v>
      </c>
    </row>
    <row r="152" spans="2:15">
      <c r="B152" s="174" t="s">
        <v>1045</v>
      </c>
      <c r="C152" s="175" t="s">
        <v>440</v>
      </c>
      <c r="D152" s="176" t="s">
        <v>441</v>
      </c>
      <c r="E152" s="177" t="s">
        <v>529</v>
      </c>
      <c r="F152" s="175">
        <f t="shared" si="5"/>
        <v>6</v>
      </c>
      <c r="G152" s="175" t="str">
        <f t="shared" si="6"/>
        <v>Erie</v>
      </c>
      <c r="H152" s="175"/>
      <c r="I152" s="178" t="s">
        <v>669</v>
      </c>
      <c r="J152" s="27" t="s">
        <v>441</v>
      </c>
      <c r="K152" s="27">
        <v>550</v>
      </c>
      <c r="L152" s="179">
        <v>6279</v>
      </c>
      <c r="M152" s="180" t="s">
        <v>670</v>
      </c>
      <c r="N152" s="181" t="s">
        <v>441</v>
      </c>
      <c r="O152" s="182" t="s">
        <v>671</v>
      </c>
    </row>
    <row r="153" spans="2:15">
      <c r="B153" s="174" t="s">
        <v>530</v>
      </c>
      <c r="C153" s="175" t="s">
        <v>440</v>
      </c>
      <c r="D153" s="176" t="s">
        <v>441</v>
      </c>
      <c r="E153" s="177" t="s">
        <v>529</v>
      </c>
      <c r="F153" s="175">
        <f t="shared" si="5"/>
        <v>6</v>
      </c>
      <c r="G153" s="175" t="str">
        <f t="shared" si="6"/>
        <v>Erie</v>
      </c>
      <c r="H153" s="175"/>
      <c r="I153" s="178" t="s">
        <v>669</v>
      </c>
      <c r="J153" s="27" t="s">
        <v>441</v>
      </c>
      <c r="K153" s="27">
        <v>550</v>
      </c>
      <c r="L153" s="179">
        <v>6279</v>
      </c>
      <c r="M153" s="180" t="s">
        <v>670</v>
      </c>
      <c r="N153" s="181" t="s">
        <v>441</v>
      </c>
      <c r="O153" s="182" t="s">
        <v>671</v>
      </c>
    </row>
    <row r="154" spans="2:15">
      <c r="B154" s="174" t="s">
        <v>453</v>
      </c>
      <c r="C154" s="175" t="s">
        <v>440</v>
      </c>
      <c r="D154" s="176" t="s">
        <v>441</v>
      </c>
      <c r="E154" s="177" t="s">
        <v>454</v>
      </c>
      <c r="F154" s="175">
        <f t="shared" si="5"/>
        <v>9</v>
      </c>
      <c r="G154" s="175" t="str">
        <f t="shared" si="6"/>
        <v>Altoona</v>
      </c>
      <c r="H154" s="175"/>
      <c r="I154" s="178" t="s">
        <v>455</v>
      </c>
      <c r="J154" s="27" t="s">
        <v>441</v>
      </c>
      <c r="K154" s="27">
        <v>654</v>
      </c>
      <c r="L154" s="179">
        <v>5968</v>
      </c>
      <c r="M154" s="180" t="s">
        <v>456</v>
      </c>
      <c r="N154" s="181" t="s">
        <v>441</v>
      </c>
      <c r="O154" s="182" t="s">
        <v>457</v>
      </c>
    </row>
    <row r="155" spans="2:15">
      <c r="B155" s="174" t="s">
        <v>667</v>
      </c>
      <c r="C155" s="175" t="s">
        <v>440</v>
      </c>
      <c r="D155" s="176" t="s">
        <v>441</v>
      </c>
      <c r="E155" s="177" t="s">
        <v>668</v>
      </c>
      <c r="F155" s="175">
        <f t="shared" si="5"/>
        <v>10</v>
      </c>
      <c r="G155" s="175" t="str">
        <f t="shared" si="6"/>
        <v>Bradford</v>
      </c>
      <c r="H155" s="175"/>
      <c r="I155" s="178" t="s">
        <v>669</v>
      </c>
      <c r="J155" s="27" t="s">
        <v>441</v>
      </c>
      <c r="K155" s="27">
        <v>550</v>
      </c>
      <c r="L155" s="179">
        <v>6279</v>
      </c>
      <c r="M155" s="180" t="s">
        <v>670</v>
      </c>
      <c r="N155" s="181" t="s">
        <v>441</v>
      </c>
      <c r="O155" s="182" t="s">
        <v>671</v>
      </c>
    </row>
    <row r="156" spans="2:15">
      <c r="B156" s="174" t="s">
        <v>1246</v>
      </c>
      <c r="C156" s="175" t="s">
        <v>440</v>
      </c>
      <c r="D156" s="176" t="s">
        <v>441</v>
      </c>
      <c r="E156" s="177" t="s">
        <v>1247</v>
      </c>
      <c r="F156" s="175">
        <f t="shared" si="5"/>
        <v>15</v>
      </c>
      <c r="G156" s="175" t="str">
        <f t="shared" si="6"/>
        <v>State College</v>
      </c>
      <c r="H156" s="175"/>
      <c r="I156" s="178" t="s">
        <v>1732</v>
      </c>
      <c r="J156" s="27" t="s">
        <v>441</v>
      </c>
      <c r="K156" s="27">
        <v>622</v>
      </c>
      <c r="L156" s="179">
        <v>6087</v>
      </c>
      <c r="M156" s="180" t="s">
        <v>2316</v>
      </c>
      <c r="N156" s="181" t="s">
        <v>441</v>
      </c>
      <c r="O156" s="182" t="s">
        <v>2317</v>
      </c>
    </row>
    <row r="157" spans="2:15">
      <c r="B157" s="174" t="s">
        <v>1826</v>
      </c>
      <c r="C157" s="175" t="s">
        <v>440</v>
      </c>
      <c r="D157" s="176" t="s">
        <v>441</v>
      </c>
      <c r="E157" s="177" t="s">
        <v>1827</v>
      </c>
      <c r="F157" s="175">
        <f t="shared" si="5"/>
        <v>11</v>
      </c>
      <c r="G157" s="175" t="str">
        <f t="shared" si="6"/>
        <v>Wellsboro</v>
      </c>
      <c r="H157" s="175"/>
      <c r="I157" s="178" t="s">
        <v>1426</v>
      </c>
      <c r="J157" s="27" t="s">
        <v>408</v>
      </c>
      <c r="K157" s="27">
        <v>337</v>
      </c>
      <c r="L157" s="179">
        <v>7273</v>
      </c>
      <c r="M157" s="180" t="s">
        <v>1427</v>
      </c>
      <c r="N157" s="181" t="s">
        <v>441</v>
      </c>
      <c r="O157" s="182" t="s">
        <v>1428</v>
      </c>
    </row>
    <row r="158" spans="2:15">
      <c r="B158" s="174" t="s">
        <v>2083</v>
      </c>
      <c r="C158" s="175" t="s">
        <v>440</v>
      </c>
      <c r="D158" s="176" t="s">
        <v>441</v>
      </c>
      <c r="E158" s="177" t="s">
        <v>2084</v>
      </c>
      <c r="F158" s="175">
        <f t="shared" si="5"/>
        <v>12</v>
      </c>
      <c r="G158" s="175" t="str">
        <f t="shared" si="6"/>
        <v>Harrisburg</v>
      </c>
      <c r="H158" s="175"/>
      <c r="I158" s="178" t="s">
        <v>2315</v>
      </c>
      <c r="J158" s="27" t="s">
        <v>441</v>
      </c>
      <c r="K158" s="27">
        <v>962</v>
      </c>
      <c r="L158" s="179">
        <v>5347</v>
      </c>
      <c r="M158" s="180" t="s">
        <v>2316</v>
      </c>
      <c r="N158" s="181" t="s">
        <v>441</v>
      </c>
      <c r="O158" s="182" t="s">
        <v>2317</v>
      </c>
    </row>
    <row r="159" spans="2:15">
      <c r="B159" s="174" t="s">
        <v>2085</v>
      </c>
      <c r="C159" s="175" t="s">
        <v>440</v>
      </c>
      <c r="D159" s="176" t="s">
        <v>441</v>
      </c>
      <c r="E159" s="177" t="s">
        <v>2084</v>
      </c>
      <c r="F159" s="175">
        <f t="shared" si="5"/>
        <v>12</v>
      </c>
      <c r="G159" s="175" t="str">
        <f t="shared" si="6"/>
        <v>Harrisburg</v>
      </c>
      <c r="H159" s="175"/>
      <c r="I159" s="178" t="s">
        <v>2315</v>
      </c>
      <c r="J159" s="27" t="s">
        <v>441</v>
      </c>
      <c r="K159" s="27">
        <v>962</v>
      </c>
      <c r="L159" s="179">
        <v>5347</v>
      </c>
      <c r="M159" s="180" t="s">
        <v>2316</v>
      </c>
      <c r="N159" s="181" t="s">
        <v>441</v>
      </c>
      <c r="O159" s="182" t="s">
        <v>2317</v>
      </c>
    </row>
    <row r="160" spans="2:15">
      <c r="B160" s="174" t="s">
        <v>2313</v>
      </c>
      <c r="C160" s="175" t="s">
        <v>440</v>
      </c>
      <c r="D160" s="176" t="s">
        <v>441</v>
      </c>
      <c r="E160" s="177" t="s">
        <v>2314</v>
      </c>
      <c r="F160" s="175">
        <f t="shared" si="5"/>
        <v>14</v>
      </c>
      <c r="G160" s="175" t="str">
        <f t="shared" si="6"/>
        <v>Chambersburg</v>
      </c>
      <c r="H160" s="175"/>
      <c r="I160" s="178" t="s">
        <v>2315</v>
      </c>
      <c r="J160" s="27" t="s">
        <v>441</v>
      </c>
      <c r="K160" s="27">
        <v>962</v>
      </c>
      <c r="L160" s="179">
        <v>5347</v>
      </c>
      <c r="M160" s="180" t="s">
        <v>2316</v>
      </c>
      <c r="N160" s="181" t="s">
        <v>441</v>
      </c>
      <c r="O160" s="182" t="s">
        <v>2317</v>
      </c>
    </row>
    <row r="161" spans="2:20">
      <c r="B161" s="174" t="s">
        <v>1858</v>
      </c>
      <c r="C161" s="175" t="s">
        <v>440</v>
      </c>
      <c r="D161" s="176" t="s">
        <v>441</v>
      </c>
      <c r="E161" s="177" t="s">
        <v>1859</v>
      </c>
      <c r="F161" s="175">
        <f t="shared" si="5"/>
        <v>6</v>
      </c>
      <c r="G161" s="175" t="str">
        <f t="shared" si="6"/>
        <v>York</v>
      </c>
      <c r="H161" s="175"/>
      <c r="I161" s="178" t="s">
        <v>2315</v>
      </c>
      <c r="J161" s="27" t="s">
        <v>441</v>
      </c>
      <c r="K161" s="27">
        <v>962</v>
      </c>
      <c r="L161" s="179">
        <v>5347</v>
      </c>
      <c r="M161" s="180" t="s">
        <v>2316</v>
      </c>
      <c r="N161" s="181" t="s">
        <v>441</v>
      </c>
      <c r="O161" s="182" t="s">
        <v>2317</v>
      </c>
    </row>
    <row r="162" spans="2:20">
      <c r="B162" s="174" t="s">
        <v>1860</v>
      </c>
      <c r="C162" s="175" t="s">
        <v>440</v>
      </c>
      <c r="D162" s="176" t="s">
        <v>441</v>
      </c>
      <c r="E162" s="177" t="s">
        <v>1859</v>
      </c>
      <c r="F162" s="175">
        <f t="shared" si="5"/>
        <v>6</v>
      </c>
      <c r="G162" s="175" t="str">
        <f t="shared" si="6"/>
        <v>York</v>
      </c>
      <c r="H162" s="175"/>
      <c r="I162" s="178" t="s">
        <v>2315</v>
      </c>
      <c r="J162" s="27" t="s">
        <v>441</v>
      </c>
      <c r="K162" s="27">
        <v>962</v>
      </c>
      <c r="L162" s="179">
        <v>5347</v>
      </c>
      <c r="M162" s="180" t="s">
        <v>2316</v>
      </c>
      <c r="N162" s="181" t="s">
        <v>441</v>
      </c>
      <c r="O162" s="182" t="s">
        <v>2317</v>
      </c>
    </row>
    <row r="163" spans="2:20">
      <c r="B163" s="174" t="s">
        <v>955</v>
      </c>
      <c r="C163" s="175" t="s">
        <v>440</v>
      </c>
      <c r="D163" s="176" t="s">
        <v>441</v>
      </c>
      <c r="E163" s="177" t="s">
        <v>953</v>
      </c>
      <c r="F163" s="175">
        <f t="shared" si="5"/>
        <v>11</v>
      </c>
      <c r="G163" s="175" t="str">
        <f t="shared" si="6"/>
        <v>Lancaster</v>
      </c>
      <c r="H163" s="175"/>
      <c r="I163" s="178" t="s">
        <v>2315</v>
      </c>
      <c r="J163" s="27" t="s">
        <v>441</v>
      </c>
      <c r="K163" s="27">
        <v>962</v>
      </c>
      <c r="L163" s="179">
        <v>5347</v>
      </c>
      <c r="M163" s="180" t="s">
        <v>2316</v>
      </c>
      <c r="N163" s="181" t="s">
        <v>441</v>
      </c>
      <c r="O163" s="182" t="s">
        <v>2317</v>
      </c>
    </row>
    <row r="164" spans="2:20">
      <c r="B164" s="174" t="s">
        <v>956</v>
      </c>
      <c r="C164" s="175" t="s">
        <v>440</v>
      </c>
      <c r="D164" s="176" t="s">
        <v>441</v>
      </c>
      <c r="E164" s="177" t="s">
        <v>953</v>
      </c>
      <c r="F164" s="175">
        <f t="shared" si="5"/>
        <v>11</v>
      </c>
      <c r="G164" s="175" t="str">
        <f t="shared" si="6"/>
        <v>Lancaster</v>
      </c>
      <c r="H164" s="175"/>
      <c r="I164" s="178" t="s">
        <v>2315</v>
      </c>
      <c r="J164" s="27" t="s">
        <v>441</v>
      </c>
      <c r="K164" s="27">
        <v>962</v>
      </c>
      <c r="L164" s="179">
        <v>5347</v>
      </c>
      <c r="M164" s="180" t="s">
        <v>2316</v>
      </c>
      <c r="N164" s="181" t="s">
        <v>441</v>
      </c>
      <c r="O164" s="182" t="s">
        <v>2317</v>
      </c>
    </row>
    <row r="165" spans="2:20">
      <c r="B165" s="174" t="s">
        <v>712</v>
      </c>
      <c r="C165" s="175" t="s">
        <v>440</v>
      </c>
      <c r="D165" s="176" t="s">
        <v>441</v>
      </c>
      <c r="E165" s="177" t="s">
        <v>713</v>
      </c>
      <c r="F165" s="175">
        <f t="shared" si="5"/>
        <v>14</v>
      </c>
      <c r="G165" s="175" t="str">
        <f t="shared" si="6"/>
        <v>Williamsport</v>
      </c>
      <c r="H165" s="175"/>
      <c r="I165" s="178" t="s">
        <v>1732</v>
      </c>
      <c r="J165" s="27" t="s">
        <v>441</v>
      </c>
      <c r="K165" s="27">
        <v>622</v>
      </c>
      <c r="L165" s="179">
        <v>6087</v>
      </c>
      <c r="M165" s="180" t="s">
        <v>2316</v>
      </c>
      <c r="N165" s="181" t="s">
        <v>441</v>
      </c>
      <c r="O165" s="182" t="s">
        <v>2317</v>
      </c>
    </row>
    <row r="166" spans="2:20">
      <c r="B166" s="174" t="s">
        <v>824</v>
      </c>
      <c r="C166" s="175" t="s">
        <v>440</v>
      </c>
      <c r="D166" s="176" t="s">
        <v>441</v>
      </c>
      <c r="E166" s="177" t="s">
        <v>825</v>
      </c>
      <c r="F166" s="175">
        <f t="shared" si="5"/>
        <v>9</v>
      </c>
      <c r="G166" s="175" t="str">
        <f t="shared" si="6"/>
        <v>Sunbury</v>
      </c>
      <c r="H166" s="175"/>
      <c r="I166" s="178" t="s">
        <v>1732</v>
      </c>
      <c r="J166" s="27" t="s">
        <v>441</v>
      </c>
      <c r="K166" s="27">
        <v>622</v>
      </c>
      <c r="L166" s="179">
        <v>6087</v>
      </c>
      <c r="M166" s="180" t="s">
        <v>2316</v>
      </c>
      <c r="N166" s="181" t="s">
        <v>441</v>
      </c>
      <c r="O166" s="182" t="s">
        <v>2317</v>
      </c>
    </row>
    <row r="167" spans="2:20">
      <c r="B167" s="174" t="s">
        <v>2462</v>
      </c>
      <c r="C167" s="175" t="s">
        <v>440</v>
      </c>
      <c r="D167" s="176" t="s">
        <v>441</v>
      </c>
      <c r="E167" s="177" t="s">
        <v>2463</v>
      </c>
      <c r="F167" s="175">
        <f t="shared" si="5"/>
        <v>12</v>
      </c>
      <c r="G167" s="175" t="str">
        <f t="shared" si="6"/>
        <v>Pottsville</v>
      </c>
      <c r="H167" s="175"/>
      <c r="I167" s="178" t="s">
        <v>443</v>
      </c>
      <c r="J167" s="27" t="s">
        <v>441</v>
      </c>
      <c r="K167" s="27">
        <v>773</v>
      </c>
      <c r="L167" s="179">
        <v>5785</v>
      </c>
      <c r="M167" s="178" t="s">
        <v>444</v>
      </c>
      <c r="N167" s="27" t="s">
        <v>441</v>
      </c>
      <c r="O167" s="182" t="s">
        <v>445</v>
      </c>
    </row>
    <row r="168" spans="2:20">
      <c r="B168" s="174" t="s">
        <v>2102</v>
      </c>
      <c r="C168" s="175" t="s">
        <v>440</v>
      </c>
      <c r="D168" s="176" t="s">
        <v>441</v>
      </c>
      <c r="E168" s="177" t="s">
        <v>2103</v>
      </c>
      <c r="F168" s="175">
        <f t="shared" si="5"/>
        <v>15</v>
      </c>
      <c r="G168" s="175" t="str">
        <f t="shared" si="6"/>
        <v>Lehigh_Valley</v>
      </c>
      <c r="H168" s="175"/>
      <c r="I168" s="178" t="s">
        <v>443</v>
      </c>
      <c r="J168" s="27" t="s">
        <v>441</v>
      </c>
      <c r="K168" s="27">
        <v>773</v>
      </c>
      <c r="L168" s="179">
        <v>5785</v>
      </c>
      <c r="M168" s="178" t="s">
        <v>444</v>
      </c>
      <c r="N168" s="27" t="s">
        <v>441</v>
      </c>
      <c r="O168" s="182" t="s">
        <v>445</v>
      </c>
    </row>
    <row r="169" spans="2:20">
      <c r="B169" s="174" t="s">
        <v>439</v>
      </c>
      <c r="C169" s="175" t="s">
        <v>440</v>
      </c>
      <c r="D169" s="176" t="s">
        <v>441</v>
      </c>
      <c r="E169" s="177" t="s">
        <v>442</v>
      </c>
      <c r="F169" s="175">
        <f t="shared" si="5"/>
        <v>11</v>
      </c>
      <c r="G169" s="175" t="str">
        <f t="shared" si="6"/>
        <v>Allentown</v>
      </c>
      <c r="H169" s="175"/>
      <c r="I169" s="178" t="s">
        <v>443</v>
      </c>
      <c r="J169" s="27" t="s">
        <v>441</v>
      </c>
      <c r="K169" s="27">
        <v>773</v>
      </c>
      <c r="L169" s="179">
        <v>5785</v>
      </c>
      <c r="M169" s="178" t="s">
        <v>444</v>
      </c>
      <c r="N169" s="27" t="s">
        <v>441</v>
      </c>
      <c r="O169" s="182" t="s">
        <v>445</v>
      </c>
      <c r="S169" s="27"/>
      <c r="T169" s="27"/>
    </row>
    <row r="170" spans="2:20">
      <c r="B170" s="174" t="s">
        <v>762</v>
      </c>
      <c r="C170" s="175" t="s">
        <v>440</v>
      </c>
      <c r="D170" s="176" t="s">
        <v>441</v>
      </c>
      <c r="E170" s="177" t="s">
        <v>763</v>
      </c>
      <c r="F170" s="175">
        <f t="shared" si="5"/>
        <v>10</v>
      </c>
      <c r="G170" s="175" t="str">
        <f t="shared" si="6"/>
        <v>Hazleton</v>
      </c>
      <c r="H170" s="175"/>
      <c r="I170" s="178" t="s">
        <v>764</v>
      </c>
      <c r="J170" s="27" t="s">
        <v>441</v>
      </c>
      <c r="K170" s="27">
        <v>539</v>
      </c>
      <c r="L170" s="179">
        <v>6291</v>
      </c>
      <c r="M170" s="180" t="s">
        <v>1427</v>
      </c>
      <c r="N170" s="181" t="s">
        <v>441</v>
      </c>
      <c r="O170" s="182" t="s">
        <v>1428</v>
      </c>
    </row>
    <row r="171" spans="2:20">
      <c r="B171" s="174" t="s">
        <v>816</v>
      </c>
      <c r="C171" s="175" t="s">
        <v>440</v>
      </c>
      <c r="D171" s="176" t="s">
        <v>441</v>
      </c>
      <c r="E171" s="177" t="s">
        <v>817</v>
      </c>
      <c r="F171" s="175">
        <f t="shared" si="5"/>
        <v>13</v>
      </c>
      <c r="G171" s="175" t="str">
        <f t="shared" si="6"/>
        <v>Stroudsburg</v>
      </c>
      <c r="H171" s="175"/>
      <c r="I171" s="178" t="s">
        <v>443</v>
      </c>
      <c r="J171" s="27" t="s">
        <v>441</v>
      </c>
      <c r="K171" s="27">
        <v>773</v>
      </c>
      <c r="L171" s="179">
        <v>5785</v>
      </c>
      <c r="M171" s="178" t="s">
        <v>444</v>
      </c>
      <c r="N171" s="27" t="s">
        <v>441</v>
      </c>
      <c r="O171" s="182" t="s">
        <v>445</v>
      </c>
    </row>
    <row r="172" spans="2:20">
      <c r="B172" s="174" t="s">
        <v>1019</v>
      </c>
      <c r="C172" s="175" t="s">
        <v>440</v>
      </c>
      <c r="D172" s="176" t="s">
        <v>441</v>
      </c>
      <c r="E172" s="177" t="s">
        <v>1020</v>
      </c>
      <c r="F172" s="175">
        <f t="shared" si="5"/>
        <v>10</v>
      </c>
      <c r="G172" s="175" t="str">
        <f t="shared" si="6"/>
        <v>Scranton</v>
      </c>
      <c r="H172" s="175"/>
      <c r="I172" s="178" t="s">
        <v>764</v>
      </c>
      <c r="J172" s="27" t="s">
        <v>441</v>
      </c>
      <c r="K172" s="27">
        <v>539</v>
      </c>
      <c r="L172" s="179">
        <v>6291</v>
      </c>
      <c r="M172" s="180" t="s">
        <v>1427</v>
      </c>
      <c r="N172" s="181" t="s">
        <v>441</v>
      </c>
      <c r="O172" s="182" t="s">
        <v>1428</v>
      </c>
    </row>
    <row r="173" spans="2:20">
      <c r="B173" s="174" t="s">
        <v>1021</v>
      </c>
      <c r="C173" s="175" t="s">
        <v>440</v>
      </c>
      <c r="D173" s="176" t="s">
        <v>441</v>
      </c>
      <c r="E173" s="177" t="s">
        <v>1020</v>
      </c>
      <c r="F173" s="175">
        <f t="shared" si="5"/>
        <v>10</v>
      </c>
      <c r="G173" s="175" t="str">
        <f t="shared" si="6"/>
        <v>Scranton</v>
      </c>
      <c r="H173" s="175"/>
      <c r="I173" s="178" t="s">
        <v>764</v>
      </c>
      <c r="J173" s="27" t="s">
        <v>441</v>
      </c>
      <c r="K173" s="27">
        <v>539</v>
      </c>
      <c r="L173" s="179">
        <v>6291</v>
      </c>
      <c r="M173" s="180" t="s">
        <v>1427</v>
      </c>
      <c r="N173" s="181" t="s">
        <v>441</v>
      </c>
      <c r="O173" s="182" t="s">
        <v>1428</v>
      </c>
    </row>
    <row r="174" spans="2:20">
      <c r="B174" s="174" t="s">
        <v>709</v>
      </c>
      <c r="C174" s="175" t="s">
        <v>440</v>
      </c>
      <c r="D174" s="176" t="s">
        <v>441</v>
      </c>
      <c r="E174" s="177" t="s">
        <v>710</v>
      </c>
      <c r="F174" s="175">
        <f t="shared" si="5"/>
        <v>14</v>
      </c>
      <c r="G174" s="175" t="str">
        <f t="shared" si="6"/>
        <v>Wilkes-Barre</v>
      </c>
      <c r="H174" s="175"/>
      <c r="I174" s="178" t="s">
        <v>764</v>
      </c>
      <c r="J174" s="27" t="s">
        <v>441</v>
      </c>
      <c r="K174" s="27">
        <v>539</v>
      </c>
      <c r="L174" s="179">
        <v>6291</v>
      </c>
      <c r="M174" s="180" t="s">
        <v>1427</v>
      </c>
      <c r="N174" s="181" t="s">
        <v>441</v>
      </c>
      <c r="O174" s="182" t="s">
        <v>1428</v>
      </c>
    </row>
    <row r="175" spans="2:20">
      <c r="B175" s="174" t="s">
        <v>711</v>
      </c>
      <c r="C175" s="175" t="s">
        <v>440</v>
      </c>
      <c r="D175" s="176" t="s">
        <v>441</v>
      </c>
      <c r="E175" s="177" t="s">
        <v>710</v>
      </c>
      <c r="F175" s="175">
        <f t="shared" si="5"/>
        <v>14</v>
      </c>
      <c r="G175" s="175" t="str">
        <f t="shared" si="6"/>
        <v>Wilkes-Barre</v>
      </c>
      <c r="H175" s="175"/>
      <c r="I175" s="178" t="s">
        <v>764</v>
      </c>
      <c r="J175" s="27" t="s">
        <v>441</v>
      </c>
      <c r="K175" s="27">
        <v>539</v>
      </c>
      <c r="L175" s="179">
        <v>6291</v>
      </c>
      <c r="M175" s="180" t="s">
        <v>1427</v>
      </c>
      <c r="N175" s="181" t="s">
        <v>441</v>
      </c>
      <c r="O175" s="182" t="s">
        <v>1428</v>
      </c>
    </row>
    <row r="176" spans="2:20">
      <c r="B176" s="174" t="s">
        <v>1075</v>
      </c>
      <c r="C176" s="175" t="s">
        <v>440</v>
      </c>
      <c r="D176" s="176" t="s">
        <v>441</v>
      </c>
      <c r="E176" s="177" t="s">
        <v>1074</v>
      </c>
      <c r="F176" s="175">
        <f t="shared" si="5"/>
        <v>10</v>
      </c>
      <c r="G176" s="175" t="str">
        <f t="shared" si="6"/>
        <v>Montrose</v>
      </c>
      <c r="H176" s="175"/>
      <c r="I176" s="178" t="s">
        <v>1426</v>
      </c>
      <c r="J176" s="27" t="s">
        <v>408</v>
      </c>
      <c r="K176" s="27">
        <v>337</v>
      </c>
      <c r="L176" s="179">
        <v>7273</v>
      </c>
      <c r="M176" s="180" t="s">
        <v>1427</v>
      </c>
      <c r="N176" s="181" t="s">
        <v>441</v>
      </c>
      <c r="O176" s="182" t="s">
        <v>1428</v>
      </c>
    </row>
    <row r="177" spans="2:15">
      <c r="B177" s="174" t="s">
        <v>1728</v>
      </c>
      <c r="C177" s="175" t="s">
        <v>440</v>
      </c>
      <c r="D177" s="176" t="s">
        <v>441</v>
      </c>
      <c r="E177" s="177" t="s">
        <v>1729</v>
      </c>
      <c r="F177" s="175">
        <f t="shared" si="5"/>
        <v>12</v>
      </c>
      <c r="G177" s="175" t="str">
        <f t="shared" si="6"/>
        <v>Doylestown</v>
      </c>
      <c r="H177" s="175"/>
      <c r="I177" s="178" t="s">
        <v>1353</v>
      </c>
      <c r="J177" s="27" t="s">
        <v>441</v>
      </c>
      <c r="K177" s="27">
        <v>1101</v>
      </c>
      <c r="L177" s="179">
        <v>4954</v>
      </c>
      <c r="M177" s="180" t="s">
        <v>1354</v>
      </c>
      <c r="N177" s="181" t="s">
        <v>441</v>
      </c>
      <c r="O177" s="182" t="s">
        <v>1355</v>
      </c>
    </row>
    <row r="178" spans="2:15">
      <c r="B178" s="174" t="s">
        <v>2410</v>
      </c>
      <c r="C178" s="175" t="s">
        <v>440</v>
      </c>
      <c r="D178" s="176" t="s">
        <v>441</v>
      </c>
      <c r="E178" s="177" t="s">
        <v>2411</v>
      </c>
      <c r="F178" s="175">
        <f t="shared" si="5"/>
        <v>14</v>
      </c>
      <c r="G178" s="175" t="str">
        <f t="shared" si="6"/>
        <v>Philadelphia</v>
      </c>
      <c r="H178" s="175"/>
      <c r="I178" s="178" t="s">
        <v>1028</v>
      </c>
      <c r="J178" s="27" t="s">
        <v>1725</v>
      </c>
      <c r="K178" s="27">
        <v>1046</v>
      </c>
      <c r="L178" s="179">
        <v>4937</v>
      </c>
      <c r="M178" s="180" t="s">
        <v>1354</v>
      </c>
      <c r="N178" s="181" t="s">
        <v>441</v>
      </c>
      <c r="O178" s="182" t="s">
        <v>1355</v>
      </c>
    </row>
    <row r="179" spans="2:15">
      <c r="B179" s="174" t="s">
        <v>2412</v>
      </c>
      <c r="C179" s="175" t="s">
        <v>440</v>
      </c>
      <c r="D179" s="176" t="s">
        <v>441</v>
      </c>
      <c r="E179" s="177" t="s">
        <v>2411</v>
      </c>
      <c r="F179" s="175">
        <f t="shared" si="5"/>
        <v>14</v>
      </c>
      <c r="G179" s="175" t="str">
        <f t="shared" si="6"/>
        <v>Philadelphia</v>
      </c>
      <c r="H179" s="175"/>
      <c r="I179" s="178" t="s">
        <v>1353</v>
      </c>
      <c r="J179" s="27" t="s">
        <v>441</v>
      </c>
      <c r="K179" s="27">
        <v>1101</v>
      </c>
      <c r="L179" s="179">
        <v>4954</v>
      </c>
      <c r="M179" s="180" t="s">
        <v>1354</v>
      </c>
      <c r="N179" s="181" t="s">
        <v>441</v>
      </c>
      <c r="O179" s="182" t="s">
        <v>1355</v>
      </c>
    </row>
    <row r="180" spans="2:15">
      <c r="B180" s="174" t="s">
        <v>1213</v>
      </c>
      <c r="C180" s="175" t="s">
        <v>440</v>
      </c>
      <c r="D180" s="176" t="s">
        <v>441</v>
      </c>
      <c r="E180" s="177" t="s">
        <v>1214</v>
      </c>
      <c r="F180" s="175">
        <f t="shared" si="5"/>
        <v>14</v>
      </c>
      <c r="G180" s="175" t="str">
        <f t="shared" si="6"/>
        <v>Southeastern</v>
      </c>
      <c r="H180" s="175"/>
      <c r="I180" s="178" t="s">
        <v>1028</v>
      </c>
      <c r="J180" s="27" t="s">
        <v>1725</v>
      </c>
      <c r="K180" s="27">
        <v>1046</v>
      </c>
      <c r="L180" s="179">
        <v>4937</v>
      </c>
      <c r="M180" s="180" t="s">
        <v>1029</v>
      </c>
      <c r="N180" s="181" t="s">
        <v>1725</v>
      </c>
      <c r="O180" s="182" t="s">
        <v>1030</v>
      </c>
    </row>
    <row r="181" spans="2:15">
      <c r="B181" s="174" t="s">
        <v>1215</v>
      </c>
      <c r="C181" s="175" t="s">
        <v>440</v>
      </c>
      <c r="D181" s="176" t="s">
        <v>441</v>
      </c>
      <c r="E181" s="177" t="s">
        <v>1214</v>
      </c>
      <c r="F181" s="175">
        <f t="shared" si="5"/>
        <v>14</v>
      </c>
      <c r="G181" s="175" t="str">
        <f t="shared" si="6"/>
        <v>Southeastern</v>
      </c>
      <c r="H181" s="175"/>
      <c r="I181" s="178" t="s">
        <v>1028</v>
      </c>
      <c r="J181" s="27" t="s">
        <v>1725</v>
      </c>
      <c r="K181" s="27">
        <v>1046</v>
      </c>
      <c r="L181" s="179">
        <v>4937</v>
      </c>
      <c r="M181" s="180" t="s">
        <v>1029</v>
      </c>
      <c r="N181" s="181" t="s">
        <v>1725</v>
      </c>
      <c r="O181" s="182" t="s">
        <v>1030</v>
      </c>
    </row>
    <row r="182" spans="2:15">
      <c r="B182" s="174" t="s">
        <v>2492</v>
      </c>
      <c r="C182" s="175" t="s">
        <v>440</v>
      </c>
      <c r="D182" s="176" t="s">
        <v>441</v>
      </c>
      <c r="E182" s="177" t="s">
        <v>2493</v>
      </c>
      <c r="F182" s="175">
        <f t="shared" si="5"/>
        <v>9</v>
      </c>
      <c r="G182" s="175" t="str">
        <f t="shared" si="6"/>
        <v>Reading</v>
      </c>
      <c r="H182" s="175"/>
      <c r="I182" s="178" t="s">
        <v>443</v>
      </c>
      <c r="J182" s="27" t="s">
        <v>441</v>
      </c>
      <c r="K182" s="27">
        <v>773</v>
      </c>
      <c r="L182" s="179">
        <v>5785</v>
      </c>
      <c r="M182" s="178" t="s">
        <v>444</v>
      </c>
      <c r="N182" s="27" t="s">
        <v>441</v>
      </c>
      <c r="O182" s="182" t="s">
        <v>445</v>
      </c>
    </row>
    <row r="183" spans="2:15">
      <c r="B183" s="174" t="s">
        <v>2494</v>
      </c>
      <c r="C183" s="175" t="s">
        <v>440</v>
      </c>
      <c r="D183" s="176" t="s">
        <v>441</v>
      </c>
      <c r="E183" s="177" t="s">
        <v>2493</v>
      </c>
      <c r="F183" s="175">
        <f t="shared" si="5"/>
        <v>9</v>
      </c>
      <c r="G183" s="175" t="str">
        <f t="shared" si="6"/>
        <v>Reading</v>
      </c>
      <c r="H183" s="175"/>
      <c r="I183" s="178" t="s">
        <v>443</v>
      </c>
      <c r="J183" s="27" t="s">
        <v>441</v>
      </c>
      <c r="K183" s="27">
        <v>773</v>
      </c>
      <c r="L183" s="179">
        <v>5785</v>
      </c>
      <c r="M183" s="178" t="s">
        <v>444</v>
      </c>
      <c r="N183" s="27" t="s">
        <v>441</v>
      </c>
      <c r="O183" s="182" t="s">
        <v>445</v>
      </c>
    </row>
    <row r="184" spans="2:15">
      <c r="B184" s="174" t="s">
        <v>721</v>
      </c>
      <c r="C184" s="175" t="s">
        <v>1724</v>
      </c>
      <c r="D184" s="176" t="s">
        <v>1725</v>
      </c>
      <c r="E184" s="177" t="s">
        <v>722</v>
      </c>
      <c r="F184" s="175">
        <f t="shared" si="5"/>
        <v>12</v>
      </c>
      <c r="G184" s="175" t="str">
        <f t="shared" si="6"/>
        <v>Wilmington</v>
      </c>
      <c r="H184" s="175"/>
      <c r="I184" s="178" t="s">
        <v>1028</v>
      </c>
      <c r="J184" s="27" t="s">
        <v>1725</v>
      </c>
      <c r="K184" s="27">
        <v>1046</v>
      </c>
      <c r="L184" s="179">
        <v>4937</v>
      </c>
      <c r="M184" s="180" t="s">
        <v>1029</v>
      </c>
      <c r="N184" s="181" t="s">
        <v>1725</v>
      </c>
      <c r="O184" s="182" t="s">
        <v>1030</v>
      </c>
    </row>
    <row r="185" spans="2:15">
      <c r="B185" s="174" t="s">
        <v>723</v>
      </c>
      <c r="C185" s="175" t="s">
        <v>1724</v>
      </c>
      <c r="D185" s="176" t="s">
        <v>1725</v>
      </c>
      <c r="E185" s="177" t="s">
        <v>722</v>
      </c>
      <c r="F185" s="175">
        <f t="shared" si="5"/>
        <v>12</v>
      </c>
      <c r="G185" s="175" t="str">
        <f t="shared" si="6"/>
        <v>Wilmington</v>
      </c>
      <c r="H185" s="175"/>
      <c r="I185" s="178" t="s">
        <v>1028</v>
      </c>
      <c r="J185" s="27" t="s">
        <v>1725</v>
      </c>
      <c r="K185" s="27">
        <v>1046</v>
      </c>
      <c r="L185" s="179">
        <v>4937</v>
      </c>
      <c r="M185" s="180" t="s">
        <v>1029</v>
      </c>
      <c r="N185" s="181" t="s">
        <v>1725</v>
      </c>
      <c r="O185" s="182" t="s">
        <v>1030</v>
      </c>
    </row>
    <row r="186" spans="2:15">
      <c r="B186" s="174" t="s">
        <v>1723</v>
      </c>
      <c r="C186" s="175" t="s">
        <v>1724</v>
      </c>
      <c r="D186" s="176" t="s">
        <v>1725</v>
      </c>
      <c r="E186" s="177" t="s">
        <v>1726</v>
      </c>
      <c r="F186" s="175">
        <f t="shared" si="5"/>
        <v>7</v>
      </c>
      <c r="G186" s="175" t="str">
        <f t="shared" si="6"/>
        <v>Dover</v>
      </c>
      <c r="H186" s="175"/>
      <c r="I186" s="178" t="s">
        <v>489</v>
      </c>
      <c r="J186" s="27" t="s">
        <v>430</v>
      </c>
      <c r="K186" s="27">
        <v>1137</v>
      </c>
      <c r="L186" s="179">
        <v>4707</v>
      </c>
      <c r="M186" s="180" t="s">
        <v>490</v>
      </c>
      <c r="N186" s="181" t="s">
        <v>430</v>
      </c>
      <c r="O186" s="182" t="s">
        <v>491</v>
      </c>
    </row>
    <row r="187" spans="2:15">
      <c r="B187" s="174" t="s">
        <v>1801</v>
      </c>
      <c r="C187" s="175" t="s">
        <v>1802</v>
      </c>
      <c r="D187" s="176" t="s">
        <v>428</v>
      </c>
      <c r="E187" s="177" t="s">
        <v>584</v>
      </c>
      <c r="F187" s="175">
        <f t="shared" si="5"/>
        <v>12</v>
      </c>
      <c r="G187" s="175" t="str">
        <f t="shared" si="6"/>
        <v>Washington</v>
      </c>
      <c r="H187" s="175"/>
      <c r="I187" s="178" t="s">
        <v>427</v>
      </c>
      <c r="J187" s="27" t="s">
        <v>428</v>
      </c>
      <c r="K187" s="27">
        <v>1549</v>
      </c>
      <c r="L187" s="179">
        <v>4047</v>
      </c>
      <c r="M187" s="180" t="s">
        <v>429</v>
      </c>
      <c r="N187" s="181" t="s">
        <v>430</v>
      </c>
      <c r="O187" s="182" t="s">
        <v>431</v>
      </c>
    </row>
    <row r="188" spans="2:15">
      <c r="B188" s="174" t="s">
        <v>1803</v>
      </c>
      <c r="C188" s="175" t="s">
        <v>1802</v>
      </c>
      <c r="D188" s="176" t="s">
        <v>428</v>
      </c>
      <c r="E188" s="177" t="s">
        <v>584</v>
      </c>
      <c r="F188" s="175">
        <f t="shared" si="5"/>
        <v>12</v>
      </c>
      <c r="G188" s="175" t="str">
        <f t="shared" si="6"/>
        <v>Washington</v>
      </c>
      <c r="H188" s="175"/>
      <c r="I188" s="178" t="s">
        <v>427</v>
      </c>
      <c r="J188" s="27" t="s">
        <v>428</v>
      </c>
      <c r="K188" s="27">
        <v>1549</v>
      </c>
      <c r="L188" s="179">
        <v>4047</v>
      </c>
      <c r="M188" s="180" t="s">
        <v>429</v>
      </c>
      <c r="N188" s="181" t="s">
        <v>430</v>
      </c>
      <c r="O188" s="182" t="s">
        <v>431</v>
      </c>
    </row>
    <row r="189" spans="2:15">
      <c r="B189" s="174" t="s">
        <v>1804</v>
      </c>
      <c r="C189" s="175" t="s">
        <v>1802</v>
      </c>
      <c r="D189" s="176" t="s">
        <v>428</v>
      </c>
      <c r="E189" s="177" t="s">
        <v>584</v>
      </c>
      <c r="F189" s="175">
        <f t="shared" si="5"/>
        <v>12</v>
      </c>
      <c r="G189" s="175" t="str">
        <f t="shared" si="6"/>
        <v>Washington</v>
      </c>
      <c r="H189" s="175"/>
      <c r="I189" s="178" t="s">
        <v>427</v>
      </c>
      <c r="J189" s="27" t="s">
        <v>428</v>
      </c>
      <c r="K189" s="27">
        <v>1549</v>
      </c>
      <c r="L189" s="179">
        <v>4047</v>
      </c>
      <c r="M189" s="180" t="s">
        <v>429</v>
      </c>
      <c r="N189" s="181" t="s">
        <v>430</v>
      </c>
      <c r="O189" s="182" t="s">
        <v>431</v>
      </c>
    </row>
    <row r="190" spans="2:15">
      <c r="B190" s="174" t="s">
        <v>1805</v>
      </c>
      <c r="C190" s="175" t="s">
        <v>1802</v>
      </c>
      <c r="D190" s="176" t="s">
        <v>428</v>
      </c>
      <c r="E190" s="177" t="s">
        <v>584</v>
      </c>
      <c r="F190" s="175">
        <f t="shared" si="5"/>
        <v>12</v>
      </c>
      <c r="G190" s="175" t="str">
        <f t="shared" si="6"/>
        <v>Washington</v>
      </c>
      <c r="H190" s="175"/>
      <c r="I190" s="178" t="s">
        <v>427</v>
      </c>
      <c r="J190" s="27" t="s">
        <v>428</v>
      </c>
      <c r="K190" s="27">
        <v>1549</v>
      </c>
      <c r="L190" s="179">
        <v>4047</v>
      </c>
      <c r="M190" s="180" t="s">
        <v>429</v>
      </c>
      <c r="N190" s="181" t="s">
        <v>430</v>
      </c>
      <c r="O190" s="182" t="s">
        <v>431</v>
      </c>
    </row>
    <row r="191" spans="2:15">
      <c r="B191" s="174" t="s">
        <v>1806</v>
      </c>
      <c r="C191" s="175" t="s">
        <v>1802</v>
      </c>
      <c r="D191" s="176" t="s">
        <v>428</v>
      </c>
      <c r="E191" s="177" t="s">
        <v>584</v>
      </c>
      <c r="F191" s="175">
        <f t="shared" si="5"/>
        <v>12</v>
      </c>
      <c r="G191" s="175" t="str">
        <f t="shared" si="6"/>
        <v>Washington</v>
      </c>
      <c r="H191" s="175"/>
      <c r="I191" s="178" t="s">
        <v>427</v>
      </c>
      <c r="J191" s="27" t="s">
        <v>428</v>
      </c>
      <c r="K191" s="27">
        <v>1549</v>
      </c>
      <c r="L191" s="179">
        <v>4047</v>
      </c>
      <c r="M191" s="180" t="s">
        <v>429</v>
      </c>
      <c r="N191" s="181" t="s">
        <v>430</v>
      </c>
      <c r="O191" s="182" t="s">
        <v>431</v>
      </c>
    </row>
    <row r="192" spans="2:15">
      <c r="B192" s="174" t="s">
        <v>1807</v>
      </c>
      <c r="C192" s="175" t="s">
        <v>1802</v>
      </c>
      <c r="D192" s="176" t="s">
        <v>428</v>
      </c>
      <c r="E192" s="177" t="s">
        <v>584</v>
      </c>
      <c r="F192" s="175">
        <f t="shared" si="5"/>
        <v>12</v>
      </c>
      <c r="G192" s="175" t="str">
        <f t="shared" si="6"/>
        <v>Washington</v>
      </c>
      <c r="H192" s="175"/>
      <c r="I192" s="178" t="s">
        <v>427</v>
      </c>
      <c r="J192" s="27" t="s">
        <v>428</v>
      </c>
      <c r="K192" s="27">
        <v>1549</v>
      </c>
      <c r="L192" s="179">
        <v>4047</v>
      </c>
      <c r="M192" s="180" t="s">
        <v>429</v>
      </c>
      <c r="N192" s="181" t="s">
        <v>430</v>
      </c>
      <c r="O192" s="182" t="s">
        <v>431</v>
      </c>
    </row>
    <row r="193" spans="2:20">
      <c r="B193" s="174" t="s">
        <v>1799</v>
      </c>
      <c r="C193" s="175" t="s">
        <v>487</v>
      </c>
      <c r="D193" s="176" t="s">
        <v>430</v>
      </c>
      <c r="E193" s="177" t="s">
        <v>1800</v>
      </c>
      <c r="F193" s="175">
        <f t="shared" si="5"/>
        <v>9</v>
      </c>
      <c r="G193" s="175" t="str">
        <f t="shared" si="6"/>
        <v>Waldorf</v>
      </c>
      <c r="H193" s="175"/>
      <c r="I193" s="178" t="s">
        <v>427</v>
      </c>
      <c r="J193" s="27" t="s">
        <v>428</v>
      </c>
      <c r="K193" s="27">
        <v>1549</v>
      </c>
      <c r="L193" s="179">
        <v>4047</v>
      </c>
      <c r="M193" s="180" t="s">
        <v>429</v>
      </c>
      <c r="N193" s="181" t="s">
        <v>430</v>
      </c>
      <c r="O193" s="182" t="s">
        <v>431</v>
      </c>
    </row>
    <row r="194" spans="2:20">
      <c r="B194" s="174" t="s">
        <v>2093</v>
      </c>
      <c r="C194" s="175" t="s">
        <v>487</v>
      </c>
      <c r="D194" s="176" t="s">
        <v>430</v>
      </c>
      <c r="E194" s="177" t="s">
        <v>2094</v>
      </c>
      <c r="F194" s="175">
        <f t="shared" si="5"/>
        <v>8</v>
      </c>
      <c r="G194" s="175" t="str">
        <f t="shared" si="6"/>
        <v>Laurel</v>
      </c>
      <c r="H194" s="175"/>
      <c r="I194" s="178" t="s">
        <v>489</v>
      </c>
      <c r="J194" s="27" t="s">
        <v>430</v>
      </c>
      <c r="K194" s="27">
        <v>1137</v>
      </c>
      <c r="L194" s="179">
        <v>4707</v>
      </c>
      <c r="M194" s="180" t="s">
        <v>490</v>
      </c>
      <c r="N194" s="181" t="s">
        <v>430</v>
      </c>
      <c r="O194" s="182" t="s">
        <v>491</v>
      </c>
    </row>
    <row r="195" spans="2:20">
      <c r="B195" s="174" t="s">
        <v>310</v>
      </c>
      <c r="C195" s="175" t="s">
        <v>487</v>
      </c>
      <c r="D195" s="176" t="s">
        <v>430</v>
      </c>
      <c r="E195" s="177" t="s">
        <v>311</v>
      </c>
      <c r="F195" s="175">
        <f t="shared" si="5"/>
        <v>11</v>
      </c>
      <c r="G195" s="175" t="str">
        <f t="shared" si="6"/>
        <v>Rockville</v>
      </c>
      <c r="H195" s="175"/>
      <c r="I195" s="178" t="s">
        <v>489</v>
      </c>
      <c r="J195" s="27" t="s">
        <v>430</v>
      </c>
      <c r="K195" s="27">
        <v>1137</v>
      </c>
      <c r="L195" s="179">
        <v>4707</v>
      </c>
      <c r="M195" s="180" t="s">
        <v>490</v>
      </c>
      <c r="N195" s="181" t="s">
        <v>430</v>
      </c>
      <c r="O195" s="182" t="s">
        <v>491</v>
      </c>
    </row>
    <row r="196" spans="2:20">
      <c r="B196" s="174" t="s">
        <v>2233</v>
      </c>
      <c r="C196" s="175" t="s">
        <v>487</v>
      </c>
      <c r="D196" s="176" t="s">
        <v>430</v>
      </c>
      <c r="E196" s="177" t="s">
        <v>2234</v>
      </c>
      <c r="F196" s="175">
        <f t="shared" si="5"/>
        <v>15</v>
      </c>
      <c r="G196" s="175" t="str">
        <f t="shared" si="6"/>
        <v>Silver Spring</v>
      </c>
      <c r="H196" s="175"/>
      <c r="I196" s="178" t="s">
        <v>427</v>
      </c>
      <c r="J196" s="27" t="s">
        <v>428</v>
      </c>
      <c r="K196" s="27">
        <v>1549</v>
      </c>
      <c r="L196" s="179">
        <v>4047</v>
      </c>
      <c r="M196" s="180" t="s">
        <v>429</v>
      </c>
      <c r="N196" s="181" t="s">
        <v>430</v>
      </c>
      <c r="O196" s="182" t="s">
        <v>431</v>
      </c>
    </row>
    <row r="197" spans="2:20">
      <c r="B197" s="174" t="s">
        <v>1570</v>
      </c>
      <c r="C197" s="175" t="s">
        <v>487</v>
      </c>
      <c r="D197" s="176" t="s">
        <v>430</v>
      </c>
      <c r="E197" s="177" t="s">
        <v>1571</v>
      </c>
      <c r="F197" s="175">
        <f t="shared" si="5"/>
        <v>11</v>
      </c>
      <c r="G197" s="175" t="str">
        <f t="shared" si="6"/>
        <v>Baltimore</v>
      </c>
      <c r="H197" s="175"/>
      <c r="I197" s="178" t="s">
        <v>489</v>
      </c>
      <c r="J197" s="27" t="s">
        <v>430</v>
      </c>
      <c r="K197" s="27">
        <v>1137</v>
      </c>
      <c r="L197" s="179">
        <v>4707</v>
      </c>
      <c r="M197" s="180" t="s">
        <v>490</v>
      </c>
      <c r="N197" s="181" t="s">
        <v>430</v>
      </c>
      <c r="O197" s="182" t="s">
        <v>491</v>
      </c>
    </row>
    <row r="198" spans="2:20">
      <c r="B198" s="174" t="s">
        <v>1572</v>
      </c>
      <c r="C198" s="175" t="s">
        <v>487</v>
      </c>
      <c r="D198" s="176" t="s">
        <v>430</v>
      </c>
      <c r="E198" s="177" t="s">
        <v>1571</v>
      </c>
      <c r="F198" s="175">
        <f t="shared" si="5"/>
        <v>11</v>
      </c>
      <c r="G198" s="175" t="str">
        <f t="shared" si="6"/>
        <v>Baltimore</v>
      </c>
      <c r="H198" s="175"/>
      <c r="I198" s="178" t="s">
        <v>489</v>
      </c>
      <c r="J198" s="27" t="s">
        <v>430</v>
      </c>
      <c r="K198" s="27">
        <v>1137</v>
      </c>
      <c r="L198" s="179">
        <v>4707</v>
      </c>
      <c r="M198" s="180" t="s">
        <v>490</v>
      </c>
      <c r="N198" s="181" t="s">
        <v>430</v>
      </c>
      <c r="O198" s="182" t="s">
        <v>491</v>
      </c>
    </row>
    <row r="199" spans="2:20">
      <c r="B199" s="174" t="s">
        <v>1573</v>
      </c>
      <c r="C199" s="175" t="s">
        <v>487</v>
      </c>
      <c r="D199" s="176" t="s">
        <v>430</v>
      </c>
      <c r="E199" s="177" t="s">
        <v>1571</v>
      </c>
      <c r="F199" s="175">
        <f t="shared" si="5"/>
        <v>11</v>
      </c>
      <c r="G199" s="175" t="str">
        <f t="shared" si="6"/>
        <v>Baltimore</v>
      </c>
      <c r="H199" s="175"/>
      <c r="I199" s="178" t="s">
        <v>489</v>
      </c>
      <c r="J199" s="27" t="s">
        <v>430</v>
      </c>
      <c r="K199" s="27">
        <v>1137</v>
      </c>
      <c r="L199" s="179">
        <v>4707</v>
      </c>
      <c r="M199" s="180" t="s">
        <v>490</v>
      </c>
      <c r="N199" s="181" t="s">
        <v>430</v>
      </c>
      <c r="O199" s="182" t="s">
        <v>491</v>
      </c>
    </row>
    <row r="200" spans="2:20">
      <c r="B200" s="174" t="s">
        <v>1574</v>
      </c>
      <c r="C200" s="175" t="s">
        <v>487</v>
      </c>
      <c r="D200" s="176" t="s">
        <v>430</v>
      </c>
      <c r="E200" s="177" t="s">
        <v>1571</v>
      </c>
      <c r="F200" s="175">
        <f t="shared" si="5"/>
        <v>11</v>
      </c>
      <c r="G200" s="175" t="str">
        <f t="shared" si="6"/>
        <v>Baltimore</v>
      </c>
      <c r="H200" s="175"/>
      <c r="I200" s="178" t="s">
        <v>489</v>
      </c>
      <c r="J200" s="27" t="s">
        <v>430</v>
      </c>
      <c r="K200" s="27">
        <v>1137</v>
      </c>
      <c r="L200" s="179">
        <v>4707</v>
      </c>
      <c r="M200" s="180" t="s">
        <v>490</v>
      </c>
      <c r="N200" s="181" t="s">
        <v>430</v>
      </c>
      <c r="O200" s="182" t="s">
        <v>491</v>
      </c>
      <c r="P200" s="26"/>
      <c r="Q200" s="27"/>
      <c r="R200" s="183"/>
      <c r="S200" s="27"/>
      <c r="T200" s="27"/>
    </row>
    <row r="201" spans="2:20">
      <c r="B201" s="174" t="s">
        <v>486</v>
      </c>
      <c r="C201" s="175" t="s">
        <v>487</v>
      </c>
      <c r="D201" s="176" t="s">
        <v>430</v>
      </c>
      <c r="E201" s="177" t="s">
        <v>488</v>
      </c>
      <c r="F201" s="175">
        <f t="shared" si="5"/>
        <v>11</v>
      </c>
      <c r="G201" s="175" t="str">
        <f t="shared" si="6"/>
        <v>Annapolis</v>
      </c>
      <c r="H201" s="175"/>
      <c r="I201" s="178" t="s">
        <v>489</v>
      </c>
      <c r="J201" s="27" t="s">
        <v>430</v>
      </c>
      <c r="K201" s="27">
        <v>1137</v>
      </c>
      <c r="L201" s="179">
        <v>4707</v>
      </c>
      <c r="M201" s="180" t="s">
        <v>490</v>
      </c>
      <c r="N201" s="181" t="s">
        <v>430</v>
      </c>
      <c r="O201" s="182" t="s">
        <v>491</v>
      </c>
    </row>
    <row r="202" spans="2:20">
      <c r="B202" s="174" t="s">
        <v>1666</v>
      </c>
      <c r="C202" s="175" t="s">
        <v>487</v>
      </c>
      <c r="D202" s="176" t="s">
        <v>430</v>
      </c>
      <c r="E202" s="177" t="s">
        <v>1667</v>
      </c>
      <c r="F202" s="175">
        <f t="shared" ref="F202:F265" si="7">LEN(E202)</f>
        <v>12</v>
      </c>
      <c r="G202" s="175" t="str">
        <f t="shared" ref="G202:G265" si="8">MID(E202,2,F202-2)</f>
        <v>Cumberland</v>
      </c>
      <c r="H202" s="175"/>
      <c r="I202" s="178" t="s">
        <v>455</v>
      </c>
      <c r="J202" s="27" t="s">
        <v>441</v>
      </c>
      <c r="K202" s="27">
        <v>654</v>
      </c>
      <c r="L202" s="179">
        <v>5968</v>
      </c>
      <c r="M202" s="180" t="s">
        <v>456</v>
      </c>
      <c r="N202" s="181" t="s">
        <v>441</v>
      </c>
      <c r="O202" s="182" t="s">
        <v>457</v>
      </c>
    </row>
    <row r="203" spans="2:20">
      <c r="B203" s="174" t="s">
        <v>526</v>
      </c>
      <c r="C203" s="175" t="s">
        <v>487</v>
      </c>
      <c r="D203" s="176" t="s">
        <v>430</v>
      </c>
      <c r="E203" s="177" t="s">
        <v>527</v>
      </c>
      <c r="F203" s="175">
        <f t="shared" si="7"/>
        <v>8</v>
      </c>
      <c r="G203" s="175" t="str">
        <f t="shared" si="8"/>
        <v>Easton</v>
      </c>
      <c r="H203" s="175"/>
      <c r="I203" s="178" t="s">
        <v>427</v>
      </c>
      <c r="J203" s="27" t="s">
        <v>428</v>
      </c>
      <c r="K203" s="27">
        <v>1549</v>
      </c>
      <c r="L203" s="179">
        <v>4047</v>
      </c>
      <c r="M203" s="180" t="s">
        <v>429</v>
      </c>
      <c r="N203" s="181" t="s">
        <v>430</v>
      </c>
      <c r="O203" s="182" t="s">
        <v>431</v>
      </c>
    </row>
    <row r="204" spans="2:20">
      <c r="B204" s="174" t="s">
        <v>1972</v>
      </c>
      <c r="C204" s="175" t="s">
        <v>487</v>
      </c>
      <c r="D204" s="176" t="s">
        <v>430</v>
      </c>
      <c r="E204" s="177" t="s">
        <v>1973</v>
      </c>
      <c r="F204" s="175">
        <f t="shared" si="7"/>
        <v>11</v>
      </c>
      <c r="G204" s="175" t="str">
        <f t="shared" si="8"/>
        <v>Frederick</v>
      </c>
      <c r="H204" s="175"/>
      <c r="I204" s="178" t="s">
        <v>489</v>
      </c>
      <c r="J204" s="27" t="s">
        <v>430</v>
      </c>
      <c r="K204" s="27">
        <v>1137</v>
      </c>
      <c r="L204" s="179">
        <v>4707</v>
      </c>
      <c r="M204" s="180" t="s">
        <v>490</v>
      </c>
      <c r="N204" s="181" t="s">
        <v>430</v>
      </c>
      <c r="O204" s="182" t="s">
        <v>491</v>
      </c>
    </row>
    <row r="205" spans="2:20">
      <c r="B205" s="174" t="s">
        <v>355</v>
      </c>
      <c r="C205" s="175" t="s">
        <v>487</v>
      </c>
      <c r="D205" s="176" t="s">
        <v>430</v>
      </c>
      <c r="E205" s="177" t="s">
        <v>356</v>
      </c>
      <c r="F205" s="175">
        <f t="shared" si="7"/>
        <v>11</v>
      </c>
      <c r="G205" s="175" t="str">
        <f t="shared" si="8"/>
        <v>Salisbury</v>
      </c>
      <c r="H205" s="175"/>
      <c r="I205" s="178" t="s">
        <v>357</v>
      </c>
      <c r="J205" s="27" t="s">
        <v>426</v>
      </c>
      <c r="K205" s="27">
        <v>1096</v>
      </c>
      <c r="L205" s="179">
        <v>4261</v>
      </c>
      <c r="M205" s="180" t="s">
        <v>2340</v>
      </c>
      <c r="N205" s="181" t="s">
        <v>426</v>
      </c>
      <c r="O205" s="182" t="s">
        <v>2341</v>
      </c>
    </row>
    <row r="206" spans="2:20">
      <c r="B206" s="174" t="s">
        <v>1026</v>
      </c>
      <c r="C206" s="175" t="s">
        <v>487</v>
      </c>
      <c r="D206" s="176" t="s">
        <v>430</v>
      </c>
      <c r="E206" s="177" t="s">
        <v>1027</v>
      </c>
      <c r="F206" s="175">
        <f t="shared" si="7"/>
        <v>8</v>
      </c>
      <c r="G206" s="175" t="str">
        <f t="shared" si="8"/>
        <v>Elkton</v>
      </c>
      <c r="H206" s="175"/>
      <c r="I206" s="178" t="s">
        <v>1028</v>
      </c>
      <c r="J206" s="27" t="s">
        <v>1725</v>
      </c>
      <c r="K206" s="27">
        <v>1046</v>
      </c>
      <c r="L206" s="179">
        <v>4937</v>
      </c>
      <c r="M206" s="180" t="s">
        <v>1029</v>
      </c>
      <c r="N206" s="181" t="s">
        <v>1725</v>
      </c>
      <c r="O206" s="182" t="s">
        <v>1030</v>
      </c>
    </row>
    <row r="207" spans="2:20">
      <c r="B207" s="174" t="s">
        <v>1174</v>
      </c>
      <c r="C207" s="175" t="s">
        <v>425</v>
      </c>
      <c r="D207" s="176" t="s">
        <v>426</v>
      </c>
      <c r="E207" s="177" t="s">
        <v>1175</v>
      </c>
      <c r="F207" s="175">
        <f t="shared" si="7"/>
        <v>13</v>
      </c>
      <c r="G207" s="175" t="str">
        <f t="shared" si="8"/>
        <v>Northern VA</v>
      </c>
      <c r="H207" s="175"/>
      <c r="I207" s="178" t="s">
        <v>1665</v>
      </c>
      <c r="J207" s="27" t="s">
        <v>428</v>
      </c>
      <c r="K207" s="27">
        <v>973</v>
      </c>
      <c r="L207" s="179">
        <v>5006</v>
      </c>
      <c r="M207" s="180" t="s">
        <v>429</v>
      </c>
      <c r="N207" s="181" t="s">
        <v>430</v>
      </c>
      <c r="O207" s="182" t="s">
        <v>431</v>
      </c>
    </row>
    <row r="208" spans="2:20">
      <c r="B208" s="174" t="s">
        <v>1176</v>
      </c>
      <c r="C208" s="175" t="s">
        <v>425</v>
      </c>
      <c r="D208" s="176" t="s">
        <v>426</v>
      </c>
      <c r="E208" s="177" t="s">
        <v>1175</v>
      </c>
      <c r="F208" s="175">
        <f t="shared" si="7"/>
        <v>13</v>
      </c>
      <c r="G208" s="175" t="str">
        <f t="shared" si="8"/>
        <v>Northern VA</v>
      </c>
      <c r="H208" s="175"/>
      <c r="I208" s="178" t="s">
        <v>1665</v>
      </c>
      <c r="J208" s="27" t="s">
        <v>428</v>
      </c>
      <c r="K208" s="27">
        <v>973</v>
      </c>
      <c r="L208" s="179">
        <v>5006</v>
      </c>
      <c r="M208" s="180" t="s">
        <v>429</v>
      </c>
      <c r="N208" s="181" t="s">
        <v>430</v>
      </c>
      <c r="O208" s="182" t="s">
        <v>431</v>
      </c>
    </row>
    <row r="209" spans="2:20">
      <c r="B209" s="174" t="s">
        <v>506</v>
      </c>
      <c r="C209" s="175" t="s">
        <v>425</v>
      </c>
      <c r="D209" s="176" t="s">
        <v>426</v>
      </c>
      <c r="E209" s="177" t="s">
        <v>507</v>
      </c>
      <c r="F209" s="175">
        <f t="shared" si="7"/>
        <v>11</v>
      </c>
      <c r="G209" s="175" t="str">
        <f t="shared" si="8"/>
        <v>Arlington</v>
      </c>
      <c r="H209" s="175"/>
      <c r="I209" s="178" t="s">
        <v>427</v>
      </c>
      <c r="J209" s="27" t="s">
        <v>428</v>
      </c>
      <c r="K209" s="27">
        <v>1549</v>
      </c>
      <c r="L209" s="179">
        <v>4047</v>
      </c>
      <c r="M209" s="180" t="s">
        <v>429</v>
      </c>
      <c r="N209" s="181" t="s">
        <v>430</v>
      </c>
      <c r="O209" s="182" t="s">
        <v>431</v>
      </c>
    </row>
    <row r="210" spans="2:20">
      <c r="B210" s="174" t="s">
        <v>424</v>
      </c>
      <c r="C210" s="175" t="s">
        <v>425</v>
      </c>
      <c r="D210" s="176" t="s">
        <v>426</v>
      </c>
      <c r="E210" s="177" t="s">
        <v>423</v>
      </c>
      <c r="F210" s="175">
        <f t="shared" si="7"/>
        <v>12</v>
      </c>
      <c r="G210" s="175" t="str">
        <f t="shared" si="8"/>
        <v>Alexandria</v>
      </c>
      <c r="H210" s="175"/>
      <c r="I210" s="178" t="s">
        <v>427</v>
      </c>
      <c r="J210" s="27" t="s">
        <v>428</v>
      </c>
      <c r="K210" s="27">
        <v>1549</v>
      </c>
      <c r="L210" s="179">
        <v>4047</v>
      </c>
      <c r="M210" s="180" t="s">
        <v>429</v>
      </c>
      <c r="N210" s="181" t="s">
        <v>430</v>
      </c>
      <c r="O210" s="182" t="s">
        <v>431</v>
      </c>
    </row>
    <row r="211" spans="2:20">
      <c r="B211" s="174" t="s">
        <v>1974</v>
      </c>
      <c r="C211" s="175" t="s">
        <v>425</v>
      </c>
      <c r="D211" s="176" t="s">
        <v>426</v>
      </c>
      <c r="E211" s="177" t="s">
        <v>1975</v>
      </c>
      <c r="F211" s="175">
        <f t="shared" si="7"/>
        <v>16</v>
      </c>
      <c r="G211" s="175" t="str">
        <f t="shared" si="8"/>
        <v>Fredericksburg</v>
      </c>
      <c r="H211" s="175"/>
      <c r="I211" s="178" t="s">
        <v>2339</v>
      </c>
      <c r="J211" s="27" t="s">
        <v>426</v>
      </c>
      <c r="K211" s="27">
        <v>1348</v>
      </c>
      <c r="L211" s="179">
        <v>3963</v>
      </c>
      <c r="M211" s="180" t="s">
        <v>2340</v>
      </c>
      <c r="N211" s="181" t="s">
        <v>426</v>
      </c>
      <c r="O211" s="182" t="s">
        <v>2341</v>
      </c>
    </row>
    <row r="212" spans="2:20">
      <c r="B212" s="174" t="s">
        <v>1976</v>
      </c>
      <c r="C212" s="175" t="s">
        <v>425</v>
      </c>
      <c r="D212" s="176" t="s">
        <v>426</v>
      </c>
      <c r="E212" s="177" t="s">
        <v>1975</v>
      </c>
      <c r="F212" s="175">
        <f t="shared" si="7"/>
        <v>16</v>
      </c>
      <c r="G212" s="175" t="str">
        <f t="shared" si="8"/>
        <v>Fredericksburg</v>
      </c>
      <c r="H212" s="175"/>
      <c r="I212" s="178" t="s">
        <v>2339</v>
      </c>
      <c r="J212" s="27" t="s">
        <v>426</v>
      </c>
      <c r="K212" s="27">
        <v>1348</v>
      </c>
      <c r="L212" s="179">
        <v>3963</v>
      </c>
      <c r="M212" s="180" t="s">
        <v>2340</v>
      </c>
      <c r="N212" s="181" t="s">
        <v>426</v>
      </c>
      <c r="O212" s="182" t="s">
        <v>2341</v>
      </c>
    </row>
    <row r="213" spans="2:20">
      <c r="B213" s="174" t="s">
        <v>725</v>
      </c>
      <c r="C213" s="175" t="s">
        <v>425</v>
      </c>
      <c r="D213" s="176" t="s">
        <v>426</v>
      </c>
      <c r="E213" s="177" t="s">
        <v>726</v>
      </c>
      <c r="F213" s="175">
        <f t="shared" si="7"/>
        <v>12</v>
      </c>
      <c r="G213" s="175" t="str">
        <f t="shared" si="8"/>
        <v>Winchester</v>
      </c>
      <c r="H213" s="175"/>
      <c r="I213" s="178" t="s">
        <v>1665</v>
      </c>
      <c r="J213" s="27" t="s">
        <v>428</v>
      </c>
      <c r="K213" s="27">
        <v>973</v>
      </c>
      <c r="L213" s="179">
        <v>5006</v>
      </c>
      <c r="M213" s="180" t="s">
        <v>429</v>
      </c>
      <c r="N213" s="181" t="s">
        <v>430</v>
      </c>
      <c r="O213" s="182" t="s">
        <v>431</v>
      </c>
    </row>
    <row r="214" spans="2:20">
      <c r="B214" s="174" t="s">
        <v>1663</v>
      </c>
      <c r="C214" s="175" t="s">
        <v>425</v>
      </c>
      <c r="D214" s="176" t="s">
        <v>426</v>
      </c>
      <c r="E214" s="177" t="s">
        <v>1664</v>
      </c>
      <c r="F214" s="175">
        <f t="shared" si="7"/>
        <v>10</v>
      </c>
      <c r="G214" s="175" t="str">
        <f t="shared" si="8"/>
        <v>Culpeper</v>
      </c>
      <c r="H214" s="175"/>
      <c r="I214" s="178" t="s">
        <v>1665</v>
      </c>
      <c r="J214" s="27" t="s">
        <v>428</v>
      </c>
      <c r="K214" s="27">
        <v>973</v>
      </c>
      <c r="L214" s="179">
        <v>5006</v>
      </c>
      <c r="M214" s="180" t="s">
        <v>429</v>
      </c>
      <c r="N214" s="181" t="s">
        <v>430</v>
      </c>
      <c r="O214" s="182" t="s">
        <v>431</v>
      </c>
      <c r="P214" s="26"/>
      <c r="Q214" s="27"/>
      <c r="R214" s="183"/>
      <c r="S214" s="27"/>
      <c r="T214" s="27"/>
    </row>
    <row r="215" spans="2:20">
      <c r="B215" s="174" t="s">
        <v>2177</v>
      </c>
      <c r="C215" s="175" t="s">
        <v>425</v>
      </c>
      <c r="D215" s="176" t="s">
        <v>426</v>
      </c>
      <c r="E215" s="177" t="s">
        <v>2178</v>
      </c>
      <c r="F215" s="175">
        <f t="shared" si="7"/>
        <v>14</v>
      </c>
      <c r="G215" s="175" t="str">
        <f t="shared" si="8"/>
        <v>Harrisonburg</v>
      </c>
      <c r="H215" s="175"/>
      <c r="I215" s="178" t="s">
        <v>1665</v>
      </c>
      <c r="J215" s="27" t="s">
        <v>428</v>
      </c>
      <c r="K215" s="27">
        <v>973</v>
      </c>
      <c r="L215" s="179">
        <v>5006</v>
      </c>
      <c r="M215" s="180" t="s">
        <v>429</v>
      </c>
      <c r="N215" s="181" t="s">
        <v>430</v>
      </c>
      <c r="O215" s="182" t="s">
        <v>431</v>
      </c>
      <c r="P215" s="26"/>
      <c r="Q215" s="27"/>
      <c r="R215" s="183"/>
      <c r="S215" s="27"/>
      <c r="T215" s="27"/>
    </row>
    <row r="216" spans="2:20">
      <c r="B216" s="174" t="s">
        <v>2337</v>
      </c>
      <c r="C216" s="175" t="s">
        <v>425</v>
      </c>
      <c r="D216" s="176" t="s">
        <v>426</v>
      </c>
      <c r="E216" s="177" t="s">
        <v>2338</v>
      </c>
      <c r="F216" s="175">
        <f t="shared" si="7"/>
        <v>17</v>
      </c>
      <c r="G216" s="175" t="str">
        <f t="shared" si="8"/>
        <v>Charlottesville</v>
      </c>
      <c r="H216" s="175"/>
      <c r="I216" s="178" t="s">
        <v>2339</v>
      </c>
      <c r="J216" s="27" t="s">
        <v>426</v>
      </c>
      <c r="K216" s="27">
        <v>1348</v>
      </c>
      <c r="L216" s="179">
        <v>3963</v>
      </c>
      <c r="M216" s="180" t="s">
        <v>2340</v>
      </c>
      <c r="N216" s="181" t="s">
        <v>426</v>
      </c>
      <c r="O216" s="182" t="s">
        <v>2341</v>
      </c>
      <c r="P216" s="26"/>
      <c r="Q216" s="27"/>
      <c r="R216" s="183"/>
      <c r="S216" s="27"/>
      <c r="T216" s="27"/>
    </row>
    <row r="217" spans="2:20">
      <c r="B217" s="174" t="s">
        <v>36</v>
      </c>
      <c r="C217" s="175" t="s">
        <v>425</v>
      </c>
      <c r="D217" s="176" t="s">
        <v>426</v>
      </c>
      <c r="E217" s="177" t="s">
        <v>35</v>
      </c>
      <c r="F217" s="175">
        <f t="shared" si="7"/>
        <v>10</v>
      </c>
      <c r="G217" s="175" t="str">
        <f t="shared" si="8"/>
        <v>Richmond</v>
      </c>
      <c r="H217" s="175"/>
      <c r="I217" s="178" t="s">
        <v>2339</v>
      </c>
      <c r="J217" s="27" t="s">
        <v>426</v>
      </c>
      <c r="K217" s="27">
        <v>1348</v>
      </c>
      <c r="L217" s="179">
        <v>3963</v>
      </c>
      <c r="M217" s="180" t="s">
        <v>2340</v>
      </c>
      <c r="N217" s="181" t="s">
        <v>426</v>
      </c>
      <c r="O217" s="182" t="s">
        <v>2341</v>
      </c>
      <c r="P217" s="26"/>
      <c r="Q217" s="27"/>
      <c r="R217" s="183"/>
      <c r="S217" s="27"/>
      <c r="T217" s="27"/>
    </row>
    <row r="218" spans="2:20">
      <c r="B218" s="174" t="s">
        <v>37</v>
      </c>
      <c r="C218" s="175" t="s">
        <v>425</v>
      </c>
      <c r="D218" s="176" t="s">
        <v>426</v>
      </c>
      <c r="E218" s="177" t="s">
        <v>35</v>
      </c>
      <c r="F218" s="175">
        <f t="shared" si="7"/>
        <v>10</v>
      </c>
      <c r="G218" s="175" t="str">
        <f t="shared" si="8"/>
        <v>Richmond</v>
      </c>
      <c r="H218" s="175"/>
      <c r="I218" s="178" t="s">
        <v>2339</v>
      </c>
      <c r="J218" s="27" t="s">
        <v>426</v>
      </c>
      <c r="K218" s="27">
        <v>1348</v>
      </c>
      <c r="L218" s="179">
        <v>3963</v>
      </c>
      <c r="M218" s="180" t="s">
        <v>2340</v>
      </c>
      <c r="N218" s="181" t="s">
        <v>426</v>
      </c>
      <c r="O218" s="182" t="s">
        <v>2341</v>
      </c>
      <c r="P218" s="26"/>
      <c r="Q218" s="27"/>
      <c r="R218" s="183"/>
      <c r="S218" s="27"/>
      <c r="T218" s="27"/>
    </row>
    <row r="219" spans="2:20">
      <c r="B219" s="174" t="s">
        <v>38</v>
      </c>
      <c r="C219" s="175" t="s">
        <v>425</v>
      </c>
      <c r="D219" s="176" t="s">
        <v>426</v>
      </c>
      <c r="E219" s="177" t="s">
        <v>35</v>
      </c>
      <c r="F219" s="175">
        <f t="shared" si="7"/>
        <v>10</v>
      </c>
      <c r="G219" s="175" t="str">
        <f t="shared" si="8"/>
        <v>Richmond</v>
      </c>
      <c r="H219" s="175"/>
      <c r="I219" s="178" t="s">
        <v>2339</v>
      </c>
      <c r="J219" s="27" t="s">
        <v>426</v>
      </c>
      <c r="K219" s="27">
        <v>1348</v>
      </c>
      <c r="L219" s="179">
        <v>3963</v>
      </c>
      <c r="M219" s="180" t="s">
        <v>2340</v>
      </c>
      <c r="N219" s="181" t="s">
        <v>426</v>
      </c>
      <c r="O219" s="182" t="s">
        <v>2341</v>
      </c>
      <c r="P219" s="26"/>
      <c r="Q219" s="27"/>
      <c r="R219" s="183"/>
      <c r="S219" s="27"/>
      <c r="T219" s="27"/>
    </row>
    <row r="220" spans="2:20">
      <c r="B220" s="174" t="s">
        <v>1157</v>
      </c>
      <c r="C220" s="175" t="s">
        <v>425</v>
      </c>
      <c r="D220" s="176" t="s">
        <v>426</v>
      </c>
      <c r="E220" s="177" t="s">
        <v>146</v>
      </c>
      <c r="F220" s="175">
        <f t="shared" si="7"/>
        <v>9</v>
      </c>
      <c r="G220" s="175" t="str">
        <f t="shared" si="8"/>
        <v>Norfolk</v>
      </c>
      <c r="H220" s="175"/>
      <c r="I220" s="178" t="s">
        <v>56</v>
      </c>
      <c r="J220" s="27" t="s">
        <v>426</v>
      </c>
      <c r="K220" s="27">
        <v>1422</v>
      </c>
      <c r="L220" s="179">
        <v>3495</v>
      </c>
      <c r="M220" s="180" t="s">
        <v>57</v>
      </c>
      <c r="N220" s="181" t="s">
        <v>426</v>
      </c>
      <c r="O220" s="182" t="s">
        <v>58</v>
      </c>
    </row>
    <row r="221" spans="2:20">
      <c r="B221" s="174" t="s">
        <v>1158</v>
      </c>
      <c r="C221" s="175" t="s">
        <v>425</v>
      </c>
      <c r="D221" s="176" t="s">
        <v>426</v>
      </c>
      <c r="E221" s="177" t="s">
        <v>146</v>
      </c>
      <c r="F221" s="175">
        <f t="shared" si="7"/>
        <v>9</v>
      </c>
      <c r="G221" s="175" t="str">
        <f t="shared" si="8"/>
        <v>Norfolk</v>
      </c>
      <c r="H221" s="175"/>
      <c r="I221" s="178" t="s">
        <v>56</v>
      </c>
      <c r="J221" s="27" t="s">
        <v>426</v>
      </c>
      <c r="K221" s="27">
        <v>1422</v>
      </c>
      <c r="L221" s="179">
        <v>3495</v>
      </c>
      <c r="M221" s="180" t="s">
        <v>57</v>
      </c>
      <c r="N221" s="181" t="s">
        <v>426</v>
      </c>
      <c r="O221" s="182" t="s">
        <v>58</v>
      </c>
    </row>
    <row r="222" spans="2:20">
      <c r="B222" s="174" t="s">
        <v>1159</v>
      </c>
      <c r="C222" s="175" t="s">
        <v>425</v>
      </c>
      <c r="D222" s="176" t="s">
        <v>426</v>
      </c>
      <c r="E222" s="177" t="s">
        <v>146</v>
      </c>
      <c r="F222" s="175">
        <f t="shared" si="7"/>
        <v>9</v>
      </c>
      <c r="G222" s="175" t="str">
        <f t="shared" si="8"/>
        <v>Norfolk</v>
      </c>
      <c r="H222" s="175"/>
      <c r="I222" s="178" t="s">
        <v>56</v>
      </c>
      <c r="J222" s="27" t="s">
        <v>426</v>
      </c>
      <c r="K222" s="27">
        <v>1422</v>
      </c>
      <c r="L222" s="179">
        <v>3495</v>
      </c>
      <c r="M222" s="180" t="s">
        <v>57</v>
      </c>
      <c r="N222" s="181" t="s">
        <v>426</v>
      </c>
      <c r="O222" s="182" t="s">
        <v>58</v>
      </c>
    </row>
    <row r="223" spans="2:20">
      <c r="B223" s="174" t="s">
        <v>1160</v>
      </c>
      <c r="C223" s="175" t="s">
        <v>425</v>
      </c>
      <c r="D223" s="176" t="s">
        <v>426</v>
      </c>
      <c r="E223" s="177" t="s">
        <v>146</v>
      </c>
      <c r="F223" s="175">
        <f t="shared" si="7"/>
        <v>9</v>
      </c>
      <c r="G223" s="175" t="str">
        <f t="shared" si="8"/>
        <v>Norfolk</v>
      </c>
      <c r="H223" s="175"/>
      <c r="I223" s="178" t="s">
        <v>56</v>
      </c>
      <c r="J223" s="27" t="s">
        <v>426</v>
      </c>
      <c r="K223" s="27">
        <v>1422</v>
      </c>
      <c r="L223" s="179">
        <v>3495</v>
      </c>
      <c r="M223" s="180" t="s">
        <v>57</v>
      </c>
      <c r="N223" s="181" t="s">
        <v>426</v>
      </c>
      <c r="O223" s="182" t="s">
        <v>58</v>
      </c>
    </row>
    <row r="224" spans="2:20">
      <c r="B224" s="174" t="s">
        <v>2459</v>
      </c>
      <c r="C224" s="175" t="s">
        <v>425</v>
      </c>
      <c r="D224" s="176" t="s">
        <v>426</v>
      </c>
      <c r="E224" s="177" t="s">
        <v>2458</v>
      </c>
      <c r="F224" s="175">
        <f t="shared" si="7"/>
        <v>12</v>
      </c>
      <c r="G224" s="175" t="str">
        <f t="shared" si="8"/>
        <v>Portsmouth</v>
      </c>
      <c r="H224" s="175"/>
      <c r="I224" s="178" t="s">
        <v>56</v>
      </c>
      <c r="J224" s="27" t="s">
        <v>426</v>
      </c>
      <c r="K224" s="27">
        <v>1422</v>
      </c>
      <c r="L224" s="179">
        <v>3495</v>
      </c>
      <c r="M224" s="180" t="s">
        <v>57</v>
      </c>
      <c r="N224" s="181" t="s">
        <v>426</v>
      </c>
      <c r="O224" s="182" t="s">
        <v>58</v>
      </c>
    </row>
    <row r="225" spans="2:15">
      <c r="B225" s="174" t="s">
        <v>2407</v>
      </c>
      <c r="C225" s="175" t="s">
        <v>425</v>
      </c>
      <c r="D225" s="176" t="s">
        <v>426</v>
      </c>
      <c r="E225" s="177" t="s">
        <v>2408</v>
      </c>
      <c r="F225" s="175">
        <f t="shared" si="7"/>
        <v>12</v>
      </c>
      <c r="G225" s="175" t="str">
        <f t="shared" si="8"/>
        <v>Petersburg</v>
      </c>
      <c r="H225" s="175"/>
      <c r="I225" s="178" t="s">
        <v>56</v>
      </c>
      <c r="J225" s="27" t="s">
        <v>426</v>
      </c>
      <c r="K225" s="27">
        <v>1422</v>
      </c>
      <c r="L225" s="179">
        <v>3495</v>
      </c>
      <c r="M225" s="180" t="s">
        <v>57</v>
      </c>
      <c r="N225" s="181" t="s">
        <v>426</v>
      </c>
      <c r="O225" s="182" t="s">
        <v>58</v>
      </c>
    </row>
    <row r="226" spans="2:15">
      <c r="B226" s="174" t="s">
        <v>1910</v>
      </c>
      <c r="C226" s="175" t="s">
        <v>425</v>
      </c>
      <c r="D226" s="176" t="s">
        <v>426</v>
      </c>
      <c r="E226" s="177" t="s">
        <v>1911</v>
      </c>
      <c r="F226" s="175">
        <f t="shared" si="7"/>
        <v>11</v>
      </c>
      <c r="G226" s="175" t="str">
        <f t="shared" si="8"/>
        <v>Farmville</v>
      </c>
      <c r="H226" s="175"/>
      <c r="I226" s="178" t="s">
        <v>2339</v>
      </c>
      <c r="J226" s="27" t="s">
        <v>426</v>
      </c>
      <c r="K226" s="27">
        <v>1348</v>
      </c>
      <c r="L226" s="179">
        <v>3963</v>
      </c>
      <c r="M226" s="180" t="s">
        <v>2340</v>
      </c>
      <c r="N226" s="181" t="s">
        <v>426</v>
      </c>
      <c r="O226" s="182" t="s">
        <v>2341</v>
      </c>
    </row>
    <row r="227" spans="2:15">
      <c r="B227" s="174" t="s">
        <v>291</v>
      </c>
      <c r="C227" s="175" t="s">
        <v>425</v>
      </c>
      <c r="D227" s="176" t="s">
        <v>426</v>
      </c>
      <c r="E227" s="177" t="s">
        <v>292</v>
      </c>
      <c r="F227" s="175">
        <f t="shared" si="7"/>
        <v>9</v>
      </c>
      <c r="G227" s="175" t="str">
        <f t="shared" si="8"/>
        <v>Roanoke</v>
      </c>
      <c r="H227" s="175"/>
      <c r="I227" s="178" t="s">
        <v>2276</v>
      </c>
      <c r="J227" s="27" t="s">
        <v>426</v>
      </c>
      <c r="K227" s="27">
        <v>1052</v>
      </c>
      <c r="L227" s="179">
        <v>4360</v>
      </c>
      <c r="M227" s="180" t="s">
        <v>2277</v>
      </c>
      <c r="N227" s="181" t="s">
        <v>426</v>
      </c>
      <c r="O227" s="182" t="s">
        <v>2278</v>
      </c>
    </row>
    <row r="228" spans="2:15">
      <c r="B228" s="174" t="s">
        <v>293</v>
      </c>
      <c r="C228" s="175" t="s">
        <v>425</v>
      </c>
      <c r="D228" s="176" t="s">
        <v>426</v>
      </c>
      <c r="E228" s="177" t="s">
        <v>292</v>
      </c>
      <c r="F228" s="175">
        <f t="shared" si="7"/>
        <v>9</v>
      </c>
      <c r="G228" s="175" t="str">
        <f t="shared" si="8"/>
        <v>Roanoke</v>
      </c>
      <c r="H228" s="175"/>
      <c r="I228" s="178" t="s">
        <v>2276</v>
      </c>
      <c r="J228" s="27" t="s">
        <v>426</v>
      </c>
      <c r="K228" s="27">
        <v>1052</v>
      </c>
      <c r="L228" s="179">
        <v>4360</v>
      </c>
      <c r="M228" s="180" t="s">
        <v>2277</v>
      </c>
      <c r="N228" s="181" t="s">
        <v>426</v>
      </c>
      <c r="O228" s="182" t="s">
        <v>2278</v>
      </c>
    </row>
    <row r="229" spans="2:15">
      <c r="B229" s="174" t="s">
        <v>686</v>
      </c>
      <c r="C229" s="175" t="s">
        <v>425</v>
      </c>
      <c r="D229" s="176" t="s">
        <v>426</v>
      </c>
      <c r="E229" s="177" t="s">
        <v>687</v>
      </c>
      <c r="F229" s="175">
        <f t="shared" si="7"/>
        <v>9</v>
      </c>
      <c r="G229" s="175" t="str">
        <f t="shared" si="8"/>
        <v>Bristol</v>
      </c>
      <c r="H229" s="175"/>
      <c r="I229" s="178" t="s">
        <v>2276</v>
      </c>
      <c r="J229" s="27" t="s">
        <v>426</v>
      </c>
      <c r="K229" s="27">
        <v>1052</v>
      </c>
      <c r="L229" s="179">
        <v>4360</v>
      </c>
      <c r="M229" s="180" t="s">
        <v>2277</v>
      </c>
      <c r="N229" s="181" t="s">
        <v>426</v>
      </c>
      <c r="O229" s="182" t="s">
        <v>2278</v>
      </c>
    </row>
    <row r="230" spans="2:15">
      <c r="B230" s="174" t="s">
        <v>2477</v>
      </c>
      <c r="C230" s="175" t="s">
        <v>425</v>
      </c>
      <c r="D230" s="176" t="s">
        <v>426</v>
      </c>
      <c r="E230" s="177" t="s">
        <v>2478</v>
      </c>
      <c r="F230" s="175">
        <f t="shared" si="7"/>
        <v>9</v>
      </c>
      <c r="G230" s="175" t="str">
        <f t="shared" si="8"/>
        <v>Pulaski</v>
      </c>
      <c r="H230" s="175"/>
      <c r="I230" s="178" t="s">
        <v>2276</v>
      </c>
      <c r="J230" s="27" t="s">
        <v>426</v>
      </c>
      <c r="K230" s="27">
        <v>1052</v>
      </c>
      <c r="L230" s="179">
        <v>4360</v>
      </c>
      <c r="M230" s="180" t="s">
        <v>2277</v>
      </c>
      <c r="N230" s="181" t="s">
        <v>426</v>
      </c>
      <c r="O230" s="182" t="s">
        <v>2278</v>
      </c>
    </row>
    <row r="231" spans="2:15">
      <c r="B231" s="174" t="s">
        <v>1250</v>
      </c>
      <c r="C231" s="175" t="s">
        <v>425</v>
      </c>
      <c r="D231" s="176" t="s">
        <v>426</v>
      </c>
      <c r="E231" s="177" t="s">
        <v>1251</v>
      </c>
      <c r="F231" s="175">
        <f t="shared" si="7"/>
        <v>10</v>
      </c>
      <c r="G231" s="175" t="str">
        <f t="shared" si="8"/>
        <v>Staunton</v>
      </c>
      <c r="H231" s="175"/>
      <c r="I231" s="178" t="s">
        <v>2276</v>
      </c>
      <c r="J231" s="27" t="s">
        <v>426</v>
      </c>
      <c r="K231" s="27">
        <v>1052</v>
      </c>
      <c r="L231" s="179">
        <v>4360</v>
      </c>
      <c r="M231" s="180" t="s">
        <v>2277</v>
      </c>
      <c r="N231" s="181" t="s">
        <v>426</v>
      </c>
      <c r="O231" s="182" t="s">
        <v>2278</v>
      </c>
    </row>
    <row r="232" spans="2:15">
      <c r="B232" s="174" t="s">
        <v>2152</v>
      </c>
      <c r="C232" s="175" t="s">
        <v>425</v>
      </c>
      <c r="D232" s="176" t="s">
        <v>426</v>
      </c>
      <c r="E232" s="177" t="s">
        <v>2153</v>
      </c>
      <c r="F232" s="175">
        <f t="shared" si="7"/>
        <v>11</v>
      </c>
      <c r="G232" s="175" t="str">
        <f t="shared" si="8"/>
        <v>Lynchburg</v>
      </c>
      <c r="H232" s="175"/>
      <c r="I232" s="178" t="s">
        <v>2154</v>
      </c>
      <c r="J232" s="27" t="s">
        <v>426</v>
      </c>
      <c r="K232" s="27">
        <v>1048</v>
      </c>
      <c r="L232" s="179">
        <v>4340</v>
      </c>
      <c r="M232" s="180" t="s">
        <v>2277</v>
      </c>
      <c r="N232" s="181" t="s">
        <v>426</v>
      </c>
      <c r="O232" s="182" t="s">
        <v>2278</v>
      </c>
    </row>
    <row r="233" spans="2:15">
      <c r="B233" s="174" t="s">
        <v>845</v>
      </c>
      <c r="C233" s="175" t="s">
        <v>425</v>
      </c>
      <c r="D233" s="176" t="s">
        <v>426</v>
      </c>
      <c r="E233" s="177" t="s">
        <v>846</v>
      </c>
      <c r="F233" s="175">
        <f t="shared" si="7"/>
        <v>10</v>
      </c>
      <c r="G233" s="175" t="str">
        <f t="shared" si="8"/>
        <v>Tazewell</v>
      </c>
      <c r="H233" s="175"/>
      <c r="I233" s="178" t="s">
        <v>2276</v>
      </c>
      <c r="J233" s="27" t="s">
        <v>426</v>
      </c>
      <c r="K233" s="27">
        <v>1052</v>
      </c>
      <c r="L233" s="179">
        <v>4360</v>
      </c>
      <c r="M233" s="180" t="s">
        <v>2277</v>
      </c>
      <c r="N233" s="181" t="s">
        <v>426</v>
      </c>
      <c r="O233" s="182" t="s">
        <v>2278</v>
      </c>
    </row>
    <row r="234" spans="2:15">
      <c r="B234" s="174" t="s">
        <v>2274</v>
      </c>
      <c r="C234" s="175" t="s">
        <v>1606</v>
      </c>
      <c r="D234" s="176" t="s">
        <v>1519</v>
      </c>
      <c r="E234" s="177" t="s">
        <v>2275</v>
      </c>
      <c r="F234" s="175">
        <f t="shared" si="7"/>
        <v>11</v>
      </c>
      <c r="G234" s="175" t="str">
        <f t="shared" si="8"/>
        <v>Bluefield</v>
      </c>
      <c r="H234" s="175"/>
      <c r="I234" s="178" t="s">
        <v>2276</v>
      </c>
      <c r="J234" s="27" t="s">
        <v>426</v>
      </c>
      <c r="K234" s="27">
        <v>1052</v>
      </c>
      <c r="L234" s="179">
        <v>4360</v>
      </c>
      <c r="M234" s="180" t="s">
        <v>2277</v>
      </c>
      <c r="N234" s="181" t="s">
        <v>426</v>
      </c>
      <c r="O234" s="182" t="s">
        <v>2278</v>
      </c>
    </row>
    <row r="235" spans="2:15">
      <c r="B235" s="174" t="s">
        <v>1824</v>
      </c>
      <c r="C235" s="175" t="s">
        <v>1606</v>
      </c>
      <c r="D235" s="176" t="s">
        <v>1519</v>
      </c>
      <c r="E235" s="177" t="s">
        <v>1825</v>
      </c>
      <c r="F235" s="175">
        <f t="shared" si="7"/>
        <v>7</v>
      </c>
      <c r="G235" s="175" t="str">
        <f t="shared" si="8"/>
        <v>Welch</v>
      </c>
      <c r="H235" s="175"/>
      <c r="I235" s="178" t="s">
        <v>1308</v>
      </c>
      <c r="J235" s="27" t="s">
        <v>1519</v>
      </c>
      <c r="K235" s="27">
        <v>1031</v>
      </c>
      <c r="L235" s="179">
        <v>4646</v>
      </c>
      <c r="M235" s="180" t="s">
        <v>1520</v>
      </c>
      <c r="N235" s="181" t="s">
        <v>1519</v>
      </c>
      <c r="O235" s="182" t="s">
        <v>1521</v>
      </c>
    </row>
    <row r="236" spans="2:15">
      <c r="B236" s="174" t="s">
        <v>2104</v>
      </c>
      <c r="C236" s="175" t="s">
        <v>1606</v>
      </c>
      <c r="D236" s="176" t="s">
        <v>1519</v>
      </c>
      <c r="E236" s="177" t="s">
        <v>2105</v>
      </c>
      <c r="F236" s="175">
        <f t="shared" si="7"/>
        <v>11</v>
      </c>
      <c r="G236" s="175" t="str">
        <f t="shared" si="8"/>
        <v>Lewisburg</v>
      </c>
      <c r="H236" s="175"/>
      <c r="I236" s="178" t="s">
        <v>1308</v>
      </c>
      <c r="J236" s="27" t="s">
        <v>1519</v>
      </c>
      <c r="K236" s="27">
        <v>1031</v>
      </c>
      <c r="L236" s="179">
        <v>4646</v>
      </c>
      <c r="M236" s="180" t="s">
        <v>1520</v>
      </c>
      <c r="N236" s="181" t="s">
        <v>1519</v>
      </c>
      <c r="O236" s="182" t="s">
        <v>1521</v>
      </c>
    </row>
    <row r="237" spans="2:15">
      <c r="B237" s="174" t="s">
        <v>2325</v>
      </c>
      <c r="C237" s="175" t="s">
        <v>1606</v>
      </c>
      <c r="D237" s="176" t="s">
        <v>1519</v>
      </c>
      <c r="E237" s="177" t="s">
        <v>2322</v>
      </c>
      <c r="F237" s="175">
        <f t="shared" si="7"/>
        <v>12</v>
      </c>
      <c r="G237" s="175" t="str">
        <f t="shared" si="8"/>
        <v>Charleston</v>
      </c>
      <c r="H237" s="175"/>
      <c r="I237" s="178" t="s">
        <v>1308</v>
      </c>
      <c r="J237" s="27" t="s">
        <v>1519</v>
      </c>
      <c r="K237" s="27">
        <v>1031</v>
      </c>
      <c r="L237" s="179">
        <v>4646</v>
      </c>
      <c r="M237" s="180" t="s">
        <v>1520</v>
      </c>
      <c r="N237" s="181" t="s">
        <v>1519</v>
      </c>
      <c r="O237" s="182" t="s">
        <v>1521</v>
      </c>
    </row>
    <row r="238" spans="2:15">
      <c r="B238" s="174" t="s">
        <v>2326</v>
      </c>
      <c r="C238" s="175" t="s">
        <v>1606</v>
      </c>
      <c r="D238" s="176" t="s">
        <v>1519</v>
      </c>
      <c r="E238" s="177" t="s">
        <v>2322</v>
      </c>
      <c r="F238" s="175">
        <f t="shared" si="7"/>
        <v>12</v>
      </c>
      <c r="G238" s="175" t="str">
        <f t="shared" si="8"/>
        <v>Charleston</v>
      </c>
      <c r="H238" s="175"/>
      <c r="I238" s="178" t="s">
        <v>1308</v>
      </c>
      <c r="J238" s="27" t="s">
        <v>1519</v>
      </c>
      <c r="K238" s="27">
        <v>1031</v>
      </c>
      <c r="L238" s="179">
        <v>4646</v>
      </c>
      <c r="M238" s="180" t="s">
        <v>1520</v>
      </c>
      <c r="N238" s="181" t="s">
        <v>1519</v>
      </c>
      <c r="O238" s="182" t="s">
        <v>1521</v>
      </c>
    </row>
    <row r="239" spans="2:15">
      <c r="B239" s="174" t="s">
        <v>2327</v>
      </c>
      <c r="C239" s="175" t="s">
        <v>1606</v>
      </c>
      <c r="D239" s="176" t="s">
        <v>1519</v>
      </c>
      <c r="E239" s="177" t="s">
        <v>2322</v>
      </c>
      <c r="F239" s="175">
        <f t="shared" si="7"/>
        <v>12</v>
      </c>
      <c r="G239" s="175" t="str">
        <f t="shared" si="8"/>
        <v>Charleston</v>
      </c>
      <c r="H239" s="175"/>
      <c r="I239" s="178" t="s">
        <v>1308</v>
      </c>
      <c r="J239" s="27" t="s">
        <v>1519</v>
      </c>
      <c r="K239" s="27">
        <v>1031</v>
      </c>
      <c r="L239" s="179">
        <v>4646</v>
      </c>
      <c r="M239" s="180" t="s">
        <v>1520</v>
      </c>
      <c r="N239" s="181" t="s">
        <v>1519</v>
      </c>
      <c r="O239" s="182" t="s">
        <v>1521</v>
      </c>
    </row>
    <row r="240" spans="2:15">
      <c r="B240" s="174" t="s">
        <v>2328</v>
      </c>
      <c r="C240" s="175" t="s">
        <v>1606</v>
      </c>
      <c r="D240" s="176" t="s">
        <v>1519</v>
      </c>
      <c r="E240" s="177" t="s">
        <v>2322</v>
      </c>
      <c r="F240" s="175">
        <f t="shared" si="7"/>
        <v>12</v>
      </c>
      <c r="G240" s="175" t="str">
        <f t="shared" si="8"/>
        <v>Charleston</v>
      </c>
      <c r="H240" s="175"/>
      <c r="I240" s="178" t="s">
        <v>1308</v>
      </c>
      <c r="J240" s="27" t="s">
        <v>1519</v>
      </c>
      <c r="K240" s="27">
        <v>1031</v>
      </c>
      <c r="L240" s="179">
        <v>4646</v>
      </c>
      <c r="M240" s="180" t="s">
        <v>1520</v>
      </c>
      <c r="N240" s="181" t="s">
        <v>1519</v>
      </c>
      <c r="O240" s="182" t="s">
        <v>1521</v>
      </c>
    </row>
    <row r="241" spans="2:15">
      <c r="B241" s="174" t="s">
        <v>1145</v>
      </c>
      <c r="C241" s="175" t="s">
        <v>1606</v>
      </c>
      <c r="D241" s="176" t="s">
        <v>1519</v>
      </c>
      <c r="E241" s="177" t="s">
        <v>1146</v>
      </c>
      <c r="F241" s="175">
        <f t="shared" si="7"/>
        <v>13</v>
      </c>
      <c r="G241" s="175" t="str">
        <f t="shared" si="8"/>
        <v>Martinsburg</v>
      </c>
      <c r="H241" s="175"/>
      <c r="I241" s="178" t="s">
        <v>1665</v>
      </c>
      <c r="J241" s="27" t="s">
        <v>428</v>
      </c>
      <c r="K241" s="27">
        <v>973</v>
      </c>
      <c r="L241" s="179">
        <v>5006</v>
      </c>
      <c r="M241" s="180" t="s">
        <v>429</v>
      </c>
      <c r="N241" s="181" t="s">
        <v>430</v>
      </c>
      <c r="O241" s="182" t="s">
        <v>431</v>
      </c>
    </row>
    <row r="242" spans="2:15">
      <c r="B242" s="174" t="s">
        <v>803</v>
      </c>
      <c r="C242" s="175" t="s">
        <v>1606</v>
      </c>
      <c r="D242" s="176" t="s">
        <v>1519</v>
      </c>
      <c r="E242" s="177" t="s">
        <v>804</v>
      </c>
      <c r="F242" s="175">
        <f t="shared" si="7"/>
        <v>12</v>
      </c>
      <c r="G242" s="175" t="str">
        <f t="shared" si="8"/>
        <v>Huntington</v>
      </c>
      <c r="H242" s="175"/>
      <c r="I242" s="178" t="s">
        <v>1308</v>
      </c>
      <c r="J242" s="27" t="s">
        <v>1519</v>
      </c>
      <c r="K242" s="27">
        <v>1031</v>
      </c>
      <c r="L242" s="179">
        <v>4646</v>
      </c>
      <c r="M242" s="180" t="s">
        <v>1520</v>
      </c>
      <c r="N242" s="181" t="s">
        <v>1519</v>
      </c>
      <c r="O242" s="182" t="s">
        <v>1521</v>
      </c>
    </row>
    <row r="243" spans="2:15">
      <c r="B243" s="174" t="s">
        <v>2128</v>
      </c>
      <c r="C243" s="175" t="s">
        <v>1606</v>
      </c>
      <c r="D243" s="176" t="s">
        <v>1519</v>
      </c>
      <c r="E243" s="177" t="s">
        <v>2129</v>
      </c>
      <c r="F243" s="175">
        <f t="shared" si="7"/>
        <v>7</v>
      </c>
      <c r="G243" s="175" t="str">
        <f t="shared" si="8"/>
        <v>Logan</v>
      </c>
      <c r="H243" s="175"/>
      <c r="I243" s="178" t="s">
        <v>1308</v>
      </c>
      <c r="J243" s="27" t="s">
        <v>1519</v>
      </c>
      <c r="K243" s="27">
        <v>1031</v>
      </c>
      <c r="L243" s="179">
        <v>4646</v>
      </c>
      <c r="M243" s="180" t="s">
        <v>1520</v>
      </c>
      <c r="N243" s="181" t="s">
        <v>1519</v>
      </c>
      <c r="O243" s="182" t="s">
        <v>1521</v>
      </c>
    </row>
    <row r="244" spans="2:15">
      <c r="B244" s="174" t="s">
        <v>805</v>
      </c>
      <c r="C244" s="175" t="s">
        <v>1606</v>
      </c>
      <c r="D244" s="176" t="s">
        <v>1519</v>
      </c>
      <c r="E244" s="177" t="s">
        <v>804</v>
      </c>
      <c r="F244" s="175">
        <f t="shared" si="7"/>
        <v>12</v>
      </c>
      <c r="G244" s="175" t="str">
        <f t="shared" si="8"/>
        <v>Huntington</v>
      </c>
      <c r="H244" s="175"/>
      <c r="I244" s="178" t="s">
        <v>1518</v>
      </c>
      <c r="J244" s="27" t="s">
        <v>1519</v>
      </c>
      <c r="K244" s="27">
        <v>1005</v>
      </c>
      <c r="L244" s="179">
        <v>4665</v>
      </c>
      <c r="M244" s="180" t="s">
        <v>1520</v>
      </c>
      <c r="N244" s="181" t="s">
        <v>1519</v>
      </c>
      <c r="O244" s="182" t="s">
        <v>1521</v>
      </c>
    </row>
    <row r="245" spans="2:15">
      <c r="B245" s="174" t="s">
        <v>1605</v>
      </c>
      <c r="C245" s="175" t="s">
        <v>1606</v>
      </c>
      <c r="D245" s="176" t="s">
        <v>1519</v>
      </c>
      <c r="E245" s="177" t="s">
        <v>1607</v>
      </c>
      <c r="F245" s="175">
        <f t="shared" si="7"/>
        <v>9</v>
      </c>
      <c r="G245" s="175" t="str">
        <f t="shared" si="8"/>
        <v>Beckley</v>
      </c>
      <c r="H245" s="175"/>
      <c r="I245" s="178" t="s">
        <v>1608</v>
      </c>
      <c r="J245" s="27" t="s">
        <v>1519</v>
      </c>
      <c r="K245" s="27">
        <v>463</v>
      </c>
      <c r="L245" s="179">
        <v>5558</v>
      </c>
      <c r="M245" s="180" t="s">
        <v>1520</v>
      </c>
      <c r="N245" s="181" t="s">
        <v>1519</v>
      </c>
      <c r="O245" s="182" t="s">
        <v>1521</v>
      </c>
    </row>
    <row r="246" spans="2:15">
      <c r="B246" s="174" t="s">
        <v>1609</v>
      </c>
      <c r="C246" s="175" t="s">
        <v>1606</v>
      </c>
      <c r="D246" s="176" t="s">
        <v>1519</v>
      </c>
      <c r="E246" s="177" t="s">
        <v>1607</v>
      </c>
      <c r="F246" s="175">
        <f t="shared" si="7"/>
        <v>9</v>
      </c>
      <c r="G246" s="175" t="str">
        <f t="shared" si="8"/>
        <v>Beckley</v>
      </c>
      <c r="H246" s="175"/>
      <c r="I246" s="178" t="s">
        <v>1608</v>
      </c>
      <c r="J246" s="27" t="s">
        <v>1519</v>
      </c>
      <c r="K246" s="27">
        <v>463</v>
      </c>
      <c r="L246" s="179">
        <v>5558</v>
      </c>
      <c r="M246" s="180" t="s">
        <v>1520</v>
      </c>
      <c r="N246" s="181" t="s">
        <v>1519</v>
      </c>
      <c r="O246" s="182" t="s">
        <v>1521</v>
      </c>
    </row>
    <row r="247" spans="2:15">
      <c r="B247" s="174" t="s">
        <v>1843</v>
      </c>
      <c r="C247" s="175" t="s">
        <v>1606</v>
      </c>
      <c r="D247" s="176" t="s">
        <v>1519</v>
      </c>
      <c r="E247" s="177" t="s">
        <v>1844</v>
      </c>
      <c r="F247" s="175">
        <f t="shared" si="7"/>
        <v>10</v>
      </c>
      <c r="G247" s="175" t="str">
        <f t="shared" si="8"/>
        <v>Wheeling</v>
      </c>
      <c r="H247" s="175"/>
      <c r="I247" s="178" t="s">
        <v>455</v>
      </c>
      <c r="J247" s="27" t="s">
        <v>441</v>
      </c>
      <c r="K247" s="27">
        <v>654</v>
      </c>
      <c r="L247" s="179">
        <v>5968</v>
      </c>
      <c r="M247" s="180" t="s">
        <v>456</v>
      </c>
      <c r="N247" s="181" t="s">
        <v>441</v>
      </c>
      <c r="O247" s="182" t="s">
        <v>457</v>
      </c>
    </row>
    <row r="248" spans="2:15">
      <c r="B248" s="174" t="s">
        <v>604</v>
      </c>
      <c r="C248" s="175" t="s">
        <v>1606</v>
      </c>
      <c r="D248" s="176" t="s">
        <v>1519</v>
      </c>
      <c r="E248" s="177" t="s">
        <v>605</v>
      </c>
      <c r="F248" s="175">
        <f t="shared" si="7"/>
        <v>13</v>
      </c>
      <c r="G248" s="175" t="str">
        <f t="shared" si="8"/>
        <v>Parkersburg</v>
      </c>
      <c r="H248" s="175"/>
      <c r="I248" s="178" t="s">
        <v>1308</v>
      </c>
      <c r="J248" s="27" t="s">
        <v>1519</v>
      </c>
      <c r="K248" s="27">
        <v>1031</v>
      </c>
      <c r="L248" s="179">
        <v>4646</v>
      </c>
      <c r="M248" s="180" t="s">
        <v>1520</v>
      </c>
      <c r="N248" s="181" t="s">
        <v>1519</v>
      </c>
      <c r="O248" s="182" t="s">
        <v>1521</v>
      </c>
    </row>
    <row r="249" spans="2:15">
      <c r="B249" s="174" t="s">
        <v>1306</v>
      </c>
      <c r="C249" s="175" t="s">
        <v>1606</v>
      </c>
      <c r="D249" s="176" t="s">
        <v>1519</v>
      </c>
      <c r="E249" s="177" t="s">
        <v>1307</v>
      </c>
      <c r="F249" s="175">
        <f t="shared" si="7"/>
        <v>12</v>
      </c>
      <c r="G249" s="175" t="str">
        <f t="shared" si="8"/>
        <v>Buckhannon</v>
      </c>
      <c r="H249" s="175"/>
      <c r="I249" s="178" t="s">
        <v>1308</v>
      </c>
      <c r="J249" s="27" t="s">
        <v>1519</v>
      </c>
      <c r="K249" s="27">
        <v>1031</v>
      </c>
      <c r="L249" s="179">
        <v>4646</v>
      </c>
      <c r="M249" s="180" t="s">
        <v>1520</v>
      </c>
      <c r="N249" s="181" t="s">
        <v>1519</v>
      </c>
      <c r="O249" s="182" t="s">
        <v>1521</v>
      </c>
    </row>
    <row r="250" spans="2:15">
      <c r="B250" s="174" t="s">
        <v>2383</v>
      </c>
      <c r="C250" s="175" t="s">
        <v>1606</v>
      </c>
      <c r="D250" s="176" t="s">
        <v>1519</v>
      </c>
      <c r="E250" s="177" t="s">
        <v>2384</v>
      </c>
      <c r="F250" s="175">
        <f t="shared" si="7"/>
        <v>12</v>
      </c>
      <c r="G250" s="175" t="str">
        <f t="shared" si="8"/>
        <v>Clarksburg</v>
      </c>
      <c r="H250" s="175"/>
      <c r="I250" s="178" t="s">
        <v>2385</v>
      </c>
      <c r="J250" s="27" t="s">
        <v>1519</v>
      </c>
      <c r="K250" s="27">
        <v>346</v>
      </c>
      <c r="L250" s="179">
        <v>6120</v>
      </c>
      <c r="M250" s="180" t="s">
        <v>2386</v>
      </c>
      <c r="N250" s="181" t="s">
        <v>1519</v>
      </c>
      <c r="O250" s="182" t="s">
        <v>581</v>
      </c>
    </row>
    <row r="251" spans="2:15">
      <c r="B251" s="174" t="s">
        <v>582</v>
      </c>
      <c r="C251" s="175" t="s">
        <v>1606</v>
      </c>
      <c r="D251" s="176" t="s">
        <v>1519</v>
      </c>
      <c r="E251" s="177" t="s">
        <v>2384</v>
      </c>
      <c r="F251" s="175">
        <f t="shared" si="7"/>
        <v>12</v>
      </c>
      <c r="G251" s="175" t="str">
        <f t="shared" si="8"/>
        <v>Clarksburg</v>
      </c>
      <c r="H251" s="175"/>
      <c r="I251" s="178" t="s">
        <v>2385</v>
      </c>
      <c r="J251" s="27" t="s">
        <v>1519</v>
      </c>
      <c r="K251" s="27">
        <v>346</v>
      </c>
      <c r="L251" s="179">
        <v>6120</v>
      </c>
      <c r="M251" s="180" t="s">
        <v>2386</v>
      </c>
      <c r="N251" s="181" t="s">
        <v>1519</v>
      </c>
      <c r="O251" s="182" t="s">
        <v>581</v>
      </c>
    </row>
    <row r="252" spans="2:15">
      <c r="B252" s="174" t="s">
        <v>1076</v>
      </c>
      <c r="C252" s="175" t="s">
        <v>1606</v>
      </c>
      <c r="D252" s="176" t="s">
        <v>1519</v>
      </c>
      <c r="E252" s="177" t="s">
        <v>1077</v>
      </c>
      <c r="F252" s="175">
        <f t="shared" si="7"/>
        <v>12</v>
      </c>
      <c r="G252" s="175" t="str">
        <f t="shared" si="8"/>
        <v>Morgantown</v>
      </c>
      <c r="H252" s="175"/>
      <c r="I252" s="178" t="s">
        <v>455</v>
      </c>
      <c r="J252" s="27" t="s">
        <v>441</v>
      </c>
      <c r="K252" s="27">
        <v>654</v>
      </c>
      <c r="L252" s="179">
        <v>5968</v>
      </c>
      <c r="M252" s="180" t="s">
        <v>456</v>
      </c>
      <c r="N252" s="181" t="s">
        <v>441</v>
      </c>
      <c r="O252" s="182" t="s">
        <v>457</v>
      </c>
    </row>
    <row r="253" spans="2:15">
      <c r="B253" s="174" t="s">
        <v>2002</v>
      </c>
      <c r="C253" s="175" t="s">
        <v>1606</v>
      </c>
      <c r="D253" s="176" t="s">
        <v>1519</v>
      </c>
      <c r="E253" s="177" t="s">
        <v>2003</v>
      </c>
      <c r="F253" s="175">
        <f t="shared" si="7"/>
        <v>10</v>
      </c>
      <c r="G253" s="175" t="str">
        <f t="shared" si="8"/>
        <v>Gassaway</v>
      </c>
      <c r="H253" s="175"/>
      <c r="I253" s="178" t="s">
        <v>1308</v>
      </c>
      <c r="J253" s="27" t="s">
        <v>1519</v>
      </c>
      <c r="K253" s="27">
        <v>1031</v>
      </c>
      <c r="L253" s="179">
        <v>4646</v>
      </c>
      <c r="M253" s="180" t="s">
        <v>1520</v>
      </c>
      <c r="N253" s="181" t="s">
        <v>1519</v>
      </c>
      <c r="O253" s="182" t="s">
        <v>1521</v>
      </c>
    </row>
    <row r="254" spans="2:15">
      <c r="B254" s="174" t="s">
        <v>907</v>
      </c>
      <c r="C254" s="175" t="s">
        <v>1606</v>
      </c>
      <c r="D254" s="176" t="s">
        <v>1519</v>
      </c>
      <c r="E254" s="177" t="s">
        <v>908</v>
      </c>
      <c r="F254" s="175">
        <f t="shared" si="7"/>
        <v>8</v>
      </c>
      <c r="G254" s="175" t="str">
        <f t="shared" si="8"/>
        <v>Keyser</v>
      </c>
      <c r="H254" s="175"/>
      <c r="I254" s="178" t="s">
        <v>2385</v>
      </c>
      <c r="J254" s="27" t="s">
        <v>1519</v>
      </c>
      <c r="K254" s="27">
        <v>346</v>
      </c>
      <c r="L254" s="179">
        <v>6120</v>
      </c>
      <c r="M254" s="180" t="s">
        <v>2386</v>
      </c>
      <c r="N254" s="181" t="s">
        <v>1519</v>
      </c>
      <c r="O254" s="182" t="s">
        <v>581</v>
      </c>
    </row>
    <row r="255" spans="2:15">
      <c r="B255" s="174" t="s">
        <v>2409</v>
      </c>
      <c r="C255" s="175" t="s">
        <v>1606</v>
      </c>
      <c r="D255" s="176" t="s">
        <v>1519</v>
      </c>
      <c r="E255" s="177" t="s">
        <v>2408</v>
      </c>
      <c r="F255" s="175">
        <f t="shared" si="7"/>
        <v>12</v>
      </c>
      <c r="G255" s="175" t="str">
        <f t="shared" si="8"/>
        <v>Petersburg</v>
      </c>
      <c r="H255" s="175"/>
      <c r="I255" s="178" t="s">
        <v>2385</v>
      </c>
      <c r="J255" s="27" t="s">
        <v>1519</v>
      </c>
      <c r="K255" s="27">
        <v>346</v>
      </c>
      <c r="L255" s="179">
        <v>6120</v>
      </c>
      <c r="M255" s="180" t="s">
        <v>2386</v>
      </c>
      <c r="N255" s="181" t="s">
        <v>1519</v>
      </c>
      <c r="O255" s="182" t="s">
        <v>581</v>
      </c>
    </row>
    <row r="256" spans="2:15">
      <c r="B256" s="174" t="s">
        <v>731</v>
      </c>
      <c r="C256" s="175" t="s">
        <v>472</v>
      </c>
      <c r="D256" s="176" t="s">
        <v>473</v>
      </c>
      <c r="E256" s="177" t="s">
        <v>732</v>
      </c>
      <c r="F256" s="175">
        <f t="shared" si="7"/>
        <v>15</v>
      </c>
      <c r="G256" s="175" t="str">
        <f t="shared" si="8"/>
        <v>Winston-Salem</v>
      </c>
      <c r="H256" s="175"/>
      <c r="I256" s="178" t="s">
        <v>2054</v>
      </c>
      <c r="J256" s="27" t="s">
        <v>473</v>
      </c>
      <c r="K256" s="27">
        <v>1253</v>
      </c>
      <c r="L256" s="179">
        <v>3865</v>
      </c>
      <c r="M256" s="180" t="s">
        <v>2055</v>
      </c>
      <c r="N256" s="181" t="s">
        <v>473</v>
      </c>
      <c r="O256" s="182" t="s">
        <v>2056</v>
      </c>
    </row>
    <row r="257" spans="2:20">
      <c r="B257" s="174" t="s">
        <v>733</v>
      </c>
      <c r="C257" s="175" t="s">
        <v>472</v>
      </c>
      <c r="D257" s="176" t="s">
        <v>473</v>
      </c>
      <c r="E257" s="177" t="s">
        <v>732</v>
      </c>
      <c r="F257" s="175">
        <f t="shared" si="7"/>
        <v>15</v>
      </c>
      <c r="G257" s="175" t="str">
        <f t="shared" si="8"/>
        <v>Winston-Salem</v>
      </c>
      <c r="H257" s="175"/>
      <c r="I257" s="178" t="s">
        <v>2054</v>
      </c>
      <c r="J257" s="27" t="s">
        <v>473</v>
      </c>
      <c r="K257" s="27">
        <v>1253</v>
      </c>
      <c r="L257" s="179">
        <v>3865</v>
      </c>
      <c r="M257" s="180" t="s">
        <v>2055</v>
      </c>
      <c r="N257" s="181" t="s">
        <v>473</v>
      </c>
      <c r="O257" s="182" t="s">
        <v>2056</v>
      </c>
      <c r="P257" s="26"/>
      <c r="Q257" s="27"/>
      <c r="R257" s="183"/>
      <c r="S257" s="27"/>
      <c r="T257" s="27"/>
    </row>
    <row r="258" spans="2:20">
      <c r="B258" s="174" t="s">
        <v>2052</v>
      </c>
      <c r="C258" s="175" t="s">
        <v>472</v>
      </c>
      <c r="D258" s="176" t="s">
        <v>473</v>
      </c>
      <c r="E258" s="177" t="s">
        <v>2053</v>
      </c>
      <c r="F258" s="175">
        <f t="shared" si="7"/>
        <v>12</v>
      </c>
      <c r="G258" s="175" t="str">
        <f t="shared" si="8"/>
        <v>Greensboro</v>
      </c>
      <c r="H258" s="175"/>
      <c r="I258" s="178" t="s">
        <v>2054</v>
      </c>
      <c r="J258" s="27" t="s">
        <v>473</v>
      </c>
      <c r="K258" s="27">
        <v>1253</v>
      </c>
      <c r="L258" s="179">
        <v>3865</v>
      </c>
      <c r="M258" s="180" t="s">
        <v>2055</v>
      </c>
      <c r="N258" s="181" t="s">
        <v>473</v>
      </c>
      <c r="O258" s="182" t="s">
        <v>2056</v>
      </c>
      <c r="P258" s="26"/>
      <c r="Q258" s="27"/>
      <c r="R258" s="183"/>
      <c r="S258" s="27"/>
      <c r="T258" s="27"/>
    </row>
    <row r="259" spans="2:20">
      <c r="B259" s="174" t="s">
        <v>2057</v>
      </c>
      <c r="C259" s="175" t="s">
        <v>472</v>
      </c>
      <c r="D259" s="176" t="s">
        <v>473</v>
      </c>
      <c r="E259" s="177" t="s">
        <v>2053</v>
      </c>
      <c r="F259" s="175">
        <f t="shared" si="7"/>
        <v>12</v>
      </c>
      <c r="G259" s="175" t="str">
        <f t="shared" si="8"/>
        <v>Greensboro</v>
      </c>
      <c r="H259" s="175"/>
      <c r="I259" s="178" t="s">
        <v>2054</v>
      </c>
      <c r="J259" s="27" t="s">
        <v>473</v>
      </c>
      <c r="K259" s="27">
        <v>1253</v>
      </c>
      <c r="L259" s="179">
        <v>3865</v>
      </c>
      <c r="M259" s="180" t="s">
        <v>2055</v>
      </c>
      <c r="N259" s="181" t="s">
        <v>473</v>
      </c>
      <c r="O259" s="182" t="s">
        <v>2056</v>
      </c>
      <c r="P259" s="26"/>
      <c r="Q259" s="27"/>
      <c r="R259" s="183"/>
      <c r="S259" s="27"/>
      <c r="T259" s="27"/>
    </row>
    <row r="260" spans="2:20">
      <c r="B260" s="174" t="s">
        <v>2058</v>
      </c>
      <c r="C260" s="175" t="s">
        <v>472</v>
      </c>
      <c r="D260" s="176" t="s">
        <v>473</v>
      </c>
      <c r="E260" s="177" t="s">
        <v>2053</v>
      </c>
      <c r="F260" s="175">
        <f t="shared" si="7"/>
        <v>12</v>
      </c>
      <c r="G260" s="175" t="str">
        <f t="shared" si="8"/>
        <v>Greensboro</v>
      </c>
      <c r="H260" s="175"/>
      <c r="I260" s="178" t="s">
        <v>2054</v>
      </c>
      <c r="J260" s="27" t="s">
        <v>473</v>
      </c>
      <c r="K260" s="27">
        <v>1253</v>
      </c>
      <c r="L260" s="179">
        <v>3865</v>
      </c>
      <c r="M260" s="180" t="s">
        <v>2055</v>
      </c>
      <c r="N260" s="181" t="s">
        <v>473</v>
      </c>
      <c r="O260" s="182" t="s">
        <v>2056</v>
      </c>
      <c r="P260" s="26"/>
      <c r="Q260" s="27"/>
      <c r="R260" s="183"/>
      <c r="S260" s="27"/>
      <c r="T260" s="27"/>
    </row>
    <row r="261" spans="2:20">
      <c r="B261" s="174" t="s">
        <v>2485</v>
      </c>
      <c r="C261" s="175" t="s">
        <v>472</v>
      </c>
      <c r="D261" s="176" t="s">
        <v>473</v>
      </c>
      <c r="E261" s="177" t="s">
        <v>2486</v>
      </c>
      <c r="F261" s="175">
        <f t="shared" si="7"/>
        <v>9</v>
      </c>
      <c r="G261" s="175" t="str">
        <f t="shared" si="8"/>
        <v>Raleigh</v>
      </c>
      <c r="H261" s="175"/>
      <c r="I261" s="178" t="s">
        <v>2303</v>
      </c>
      <c r="J261" s="27" t="s">
        <v>473</v>
      </c>
      <c r="K261" s="27">
        <v>1417</v>
      </c>
      <c r="L261" s="179">
        <v>3457</v>
      </c>
      <c r="M261" s="180" t="s">
        <v>521</v>
      </c>
      <c r="N261" s="181" t="s">
        <v>473</v>
      </c>
      <c r="O261" s="182" t="s">
        <v>522</v>
      </c>
      <c r="P261" s="26"/>
      <c r="Q261" s="27"/>
      <c r="R261" s="183"/>
      <c r="S261" s="27"/>
      <c r="T261" s="27"/>
    </row>
    <row r="262" spans="2:20">
      <c r="B262" s="174" t="s">
        <v>2487</v>
      </c>
      <c r="C262" s="175" t="s">
        <v>472</v>
      </c>
      <c r="D262" s="176" t="s">
        <v>473</v>
      </c>
      <c r="E262" s="177" t="s">
        <v>2486</v>
      </c>
      <c r="F262" s="175">
        <f t="shared" si="7"/>
        <v>9</v>
      </c>
      <c r="G262" s="175" t="str">
        <f t="shared" si="8"/>
        <v>Raleigh</v>
      </c>
      <c r="H262" s="175"/>
      <c r="I262" s="178" t="s">
        <v>2303</v>
      </c>
      <c r="J262" s="27" t="s">
        <v>473</v>
      </c>
      <c r="K262" s="27">
        <v>1417</v>
      </c>
      <c r="L262" s="179">
        <v>3457</v>
      </c>
      <c r="M262" s="180" t="s">
        <v>521</v>
      </c>
      <c r="N262" s="181" t="s">
        <v>473</v>
      </c>
      <c r="O262" s="182" t="s">
        <v>522</v>
      </c>
    </row>
    <row r="263" spans="2:20">
      <c r="B263" s="174" t="s">
        <v>2301</v>
      </c>
      <c r="C263" s="175" t="s">
        <v>472</v>
      </c>
      <c r="D263" s="176" t="s">
        <v>473</v>
      </c>
      <c r="E263" s="177" t="s">
        <v>2302</v>
      </c>
      <c r="F263" s="175">
        <f t="shared" si="7"/>
        <v>8</v>
      </c>
      <c r="G263" s="175" t="str">
        <f t="shared" si="8"/>
        <v>Durham</v>
      </c>
      <c r="H263" s="175"/>
      <c r="I263" s="178" t="s">
        <v>2303</v>
      </c>
      <c r="J263" s="27" t="s">
        <v>473</v>
      </c>
      <c r="K263" s="27">
        <v>1417</v>
      </c>
      <c r="L263" s="179">
        <v>3457</v>
      </c>
      <c r="M263" s="180" t="s">
        <v>521</v>
      </c>
      <c r="N263" s="181" t="s">
        <v>473</v>
      </c>
      <c r="O263" s="182" t="s">
        <v>522</v>
      </c>
    </row>
    <row r="264" spans="2:20">
      <c r="B264" s="174" t="s">
        <v>312</v>
      </c>
      <c r="C264" s="175" t="s">
        <v>472</v>
      </c>
      <c r="D264" s="176" t="s">
        <v>473</v>
      </c>
      <c r="E264" s="177" t="s">
        <v>313</v>
      </c>
      <c r="F264" s="175">
        <f t="shared" si="7"/>
        <v>13</v>
      </c>
      <c r="G264" s="175" t="str">
        <f t="shared" si="8"/>
        <v>Rocky Mount</v>
      </c>
      <c r="H264" s="175"/>
      <c r="I264" s="178" t="s">
        <v>2303</v>
      </c>
      <c r="J264" s="27" t="s">
        <v>473</v>
      </c>
      <c r="K264" s="27">
        <v>1417</v>
      </c>
      <c r="L264" s="179">
        <v>3457</v>
      </c>
      <c r="M264" s="180" t="s">
        <v>521</v>
      </c>
      <c r="N264" s="181" t="s">
        <v>473</v>
      </c>
      <c r="O264" s="182" t="s">
        <v>522</v>
      </c>
    </row>
    <row r="265" spans="2:20">
      <c r="B265" s="174" t="s">
        <v>54</v>
      </c>
      <c r="C265" s="175" t="s">
        <v>472</v>
      </c>
      <c r="D265" s="176" t="s">
        <v>473</v>
      </c>
      <c r="E265" s="177" t="s">
        <v>55</v>
      </c>
      <c r="F265" s="175">
        <f t="shared" si="7"/>
        <v>16</v>
      </c>
      <c r="G265" s="175" t="str">
        <f t="shared" si="8"/>
        <v>Elizabeth City</v>
      </c>
      <c r="H265" s="175"/>
      <c r="I265" s="178" t="s">
        <v>56</v>
      </c>
      <c r="J265" s="27" t="s">
        <v>426</v>
      </c>
      <c r="K265" s="27">
        <v>1422</v>
      </c>
      <c r="L265" s="179">
        <v>3495</v>
      </c>
      <c r="M265" s="180" t="s">
        <v>57</v>
      </c>
      <c r="N265" s="181" t="s">
        <v>426</v>
      </c>
      <c r="O265" s="182" t="s">
        <v>58</v>
      </c>
    </row>
    <row r="266" spans="2:20">
      <c r="B266" s="174" t="s">
        <v>2329</v>
      </c>
      <c r="C266" s="175" t="s">
        <v>472</v>
      </c>
      <c r="D266" s="176" t="s">
        <v>473</v>
      </c>
      <c r="E266" s="177" t="s">
        <v>2330</v>
      </c>
      <c r="F266" s="175">
        <f t="shared" ref="F266:F329" si="9">LEN(E266)</f>
        <v>11</v>
      </c>
      <c r="G266" s="175" t="str">
        <f t="shared" ref="G266:G329" si="10">MID(E266,2,F266-2)</f>
        <v>Charlotte</v>
      </c>
      <c r="H266" s="175"/>
      <c r="I266" s="178" t="s">
        <v>2331</v>
      </c>
      <c r="J266" s="27" t="s">
        <v>275</v>
      </c>
      <c r="K266" s="27">
        <v>1473</v>
      </c>
      <c r="L266" s="179">
        <v>3272</v>
      </c>
      <c r="M266" s="180" t="s">
        <v>2332</v>
      </c>
      <c r="N266" s="181" t="s">
        <v>473</v>
      </c>
      <c r="O266" s="182" t="s">
        <v>2333</v>
      </c>
    </row>
    <row r="267" spans="2:20">
      <c r="B267" s="174" t="s">
        <v>2334</v>
      </c>
      <c r="C267" s="175" t="s">
        <v>472</v>
      </c>
      <c r="D267" s="176" t="s">
        <v>473</v>
      </c>
      <c r="E267" s="177" t="s">
        <v>2330</v>
      </c>
      <c r="F267" s="175">
        <f t="shared" si="9"/>
        <v>11</v>
      </c>
      <c r="G267" s="175" t="str">
        <f t="shared" si="10"/>
        <v>Charlotte</v>
      </c>
      <c r="H267" s="175"/>
      <c r="I267" s="178" t="s">
        <v>2331</v>
      </c>
      <c r="J267" s="27" t="s">
        <v>275</v>
      </c>
      <c r="K267" s="27">
        <v>1473</v>
      </c>
      <c r="L267" s="179">
        <v>3272</v>
      </c>
      <c r="M267" s="180" t="s">
        <v>2332</v>
      </c>
      <c r="N267" s="181" t="s">
        <v>473</v>
      </c>
      <c r="O267" s="182" t="s">
        <v>2333</v>
      </c>
    </row>
    <row r="268" spans="2:20">
      <c r="B268" s="174" t="s">
        <v>2335</v>
      </c>
      <c r="C268" s="175" t="s">
        <v>472</v>
      </c>
      <c r="D268" s="176" t="s">
        <v>473</v>
      </c>
      <c r="E268" s="177" t="s">
        <v>2330</v>
      </c>
      <c r="F268" s="175">
        <f t="shared" si="9"/>
        <v>11</v>
      </c>
      <c r="G268" s="175" t="str">
        <f t="shared" si="10"/>
        <v>Charlotte</v>
      </c>
      <c r="H268" s="175"/>
      <c r="I268" s="178" t="s">
        <v>2336</v>
      </c>
      <c r="J268" s="27" t="s">
        <v>473</v>
      </c>
      <c r="K268" s="27">
        <v>1582</v>
      </c>
      <c r="L268" s="179">
        <v>3341</v>
      </c>
      <c r="M268" s="180" t="s">
        <v>2332</v>
      </c>
      <c r="N268" s="181" t="s">
        <v>473</v>
      </c>
      <c r="O268" s="182" t="s">
        <v>2333</v>
      </c>
    </row>
    <row r="269" spans="2:20">
      <c r="B269" s="174" t="s">
        <v>1916</v>
      </c>
      <c r="C269" s="175" t="s">
        <v>472</v>
      </c>
      <c r="D269" s="176" t="s">
        <v>473</v>
      </c>
      <c r="E269" s="177" t="s">
        <v>1913</v>
      </c>
      <c r="F269" s="175">
        <f t="shared" si="9"/>
        <v>14</v>
      </c>
      <c r="G269" s="175" t="str">
        <f t="shared" si="10"/>
        <v>Fayetteville</v>
      </c>
      <c r="H269" s="175"/>
      <c r="I269" s="178" t="s">
        <v>2336</v>
      </c>
      <c r="J269" s="27" t="s">
        <v>473</v>
      </c>
      <c r="K269" s="27">
        <v>1582</v>
      </c>
      <c r="L269" s="179">
        <v>3341</v>
      </c>
      <c r="M269" s="180" t="s">
        <v>2332</v>
      </c>
      <c r="N269" s="181" t="s">
        <v>473</v>
      </c>
      <c r="O269" s="182" t="s">
        <v>2333</v>
      </c>
    </row>
    <row r="270" spans="2:20">
      <c r="B270" s="174" t="s">
        <v>724</v>
      </c>
      <c r="C270" s="175" t="s">
        <v>472</v>
      </c>
      <c r="D270" s="176" t="s">
        <v>473</v>
      </c>
      <c r="E270" s="177" t="s">
        <v>722</v>
      </c>
      <c r="F270" s="175">
        <f t="shared" si="9"/>
        <v>12</v>
      </c>
      <c r="G270" s="175" t="str">
        <f t="shared" si="10"/>
        <v>Wilmington</v>
      </c>
      <c r="H270" s="175"/>
      <c r="I270" s="178" t="s">
        <v>1933</v>
      </c>
      <c r="J270" s="27" t="s">
        <v>473</v>
      </c>
      <c r="K270" s="27">
        <v>1926</v>
      </c>
      <c r="L270" s="179">
        <v>2470</v>
      </c>
      <c r="M270" s="180" t="s">
        <v>2332</v>
      </c>
      <c r="N270" s="181" t="s">
        <v>473</v>
      </c>
      <c r="O270" s="182" t="s">
        <v>2333</v>
      </c>
    </row>
    <row r="271" spans="2:20">
      <c r="B271" s="174" t="s">
        <v>916</v>
      </c>
      <c r="C271" s="175" t="s">
        <v>472</v>
      </c>
      <c r="D271" s="176" t="s">
        <v>473</v>
      </c>
      <c r="E271" s="177" t="s">
        <v>917</v>
      </c>
      <c r="F271" s="175">
        <f t="shared" si="9"/>
        <v>9</v>
      </c>
      <c r="G271" s="175" t="str">
        <f t="shared" si="10"/>
        <v>Kinston</v>
      </c>
      <c r="H271" s="175"/>
      <c r="I271" s="178" t="s">
        <v>1933</v>
      </c>
      <c r="J271" s="27" t="s">
        <v>473</v>
      </c>
      <c r="K271" s="27">
        <v>1926</v>
      </c>
      <c r="L271" s="179">
        <v>2470</v>
      </c>
      <c r="M271" s="180" t="s">
        <v>2332</v>
      </c>
      <c r="N271" s="181" t="s">
        <v>473</v>
      </c>
      <c r="O271" s="182" t="s">
        <v>2333</v>
      </c>
    </row>
    <row r="272" spans="2:20">
      <c r="B272" s="174" t="s">
        <v>770</v>
      </c>
      <c r="C272" s="175" t="s">
        <v>472</v>
      </c>
      <c r="D272" s="176" t="s">
        <v>473</v>
      </c>
      <c r="E272" s="177" t="s">
        <v>771</v>
      </c>
      <c r="F272" s="175">
        <f t="shared" si="9"/>
        <v>9</v>
      </c>
      <c r="G272" s="175" t="str">
        <f t="shared" si="10"/>
        <v>Hickory</v>
      </c>
      <c r="H272" s="175"/>
      <c r="I272" s="178" t="s">
        <v>2054</v>
      </c>
      <c r="J272" s="27" t="s">
        <v>473</v>
      </c>
      <c r="K272" s="27">
        <v>1253</v>
      </c>
      <c r="L272" s="179">
        <v>3865</v>
      </c>
      <c r="M272" s="180" t="s">
        <v>2055</v>
      </c>
      <c r="N272" s="181" t="s">
        <v>473</v>
      </c>
      <c r="O272" s="182" t="s">
        <v>2056</v>
      </c>
      <c r="P272" s="26"/>
      <c r="Q272" s="27"/>
      <c r="R272" s="183"/>
      <c r="S272" s="27"/>
      <c r="T272" s="27"/>
    </row>
    <row r="273" spans="2:20">
      <c r="B273" s="174" t="s">
        <v>508</v>
      </c>
      <c r="C273" s="175" t="s">
        <v>472</v>
      </c>
      <c r="D273" s="176" t="s">
        <v>473</v>
      </c>
      <c r="E273" s="177" t="s">
        <v>509</v>
      </c>
      <c r="F273" s="175">
        <f t="shared" si="9"/>
        <v>11</v>
      </c>
      <c r="G273" s="175" t="str">
        <f t="shared" si="10"/>
        <v>Asheville</v>
      </c>
      <c r="H273" s="175"/>
      <c r="I273" s="178" t="s">
        <v>510</v>
      </c>
      <c r="J273" s="27" t="s">
        <v>476</v>
      </c>
      <c r="K273" s="27">
        <v>972</v>
      </c>
      <c r="L273" s="179">
        <v>4406</v>
      </c>
      <c r="M273" s="180" t="s">
        <v>511</v>
      </c>
      <c r="N273" s="181" t="s">
        <v>473</v>
      </c>
      <c r="O273" s="182" t="s">
        <v>512</v>
      </c>
      <c r="P273" s="26"/>
      <c r="Q273" s="27"/>
      <c r="R273" s="183"/>
      <c r="S273" s="27"/>
      <c r="T273" s="27"/>
    </row>
    <row r="274" spans="2:20">
      <c r="B274" s="174" t="s">
        <v>513</v>
      </c>
      <c r="C274" s="175" t="s">
        <v>472</v>
      </c>
      <c r="D274" s="176" t="s">
        <v>473</v>
      </c>
      <c r="E274" s="177" t="s">
        <v>509</v>
      </c>
      <c r="F274" s="175">
        <f t="shared" si="9"/>
        <v>11</v>
      </c>
      <c r="G274" s="175" t="str">
        <f t="shared" si="10"/>
        <v>Asheville</v>
      </c>
      <c r="H274" s="175"/>
      <c r="I274" s="178" t="s">
        <v>514</v>
      </c>
      <c r="J274" s="27" t="s">
        <v>473</v>
      </c>
      <c r="K274" s="27">
        <v>787</v>
      </c>
      <c r="L274" s="179">
        <v>4308</v>
      </c>
      <c r="M274" s="180" t="s">
        <v>511</v>
      </c>
      <c r="N274" s="181" t="s">
        <v>473</v>
      </c>
      <c r="O274" s="182" t="s">
        <v>512</v>
      </c>
      <c r="P274" s="26"/>
      <c r="Q274" s="27"/>
      <c r="R274" s="183"/>
      <c r="S274" s="27"/>
      <c r="T274" s="27"/>
    </row>
    <row r="275" spans="2:20">
      <c r="B275" s="174" t="s">
        <v>471</v>
      </c>
      <c r="C275" s="175" t="s">
        <v>472</v>
      </c>
      <c r="D275" s="176" t="s">
        <v>473</v>
      </c>
      <c r="E275" s="177" t="s">
        <v>474</v>
      </c>
      <c r="F275" s="175">
        <f t="shared" si="9"/>
        <v>9</v>
      </c>
      <c r="G275" s="175" t="str">
        <f t="shared" si="10"/>
        <v>Andrews</v>
      </c>
      <c r="H275" s="175"/>
      <c r="I275" s="178" t="s">
        <v>475</v>
      </c>
      <c r="J275" s="27" t="s">
        <v>476</v>
      </c>
      <c r="K275" s="27">
        <v>1266</v>
      </c>
      <c r="L275" s="179">
        <v>3937</v>
      </c>
      <c r="M275" s="180" t="s">
        <v>477</v>
      </c>
      <c r="N275" s="181" t="s">
        <v>476</v>
      </c>
      <c r="O275" s="182" t="s">
        <v>478</v>
      </c>
    </row>
    <row r="276" spans="2:20">
      <c r="B276" s="174" t="s">
        <v>1508</v>
      </c>
      <c r="C276" s="175" t="s">
        <v>274</v>
      </c>
      <c r="D276" s="176" t="s">
        <v>275</v>
      </c>
      <c r="E276" s="177" t="s">
        <v>1506</v>
      </c>
      <c r="F276" s="175">
        <f t="shared" si="9"/>
        <v>10</v>
      </c>
      <c r="G276" s="175" t="str">
        <f t="shared" si="10"/>
        <v>Columbia</v>
      </c>
      <c r="H276" s="175"/>
      <c r="I276" s="178" t="s">
        <v>277</v>
      </c>
      <c r="J276" s="27" t="s">
        <v>275</v>
      </c>
      <c r="K276" s="27">
        <v>1966</v>
      </c>
      <c r="L276" s="179">
        <v>2649</v>
      </c>
      <c r="M276" s="178" t="s">
        <v>278</v>
      </c>
      <c r="N276" s="27" t="s">
        <v>275</v>
      </c>
      <c r="O276" s="182" t="s">
        <v>279</v>
      </c>
    </row>
    <row r="277" spans="2:20">
      <c r="B277" s="174" t="s">
        <v>1509</v>
      </c>
      <c r="C277" s="175" t="s">
        <v>274</v>
      </c>
      <c r="D277" s="176" t="s">
        <v>275</v>
      </c>
      <c r="E277" s="177" t="s">
        <v>1506</v>
      </c>
      <c r="F277" s="175">
        <f t="shared" si="9"/>
        <v>10</v>
      </c>
      <c r="G277" s="175" t="str">
        <f t="shared" si="10"/>
        <v>Columbia</v>
      </c>
      <c r="H277" s="175"/>
      <c r="I277" s="178" t="s">
        <v>277</v>
      </c>
      <c r="J277" s="27" t="s">
        <v>275</v>
      </c>
      <c r="K277" s="27">
        <v>1966</v>
      </c>
      <c r="L277" s="179">
        <v>2649</v>
      </c>
      <c r="M277" s="178" t="s">
        <v>278</v>
      </c>
      <c r="N277" s="27" t="s">
        <v>275</v>
      </c>
      <c r="O277" s="182" t="s">
        <v>279</v>
      </c>
    </row>
    <row r="278" spans="2:20">
      <c r="B278" s="174" t="s">
        <v>1510</v>
      </c>
      <c r="C278" s="175" t="s">
        <v>274</v>
      </c>
      <c r="D278" s="176" t="s">
        <v>275</v>
      </c>
      <c r="E278" s="177" t="s">
        <v>1506</v>
      </c>
      <c r="F278" s="175">
        <f t="shared" si="9"/>
        <v>10</v>
      </c>
      <c r="G278" s="175" t="str">
        <f t="shared" si="10"/>
        <v>Columbia</v>
      </c>
      <c r="H278" s="175"/>
      <c r="I278" s="178" t="s">
        <v>277</v>
      </c>
      <c r="J278" s="27" t="s">
        <v>275</v>
      </c>
      <c r="K278" s="27">
        <v>1966</v>
      </c>
      <c r="L278" s="179">
        <v>2649</v>
      </c>
      <c r="M278" s="178" t="s">
        <v>278</v>
      </c>
      <c r="N278" s="27" t="s">
        <v>275</v>
      </c>
      <c r="O278" s="182" t="s">
        <v>279</v>
      </c>
    </row>
    <row r="279" spans="2:20">
      <c r="B279" s="174" t="s">
        <v>1219</v>
      </c>
      <c r="C279" s="175" t="s">
        <v>274</v>
      </c>
      <c r="D279" s="176" t="s">
        <v>275</v>
      </c>
      <c r="E279" s="177" t="s">
        <v>1220</v>
      </c>
      <c r="F279" s="175">
        <f t="shared" si="9"/>
        <v>13</v>
      </c>
      <c r="G279" s="175" t="str">
        <f t="shared" si="10"/>
        <v>Spartanburg</v>
      </c>
      <c r="H279" s="175"/>
      <c r="I279" s="178" t="s">
        <v>2331</v>
      </c>
      <c r="J279" s="27" t="s">
        <v>275</v>
      </c>
      <c r="K279" s="27">
        <v>1473</v>
      </c>
      <c r="L279" s="179">
        <v>3272</v>
      </c>
      <c r="M279" s="180" t="s">
        <v>2332</v>
      </c>
      <c r="N279" s="181" t="s">
        <v>473</v>
      </c>
      <c r="O279" s="182" t="s">
        <v>2333</v>
      </c>
    </row>
    <row r="280" spans="2:20">
      <c r="B280" s="174" t="s">
        <v>2321</v>
      </c>
      <c r="C280" s="175" t="s">
        <v>274</v>
      </c>
      <c r="D280" s="176" t="s">
        <v>275</v>
      </c>
      <c r="E280" s="177" t="s">
        <v>2322</v>
      </c>
      <c r="F280" s="175">
        <f t="shared" si="9"/>
        <v>12</v>
      </c>
      <c r="G280" s="175" t="str">
        <f t="shared" si="10"/>
        <v>Charleston</v>
      </c>
      <c r="H280" s="175"/>
      <c r="I280" s="178" t="s">
        <v>2323</v>
      </c>
      <c r="J280" s="27" t="s">
        <v>275</v>
      </c>
      <c r="K280" s="27">
        <v>2266</v>
      </c>
      <c r="L280" s="179">
        <v>2013</v>
      </c>
      <c r="M280" s="180" t="s">
        <v>1520</v>
      </c>
      <c r="N280" s="181" t="s">
        <v>275</v>
      </c>
      <c r="O280" s="182" t="s">
        <v>2324</v>
      </c>
    </row>
    <row r="281" spans="2:20">
      <c r="B281" s="174" t="s">
        <v>1931</v>
      </c>
      <c r="C281" s="175" t="s">
        <v>274</v>
      </c>
      <c r="D281" s="176" t="s">
        <v>275</v>
      </c>
      <c r="E281" s="177" t="s">
        <v>1932</v>
      </c>
      <c r="F281" s="175">
        <f t="shared" si="9"/>
        <v>10</v>
      </c>
      <c r="G281" s="175" t="str">
        <f t="shared" si="10"/>
        <v>Florence</v>
      </c>
      <c r="H281" s="175"/>
      <c r="I281" s="178" t="s">
        <v>1933</v>
      </c>
      <c r="J281" s="27" t="s">
        <v>473</v>
      </c>
      <c r="K281" s="27">
        <v>1926</v>
      </c>
      <c r="L281" s="179">
        <v>2470</v>
      </c>
      <c r="M281" s="178" t="s">
        <v>278</v>
      </c>
      <c r="N281" s="27" t="s">
        <v>275</v>
      </c>
      <c r="O281" s="182" t="s">
        <v>279</v>
      </c>
    </row>
    <row r="282" spans="2:20">
      <c r="B282" s="174" t="s">
        <v>2064</v>
      </c>
      <c r="C282" s="175" t="s">
        <v>274</v>
      </c>
      <c r="D282" s="176" t="s">
        <v>275</v>
      </c>
      <c r="E282" s="177" t="s">
        <v>2062</v>
      </c>
      <c r="F282" s="175">
        <f t="shared" si="9"/>
        <v>12</v>
      </c>
      <c r="G282" s="175" t="str">
        <f t="shared" si="10"/>
        <v>Greenville</v>
      </c>
      <c r="H282" s="175"/>
      <c r="I282" s="178" t="s">
        <v>2331</v>
      </c>
      <c r="J282" s="27" t="s">
        <v>275</v>
      </c>
      <c r="K282" s="27">
        <v>1473</v>
      </c>
      <c r="L282" s="179">
        <v>3272</v>
      </c>
      <c r="M282" s="180" t="s">
        <v>2332</v>
      </c>
      <c r="N282" s="181" t="s">
        <v>473</v>
      </c>
      <c r="O282" s="182" t="s">
        <v>2333</v>
      </c>
    </row>
    <row r="283" spans="2:20">
      <c r="B283" s="174" t="s">
        <v>303</v>
      </c>
      <c r="C283" s="175" t="s">
        <v>274</v>
      </c>
      <c r="D283" s="176" t="s">
        <v>275</v>
      </c>
      <c r="E283" s="177" t="s">
        <v>304</v>
      </c>
      <c r="F283" s="175">
        <f t="shared" si="9"/>
        <v>11</v>
      </c>
      <c r="G283" s="175" t="str">
        <f t="shared" si="10"/>
        <v>Rock_Hill</v>
      </c>
      <c r="H283" s="175"/>
      <c r="I283" s="178" t="s">
        <v>277</v>
      </c>
      <c r="J283" s="27" t="s">
        <v>275</v>
      </c>
      <c r="K283" s="27">
        <v>1966</v>
      </c>
      <c r="L283" s="179">
        <v>2649</v>
      </c>
      <c r="M283" s="178" t="s">
        <v>278</v>
      </c>
      <c r="N283" s="27" t="s">
        <v>275</v>
      </c>
      <c r="O283" s="182" t="s">
        <v>279</v>
      </c>
    </row>
    <row r="284" spans="2:20">
      <c r="B284" s="174" t="s">
        <v>273</v>
      </c>
      <c r="C284" s="175" t="s">
        <v>274</v>
      </c>
      <c r="D284" s="176" t="s">
        <v>275</v>
      </c>
      <c r="E284" s="177" t="s">
        <v>276</v>
      </c>
      <c r="F284" s="175">
        <f t="shared" si="9"/>
        <v>7</v>
      </c>
      <c r="G284" s="175" t="str">
        <f t="shared" si="10"/>
        <v>Aiken</v>
      </c>
      <c r="H284" s="175"/>
      <c r="I284" s="178" t="s">
        <v>277</v>
      </c>
      <c r="J284" s="27" t="s">
        <v>275</v>
      </c>
      <c r="K284" s="27">
        <v>1966</v>
      </c>
      <c r="L284" s="179">
        <v>2649</v>
      </c>
      <c r="M284" s="178" t="s">
        <v>278</v>
      </c>
      <c r="N284" s="27" t="s">
        <v>275</v>
      </c>
      <c r="O284" s="182" t="s">
        <v>279</v>
      </c>
    </row>
    <row r="285" spans="2:20">
      <c r="B285" s="174" t="s">
        <v>1594</v>
      </c>
      <c r="C285" s="175" t="s">
        <v>274</v>
      </c>
      <c r="D285" s="176" t="s">
        <v>275</v>
      </c>
      <c r="E285" s="177" t="s">
        <v>1595</v>
      </c>
      <c r="F285" s="175">
        <f t="shared" si="9"/>
        <v>10</v>
      </c>
      <c r="G285" s="175" t="str">
        <f t="shared" si="10"/>
        <v>Beaufort</v>
      </c>
      <c r="H285" s="175"/>
      <c r="I285" s="178" t="s">
        <v>1596</v>
      </c>
      <c r="J285" s="27" t="s">
        <v>401</v>
      </c>
      <c r="K285" s="27">
        <v>2365</v>
      </c>
      <c r="L285" s="179">
        <v>1847</v>
      </c>
      <c r="M285" s="180" t="s">
        <v>1597</v>
      </c>
      <c r="N285" s="181" t="s">
        <v>401</v>
      </c>
      <c r="O285" s="182" t="s">
        <v>1598</v>
      </c>
    </row>
    <row r="286" spans="2:20">
      <c r="B286" s="174" t="s">
        <v>1530</v>
      </c>
      <c r="C286" s="175" t="s">
        <v>400</v>
      </c>
      <c r="D286" s="176" t="s">
        <v>401</v>
      </c>
      <c r="E286" s="177" t="s">
        <v>1531</v>
      </c>
      <c r="F286" s="175">
        <f t="shared" si="9"/>
        <v>9</v>
      </c>
      <c r="G286" s="175" t="str">
        <f t="shared" si="10"/>
        <v>Atlanta</v>
      </c>
      <c r="H286" s="175"/>
      <c r="I286" s="178" t="s">
        <v>1532</v>
      </c>
      <c r="J286" s="27" t="s">
        <v>401</v>
      </c>
      <c r="K286" s="27">
        <v>1667</v>
      </c>
      <c r="L286" s="179">
        <v>2991</v>
      </c>
      <c r="M286" s="178" t="s">
        <v>1525</v>
      </c>
      <c r="N286" s="27" t="s">
        <v>401</v>
      </c>
      <c r="O286" s="182" t="s">
        <v>1526</v>
      </c>
    </row>
    <row r="287" spans="2:20">
      <c r="B287" s="174" t="s">
        <v>1533</v>
      </c>
      <c r="C287" s="175" t="s">
        <v>400</v>
      </c>
      <c r="D287" s="176" t="s">
        <v>401</v>
      </c>
      <c r="E287" s="177" t="s">
        <v>1531</v>
      </c>
      <c r="F287" s="175">
        <f t="shared" si="9"/>
        <v>9</v>
      </c>
      <c r="G287" s="175" t="str">
        <f t="shared" si="10"/>
        <v>Atlanta</v>
      </c>
      <c r="H287" s="175"/>
      <c r="I287" s="178" t="s">
        <v>1532</v>
      </c>
      <c r="J287" s="27" t="s">
        <v>401</v>
      </c>
      <c r="K287" s="27">
        <v>1667</v>
      </c>
      <c r="L287" s="179">
        <v>2991</v>
      </c>
      <c r="M287" s="178" t="s">
        <v>1525</v>
      </c>
      <c r="N287" s="27" t="s">
        <v>401</v>
      </c>
      <c r="O287" s="182" t="s">
        <v>1526</v>
      </c>
    </row>
    <row r="288" spans="2:20">
      <c r="B288" s="174" t="s">
        <v>1534</v>
      </c>
      <c r="C288" s="175" t="s">
        <v>400</v>
      </c>
      <c r="D288" s="176" t="s">
        <v>401</v>
      </c>
      <c r="E288" s="177" t="s">
        <v>1531</v>
      </c>
      <c r="F288" s="175">
        <f t="shared" si="9"/>
        <v>9</v>
      </c>
      <c r="G288" s="175" t="str">
        <f t="shared" si="10"/>
        <v>Atlanta</v>
      </c>
      <c r="H288" s="175"/>
      <c r="I288" s="178" t="s">
        <v>1532</v>
      </c>
      <c r="J288" s="27" t="s">
        <v>401</v>
      </c>
      <c r="K288" s="27">
        <v>1667</v>
      </c>
      <c r="L288" s="179">
        <v>2991</v>
      </c>
      <c r="M288" s="178" t="s">
        <v>1525</v>
      </c>
      <c r="N288" s="27" t="s">
        <v>401</v>
      </c>
      <c r="O288" s="182" t="s">
        <v>1526</v>
      </c>
    </row>
    <row r="289" spans="2:15">
      <c r="B289" s="174" t="s">
        <v>1535</v>
      </c>
      <c r="C289" s="175" t="s">
        <v>400</v>
      </c>
      <c r="D289" s="176" t="s">
        <v>401</v>
      </c>
      <c r="E289" s="177" t="s">
        <v>1531</v>
      </c>
      <c r="F289" s="175">
        <f t="shared" si="9"/>
        <v>9</v>
      </c>
      <c r="G289" s="175" t="str">
        <f t="shared" si="10"/>
        <v>Atlanta</v>
      </c>
      <c r="H289" s="175"/>
      <c r="I289" s="178" t="s">
        <v>1532</v>
      </c>
      <c r="J289" s="27" t="s">
        <v>401</v>
      </c>
      <c r="K289" s="27">
        <v>1667</v>
      </c>
      <c r="L289" s="179">
        <v>2991</v>
      </c>
      <c r="M289" s="178" t="s">
        <v>1525</v>
      </c>
      <c r="N289" s="27" t="s">
        <v>401</v>
      </c>
      <c r="O289" s="182" t="s">
        <v>1526</v>
      </c>
    </row>
    <row r="290" spans="2:15">
      <c r="B290" s="174" t="s">
        <v>829</v>
      </c>
      <c r="C290" s="175" t="s">
        <v>400</v>
      </c>
      <c r="D290" s="176" t="s">
        <v>401</v>
      </c>
      <c r="E290" s="177" t="s">
        <v>830</v>
      </c>
      <c r="F290" s="175">
        <f t="shared" si="9"/>
        <v>12</v>
      </c>
      <c r="G290" s="175" t="str">
        <f t="shared" si="10"/>
        <v>Swainsboro</v>
      </c>
      <c r="H290" s="175"/>
      <c r="I290" s="178" t="s">
        <v>1596</v>
      </c>
      <c r="J290" s="27" t="s">
        <v>401</v>
      </c>
      <c r="K290" s="27">
        <v>2365</v>
      </c>
      <c r="L290" s="179">
        <v>1847</v>
      </c>
      <c r="M290" s="180" t="s">
        <v>1597</v>
      </c>
      <c r="N290" s="181" t="s">
        <v>401</v>
      </c>
      <c r="O290" s="182" t="s">
        <v>1598</v>
      </c>
    </row>
    <row r="291" spans="2:15">
      <c r="B291" s="174" t="s">
        <v>1987</v>
      </c>
      <c r="C291" s="175" t="s">
        <v>400</v>
      </c>
      <c r="D291" s="176" t="s">
        <v>401</v>
      </c>
      <c r="E291" s="177" t="s">
        <v>1983</v>
      </c>
      <c r="F291" s="175">
        <f t="shared" si="9"/>
        <v>13</v>
      </c>
      <c r="G291" s="175" t="str">
        <f t="shared" si="10"/>
        <v>Gainesville</v>
      </c>
      <c r="H291" s="175"/>
      <c r="I291" s="178" t="s">
        <v>2331</v>
      </c>
      <c r="J291" s="27" t="s">
        <v>275</v>
      </c>
      <c r="K291" s="27">
        <v>1473</v>
      </c>
      <c r="L291" s="179">
        <v>3272</v>
      </c>
      <c r="M291" s="178" t="s">
        <v>1525</v>
      </c>
      <c r="N291" s="27" t="s">
        <v>401</v>
      </c>
      <c r="O291" s="182" t="s">
        <v>1526</v>
      </c>
    </row>
    <row r="292" spans="2:15">
      <c r="B292" s="174" t="s">
        <v>1522</v>
      </c>
      <c r="C292" s="175" t="s">
        <v>400</v>
      </c>
      <c r="D292" s="176" t="s">
        <v>401</v>
      </c>
      <c r="E292" s="177" t="s">
        <v>1523</v>
      </c>
      <c r="F292" s="175">
        <f t="shared" si="9"/>
        <v>8</v>
      </c>
      <c r="G292" s="175" t="str">
        <f t="shared" si="10"/>
        <v>Athens</v>
      </c>
      <c r="H292" s="175"/>
      <c r="I292" s="178" t="s">
        <v>1524</v>
      </c>
      <c r="J292" s="27" t="s">
        <v>401</v>
      </c>
      <c r="K292" s="27">
        <v>1709</v>
      </c>
      <c r="L292" s="179">
        <v>2893</v>
      </c>
      <c r="M292" s="178" t="s">
        <v>1525</v>
      </c>
      <c r="N292" s="27" t="s">
        <v>401</v>
      </c>
      <c r="O292" s="182" t="s">
        <v>1526</v>
      </c>
    </row>
    <row r="293" spans="2:15">
      <c r="B293" s="174" t="s">
        <v>1673</v>
      </c>
      <c r="C293" s="175" t="s">
        <v>400</v>
      </c>
      <c r="D293" s="176" t="s">
        <v>401</v>
      </c>
      <c r="E293" s="177" t="s">
        <v>1674</v>
      </c>
      <c r="F293" s="175">
        <f t="shared" si="9"/>
        <v>8</v>
      </c>
      <c r="G293" s="175" t="str">
        <f t="shared" si="10"/>
        <v>Dalton</v>
      </c>
      <c r="H293" s="175"/>
      <c r="I293" s="178" t="s">
        <v>2349</v>
      </c>
      <c r="J293" s="27" t="s">
        <v>476</v>
      </c>
      <c r="K293" s="27">
        <v>1544</v>
      </c>
      <c r="L293" s="179">
        <v>3587</v>
      </c>
      <c r="M293" s="180" t="s">
        <v>2346</v>
      </c>
      <c r="N293" s="181" t="s">
        <v>476</v>
      </c>
      <c r="O293" s="182" t="s">
        <v>2347</v>
      </c>
    </row>
    <row r="294" spans="2:15">
      <c r="B294" s="174" t="s">
        <v>1550</v>
      </c>
      <c r="C294" s="175" t="s">
        <v>400</v>
      </c>
      <c r="D294" s="176" t="s">
        <v>401</v>
      </c>
      <c r="E294" s="177" t="s">
        <v>1551</v>
      </c>
      <c r="F294" s="175">
        <f t="shared" si="9"/>
        <v>9</v>
      </c>
      <c r="G294" s="175" t="str">
        <f t="shared" si="10"/>
        <v>Augusta</v>
      </c>
      <c r="H294" s="175"/>
      <c r="I294" s="178" t="s">
        <v>1524</v>
      </c>
      <c r="J294" s="27" t="s">
        <v>401</v>
      </c>
      <c r="K294" s="27">
        <v>1709</v>
      </c>
      <c r="L294" s="179">
        <v>2893</v>
      </c>
      <c r="M294" s="178" t="s">
        <v>278</v>
      </c>
      <c r="N294" s="27" t="s">
        <v>275</v>
      </c>
      <c r="O294" s="182" t="s">
        <v>279</v>
      </c>
    </row>
    <row r="295" spans="2:15">
      <c r="B295" s="174" t="s">
        <v>1552</v>
      </c>
      <c r="C295" s="175" t="s">
        <v>400</v>
      </c>
      <c r="D295" s="176" t="s">
        <v>401</v>
      </c>
      <c r="E295" s="177" t="s">
        <v>1551</v>
      </c>
      <c r="F295" s="175">
        <f t="shared" si="9"/>
        <v>9</v>
      </c>
      <c r="G295" s="175" t="str">
        <f t="shared" si="10"/>
        <v>Augusta</v>
      </c>
      <c r="H295" s="175"/>
      <c r="I295" s="178" t="s">
        <v>1553</v>
      </c>
      <c r="J295" s="27" t="s">
        <v>401</v>
      </c>
      <c r="K295" s="27">
        <v>1948</v>
      </c>
      <c r="L295" s="179">
        <v>2565</v>
      </c>
      <c r="M295" s="178" t="s">
        <v>278</v>
      </c>
      <c r="N295" s="27" t="s">
        <v>275</v>
      </c>
      <c r="O295" s="182" t="s">
        <v>279</v>
      </c>
    </row>
    <row r="296" spans="2:15">
      <c r="B296" s="174" t="s">
        <v>2160</v>
      </c>
      <c r="C296" s="175" t="s">
        <v>400</v>
      </c>
      <c r="D296" s="176" t="s">
        <v>401</v>
      </c>
      <c r="E296" s="177" t="s">
        <v>2161</v>
      </c>
      <c r="F296" s="175">
        <f t="shared" si="9"/>
        <v>7</v>
      </c>
      <c r="G296" s="175" t="str">
        <f t="shared" si="10"/>
        <v>Macon</v>
      </c>
      <c r="H296" s="175"/>
      <c r="I296" s="178" t="s">
        <v>403</v>
      </c>
      <c r="J296" s="27" t="s">
        <v>401</v>
      </c>
      <c r="K296" s="27">
        <v>2284</v>
      </c>
      <c r="L296" s="179">
        <v>2261</v>
      </c>
      <c r="M296" s="178" t="s">
        <v>2162</v>
      </c>
      <c r="N296" s="27" t="s">
        <v>401</v>
      </c>
      <c r="O296" s="182" t="s">
        <v>2163</v>
      </c>
    </row>
    <row r="297" spans="2:15">
      <c r="B297" s="174" t="s">
        <v>2164</v>
      </c>
      <c r="C297" s="175" t="s">
        <v>400</v>
      </c>
      <c r="D297" s="176" t="s">
        <v>401</v>
      </c>
      <c r="E297" s="177" t="s">
        <v>2161</v>
      </c>
      <c r="F297" s="175">
        <f t="shared" si="9"/>
        <v>7</v>
      </c>
      <c r="G297" s="175" t="str">
        <f t="shared" si="10"/>
        <v>Macon</v>
      </c>
      <c r="H297" s="175"/>
      <c r="I297" s="178" t="s">
        <v>403</v>
      </c>
      <c r="J297" s="27" t="s">
        <v>401</v>
      </c>
      <c r="K297" s="27">
        <v>2284</v>
      </c>
      <c r="L297" s="179">
        <v>2261</v>
      </c>
      <c r="M297" s="178" t="s">
        <v>2162</v>
      </c>
      <c r="N297" s="27" t="s">
        <v>401</v>
      </c>
      <c r="O297" s="182" t="s">
        <v>2163</v>
      </c>
    </row>
    <row r="298" spans="2:15">
      <c r="B298" s="174" t="s">
        <v>2165</v>
      </c>
      <c r="C298" s="175" t="s">
        <v>400</v>
      </c>
      <c r="D298" s="176" t="s">
        <v>401</v>
      </c>
      <c r="E298" s="177" t="s">
        <v>2161</v>
      </c>
      <c r="F298" s="175">
        <f t="shared" si="9"/>
        <v>7</v>
      </c>
      <c r="G298" s="175" t="str">
        <f t="shared" si="10"/>
        <v>Macon</v>
      </c>
      <c r="H298" s="175"/>
      <c r="I298" s="178" t="s">
        <v>617</v>
      </c>
      <c r="J298" s="27" t="s">
        <v>401</v>
      </c>
      <c r="K298" s="27">
        <v>2125</v>
      </c>
      <c r="L298" s="179">
        <v>2334</v>
      </c>
      <c r="M298" s="178" t="s">
        <v>2162</v>
      </c>
      <c r="N298" s="27" t="s">
        <v>401</v>
      </c>
      <c r="O298" s="182" t="s">
        <v>2163</v>
      </c>
    </row>
    <row r="299" spans="2:15">
      <c r="B299" s="174" t="s">
        <v>1014</v>
      </c>
      <c r="C299" s="175" t="s">
        <v>400</v>
      </c>
      <c r="D299" s="176" t="s">
        <v>401</v>
      </c>
      <c r="E299" s="177" t="s">
        <v>1015</v>
      </c>
      <c r="F299" s="175">
        <f t="shared" si="9"/>
        <v>10</v>
      </c>
      <c r="G299" s="175" t="str">
        <f t="shared" si="10"/>
        <v>Savannah</v>
      </c>
      <c r="H299" s="175"/>
      <c r="I299" s="178" t="s">
        <v>1596</v>
      </c>
      <c r="J299" s="27" t="s">
        <v>401</v>
      </c>
      <c r="K299" s="27">
        <v>2365</v>
      </c>
      <c r="L299" s="179">
        <v>1847</v>
      </c>
      <c r="M299" s="180" t="s">
        <v>1597</v>
      </c>
      <c r="N299" s="181" t="s">
        <v>401</v>
      </c>
      <c r="O299" s="182" t="s">
        <v>1598</v>
      </c>
    </row>
    <row r="300" spans="2:15">
      <c r="B300" s="174" t="s">
        <v>1016</v>
      </c>
      <c r="C300" s="175" t="s">
        <v>400</v>
      </c>
      <c r="D300" s="176" t="s">
        <v>401</v>
      </c>
      <c r="E300" s="177" t="s">
        <v>1015</v>
      </c>
      <c r="F300" s="175">
        <f t="shared" si="9"/>
        <v>10</v>
      </c>
      <c r="G300" s="175" t="str">
        <f t="shared" si="10"/>
        <v>Savannah</v>
      </c>
      <c r="H300" s="175"/>
      <c r="I300" s="178" t="s">
        <v>1596</v>
      </c>
      <c r="J300" s="27" t="s">
        <v>401</v>
      </c>
      <c r="K300" s="27">
        <v>2365</v>
      </c>
      <c r="L300" s="179">
        <v>1847</v>
      </c>
      <c r="M300" s="180" t="s">
        <v>1597</v>
      </c>
      <c r="N300" s="181" t="s">
        <v>401</v>
      </c>
      <c r="O300" s="182" t="s">
        <v>1598</v>
      </c>
    </row>
    <row r="301" spans="2:15">
      <c r="B301" s="174" t="s">
        <v>1822</v>
      </c>
      <c r="C301" s="175" t="s">
        <v>400</v>
      </c>
      <c r="D301" s="176" t="s">
        <v>401</v>
      </c>
      <c r="E301" s="177" t="s">
        <v>1823</v>
      </c>
      <c r="F301" s="175">
        <f t="shared" si="9"/>
        <v>10</v>
      </c>
      <c r="G301" s="175" t="str">
        <f t="shared" si="10"/>
        <v>Waycross</v>
      </c>
      <c r="H301" s="175"/>
      <c r="I301" s="178" t="s">
        <v>1596</v>
      </c>
      <c r="J301" s="27" t="s">
        <v>401</v>
      </c>
      <c r="K301" s="27">
        <v>2365</v>
      </c>
      <c r="L301" s="179">
        <v>1847</v>
      </c>
      <c r="M301" s="180" t="s">
        <v>1597</v>
      </c>
      <c r="N301" s="181" t="s">
        <v>401</v>
      </c>
      <c r="O301" s="182" t="s">
        <v>1598</v>
      </c>
    </row>
    <row r="302" spans="2:15">
      <c r="B302" s="174" t="s">
        <v>1780</v>
      </c>
      <c r="C302" s="175" t="s">
        <v>400</v>
      </c>
      <c r="D302" s="176" t="s">
        <v>401</v>
      </c>
      <c r="E302" s="177" t="s">
        <v>1781</v>
      </c>
      <c r="F302" s="175">
        <f t="shared" si="9"/>
        <v>10</v>
      </c>
      <c r="G302" s="175" t="str">
        <f t="shared" si="10"/>
        <v>Valdosta</v>
      </c>
      <c r="H302" s="175"/>
      <c r="I302" s="178" t="s">
        <v>841</v>
      </c>
      <c r="J302" s="27" t="s">
        <v>662</v>
      </c>
      <c r="K302" s="27">
        <v>2518</v>
      </c>
      <c r="L302" s="179">
        <v>1705</v>
      </c>
      <c r="M302" s="180" t="s">
        <v>602</v>
      </c>
      <c r="N302" s="181" t="s">
        <v>662</v>
      </c>
      <c r="O302" s="182" t="s">
        <v>603</v>
      </c>
    </row>
    <row r="303" spans="2:15">
      <c r="B303" s="174" t="s">
        <v>399</v>
      </c>
      <c r="C303" s="175" t="s">
        <v>400</v>
      </c>
      <c r="D303" s="176" t="s">
        <v>401</v>
      </c>
      <c r="E303" s="177" t="s">
        <v>402</v>
      </c>
      <c r="F303" s="175">
        <f t="shared" si="9"/>
        <v>8</v>
      </c>
      <c r="G303" s="175" t="str">
        <f t="shared" si="10"/>
        <v>Albany</v>
      </c>
      <c r="H303" s="175"/>
      <c r="I303" s="178" t="s">
        <v>403</v>
      </c>
      <c r="J303" s="27" t="s">
        <v>401</v>
      </c>
      <c r="K303" s="27">
        <v>2284</v>
      </c>
      <c r="L303" s="179">
        <v>2261</v>
      </c>
      <c r="M303" s="180" t="s">
        <v>404</v>
      </c>
      <c r="N303" s="181" t="s">
        <v>401</v>
      </c>
      <c r="O303" s="182" t="s">
        <v>405</v>
      </c>
    </row>
    <row r="304" spans="2:15">
      <c r="B304" s="174" t="s">
        <v>615</v>
      </c>
      <c r="C304" s="175" t="s">
        <v>400</v>
      </c>
      <c r="D304" s="176" t="s">
        <v>401</v>
      </c>
      <c r="E304" s="177" t="s">
        <v>616</v>
      </c>
      <c r="F304" s="175">
        <f t="shared" si="9"/>
        <v>10</v>
      </c>
      <c r="G304" s="175" t="str">
        <f t="shared" si="10"/>
        <v>Columbus</v>
      </c>
      <c r="H304" s="175"/>
      <c r="I304" s="178" t="s">
        <v>617</v>
      </c>
      <c r="J304" s="27" t="s">
        <v>401</v>
      </c>
      <c r="K304" s="27">
        <v>2125</v>
      </c>
      <c r="L304" s="179">
        <v>2334</v>
      </c>
      <c r="M304" s="180" t="s">
        <v>404</v>
      </c>
      <c r="N304" s="181" t="s">
        <v>401</v>
      </c>
      <c r="O304" s="182" t="s">
        <v>405</v>
      </c>
    </row>
    <row r="305" spans="2:15">
      <c r="B305" s="174" t="s">
        <v>618</v>
      </c>
      <c r="C305" s="175" t="s">
        <v>400</v>
      </c>
      <c r="D305" s="176" t="s">
        <v>401</v>
      </c>
      <c r="E305" s="177" t="s">
        <v>616</v>
      </c>
      <c r="F305" s="175">
        <f t="shared" si="9"/>
        <v>10</v>
      </c>
      <c r="G305" s="175" t="str">
        <f t="shared" si="10"/>
        <v>Columbus</v>
      </c>
      <c r="H305" s="175"/>
      <c r="I305" s="178" t="s">
        <v>403</v>
      </c>
      <c r="J305" s="27" t="s">
        <v>401</v>
      </c>
      <c r="K305" s="27">
        <v>2284</v>
      </c>
      <c r="L305" s="179">
        <v>2261</v>
      </c>
      <c r="M305" s="180" t="s">
        <v>404</v>
      </c>
      <c r="N305" s="181" t="s">
        <v>401</v>
      </c>
      <c r="O305" s="182" t="s">
        <v>405</v>
      </c>
    </row>
    <row r="306" spans="2:15">
      <c r="B306" s="174" t="s">
        <v>104</v>
      </c>
      <c r="C306" s="175" t="s">
        <v>661</v>
      </c>
      <c r="D306" s="176" t="s">
        <v>662</v>
      </c>
      <c r="E306" s="177" t="s">
        <v>105</v>
      </c>
      <c r="F306" s="175">
        <f t="shared" si="9"/>
        <v>14</v>
      </c>
      <c r="G306" s="175" t="str">
        <f t="shared" si="10"/>
        <v>Jacksonville</v>
      </c>
      <c r="H306" s="175"/>
      <c r="I306" s="178" t="s">
        <v>106</v>
      </c>
      <c r="J306" s="27" t="s">
        <v>662</v>
      </c>
      <c r="K306" s="27">
        <v>2551</v>
      </c>
      <c r="L306" s="179">
        <v>1434</v>
      </c>
      <c r="M306" s="178" t="s">
        <v>1985</v>
      </c>
      <c r="N306" s="27" t="s">
        <v>662</v>
      </c>
      <c r="O306" s="182" t="s">
        <v>1986</v>
      </c>
    </row>
    <row r="307" spans="2:15">
      <c r="B307" s="174" t="s">
        <v>107</v>
      </c>
      <c r="C307" s="175" t="s">
        <v>661</v>
      </c>
      <c r="D307" s="176" t="s">
        <v>662</v>
      </c>
      <c r="E307" s="177" t="s">
        <v>105</v>
      </c>
      <c r="F307" s="175">
        <f t="shared" si="9"/>
        <v>14</v>
      </c>
      <c r="G307" s="175" t="str">
        <f t="shared" si="10"/>
        <v>Jacksonville</v>
      </c>
      <c r="H307" s="175"/>
      <c r="I307" s="178" t="s">
        <v>106</v>
      </c>
      <c r="J307" s="27" t="s">
        <v>662</v>
      </c>
      <c r="K307" s="27">
        <v>2551</v>
      </c>
      <c r="L307" s="179">
        <v>1434</v>
      </c>
      <c r="M307" s="178" t="s">
        <v>1985</v>
      </c>
      <c r="N307" s="27" t="s">
        <v>662</v>
      </c>
      <c r="O307" s="182" t="s">
        <v>1986</v>
      </c>
    </row>
    <row r="308" spans="2:15">
      <c r="B308" s="174" t="s">
        <v>108</v>
      </c>
      <c r="C308" s="175" t="s">
        <v>661</v>
      </c>
      <c r="D308" s="176" t="s">
        <v>662</v>
      </c>
      <c r="E308" s="177" t="s">
        <v>105</v>
      </c>
      <c r="F308" s="175">
        <f t="shared" si="9"/>
        <v>14</v>
      </c>
      <c r="G308" s="175" t="str">
        <f t="shared" si="10"/>
        <v>Jacksonville</v>
      </c>
      <c r="H308" s="175"/>
      <c r="I308" s="178" t="s">
        <v>106</v>
      </c>
      <c r="J308" s="27" t="s">
        <v>662</v>
      </c>
      <c r="K308" s="27">
        <v>2551</v>
      </c>
      <c r="L308" s="179">
        <v>1434</v>
      </c>
      <c r="M308" s="178" t="s">
        <v>1985</v>
      </c>
      <c r="N308" s="27" t="s">
        <v>662</v>
      </c>
      <c r="O308" s="182" t="s">
        <v>1986</v>
      </c>
    </row>
    <row r="309" spans="2:15">
      <c r="B309" s="174" t="s">
        <v>839</v>
      </c>
      <c r="C309" s="175" t="s">
        <v>661</v>
      </c>
      <c r="D309" s="176" t="s">
        <v>662</v>
      </c>
      <c r="E309" s="177" t="s">
        <v>840</v>
      </c>
      <c r="F309" s="175">
        <f t="shared" si="9"/>
        <v>13</v>
      </c>
      <c r="G309" s="175" t="str">
        <f t="shared" si="10"/>
        <v>Tallahassee</v>
      </c>
      <c r="H309" s="175"/>
      <c r="I309" s="178" t="s">
        <v>841</v>
      </c>
      <c r="J309" s="27" t="s">
        <v>662</v>
      </c>
      <c r="K309" s="27">
        <v>2518</v>
      </c>
      <c r="L309" s="179">
        <v>1705</v>
      </c>
      <c r="M309" s="180" t="s">
        <v>602</v>
      </c>
      <c r="N309" s="181" t="s">
        <v>662</v>
      </c>
      <c r="O309" s="182" t="s">
        <v>603</v>
      </c>
    </row>
    <row r="310" spans="2:15">
      <c r="B310" s="174" t="s">
        <v>599</v>
      </c>
      <c r="C310" s="175" t="s">
        <v>661</v>
      </c>
      <c r="D310" s="176" t="s">
        <v>662</v>
      </c>
      <c r="E310" s="177" t="s">
        <v>600</v>
      </c>
      <c r="F310" s="175">
        <f t="shared" si="9"/>
        <v>13</v>
      </c>
      <c r="G310" s="175" t="str">
        <f t="shared" si="10"/>
        <v>Panama City</v>
      </c>
      <c r="H310" s="175"/>
      <c r="I310" s="178" t="s">
        <v>601</v>
      </c>
      <c r="J310" s="27" t="s">
        <v>662</v>
      </c>
      <c r="K310" s="27">
        <v>2582</v>
      </c>
      <c r="L310" s="179">
        <v>1429</v>
      </c>
      <c r="M310" s="180" t="s">
        <v>602</v>
      </c>
      <c r="N310" s="181" t="s">
        <v>662</v>
      </c>
      <c r="O310" s="182" t="s">
        <v>603</v>
      </c>
    </row>
    <row r="311" spans="2:15">
      <c r="B311" s="174" t="s">
        <v>2401</v>
      </c>
      <c r="C311" s="175" t="s">
        <v>661</v>
      </c>
      <c r="D311" s="176" t="s">
        <v>662</v>
      </c>
      <c r="E311" s="177" t="s">
        <v>2402</v>
      </c>
      <c r="F311" s="175">
        <f t="shared" si="9"/>
        <v>11</v>
      </c>
      <c r="G311" s="175" t="str">
        <f t="shared" si="10"/>
        <v>Pensacola</v>
      </c>
      <c r="H311" s="175"/>
      <c r="I311" s="178" t="s">
        <v>2403</v>
      </c>
      <c r="J311" s="27" t="s">
        <v>662</v>
      </c>
      <c r="K311" s="27">
        <v>2636</v>
      </c>
      <c r="L311" s="179">
        <v>1617</v>
      </c>
      <c r="M311" s="180" t="s">
        <v>753</v>
      </c>
      <c r="N311" s="181" t="s">
        <v>494</v>
      </c>
      <c r="O311" s="182" t="s">
        <v>754</v>
      </c>
    </row>
    <row r="312" spans="2:15">
      <c r="B312" s="174" t="s">
        <v>1982</v>
      </c>
      <c r="C312" s="175" t="s">
        <v>661</v>
      </c>
      <c r="D312" s="176" t="s">
        <v>662</v>
      </c>
      <c r="E312" s="177" t="s">
        <v>1983</v>
      </c>
      <c r="F312" s="175">
        <f t="shared" si="9"/>
        <v>13</v>
      </c>
      <c r="G312" s="175" t="str">
        <f t="shared" si="10"/>
        <v>Gainesville</v>
      </c>
      <c r="H312" s="175"/>
      <c r="I312" s="178" t="s">
        <v>1984</v>
      </c>
      <c r="J312" s="27" t="s">
        <v>662</v>
      </c>
      <c r="K312" s="27">
        <v>2609</v>
      </c>
      <c r="L312" s="179">
        <v>1267</v>
      </c>
      <c r="M312" s="178" t="s">
        <v>1985</v>
      </c>
      <c r="N312" s="27" t="s">
        <v>662</v>
      </c>
      <c r="O312" s="182" t="s">
        <v>1986</v>
      </c>
    </row>
    <row r="313" spans="2:15">
      <c r="B313" s="174" t="s">
        <v>857</v>
      </c>
      <c r="C313" s="175" t="s">
        <v>661</v>
      </c>
      <c r="D313" s="176" t="s">
        <v>662</v>
      </c>
      <c r="E313" s="177" t="s">
        <v>858</v>
      </c>
      <c r="F313" s="175">
        <f t="shared" si="9"/>
        <v>12</v>
      </c>
      <c r="G313" s="175" t="str">
        <f t="shared" si="10"/>
        <v>Titusville</v>
      </c>
      <c r="H313" s="175"/>
      <c r="I313" s="178" t="s">
        <v>1183</v>
      </c>
      <c r="J313" s="27" t="s">
        <v>662</v>
      </c>
      <c r="K313" s="27">
        <v>2919</v>
      </c>
      <c r="L313" s="179">
        <v>909</v>
      </c>
      <c r="M313" s="178" t="s">
        <v>1184</v>
      </c>
      <c r="N313" s="27" t="s">
        <v>662</v>
      </c>
      <c r="O313" s="182" t="s">
        <v>1185</v>
      </c>
    </row>
    <row r="314" spans="2:15">
      <c r="B314" s="174" t="s">
        <v>1453</v>
      </c>
      <c r="C314" s="175" t="s">
        <v>661</v>
      </c>
      <c r="D314" s="176" t="s">
        <v>662</v>
      </c>
      <c r="E314" s="177" t="s">
        <v>1454</v>
      </c>
      <c r="F314" s="175">
        <f t="shared" si="9"/>
        <v>9</v>
      </c>
      <c r="G314" s="175" t="str">
        <f t="shared" si="10"/>
        <v>Orlando</v>
      </c>
      <c r="H314" s="175"/>
      <c r="I314" s="178" t="s">
        <v>1455</v>
      </c>
      <c r="J314" s="27" t="s">
        <v>662</v>
      </c>
      <c r="K314" s="27">
        <v>3381</v>
      </c>
      <c r="L314" s="179">
        <v>686</v>
      </c>
      <c r="M314" s="178" t="s">
        <v>1128</v>
      </c>
      <c r="N314" s="27" t="s">
        <v>662</v>
      </c>
      <c r="O314" s="182" t="s">
        <v>1129</v>
      </c>
    </row>
    <row r="315" spans="2:15">
      <c r="B315" s="174" t="s">
        <v>1125</v>
      </c>
      <c r="C315" s="175" t="s">
        <v>661</v>
      </c>
      <c r="D315" s="176" t="s">
        <v>662</v>
      </c>
      <c r="E315" s="177" t="s">
        <v>1126</v>
      </c>
      <c r="F315" s="175">
        <f t="shared" si="9"/>
        <v>11</v>
      </c>
      <c r="G315" s="175" t="str">
        <f t="shared" si="10"/>
        <v>Melbourne</v>
      </c>
      <c r="H315" s="175"/>
      <c r="I315" s="178" t="s">
        <v>1127</v>
      </c>
      <c r="J315" s="27" t="s">
        <v>662</v>
      </c>
      <c r="K315" s="27">
        <v>3278</v>
      </c>
      <c r="L315" s="179">
        <v>548</v>
      </c>
      <c r="M315" s="178" t="s">
        <v>1128</v>
      </c>
      <c r="N315" s="27" t="s">
        <v>662</v>
      </c>
      <c r="O315" s="182" t="s">
        <v>1129</v>
      </c>
    </row>
    <row r="316" spans="2:15">
      <c r="B316" s="174" t="s">
        <v>148</v>
      </c>
      <c r="C316" s="175" t="s">
        <v>661</v>
      </c>
      <c r="D316" s="176" t="s">
        <v>662</v>
      </c>
      <c r="E316" s="177" t="s">
        <v>149</v>
      </c>
      <c r="F316" s="175">
        <f t="shared" si="9"/>
        <v>7</v>
      </c>
      <c r="G316" s="175" t="str">
        <f t="shared" si="10"/>
        <v>Miami</v>
      </c>
      <c r="H316" s="175"/>
      <c r="I316" s="178" t="s">
        <v>150</v>
      </c>
      <c r="J316" s="27" t="s">
        <v>662</v>
      </c>
      <c r="K316" s="27">
        <v>4798</v>
      </c>
      <c r="L316" s="179">
        <v>100</v>
      </c>
      <c r="M316" s="180" t="s">
        <v>1942</v>
      </c>
      <c r="N316" s="181" t="s">
        <v>662</v>
      </c>
      <c r="O316" s="182" t="s">
        <v>1943</v>
      </c>
    </row>
    <row r="317" spans="2:15">
      <c r="B317" s="174" t="s">
        <v>151</v>
      </c>
      <c r="C317" s="175" t="s">
        <v>661</v>
      </c>
      <c r="D317" s="176" t="s">
        <v>662</v>
      </c>
      <c r="E317" s="177" t="s">
        <v>149</v>
      </c>
      <c r="F317" s="175">
        <f t="shared" si="9"/>
        <v>7</v>
      </c>
      <c r="G317" s="175" t="str">
        <f t="shared" si="10"/>
        <v>Miami</v>
      </c>
      <c r="H317" s="175"/>
      <c r="I317" s="178" t="s">
        <v>1941</v>
      </c>
      <c r="J317" s="27" t="s">
        <v>662</v>
      </c>
      <c r="K317" s="27">
        <v>4198</v>
      </c>
      <c r="L317" s="179">
        <v>200</v>
      </c>
      <c r="M317" s="180" t="s">
        <v>1942</v>
      </c>
      <c r="N317" s="181" t="s">
        <v>662</v>
      </c>
      <c r="O317" s="182" t="s">
        <v>1943</v>
      </c>
    </row>
    <row r="318" spans="2:15">
      <c r="B318" s="174" t="s">
        <v>152</v>
      </c>
      <c r="C318" s="175" t="s">
        <v>661</v>
      </c>
      <c r="D318" s="176" t="s">
        <v>662</v>
      </c>
      <c r="E318" s="177" t="s">
        <v>149</v>
      </c>
      <c r="F318" s="175">
        <f t="shared" si="9"/>
        <v>7</v>
      </c>
      <c r="G318" s="175" t="str">
        <f t="shared" si="10"/>
        <v>Miami</v>
      </c>
      <c r="H318" s="175"/>
      <c r="I318" s="178" t="s">
        <v>1941</v>
      </c>
      <c r="J318" s="27" t="s">
        <v>662</v>
      </c>
      <c r="K318" s="27">
        <v>4198</v>
      </c>
      <c r="L318" s="179">
        <v>200</v>
      </c>
      <c r="M318" s="180" t="s">
        <v>1942</v>
      </c>
      <c r="N318" s="181" t="s">
        <v>662</v>
      </c>
      <c r="O318" s="182" t="s">
        <v>1943</v>
      </c>
    </row>
    <row r="319" spans="2:15">
      <c r="B319" s="174" t="s">
        <v>1939</v>
      </c>
      <c r="C319" s="175" t="s">
        <v>661</v>
      </c>
      <c r="D319" s="176" t="s">
        <v>662</v>
      </c>
      <c r="E319" s="177" t="s">
        <v>1940</v>
      </c>
      <c r="F319" s="175">
        <f t="shared" si="9"/>
        <v>17</v>
      </c>
      <c r="G319" s="175" t="str">
        <f t="shared" si="10"/>
        <v>Fort Lauderdale</v>
      </c>
      <c r="H319" s="175"/>
      <c r="I319" s="178" t="s">
        <v>1941</v>
      </c>
      <c r="J319" s="27" t="s">
        <v>662</v>
      </c>
      <c r="K319" s="27">
        <v>4198</v>
      </c>
      <c r="L319" s="179">
        <v>200</v>
      </c>
      <c r="M319" s="180" t="s">
        <v>1942</v>
      </c>
      <c r="N319" s="181" t="s">
        <v>662</v>
      </c>
      <c r="O319" s="182" t="s">
        <v>1943</v>
      </c>
    </row>
    <row r="320" spans="2:15">
      <c r="B320" s="174" t="s">
        <v>1833</v>
      </c>
      <c r="C320" s="175" t="s">
        <v>661</v>
      </c>
      <c r="D320" s="176" t="s">
        <v>662</v>
      </c>
      <c r="E320" s="177" t="s">
        <v>1834</v>
      </c>
      <c r="F320" s="175">
        <f t="shared" si="9"/>
        <v>17</v>
      </c>
      <c r="G320" s="175" t="str">
        <f t="shared" si="10"/>
        <v>West Palm Beach</v>
      </c>
      <c r="H320" s="175"/>
      <c r="I320" s="178" t="s">
        <v>1835</v>
      </c>
      <c r="J320" s="27" t="s">
        <v>662</v>
      </c>
      <c r="K320" s="27">
        <v>3891</v>
      </c>
      <c r="L320" s="179">
        <v>323</v>
      </c>
      <c r="M320" s="180" t="s">
        <v>1836</v>
      </c>
      <c r="N320" s="181" t="s">
        <v>662</v>
      </c>
      <c r="O320" s="182" t="s">
        <v>1837</v>
      </c>
    </row>
    <row r="321" spans="2:15">
      <c r="B321" s="174" t="s">
        <v>842</v>
      </c>
      <c r="C321" s="175" t="s">
        <v>661</v>
      </c>
      <c r="D321" s="176" t="s">
        <v>662</v>
      </c>
      <c r="E321" s="177" t="s">
        <v>843</v>
      </c>
      <c r="F321" s="175">
        <f t="shared" si="9"/>
        <v>7</v>
      </c>
      <c r="G321" s="175" t="str">
        <f t="shared" si="10"/>
        <v>Tampa</v>
      </c>
      <c r="H321" s="175"/>
      <c r="I321" s="178" t="s">
        <v>664</v>
      </c>
      <c r="J321" s="27" t="s">
        <v>662</v>
      </c>
      <c r="K321" s="27">
        <v>3427</v>
      </c>
      <c r="L321" s="179">
        <v>725</v>
      </c>
      <c r="M321" s="178" t="s">
        <v>665</v>
      </c>
      <c r="N321" s="27" t="s">
        <v>662</v>
      </c>
      <c r="O321" s="182" t="s">
        <v>666</v>
      </c>
    </row>
    <row r="322" spans="2:15">
      <c r="B322" s="174" t="s">
        <v>844</v>
      </c>
      <c r="C322" s="175" t="s">
        <v>661</v>
      </c>
      <c r="D322" s="176" t="s">
        <v>662</v>
      </c>
      <c r="E322" s="177" t="s">
        <v>843</v>
      </c>
      <c r="F322" s="175">
        <f t="shared" si="9"/>
        <v>7</v>
      </c>
      <c r="G322" s="175" t="str">
        <f t="shared" si="10"/>
        <v>Tampa</v>
      </c>
      <c r="H322" s="175"/>
      <c r="I322" s="178" t="s">
        <v>664</v>
      </c>
      <c r="J322" s="27" t="s">
        <v>662</v>
      </c>
      <c r="K322" s="27">
        <v>3427</v>
      </c>
      <c r="L322" s="179">
        <v>725</v>
      </c>
      <c r="M322" s="178" t="s">
        <v>665</v>
      </c>
      <c r="N322" s="27" t="s">
        <v>662</v>
      </c>
      <c r="O322" s="182" t="s">
        <v>666</v>
      </c>
    </row>
    <row r="323" spans="2:15">
      <c r="B323" s="174" t="s">
        <v>1241</v>
      </c>
      <c r="C323" s="175" t="s">
        <v>661</v>
      </c>
      <c r="D323" s="176" t="s">
        <v>662</v>
      </c>
      <c r="E323" s="177" t="s">
        <v>1242</v>
      </c>
      <c r="F323" s="175">
        <f t="shared" si="9"/>
        <v>16</v>
      </c>
      <c r="G323" s="175" t="str">
        <f t="shared" si="10"/>
        <v>St. Petersburg</v>
      </c>
      <c r="H323" s="175"/>
      <c r="I323" s="178" t="s">
        <v>664</v>
      </c>
      <c r="J323" s="27" t="s">
        <v>662</v>
      </c>
      <c r="K323" s="27">
        <v>3427</v>
      </c>
      <c r="L323" s="179">
        <v>725</v>
      </c>
      <c r="M323" s="178" t="s">
        <v>665</v>
      </c>
      <c r="N323" s="27" t="s">
        <v>662</v>
      </c>
      <c r="O323" s="182" t="s">
        <v>666</v>
      </c>
    </row>
    <row r="324" spans="2:15">
      <c r="B324" s="174" t="s">
        <v>948</v>
      </c>
      <c r="C324" s="175" t="s">
        <v>661</v>
      </c>
      <c r="D324" s="176" t="s">
        <v>662</v>
      </c>
      <c r="E324" s="177" t="s">
        <v>949</v>
      </c>
      <c r="F324" s="175">
        <f t="shared" si="9"/>
        <v>10</v>
      </c>
      <c r="G324" s="175" t="str">
        <f t="shared" si="10"/>
        <v>Lakeland</v>
      </c>
      <c r="H324" s="175"/>
      <c r="I324" s="178" t="s">
        <v>664</v>
      </c>
      <c r="J324" s="27" t="s">
        <v>662</v>
      </c>
      <c r="K324" s="27">
        <v>3427</v>
      </c>
      <c r="L324" s="179">
        <v>725</v>
      </c>
      <c r="M324" s="178" t="s">
        <v>665</v>
      </c>
      <c r="N324" s="27" t="s">
        <v>662</v>
      </c>
      <c r="O324" s="182" t="s">
        <v>666</v>
      </c>
    </row>
    <row r="325" spans="2:15">
      <c r="B325" s="174" t="s">
        <v>1946</v>
      </c>
      <c r="C325" s="175" t="s">
        <v>661</v>
      </c>
      <c r="D325" s="176" t="s">
        <v>662</v>
      </c>
      <c r="E325" s="177" t="s">
        <v>1947</v>
      </c>
      <c r="F325" s="175">
        <f t="shared" si="9"/>
        <v>12</v>
      </c>
      <c r="G325" s="175" t="str">
        <f t="shared" si="10"/>
        <v>Fort Myers</v>
      </c>
      <c r="H325" s="175"/>
      <c r="I325" s="178" t="s">
        <v>1948</v>
      </c>
      <c r="J325" s="27" t="s">
        <v>662</v>
      </c>
      <c r="K325" s="27">
        <v>3855</v>
      </c>
      <c r="L325" s="179">
        <v>418</v>
      </c>
      <c r="M325" s="178" t="s">
        <v>665</v>
      </c>
      <c r="N325" s="27" t="s">
        <v>662</v>
      </c>
      <c r="O325" s="182" t="s">
        <v>666</v>
      </c>
    </row>
    <row r="326" spans="2:15">
      <c r="B326" s="174" t="s">
        <v>660</v>
      </c>
      <c r="C326" s="175" t="s">
        <v>661</v>
      </c>
      <c r="D326" s="176" t="s">
        <v>662</v>
      </c>
      <c r="E326" s="177" t="s">
        <v>663</v>
      </c>
      <c r="F326" s="175">
        <f t="shared" si="9"/>
        <v>11</v>
      </c>
      <c r="G326" s="175" t="str">
        <f t="shared" si="10"/>
        <v>Bradenton</v>
      </c>
      <c r="H326" s="175"/>
      <c r="I326" s="178" t="s">
        <v>664</v>
      </c>
      <c r="J326" s="27" t="s">
        <v>662</v>
      </c>
      <c r="K326" s="27">
        <v>3427</v>
      </c>
      <c r="L326" s="179">
        <v>725</v>
      </c>
      <c r="M326" s="178" t="s">
        <v>665</v>
      </c>
      <c r="N326" s="27" t="s">
        <v>662</v>
      </c>
      <c r="O326" s="182" t="s">
        <v>666</v>
      </c>
    </row>
    <row r="327" spans="2:15">
      <c r="B327" s="174" t="s">
        <v>1181</v>
      </c>
      <c r="C327" s="175" t="s">
        <v>661</v>
      </c>
      <c r="D327" s="176" t="s">
        <v>662</v>
      </c>
      <c r="E327" s="177" t="s">
        <v>1182</v>
      </c>
      <c r="F327" s="175">
        <f t="shared" si="9"/>
        <v>7</v>
      </c>
      <c r="G327" s="175" t="str">
        <f t="shared" si="10"/>
        <v>Ocala</v>
      </c>
      <c r="H327" s="175"/>
      <c r="I327" s="178" t="s">
        <v>1183</v>
      </c>
      <c r="J327" s="27" t="s">
        <v>662</v>
      </c>
      <c r="K327" s="27">
        <v>2919</v>
      </c>
      <c r="L327" s="179">
        <v>909</v>
      </c>
      <c r="M327" s="178" t="s">
        <v>1184</v>
      </c>
      <c r="N327" s="27" t="s">
        <v>662</v>
      </c>
      <c r="O327" s="182" t="s">
        <v>1185</v>
      </c>
    </row>
    <row r="328" spans="2:15">
      <c r="B328" s="174" t="s">
        <v>587</v>
      </c>
      <c r="C328" s="175" t="s">
        <v>661</v>
      </c>
      <c r="D328" s="176" t="s">
        <v>662</v>
      </c>
      <c r="E328" s="177" t="s">
        <v>588</v>
      </c>
      <c r="F328" s="175">
        <f t="shared" si="9"/>
        <v>12</v>
      </c>
      <c r="G328" s="175" t="str">
        <f t="shared" si="10"/>
        <v>Clearwater</v>
      </c>
      <c r="H328" s="175"/>
      <c r="I328" s="178" t="s">
        <v>664</v>
      </c>
      <c r="J328" s="27" t="s">
        <v>662</v>
      </c>
      <c r="K328" s="27">
        <v>3427</v>
      </c>
      <c r="L328" s="179">
        <v>725</v>
      </c>
      <c r="M328" s="178" t="s">
        <v>665</v>
      </c>
      <c r="N328" s="27" t="s">
        <v>662</v>
      </c>
      <c r="O328" s="182" t="s">
        <v>666</v>
      </c>
    </row>
    <row r="329" spans="2:15">
      <c r="B329" s="174" t="s">
        <v>1456</v>
      </c>
      <c r="C329" s="175" t="s">
        <v>661</v>
      </c>
      <c r="D329" s="176" t="s">
        <v>662</v>
      </c>
      <c r="E329" s="177" t="s">
        <v>1454</v>
      </c>
      <c r="F329" s="175">
        <f t="shared" si="9"/>
        <v>9</v>
      </c>
      <c r="G329" s="175" t="str">
        <f t="shared" si="10"/>
        <v>Orlando</v>
      </c>
      <c r="H329" s="175"/>
      <c r="I329" s="178" t="s">
        <v>1455</v>
      </c>
      <c r="J329" s="27" t="s">
        <v>662</v>
      </c>
      <c r="K329" s="27">
        <v>3381</v>
      </c>
      <c r="L329" s="179">
        <v>686</v>
      </c>
      <c r="M329" s="178" t="s">
        <v>1128</v>
      </c>
      <c r="N329" s="27" t="s">
        <v>662</v>
      </c>
      <c r="O329" s="182" t="s">
        <v>1129</v>
      </c>
    </row>
    <row r="330" spans="2:15">
      <c r="B330" s="174" t="s">
        <v>1949</v>
      </c>
      <c r="C330" s="175" t="s">
        <v>661</v>
      </c>
      <c r="D330" s="176" t="s">
        <v>662</v>
      </c>
      <c r="E330" s="177" t="s">
        <v>1950</v>
      </c>
      <c r="F330" s="175">
        <f t="shared" ref="F330:F393" si="11">LEN(E330)</f>
        <v>13</v>
      </c>
      <c r="G330" s="175" t="str">
        <f t="shared" ref="G330:G393" si="12">MID(E330,2,F330-2)</f>
        <v>Fort Pierce</v>
      </c>
      <c r="H330" s="175"/>
      <c r="I330" s="178" t="s">
        <v>664</v>
      </c>
      <c r="J330" s="27" t="s">
        <v>662</v>
      </c>
      <c r="K330" s="27">
        <v>3427</v>
      </c>
      <c r="L330" s="179">
        <v>725</v>
      </c>
      <c r="M330" s="178" t="s">
        <v>665</v>
      </c>
      <c r="N330" s="27" t="s">
        <v>662</v>
      </c>
      <c r="O330" s="182" t="s">
        <v>666</v>
      </c>
    </row>
    <row r="331" spans="2:15">
      <c r="B331" s="174" t="s">
        <v>1429</v>
      </c>
      <c r="C331" s="175" t="s">
        <v>493</v>
      </c>
      <c r="D331" s="176" t="s">
        <v>494</v>
      </c>
      <c r="E331" s="177" t="s">
        <v>1430</v>
      </c>
      <c r="F331" s="175">
        <f t="shared" si="11"/>
        <v>12</v>
      </c>
      <c r="G331" s="175" t="str">
        <f t="shared" si="12"/>
        <v>Birmingham</v>
      </c>
      <c r="H331" s="175"/>
      <c r="I331" s="178" t="s">
        <v>496</v>
      </c>
      <c r="J331" s="27" t="s">
        <v>494</v>
      </c>
      <c r="K331" s="27">
        <v>1797</v>
      </c>
      <c r="L331" s="179">
        <v>2918</v>
      </c>
      <c r="M331" s="180" t="s">
        <v>497</v>
      </c>
      <c r="N331" s="181" t="s">
        <v>494</v>
      </c>
      <c r="O331" s="182" t="s">
        <v>498</v>
      </c>
    </row>
    <row r="332" spans="2:15">
      <c r="B332" s="174" t="s">
        <v>1431</v>
      </c>
      <c r="C332" s="175" t="s">
        <v>493</v>
      </c>
      <c r="D332" s="176" t="s">
        <v>494</v>
      </c>
      <c r="E332" s="177" t="s">
        <v>1430</v>
      </c>
      <c r="F332" s="175">
        <f t="shared" si="11"/>
        <v>12</v>
      </c>
      <c r="G332" s="175" t="str">
        <f t="shared" si="12"/>
        <v>Birmingham</v>
      </c>
      <c r="H332" s="175"/>
      <c r="I332" s="178" t="s">
        <v>496</v>
      </c>
      <c r="J332" s="27" t="s">
        <v>494</v>
      </c>
      <c r="K332" s="27">
        <v>1797</v>
      </c>
      <c r="L332" s="179">
        <v>2918</v>
      </c>
      <c r="M332" s="180" t="s">
        <v>497</v>
      </c>
      <c r="N332" s="181" t="s">
        <v>494</v>
      </c>
      <c r="O332" s="182" t="s">
        <v>498</v>
      </c>
    </row>
    <row r="333" spans="2:15">
      <c r="B333" s="174" t="s">
        <v>1432</v>
      </c>
      <c r="C333" s="175" t="s">
        <v>493</v>
      </c>
      <c r="D333" s="176" t="s">
        <v>494</v>
      </c>
      <c r="E333" s="177" t="s">
        <v>1430</v>
      </c>
      <c r="F333" s="175">
        <f t="shared" si="11"/>
        <v>12</v>
      </c>
      <c r="G333" s="175" t="str">
        <f t="shared" si="12"/>
        <v>Birmingham</v>
      </c>
      <c r="H333" s="175"/>
      <c r="I333" s="178" t="s">
        <v>496</v>
      </c>
      <c r="J333" s="27" t="s">
        <v>494</v>
      </c>
      <c r="K333" s="27">
        <v>1797</v>
      </c>
      <c r="L333" s="179">
        <v>2918</v>
      </c>
      <c r="M333" s="180" t="s">
        <v>497</v>
      </c>
      <c r="N333" s="181" t="s">
        <v>494</v>
      </c>
      <c r="O333" s="182" t="s">
        <v>498</v>
      </c>
    </row>
    <row r="334" spans="2:15">
      <c r="B334" s="174" t="s">
        <v>1765</v>
      </c>
      <c r="C334" s="175" t="s">
        <v>493</v>
      </c>
      <c r="D334" s="176" t="s">
        <v>494</v>
      </c>
      <c r="E334" s="177" t="s">
        <v>1766</v>
      </c>
      <c r="F334" s="175">
        <f t="shared" si="11"/>
        <v>12</v>
      </c>
      <c r="G334" s="175" t="str">
        <f t="shared" si="12"/>
        <v>Tuscaloosa</v>
      </c>
      <c r="H334" s="175"/>
      <c r="I334" s="178" t="s">
        <v>1334</v>
      </c>
      <c r="J334" s="27" t="s">
        <v>1335</v>
      </c>
      <c r="K334" s="27">
        <v>2138</v>
      </c>
      <c r="L334" s="179">
        <v>2444</v>
      </c>
      <c r="M334" s="180" t="s">
        <v>497</v>
      </c>
      <c r="N334" s="181" t="s">
        <v>494</v>
      </c>
      <c r="O334" s="182" t="s">
        <v>498</v>
      </c>
    </row>
    <row r="335" spans="2:15">
      <c r="B335" s="174" t="s">
        <v>114</v>
      </c>
      <c r="C335" s="175" t="s">
        <v>493</v>
      </c>
      <c r="D335" s="176" t="s">
        <v>494</v>
      </c>
      <c r="E335" s="177" t="s">
        <v>115</v>
      </c>
      <c r="F335" s="175">
        <f t="shared" si="11"/>
        <v>8</v>
      </c>
      <c r="G335" s="175" t="str">
        <f t="shared" si="12"/>
        <v>Jasper</v>
      </c>
      <c r="H335" s="175"/>
      <c r="I335" s="178" t="s">
        <v>2345</v>
      </c>
      <c r="J335" s="27" t="s">
        <v>494</v>
      </c>
      <c r="K335" s="27">
        <v>1651</v>
      </c>
      <c r="L335" s="179">
        <v>3323</v>
      </c>
      <c r="M335" s="180" t="s">
        <v>1686</v>
      </c>
      <c r="N335" s="181" t="s">
        <v>494</v>
      </c>
      <c r="O335" s="182" t="s">
        <v>1687</v>
      </c>
    </row>
    <row r="336" spans="2:15">
      <c r="B336" s="174" t="s">
        <v>1684</v>
      </c>
      <c r="C336" s="175" t="s">
        <v>493</v>
      </c>
      <c r="D336" s="176" t="s">
        <v>494</v>
      </c>
      <c r="E336" s="177" t="s">
        <v>1685</v>
      </c>
      <c r="F336" s="175">
        <f t="shared" si="11"/>
        <v>18</v>
      </c>
      <c r="G336" s="175" t="str">
        <f t="shared" si="12"/>
        <v>Decatur/Florence</v>
      </c>
      <c r="H336" s="175"/>
      <c r="I336" s="178" t="s">
        <v>2345</v>
      </c>
      <c r="J336" s="27" t="s">
        <v>494</v>
      </c>
      <c r="K336" s="27">
        <v>1651</v>
      </c>
      <c r="L336" s="179">
        <v>3323</v>
      </c>
      <c r="M336" s="180" t="s">
        <v>1686</v>
      </c>
      <c r="N336" s="181" t="s">
        <v>494</v>
      </c>
      <c r="O336" s="182" t="s">
        <v>1687</v>
      </c>
    </row>
    <row r="337" spans="2:15">
      <c r="B337" s="174" t="s">
        <v>806</v>
      </c>
      <c r="C337" s="175" t="s">
        <v>493</v>
      </c>
      <c r="D337" s="176" t="s">
        <v>494</v>
      </c>
      <c r="E337" s="177" t="s">
        <v>807</v>
      </c>
      <c r="F337" s="175">
        <f t="shared" si="11"/>
        <v>12</v>
      </c>
      <c r="G337" s="175" t="str">
        <f t="shared" si="12"/>
        <v>Huntsville</v>
      </c>
      <c r="H337" s="175"/>
      <c r="I337" s="178" t="s">
        <v>2349</v>
      </c>
      <c r="J337" s="27" t="s">
        <v>476</v>
      </c>
      <c r="K337" s="27">
        <v>1544</v>
      </c>
      <c r="L337" s="179">
        <v>3587</v>
      </c>
      <c r="M337" s="180" t="s">
        <v>2346</v>
      </c>
      <c r="N337" s="181" t="s">
        <v>476</v>
      </c>
      <c r="O337" s="182" t="s">
        <v>2347</v>
      </c>
    </row>
    <row r="338" spans="2:15">
      <c r="B338" s="174" t="s">
        <v>808</v>
      </c>
      <c r="C338" s="175" t="s">
        <v>493</v>
      </c>
      <c r="D338" s="176" t="s">
        <v>494</v>
      </c>
      <c r="E338" s="177" t="s">
        <v>807</v>
      </c>
      <c r="F338" s="175">
        <f t="shared" si="11"/>
        <v>12</v>
      </c>
      <c r="G338" s="175" t="str">
        <f t="shared" si="12"/>
        <v>Huntsville</v>
      </c>
      <c r="H338" s="175"/>
      <c r="I338" s="178" t="s">
        <v>2345</v>
      </c>
      <c r="J338" s="27" t="s">
        <v>494</v>
      </c>
      <c r="K338" s="27">
        <v>1651</v>
      </c>
      <c r="L338" s="179">
        <v>3323</v>
      </c>
      <c r="M338" s="180" t="s">
        <v>1686</v>
      </c>
      <c r="N338" s="181" t="s">
        <v>494</v>
      </c>
      <c r="O338" s="182" t="s">
        <v>1687</v>
      </c>
    </row>
    <row r="339" spans="2:15">
      <c r="B339" s="174" t="s">
        <v>1980</v>
      </c>
      <c r="C339" s="175" t="s">
        <v>493</v>
      </c>
      <c r="D339" s="176" t="s">
        <v>494</v>
      </c>
      <c r="E339" s="177" t="s">
        <v>1981</v>
      </c>
      <c r="F339" s="175">
        <f t="shared" si="11"/>
        <v>9</v>
      </c>
      <c r="G339" s="175" t="str">
        <f t="shared" si="12"/>
        <v>Gadsden</v>
      </c>
      <c r="H339" s="175"/>
      <c r="I339" s="178" t="s">
        <v>1532</v>
      </c>
      <c r="J339" s="27" t="s">
        <v>401</v>
      </c>
      <c r="K339" s="27">
        <v>1667</v>
      </c>
      <c r="L339" s="179">
        <v>2991</v>
      </c>
      <c r="M339" s="178" t="s">
        <v>1525</v>
      </c>
      <c r="N339" s="27" t="s">
        <v>401</v>
      </c>
      <c r="O339" s="182" t="s">
        <v>1526</v>
      </c>
    </row>
    <row r="340" spans="2:15">
      <c r="B340" s="174" t="s">
        <v>194</v>
      </c>
      <c r="C340" s="175" t="s">
        <v>493</v>
      </c>
      <c r="D340" s="176" t="s">
        <v>494</v>
      </c>
      <c r="E340" s="177" t="s">
        <v>195</v>
      </c>
      <c r="F340" s="175">
        <f t="shared" si="11"/>
        <v>12</v>
      </c>
      <c r="G340" s="175" t="str">
        <f t="shared" si="12"/>
        <v>Montgomery</v>
      </c>
      <c r="H340" s="175"/>
      <c r="I340" s="178" t="s">
        <v>403</v>
      </c>
      <c r="J340" s="27" t="s">
        <v>401</v>
      </c>
      <c r="K340" s="27">
        <v>2284</v>
      </c>
      <c r="L340" s="179">
        <v>2261</v>
      </c>
      <c r="M340" s="178" t="s">
        <v>1721</v>
      </c>
      <c r="N340" s="27" t="s">
        <v>494</v>
      </c>
      <c r="O340" s="187" t="s">
        <v>1722</v>
      </c>
    </row>
    <row r="341" spans="2:15">
      <c r="B341" s="174" t="s">
        <v>196</v>
      </c>
      <c r="C341" s="175" t="s">
        <v>493</v>
      </c>
      <c r="D341" s="176" t="s">
        <v>494</v>
      </c>
      <c r="E341" s="177" t="s">
        <v>195</v>
      </c>
      <c r="F341" s="175">
        <f t="shared" si="11"/>
        <v>12</v>
      </c>
      <c r="G341" s="175" t="str">
        <f t="shared" si="12"/>
        <v>Montgomery</v>
      </c>
      <c r="H341" s="175"/>
      <c r="I341" s="178" t="s">
        <v>1720</v>
      </c>
      <c r="J341" s="27" t="s">
        <v>494</v>
      </c>
      <c r="K341" s="27">
        <v>2212</v>
      </c>
      <c r="L341" s="179">
        <v>2224</v>
      </c>
      <c r="M341" s="178" t="s">
        <v>1721</v>
      </c>
      <c r="N341" s="27" t="s">
        <v>494</v>
      </c>
      <c r="O341" s="187" t="s">
        <v>1722</v>
      </c>
    </row>
    <row r="342" spans="2:15">
      <c r="B342" s="174" t="s">
        <v>492</v>
      </c>
      <c r="C342" s="175" t="s">
        <v>493</v>
      </c>
      <c r="D342" s="176" t="s">
        <v>494</v>
      </c>
      <c r="E342" s="177" t="s">
        <v>495</v>
      </c>
      <c r="F342" s="175">
        <f t="shared" si="11"/>
        <v>10</v>
      </c>
      <c r="G342" s="175" t="str">
        <f t="shared" si="12"/>
        <v>Anniston</v>
      </c>
      <c r="H342" s="175"/>
      <c r="I342" s="178" t="s">
        <v>496</v>
      </c>
      <c r="J342" s="27" t="s">
        <v>494</v>
      </c>
      <c r="K342" s="27">
        <v>1797</v>
      </c>
      <c r="L342" s="179">
        <v>2918</v>
      </c>
      <c r="M342" s="180" t="s">
        <v>497</v>
      </c>
      <c r="N342" s="181" t="s">
        <v>494</v>
      </c>
      <c r="O342" s="182" t="s">
        <v>498</v>
      </c>
    </row>
    <row r="343" spans="2:15">
      <c r="B343" s="174" t="s">
        <v>1718</v>
      </c>
      <c r="C343" s="175" t="s">
        <v>493</v>
      </c>
      <c r="D343" s="176" t="s">
        <v>494</v>
      </c>
      <c r="E343" s="177" t="s">
        <v>1719</v>
      </c>
      <c r="F343" s="175">
        <f t="shared" si="11"/>
        <v>8</v>
      </c>
      <c r="G343" s="175" t="str">
        <f t="shared" si="12"/>
        <v>Dothan</v>
      </c>
      <c r="H343" s="175"/>
      <c r="I343" s="178" t="s">
        <v>1720</v>
      </c>
      <c r="J343" s="27" t="s">
        <v>494</v>
      </c>
      <c r="K343" s="27">
        <v>2212</v>
      </c>
      <c r="L343" s="179">
        <v>2224</v>
      </c>
      <c r="M343" s="178" t="s">
        <v>1721</v>
      </c>
      <c r="N343" s="27" t="s">
        <v>494</v>
      </c>
      <c r="O343" s="187" t="s">
        <v>1722</v>
      </c>
    </row>
    <row r="344" spans="2:15">
      <c r="B344" s="174" t="s">
        <v>2394</v>
      </c>
      <c r="C344" s="175" t="s">
        <v>493</v>
      </c>
      <c r="D344" s="176" t="s">
        <v>494</v>
      </c>
      <c r="E344" s="177" t="s">
        <v>2395</v>
      </c>
      <c r="F344" s="175">
        <f t="shared" si="11"/>
        <v>11</v>
      </c>
      <c r="G344" s="175" t="str">
        <f t="shared" si="12"/>
        <v>Evergreen</v>
      </c>
      <c r="H344" s="175"/>
      <c r="I344" s="178" t="s">
        <v>1720</v>
      </c>
      <c r="J344" s="27" t="s">
        <v>494</v>
      </c>
      <c r="K344" s="27">
        <v>2212</v>
      </c>
      <c r="L344" s="179">
        <v>2224</v>
      </c>
      <c r="M344" s="178" t="s">
        <v>1721</v>
      </c>
      <c r="N344" s="27" t="s">
        <v>494</v>
      </c>
      <c r="O344" s="187" t="s">
        <v>1722</v>
      </c>
    </row>
    <row r="345" spans="2:15">
      <c r="B345" s="174" t="s">
        <v>182</v>
      </c>
      <c r="C345" s="175" t="s">
        <v>493</v>
      </c>
      <c r="D345" s="176" t="s">
        <v>494</v>
      </c>
      <c r="E345" s="177" t="s">
        <v>183</v>
      </c>
      <c r="F345" s="175">
        <f t="shared" si="11"/>
        <v>8</v>
      </c>
      <c r="G345" s="175" t="str">
        <f t="shared" si="12"/>
        <v>Mobile</v>
      </c>
      <c r="H345" s="175"/>
      <c r="I345" s="178" t="s">
        <v>752</v>
      </c>
      <c r="J345" s="27" t="s">
        <v>494</v>
      </c>
      <c r="K345" s="27">
        <v>2627</v>
      </c>
      <c r="L345" s="179">
        <v>1702</v>
      </c>
      <c r="M345" s="180" t="s">
        <v>753</v>
      </c>
      <c r="N345" s="181" t="s">
        <v>494</v>
      </c>
      <c r="O345" s="182" t="s">
        <v>754</v>
      </c>
    </row>
    <row r="346" spans="2:15">
      <c r="B346" s="174" t="s">
        <v>184</v>
      </c>
      <c r="C346" s="175" t="s">
        <v>493</v>
      </c>
      <c r="D346" s="176" t="s">
        <v>494</v>
      </c>
      <c r="E346" s="177" t="s">
        <v>183</v>
      </c>
      <c r="F346" s="175">
        <f t="shared" si="11"/>
        <v>8</v>
      </c>
      <c r="G346" s="175" t="str">
        <f t="shared" si="12"/>
        <v>Mobile</v>
      </c>
      <c r="H346" s="175"/>
      <c r="I346" s="178" t="s">
        <v>752</v>
      </c>
      <c r="J346" s="27" t="s">
        <v>494</v>
      </c>
      <c r="K346" s="27">
        <v>2627</v>
      </c>
      <c r="L346" s="179">
        <v>1702</v>
      </c>
      <c r="M346" s="180" t="s">
        <v>753</v>
      </c>
      <c r="N346" s="181" t="s">
        <v>494</v>
      </c>
      <c r="O346" s="182" t="s">
        <v>754</v>
      </c>
    </row>
    <row r="347" spans="2:15">
      <c r="B347" s="174" t="s">
        <v>1271</v>
      </c>
      <c r="C347" s="175" t="s">
        <v>493</v>
      </c>
      <c r="D347" s="176" t="s">
        <v>494</v>
      </c>
      <c r="E347" s="177" t="s">
        <v>1272</v>
      </c>
      <c r="F347" s="175">
        <f t="shared" si="11"/>
        <v>7</v>
      </c>
      <c r="G347" s="175" t="str">
        <f t="shared" si="12"/>
        <v>Selma</v>
      </c>
      <c r="H347" s="175"/>
      <c r="I347" s="178" t="s">
        <v>1720</v>
      </c>
      <c r="J347" s="27" t="s">
        <v>494</v>
      </c>
      <c r="K347" s="27">
        <v>2212</v>
      </c>
      <c r="L347" s="179">
        <v>2224</v>
      </c>
      <c r="M347" s="178" t="s">
        <v>1721</v>
      </c>
      <c r="N347" s="27" t="s">
        <v>494</v>
      </c>
      <c r="O347" s="187" t="s">
        <v>1722</v>
      </c>
    </row>
    <row r="348" spans="2:15">
      <c r="B348" s="174" t="s">
        <v>1451</v>
      </c>
      <c r="C348" s="175" t="s">
        <v>493</v>
      </c>
      <c r="D348" s="176" t="s">
        <v>494</v>
      </c>
      <c r="E348" s="177" t="s">
        <v>1452</v>
      </c>
      <c r="F348" s="175">
        <f t="shared" si="11"/>
        <v>9</v>
      </c>
      <c r="G348" s="175" t="str">
        <f t="shared" si="12"/>
        <v>Opelika</v>
      </c>
      <c r="H348" s="175"/>
      <c r="I348" s="178" t="s">
        <v>403</v>
      </c>
      <c r="J348" s="27" t="s">
        <v>401</v>
      </c>
      <c r="K348" s="27">
        <v>2284</v>
      </c>
      <c r="L348" s="179">
        <v>2261</v>
      </c>
      <c r="M348" s="180" t="s">
        <v>404</v>
      </c>
      <c r="N348" s="181" t="s">
        <v>401</v>
      </c>
      <c r="O348" s="182" t="s">
        <v>405</v>
      </c>
    </row>
    <row r="349" spans="2:15">
      <c r="B349" s="174" t="s">
        <v>1332</v>
      </c>
      <c r="C349" s="175" t="s">
        <v>493</v>
      </c>
      <c r="D349" s="176" t="s">
        <v>494</v>
      </c>
      <c r="E349" s="177" t="s">
        <v>1333</v>
      </c>
      <c r="F349" s="175">
        <f t="shared" si="11"/>
        <v>8</v>
      </c>
      <c r="G349" s="175" t="str">
        <f t="shared" si="12"/>
        <v>Butler</v>
      </c>
      <c r="H349" s="175"/>
      <c r="I349" s="178" t="s">
        <v>1334</v>
      </c>
      <c r="J349" s="27" t="s">
        <v>1335</v>
      </c>
      <c r="K349" s="27">
        <v>2138</v>
      </c>
      <c r="L349" s="179">
        <v>2444</v>
      </c>
      <c r="M349" s="180" t="s">
        <v>1336</v>
      </c>
      <c r="N349" s="181" t="s">
        <v>1335</v>
      </c>
      <c r="O349" s="182" t="s">
        <v>1337</v>
      </c>
    </row>
    <row r="350" spans="2:15">
      <c r="B350" s="174" t="s">
        <v>1086</v>
      </c>
      <c r="C350" s="175" t="s">
        <v>2343</v>
      </c>
      <c r="D350" s="176" t="s">
        <v>476</v>
      </c>
      <c r="E350" s="177" t="s">
        <v>1087</v>
      </c>
      <c r="F350" s="175">
        <f t="shared" si="11"/>
        <v>11</v>
      </c>
      <c r="G350" s="175" t="str">
        <f t="shared" si="12"/>
        <v>Nashville</v>
      </c>
      <c r="H350" s="175"/>
      <c r="I350" s="178" t="s">
        <v>1512</v>
      </c>
      <c r="J350" s="27" t="s">
        <v>476</v>
      </c>
      <c r="K350" s="27">
        <v>1616</v>
      </c>
      <c r="L350" s="179">
        <v>3729</v>
      </c>
      <c r="M350" s="180" t="s">
        <v>1513</v>
      </c>
      <c r="N350" s="181" t="s">
        <v>476</v>
      </c>
      <c r="O350" s="182" t="s">
        <v>614</v>
      </c>
    </row>
    <row r="351" spans="2:15">
      <c r="B351" s="174" t="s">
        <v>1088</v>
      </c>
      <c r="C351" s="175" t="s">
        <v>2343</v>
      </c>
      <c r="D351" s="176" t="s">
        <v>476</v>
      </c>
      <c r="E351" s="177" t="s">
        <v>1087</v>
      </c>
      <c r="F351" s="175">
        <f t="shared" si="11"/>
        <v>11</v>
      </c>
      <c r="G351" s="175" t="str">
        <f t="shared" si="12"/>
        <v>Nashville</v>
      </c>
      <c r="H351" s="175"/>
      <c r="I351" s="178" t="s">
        <v>1512</v>
      </c>
      <c r="J351" s="27" t="s">
        <v>476</v>
      </c>
      <c r="K351" s="27">
        <v>1616</v>
      </c>
      <c r="L351" s="179">
        <v>3729</v>
      </c>
      <c r="M351" s="180" t="s">
        <v>1513</v>
      </c>
      <c r="N351" s="181" t="s">
        <v>476</v>
      </c>
      <c r="O351" s="182" t="s">
        <v>614</v>
      </c>
    </row>
    <row r="352" spans="2:15">
      <c r="B352" s="174" t="s">
        <v>1089</v>
      </c>
      <c r="C352" s="175" t="s">
        <v>2343</v>
      </c>
      <c r="D352" s="176" t="s">
        <v>476</v>
      </c>
      <c r="E352" s="177" t="s">
        <v>1087</v>
      </c>
      <c r="F352" s="175">
        <f t="shared" si="11"/>
        <v>11</v>
      </c>
      <c r="G352" s="175" t="str">
        <f t="shared" si="12"/>
        <v>Nashville</v>
      </c>
      <c r="H352" s="175"/>
      <c r="I352" s="178" t="s">
        <v>1512</v>
      </c>
      <c r="J352" s="27" t="s">
        <v>476</v>
      </c>
      <c r="K352" s="27">
        <v>1616</v>
      </c>
      <c r="L352" s="179">
        <v>3729</v>
      </c>
      <c r="M352" s="180" t="s">
        <v>1513</v>
      </c>
      <c r="N352" s="181" t="s">
        <v>476</v>
      </c>
      <c r="O352" s="182" t="s">
        <v>614</v>
      </c>
    </row>
    <row r="353" spans="2:15">
      <c r="B353" s="174" t="s">
        <v>2342</v>
      </c>
      <c r="C353" s="175" t="s">
        <v>2343</v>
      </c>
      <c r="D353" s="176" t="s">
        <v>476</v>
      </c>
      <c r="E353" s="177" t="s">
        <v>2344</v>
      </c>
      <c r="F353" s="175">
        <f t="shared" si="11"/>
        <v>13</v>
      </c>
      <c r="G353" s="175" t="str">
        <f t="shared" si="12"/>
        <v>Chattanooga</v>
      </c>
      <c r="H353" s="175"/>
      <c r="I353" s="178" t="s">
        <v>2345</v>
      </c>
      <c r="J353" s="27" t="s">
        <v>494</v>
      </c>
      <c r="K353" s="27">
        <v>1651</v>
      </c>
      <c r="L353" s="179">
        <v>3323</v>
      </c>
      <c r="M353" s="180" t="s">
        <v>2346</v>
      </c>
      <c r="N353" s="181" t="s">
        <v>476</v>
      </c>
      <c r="O353" s="182" t="s">
        <v>2347</v>
      </c>
    </row>
    <row r="354" spans="2:15">
      <c r="B354" s="174" t="s">
        <v>2348</v>
      </c>
      <c r="C354" s="175" t="s">
        <v>2343</v>
      </c>
      <c r="D354" s="176" t="s">
        <v>476</v>
      </c>
      <c r="E354" s="177" t="s">
        <v>2344</v>
      </c>
      <c r="F354" s="175">
        <f t="shared" si="11"/>
        <v>13</v>
      </c>
      <c r="G354" s="175" t="str">
        <f t="shared" si="12"/>
        <v>Chattanooga</v>
      </c>
      <c r="H354" s="175"/>
      <c r="I354" s="178" t="s">
        <v>2349</v>
      </c>
      <c r="J354" s="27" t="s">
        <v>476</v>
      </c>
      <c r="K354" s="27">
        <v>1544</v>
      </c>
      <c r="L354" s="179">
        <v>3587</v>
      </c>
      <c r="M354" s="180" t="s">
        <v>2346</v>
      </c>
      <c r="N354" s="181" t="s">
        <v>476</v>
      </c>
      <c r="O354" s="182" t="s">
        <v>2347</v>
      </c>
    </row>
    <row r="355" spans="2:15">
      <c r="B355" s="174" t="s">
        <v>121</v>
      </c>
      <c r="C355" s="175" t="s">
        <v>2343</v>
      </c>
      <c r="D355" s="176" t="s">
        <v>476</v>
      </c>
      <c r="E355" s="177" t="s">
        <v>122</v>
      </c>
      <c r="F355" s="175">
        <f t="shared" si="11"/>
        <v>14</v>
      </c>
      <c r="G355" s="175" t="str">
        <f t="shared" si="12"/>
        <v>Johnson City</v>
      </c>
      <c r="H355" s="175"/>
      <c r="I355" s="178" t="s">
        <v>510</v>
      </c>
      <c r="J355" s="27" t="s">
        <v>476</v>
      </c>
      <c r="K355" s="27">
        <v>972</v>
      </c>
      <c r="L355" s="179">
        <v>4406</v>
      </c>
      <c r="M355" s="180" t="s">
        <v>477</v>
      </c>
      <c r="N355" s="181" t="s">
        <v>476</v>
      </c>
      <c r="O355" s="182" t="s">
        <v>478</v>
      </c>
    </row>
    <row r="356" spans="2:15">
      <c r="B356" s="174" t="s">
        <v>927</v>
      </c>
      <c r="C356" s="175" t="s">
        <v>2343</v>
      </c>
      <c r="D356" s="176" t="s">
        <v>476</v>
      </c>
      <c r="E356" s="177" t="s">
        <v>928</v>
      </c>
      <c r="F356" s="175">
        <f t="shared" si="11"/>
        <v>11</v>
      </c>
      <c r="G356" s="175" t="str">
        <f t="shared" si="12"/>
        <v>Knoxville</v>
      </c>
      <c r="H356" s="175"/>
      <c r="I356" s="178" t="s">
        <v>475</v>
      </c>
      <c r="J356" s="27" t="s">
        <v>476</v>
      </c>
      <c r="K356" s="27">
        <v>1266</v>
      </c>
      <c r="L356" s="179">
        <v>3937</v>
      </c>
      <c r="M356" s="180" t="s">
        <v>477</v>
      </c>
      <c r="N356" s="181" t="s">
        <v>476</v>
      </c>
      <c r="O356" s="182" t="s">
        <v>478</v>
      </c>
    </row>
    <row r="357" spans="2:15">
      <c r="B357" s="174" t="s">
        <v>929</v>
      </c>
      <c r="C357" s="175" t="s">
        <v>2343</v>
      </c>
      <c r="D357" s="176" t="s">
        <v>476</v>
      </c>
      <c r="E357" s="177" t="s">
        <v>928</v>
      </c>
      <c r="F357" s="175">
        <f t="shared" si="11"/>
        <v>11</v>
      </c>
      <c r="G357" s="175" t="str">
        <f t="shared" si="12"/>
        <v>Knoxville</v>
      </c>
      <c r="H357" s="175"/>
      <c r="I357" s="178" t="s">
        <v>475</v>
      </c>
      <c r="J357" s="27" t="s">
        <v>476</v>
      </c>
      <c r="K357" s="27">
        <v>1266</v>
      </c>
      <c r="L357" s="179">
        <v>3937</v>
      </c>
      <c r="M357" s="180" t="s">
        <v>477</v>
      </c>
      <c r="N357" s="181" t="s">
        <v>476</v>
      </c>
      <c r="O357" s="182" t="s">
        <v>478</v>
      </c>
    </row>
    <row r="358" spans="2:15">
      <c r="B358" s="174" t="s">
        <v>930</v>
      </c>
      <c r="C358" s="175" t="s">
        <v>2343</v>
      </c>
      <c r="D358" s="176" t="s">
        <v>476</v>
      </c>
      <c r="E358" s="177" t="s">
        <v>928</v>
      </c>
      <c r="F358" s="175">
        <f t="shared" si="11"/>
        <v>11</v>
      </c>
      <c r="G358" s="175" t="str">
        <f t="shared" si="12"/>
        <v>Knoxville</v>
      </c>
      <c r="H358" s="175"/>
      <c r="I358" s="178" t="s">
        <v>475</v>
      </c>
      <c r="J358" s="27" t="s">
        <v>476</v>
      </c>
      <c r="K358" s="27">
        <v>1266</v>
      </c>
      <c r="L358" s="179">
        <v>3937</v>
      </c>
      <c r="M358" s="180" t="s">
        <v>477</v>
      </c>
      <c r="N358" s="181" t="s">
        <v>476</v>
      </c>
      <c r="O358" s="182" t="s">
        <v>478</v>
      </c>
    </row>
    <row r="359" spans="2:15">
      <c r="B359" s="174" t="s">
        <v>1130</v>
      </c>
      <c r="C359" s="175" t="s">
        <v>2343</v>
      </c>
      <c r="D359" s="176" t="s">
        <v>476</v>
      </c>
      <c r="E359" s="177" t="s">
        <v>1131</v>
      </c>
      <c r="F359" s="175">
        <f t="shared" si="11"/>
        <v>9</v>
      </c>
      <c r="G359" s="175" t="str">
        <f t="shared" si="12"/>
        <v>Memphis</v>
      </c>
      <c r="H359" s="175"/>
      <c r="I359" s="178" t="s">
        <v>1132</v>
      </c>
      <c r="J359" s="27" t="s">
        <v>476</v>
      </c>
      <c r="K359" s="27">
        <v>2118</v>
      </c>
      <c r="L359" s="179">
        <v>3082</v>
      </c>
      <c r="M359" s="180" t="s">
        <v>1133</v>
      </c>
      <c r="N359" s="181" t="s">
        <v>476</v>
      </c>
      <c r="O359" s="182" t="s">
        <v>1199</v>
      </c>
    </row>
    <row r="360" spans="2:15">
      <c r="B360" s="174" t="s">
        <v>1200</v>
      </c>
      <c r="C360" s="175" t="s">
        <v>2343</v>
      </c>
      <c r="D360" s="176" t="s">
        <v>476</v>
      </c>
      <c r="E360" s="177" t="s">
        <v>1131</v>
      </c>
      <c r="F360" s="175">
        <f t="shared" si="11"/>
        <v>9</v>
      </c>
      <c r="G360" s="175" t="str">
        <f t="shared" si="12"/>
        <v>Memphis</v>
      </c>
      <c r="H360" s="175"/>
      <c r="I360" s="178" t="s">
        <v>1132</v>
      </c>
      <c r="J360" s="27" t="s">
        <v>476</v>
      </c>
      <c r="K360" s="27">
        <v>2118</v>
      </c>
      <c r="L360" s="179">
        <v>3082</v>
      </c>
      <c r="M360" s="180" t="s">
        <v>1133</v>
      </c>
      <c r="N360" s="181" t="s">
        <v>476</v>
      </c>
      <c r="O360" s="182" t="s">
        <v>1199</v>
      </c>
    </row>
    <row r="361" spans="2:15">
      <c r="B361" s="174" t="s">
        <v>1151</v>
      </c>
      <c r="C361" s="175" t="s">
        <v>2343</v>
      </c>
      <c r="D361" s="176" t="s">
        <v>476</v>
      </c>
      <c r="E361" s="177" t="s">
        <v>1152</v>
      </c>
      <c r="F361" s="175">
        <f t="shared" si="11"/>
        <v>11</v>
      </c>
      <c r="G361" s="175" t="str">
        <f t="shared" si="12"/>
        <v>Mc_Kenzie</v>
      </c>
      <c r="H361" s="175"/>
      <c r="I361" s="178" t="s">
        <v>1512</v>
      </c>
      <c r="J361" s="27" t="s">
        <v>476</v>
      </c>
      <c r="K361" s="27">
        <v>1616</v>
      </c>
      <c r="L361" s="179">
        <v>3729</v>
      </c>
      <c r="M361" s="180" t="s">
        <v>1513</v>
      </c>
      <c r="N361" s="181" t="s">
        <v>476</v>
      </c>
      <c r="O361" s="182" t="s">
        <v>614</v>
      </c>
    </row>
    <row r="362" spans="2:15">
      <c r="B362" s="174" t="s">
        <v>101</v>
      </c>
      <c r="C362" s="175" t="s">
        <v>2343</v>
      </c>
      <c r="D362" s="176" t="s">
        <v>476</v>
      </c>
      <c r="E362" s="177" t="s">
        <v>97</v>
      </c>
      <c r="F362" s="175">
        <f t="shared" si="11"/>
        <v>9</v>
      </c>
      <c r="G362" s="175" t="str">
        <f t="shared" si="12"/>
        <v>Jackson</v>
      </c>
      <c r="H362" s="175"/>
      <c r="I362" s="178" t="s">
        <v>2345</v>
      </c>
      <c r="J362" s="27" t="s">
        <v>494</v>
      </c>
      <c r="K362" s="27">
        <v>1651</v>
      </c>
      <c r="L362" s="179">
        <v>3323</v>
      </c>
      <c r="M362" s="180" t="s">
        <v>1686</v>
      </c>
      <c r="N362" s="181" t="s">
        <v>494</v>
      </c>
      <c r="O362" s="182" t="s">
        <v>1687</v>
      </c>
    </row>
    <row r="363" spans="2:15">
      <c r="B363" s="174" t="s">
        <v>1511</v>
      </c>
      <c r="C363" s="175" t="s">
        <v>2343</v>
      </c>
      <c r="D363" s="176" t="s">
        <v>476</v>
      </c>
      <c r="E363" s="177" t="s">
        <v>1506</v>
      </c>
      <c r="F363" s="175">
        <f t="shared" si="11"/>
        <v>10</v>
      </c>
      <c r="G363" s="175" t="str">
        <f t="shared" si="12"/>
        <v>Columbia</v>
      </c>
      <c r="H363" s="175"/>
      <c r="I363" s="178" t="s">
        <v>1512</v>
      </c>
      <c r="J363" s="27" t="s">
        <v>476</v>
      </c>
      <c r="K363" s="27">
        <v>1616</v>
      </c>
      <c r="L363" s="179">
        <v>3729</v>
      </c>
      <c r="M363" s="180" t="s">
        <v>1513</v>
      </c>
      <c r="N363" s="181" t="s">
        <v>476</v>
      </c>
      <c r="O363" s="182" t="s">
        <v>614</v>
      </c>
    </row>
    <row r="364" spans="2:15">
      <c r="B364" s="174" t="s">
        <v>1644</v>
      </c>
      <c r="C364" s="175" t="s">
        <v>2343</v>
      </c>
      <c r="D364" s="176" t="s">
        <v>476</v>
      </c>
      <c r="E364" s="177" t="s">
        <v>1645</v>
      </c>
      <c r="F364" s="175">
        <f t="shared" si="11"/>
        <v>12</v>
      </c>
      <c r="G364" s="175" t="str">
        <f t="shared" si="12"/>
        <v>Cookeville</v>
      </c>
      <c r="H364" s="175"/>
      <c r="I364" s="178" t="s">
        <v>1512</v>
      </c>
      <c r="J364" s="27" t="s">
        <v>476</v>
      </c>
      <c r="K364" s="27">
        <v>1616</v>
      </c>
      <c r="L364" s="179">
        <v>3729</v>
      </c>
      <c r="M364" s="180" t="s">
        <v>1513</v>
      </c>
      <c r="N364" s="181" t="s">
        <v>476</v>
      </c>
      <c r="O364" s="182" t="s">
        <v>614</v>
      </c>
    </row>
    <row r="365" spans="2:15">
      <c r="B365" s="174" t="s">
        <v>1463</v>
      </c>
      <c r="C365" s="175" t="s">
        <v>621</v>
      </c>
      <c r="D365" s="176" t="s">
        <v>1335</v>
      </c>
      <c r="E365" s="177" t="s">
        <v>1464</v>
      </c>
      <c r="F365" s="175">
        <f t="shared" si="11"/>
        <v>8</v>
      </c>
      <c r="G365" s="175" t="str">
        <f t="shared" si="12"/>
        <v>Oxford</v>
      </c>
      <c r="H365" s="175"/>
      <c r="I365" s="178" t="s">
        <v>1132</v>
      </c>
      <c r="J365" s="27" t="s">
        <v>476</v>
      </c>
      <c r="K365" s="27">
        <v>2118</v>
      </c>
      <c r="L365" s="179">
        <v>3082</v>
      </c>
      <c r="M365" s="180" t="s">
        <v>1133</v>
      </c>
      <c r="N365" s="181" t="s">
        <v>476</v>
      </c>
      <c r="O365" s="182" t="s">
        <v>1199</v>
      </c>
    </row>
    <row r="366" spans="2:15">
      <c r="B366" s="174" t="s">
        <v>2061</v>
      </c>
      <c r="C366" s="175" t="s">
        <v>621</v>
      </c>
      <c r="D366" s="176" t="s">
        <v>1335</v>
      </c>
      <c r="E366" s="177" t="s">
        <v>2062</v>
      </c>
      <c r="F366" s="175">
        <f t="shared" si="11"/>
        <v>12</v>
      </c>
      <c r="G366" s="175" t="str">
        <f t="shared" si="12"/>
        <v>Greenville</v>
      </c>
      <c r="H366" s="175"/>
      <c r="I366" s="178" t="s">
        <v>2063</v>
      </c>
      <c r="J366" s="27" t="s">
        <v>1335</v>
      </c>
      <c r="K366" s="27">
        <v>2215</v>
      </c>
      <c r="L366" s="179">
        <v>2467</v>
      </c>
      <c r="M366" s="180" t="s">
        <v>1336</v>
      </c>
      <c r="N366" s="181" t="s">
        <v>1335</v>
      </c>
      <c r="O366" s="182" t="s">
        <v>1337</v>
      </c>
    </row>
    <row r="367" spans="2:15">
      <c r="B367" s="174" t="s">
        <v>1762</v>
      </c>
      <c r="C367" s="175" t="s">
        <v>621</v>
      </c>
      <c r="D367" s="176" t="s">
        <v>1335</v>
      </c>
      <c r="E367" s="177" t="s">
        <v>1763</v>
      </c>
      <c r="F367" s="175">
        <f t="shared" si="11"/>
        <v>8</v>
      </c>
      <c r="G367" s="175" t="str">
        <f t="shared" si="12"/>
        <v>Tupelo</v>
      </c>
      <c r="H367" s="175"/>
      <c r="I367" s="178" t="s">
        <v>1764</v>
      </c>
      <c r="J367" s="27" t="s">
        <v>1335</v>
      </c>
      <c r="K367" s="27">
        <v>1908</v>
      </c>
      <c r="L367" s="179">
        <v>3079</v>
      </c>
      <c r="M367" s="180" t="s">
        <v>2068</v>
      </c>
      <c r="N367" s="181" t="s">
        <v>1335</v>
      </c>
      <c r="O367" s="182" t="s">
        <v>2069</v>
      </c>
    </row>
    <row r="368" spans="2:15">
      <c r="B368" s="174" t="s">
        <v>2066</v>
      </c>
      <c r="C368" s="175" t="s">
        <v>621</v>
      </c>
      <c r="D368" s="176" t="s">
        <v>1335</v>
      </c>
      <c r="E368" s="177" t="s">
        <v>2067</v>
      </c>
      <c r="F368" s="175">
        <f t="shared" si="11"/>
        <v>9</v>
      </c>
      <c r="G368" s="175" t="str">
        <f t="shared" si="12"/>
        <v>Grenada</v>
      </c>
      <c r="H368" s="175"/>
      <c r="I368" s="178" t="s">
        <v>1334</v>
      </c>
      <c r="J368" s="27" t="s">
        <v>1335</v>
      </c>
      <c r="K368" s="27">
        <v>2138</v>
      </c>
      <c r="L368" s="179">
        <v>2444</v>
      </c>
      <c r="M368" s="180" t="s">
        <v>2068</v>
      </c>
      <c r="N368" s="181" t="s">
        <v>1335</v>
      </c>
      <c r="O368" s="182" t="s">
        <v>2069</v>
      </c>
    </row>
    <row r="369" spans="2:15">
      <c r="B369" s="174" t="s">
        <v>98</v>
      </c>
      <c r="C369" s="175" t="s">
        <v>621</v>
      </c>
      <c r="D369" s="176" t="s">
        <v>1335</v>
      </c>
      <c r="E369" s="177" t="s">
        <v>97</v>
      </c>
      <c r="F369" s="175">
        <f t="shared" si="11"/>
        <v>9</v>
      </c>
      <c r="G369" s="175" t="str">
        <f t="shared" si="12"/>
        <v>Jackson</v>
      </c>
      <c r="H369" s="175"/>
      <c r="I369" s="178" t="s">
        <v>2063</v>
      </c>
      <c r="J369" s="27" t="s">
        <v>1335</v>
      </c>
      <c r="K369" s="27">
        <v>2215</v>
      </c>
      <c r="L369" s="179">
        <v>2467</v>
      </c>
      <c r="M369" s="180" t="s">
        <v>1336</v>
      </c>
      <c r="N369" s="181" t="s">
        <v>1335</v>
      </c>
      <c r="O369" s="182" t="s">
        <v>1337</v>
      </c>
    </row>
    <row r="370" spans="2:15">
      <c r="B370" s="174" t="s">
        <v>99</v>
      </c>
      <c r="C370" s="175" t="s">
        <v>621</v>
      </c>
      <c r="D370" s="176" t="s">
        <v>1335</v>
      </c>
      <c r="E370" s="177" t="s">
        <v>97</v>
      </c>
      <c r="F370" s="175">
        <f t="shared" si="11"/>
        <v>9</v>
      </c>
      <c r="G370" s="175" t="str">
        <f t="shared" si="12"/>
        <v>Jackson</v>
      </c>
      <c r="H370" s="175"/>
      <c r="I370" s="178" t="s">
        <v>2063</v>
      </c>
      <c r="J370" s="27" t="s">
        <v>1335</v>
      </c>
      <c r="K370" s="27">
        <v>2215</v>
      </c>
      <c r="L370" s="179">
        <v>2467</v>
      </c>
      <c r="M370" s="180" t="s">
        <v>1336</v>
      </c>
      <c r="N370" s="181" t="s">
        <v>1335</v>
      </c>
      <c r="O370" s="182" t="s">
        <v>1337</v>
      </c>
    </row>
    <row r="371" spans="2:15">
      <c r="B371" s="174" t="s">
        <v>100</v>
      </c>
      <c r="C371" s="175" t="s">
        <v>621</v>
      </c>
      <c r="D371" s="176" t="s">
        <v>1335</v>
      </c>
      <c r="E371" s="177" t="s">
        <v>97</v>
      </c>
      <c r="F371" s="175">
        <f t="shared" si="11"/>
        <v>9</v>
      </c>
      <c r="G371" s="175" t="str">
        <f t="shared" si="12"/>
        <v>Jackson</v>
      </c>
      <c r="H371" s="175"/>
      <c r="I371" s="178" t="s">
        <v>2063</v>
      </c>
      <c r="J371" s="27" t="s">
        <v>1335</v>
      </c>
      <c r="K371" s="27">
        <v>2215</v>
      </c>
      <c r="L371" s="179">
        <v>2467</v>
      </c>
      <c r="M371" s="180" t="s">
        <v>1336</v>
      </c>
      <c r="N371" s="181" t="s">
        <v>1335</v>
      </c>
      <c r="O371" s="182" t="s">
        <v>1337</v>
      </c>
    </row>
    <row r="372" spans="2:15">
      <c r="B372" s="174" t="s">
        <v>1203</v>
      </c>
      <c r="C372" s="175" t="s">
        <v>621</v>
      </c>
      <c r="D372" s="176" t="s">
        <v>1335</v>
      </c>
      <c r="E372" s="177" t="s">
        <v>147</v>
      </c>
      <c r="F372" s="175">
        <f t="shared" si="11"/>
        <v>10</v>
      </c>
      <c r="G372" s="175" t="str">
        <f t="shared" si="12"/>
        <v>Meridian</v>
      </c>
      <c r="H372" s="175"/>
      <c r="I372" s="178" t="s">
        <v>1334</v>
      </c>
      <c r="J372" s="27" t="s">
        <v>1335</v>
      </c>
      <c r="K372" s="27">
        <v>2138</v>
      </c>
      <c r="L372" s="179">
        <v>2444</v>
      </c>
      <c r="M372" s="180" t="s">
        <v>1336</v>
      </c>
      <c r="N372" s="181" t="s">
        <v>1335</v>
      </c>
      <c r="O372" s="182" t="s">
        <v>1337</v>
      </c>
    </row>
    <row r="373" spans="2:15">
      <c r="B373" s="174" t="s">
        <v>750</v>
      </c>
      <c r="C373" s="175" t="s">
        <v>621</v>
      </c>
      <c r="D373" s="176" t="s">
        <v>1335</v>
      </c>
      <c r="E373" s="177" t="s">
        <v>751</v>
      </c>
      <c r="F373" s="175">
        <f t="shared" si="11"/>
        <v>13</v>
      </c>
      <c r="G373" s="175" t="str">
        <f t="shared" si="12"/>
        <v>Hattiesburg</v>
      </c>
      <c r="H373" s="175"/>
      <c r="I373" s="178" t="s">
        <v>752</v>
      </c>
      <c r="J373" s="27" t="s">
        <v>494</v>
      </c>
      <c r="K373" s="27">
        <v>2627</v>
      </c>
      <c r="L373" s="179">
        <v>1702</v>
      </c>
      <c r="M373" s="180" t="s">
        <v>753</v>
      </c>
      <c r="N373" s="181" t="s">
        <v>494</v>
      </c>
      <c r="O373" s="182" t="s">
        <v>754</v>
      </c>
    </row>
    <row r="374" spans="2:15">
      <c r="B374" s="174" t="s">
        <v>2070</v>
      </c>
      <c r="C374" s="175" t="s">
        <v>621</v>
      </c>
      <c r="D374" s="176" t="s">
        <v>1335</v>
      </c>
      <c r="E374" s="177" t="s">
        <v>2071</v>
      </c>
      <c r="F374" s="175">
        <f t="shared" si="11"/>
        <v>10</v>
      </c>
      <c r="G374" s="175" t="str">
        <f t="shared" si="12"/>
        <v>Gulfport</v>
      </c>
      <c r="H374" s="175"/>
      <c r="I374" s="178" t="s">
        <v>2072</v>
      </c>
      <c r="J374" s="27" t="s">
        <v>282</v>
      </c>
      <c r="K374" s="27">
        <v>2655</v>
      </c>
      <c r="L374" s="179">
        <v>1513</v>
      </c>
      <c r="M374" s="180" t="s">
        <v>2073</v>
      </c>
      <c r="N374" s="181" t="s">
        <v>282</v>
      </c>
      <c r="O374" s="182" t="s">
        <v>2074</v>
      </c>
    </row>
    <row r="375" spans="2:15">
      <c r="B375" s="174" t="s">
        <v>1119</v>
      </c>
      <c r="C375" s="175" t="s">
        <v>621</v>
      </c>
      <c r="D375" s="176" t="s">
        <v>1335</v>
      </c>
      <c r="E375" s="177" t="s">
        <v>1120</v>
      </c>
      <c r="F375" s="175">
        <f t="shared" si="11"/>
        <v>8</v>
      </c>
      <c r="G375" s="175" t="str">
        <f t="shared" si="12"/>
        <v>McComb</v>
      </c>
      <c r="H375" s="175"/>
      <c r="I375" s="178" t="s">
        <v>2063</v>
      </c>
      <c r="J375" s="27" t="s">
        <v>1335</v>
      </c>
      <c r="K375" s="27">
        <v>2215</v>
      </c>
      <c r="L375" s="179">
        <v>2467</v>
      </c>
      <c r="M375" s="180" t="s">
        <v>1336</v>
      </c>
      <c r="N375" s="181" t="s">
        <v>1335</v>
      </c>
      <c r="O375" s="182" t="s">
        <v>1337</v>
      </c>
    </row>
    <row r="376" spans="2:15">
      <c r="B376" s="174" t="s">
        <v>620</v>
      </c>
      <c r="C376" s="175" t="s">
        <v>621</v>
      </c>
      <c r="D376" s="176" t="s">
        <v>1335</v>
      </c>
      <c r="E376" s="177" t="s">
        <v>616</v>
      </c>
      <c r="F376" s="175">
        <f t="shared" si="11"/>
        <v>10</v>
      </c>
      <c r="G376" s="175" t="str">
        <f t="shared" si="12"/>
        <v>Columbus</v>
      </c>
      <c r="H376" s="175"/>
      <c r="I376" s="178" t="s">
        <v>496</v>
      </c>
      <c r="J376" s="27" t="s">
        <v>494</v>
      </c>
      <c r="K376" s="27">
        <v>1797</v>
      </c>
      <c r="L376" s="179">
        <v>2918</v>
      </c>
      <c r="M376" s="180" t="s">
        <v>497</v>
      </c>
      <c r="N376" s="181" t="s">
        <v>494</v>
      </c>
      <c r="O376" s="182" t="s">
        <v>498</v>
      </c>
    </row>
    <row r="377" spans="2:15">
      <c r="B377" s="174" t="s">
        <v>2140</v>
      </c>
      <c r="C377" s="175" t="s">
        <v>516</v>
      </c>
      <c r="D377" s="176" t="s">
        <v>517</v>
      </c>
      <c r="E377" s="177" t="s">
        <v>2141</v>
      </c>
      <c r="F377" s="175">
        <f t="shared" si="11"/>
        <v>12</v>
      </c>
      <c r="G377" s="175" t="str">
        <f t="shared" si="12"/>
        <v>Louisville</v>
      </c>
      <c r="H377" s="175"/>
      <c r="I377" s="178" t="s">
        <v>653</v>
      </c>
      <c r="J377" s="27" t="s">
        <v>517</v>
      </c>
      <c r="K377" s="27">
        <v>1288</v>
      </c>
      <c r="L377" s="179">
        <v>4514</v>
      </c>
      <c r="M377" s="180" t="s">
        <v>654</v>
      </c>
      <c r="N377" s="181" t="s">
        <v>517</v>
      </c>
      <c r="O377" s="182" t="s">
        <v>655</v>
      </c>
    </row>
    <row r="378" spans="2:15">
      <c r="B378" s="174" t="s">
        <v>2142</v>
      </c>
      <c r="C378" s="175" t="s">
        <v>516</v>
      </c>
      <c r="D378" s="176" t="s">
        <v>517</v>
      </c>
      <c r="E378" s="177" t="s">
        <v>2141</v>
      </c>
      <c r="F378" s="175">
        <f t="shared" si="11"/>
        <v>12</v>
      </c>
      <c r="G378" s="175" t="str">
        <f t="shared" si="12"/>
        <v>Louisville</v>
      </c>
      <c r="H378" s="175"/>
      <c r="I378" s="178" t="s">
        <v>653</v>
      </c>
      <c r="J378" s="27" t="s">
        <v>517</v>
      </c>
      <c r="K378" s="27">
        <v>1288</v>
      </c>
      <c r="L378" s="179">
        <v>4514</v>
      </c>
      <c r="M378" s="180" t="s">
        <v>654</v>
      </c>
      <c r="N378" s="181" t="s">
        <v>517</v>
      </c>
      <c r="O378" s="182" t="s">
        <v>655</v>
      </c>
    </row>
    <row r="379" spans="2:15">
      <c r="B379" s="174" t="s">
        <v>2143</v>
      </c>
      <c r="C379" s="175" t="s">
        <v>516</v>
      </c>
      <c r="D379" s="176" t="s">
        <v>517</v>
      </c>
      <c r="E379" s="177" t="s">
        <v>2141</v>
      </c>
      <c r="F379" s="175">
        <f t="shared" si="11"/>
        <v>12</v>
      </c>
      <c r="G379" s="175" t="str">
        <f t="shared" si="12"/>
        <v>Louisville</v>
      </c>
      <c r="H379" s="175"/>
      <c r="I379" s="178" t="s">
        <v>653</v>
      </c>
      <c r="J379" s="27" t="s">
        <v>517</v>
      </c>
      <c r="K379" s="27">
        <v>1288</v>
      </c>
      <c r="L379" s="179">
        <v>4514</v>
      </c>
      <c r="M379" s="180" t="s">
        <v>654</v>
      </c>
      <c r="N379" s="181" t="s">
        <v>517</v>
      </c>
      <c r="O379" s="182" t="s">
        <v>655</v>
      </c>
    </row>
    <row r="380" spans="2:15">
      <c r="B380" s="174" t="s">
        <v>2109</v>
      </c>
      <c r="C380" s="175" t="s">
        <v>516</v>
      </c>
      <c r="D380" s="176" t="s">
        <v>517</v>
      </c>
      <c r="E380" s="177" t="s">
        <v>2110</v>
      </c>
      <c r="F380" s="175">
        <f t="shared" si="11"/>
        <v>11</v>
      </c>
      <c r="G380" s="175" t="str">
        <f t="shared" si="12"/>
        <v>Lexington</v>
      </c>
      <c r="H380" s="175"/>
      <c r="I380" s="178" t="s">
        <v>1514</v>
      </c>
      <c r="J380" s="27" t="s">
        <v>517</v>
      </c>
      <c r="K380" s="27">
        <v>1140</v>
      </c>
      <c r="L380" s="179">
        <v>4783</v>
      </c>
      <c r="M380" s="180" t="s">
        <v>1515</v>
      </c>
      <c r="N380" s="181" t="s">
        <v>517</v>
      </c>
      <c r="O380" s="182" t="s">
        <v>1516</v>
      </c>
    </row>
    <row r="381" spans="2:15">
      <c r="B381" s="174" t="s">
        <v>2111</v>
      </c>
      <c r="C381" s="175" t="s">
        <v>516</v>
      </c>
      <c r="D381" s="176" t="s">
        <v>517</v>
      </c>
      <c r="E381" s="177" t="s">
        <v>2110</v>
      </c>
      <c r="F381" s="175">
        <f t="shared" si="11"/>
        <v>11</v>
      </c>
      <c r="G381" s="175" t="str">
        <f t="shared" si="12"/>
        <v>Lexington</v>
      </c>
      <c r="H381" s="175"/>
      <c r="I381" s="178" t="s">
        <v>1514</v>
      </c>
      <c r="J381" s="27" t="s">
        <v>517</v>
      </c>
      <c r="K381" s="27">
        <v>1140</v>
      </c>
      <c r="L381" s="179">
        <v>4783</v>
      </c>
      <c r="M381" s="180" t="s">
        <v>1515</v>
      </c>
      <c r="N381" s="181" t="s">
        <v>517</v>
      </c>
      <c r="O381" s="182" t="s">
        <v>1516</v>
      </c>
    </row>
    <row r="382" spans="2:15">
      <c r="B382" s="174" t="s">
        <v>2112</v>
      </c>
      <c r="C382" s="175" t="s">
        <v>516</v>
      </c>
      <c r="D382" s="176" t="s">
        <v>517</v>
      </c>
      <c r="E382" s="177" t="s">
        <v>2110</v>
      </c>
      <c r="F382" s="175">
        <f t="shared" si="11"/>
        <v>11</v>
      </c>
      <c r="G382" s="175" t="str">
        <f t="shared" si="12"/>
        <v>Lexington</v>
      </c>
      <c r="H382" s="175"/>
      <c r="I382" s="178" t="s">
        <v>1514</v>
      </c>
      <c r="J382" s="27" t="s">
        <v>517</v>
      </c>
      <c r="K382" s="27">
        <v>1140</v>
      </c>
      <c r="L382" s="179">
        <v>4783</v>
      </c>
      <c r="M382" s="180" t="s">
        <v>1515</v>
      </c>
      <c r="N382" s="181" t="s">
        <v>517</v>
      </c>
      <c r="O382" s="182" t="s">
        <v>1516</v>
      </c>
    </row>
    <row r="383" spans="2:15">
      <c r="B383" s="174" t="s">
        <v>1970</v>
      </c>
      <c r="C383" s="175" t="s">
        <v>516</v>
      </c>
      <c r="D383" s="176" t="s">
        <v>517</v>
      </c>
      <c r="E383" s="177" t="s">
        <v>1971</v>
      </c>
      <c r="F383" s="175">
        <f t="shared" si="11"/>
        <v>11</v>
      </c>
      <c r="G383" s="175" t="str">
        <f t="shared" si="12"/>
        <v>Frankfort</v>
      </c>
      <c r="H383" s="175"/>
      <c r="I383" s="178" t="s">
        <v>1514</v>
      </c>
      <c r="J383" s="27" t="s">
        <v>517</v>
      </c>
      <c r="K383" s="27">
        <v>1140</v>
      </c>
      <c r="L383" s="179">
        <v>4783</v>
      </c>
      <c r="M383" s="180" t="s">
        <v>1515</v>
      </c>
      <c r="N383" s="181" t="s">
        <v>517</v>
      </c>
      <c r="O383" s="182" t="s">
        <v>1516</v>
      </c>
    </row>
    <row r="384" spans="2:15">
      <c r="B384" s="174" t="s">
        <v>1646</v>
      </c>
      <c r="C384" s="175" t="s">
        <v>516</v>
      </c>
      <c r="D384" s="176" t="s">
        <v>517</v>
      </c>
      <c r="E384" s="177" t="s">
        <v>1647</v>
      </c>
      <c r="F384" s="175">
        <f t="shared" si="11"/>
        <v>8</v>
      </c>
      <c r="G384" s="175" t="str">
        <f t="shared" si="12"/>
        <v>Corbin</v>
      </c>
      <c r="H384" s="175"/>
      <c r="I384" s="178" t="s">
        <v>475</v>
      </c>
      <c r="J384" s="27" t="s">
        <v>476</v>
      </c>
      <c r="K384" s="27">
        <v>1266</v>
      </c>
      <c r="L384" s="179">
        <v>3937</v>
      </c>
      <c r="M384" s="180" t="s">
        <v>477</v>
      </c>
      <c r="N384" s="181" t="s">
        <v>476</v>
      </c>
      <c r="O384" s="182" t="s">
        <v>478</v>
      </c>
    </row>
    <row r="385" spans="2:15">
      <c r="B385" s="174" t="s">
        <v>1592</v>
      </c>
      <c r="C385" s="175" t="s">
        <v>516</v>
      </c>
      <c r="D385" s="176" t="s">
        <v>517</v>
      </c>
      <c r="E385" s="177" t="s">
        <v>1593</v>
      </c>
      <c r="F385" s="175">
        <f t="shared" si="11"/>
        <v>8</v>
      </c>
      <c r="G385" s="175" t="str">
        <f t="shared" si="12"/>
        <v>Baxter</v>
      </c>
      <c r="H385" s="175"/>
      <c r="I385" s="178" t="s">
        <v>510</v>
      </c>
      <c r="J385" s="27" t="s">
        <v>476</v>
      </c>
      <c r="K385" s="27">
        <v>972</v>
      </c>
      <c r="L385" s="179">
        <v>4406</v>
      </c>
      <c r="M385" s="180" t="s">
        <v>477</v>
      </c>
      <c r="N385" s="181" t="s">
        <v>476</v>
      </c>
      <c r="O385" s="182" t="s">
        <v>478</v>
      </c>
    </row>
    <row r="386" spans="2:15">
      <c r="B386" s="174" t="s">
        <v>153</v>
      </c>
      <c r="C386" s="175" t="s">
        <v>516</v>
      </c>
      <c r="D386" s="176" t="s">
        <v>517</v>
      </c>
      <c r="E386" s="177" t="s">
        <v>154</v>
      </c>
      <c r="F386" s="175">
        <f t="shared" si="11"/>
        <v>13</v>
      </c>
      <c r="G386" s="175" t="str">
        <f t="shared" si="12"/>
        <v>Middlesboro</v>
      </c>
      <c r="H386" s="175"/>
      <c r="I386" s="178" t="s">
        <v>510</v>
      </c>
      <c r="J386" s="27" t="s">
        <v>476</v>
      </c>
      <c r="K386" s="27">
        <v>972</v>
      </c>
      <c r="L386" s="179">
        <v>4406</v>
      </c>
      <c r="M386" s="180" t="s">
        <v>477</v>
      </c>
      <c r="N386" s="181" t="s">
        <v>476</v>
      </c>
      <c r="O386" s="182" t="s">
        <v>478</v>
      </c>
    </row>
    <row r="387" spans="2:15">
      <c r="B387" s="174" t="s">
        <v>1117</v>
      </c>
      <c r="C387" s="175" t="s">
        <v>516</v>
      </c>
      <c r="D387" s="176" t="s">
        <v>517</v>
      </c>
      <c r="E387" s="177" t="s">
        <v>142</v>
      </c>
      <c r="F387" s="175">
        <f t="shared" si="11"/>
        <v>9</v>
      </c>
      <c r="G387" s="175" t="str">
        <f t="shared" si="12"/>
        <v>Newport</v>
      </c>
      <c r="H387" s="175"/>
      <c r="I387" s="178" t="s">
        <v>2374</v>
      </c>
      <c r="J387" s="27" t="s">
        <v>517</v>
      </c>
      <c r="K387" s="27">
        <v>996</v>
      </c>
      <c r="L387" s="179">
        <v>5248</v>
      </c>
      <c r="M387" s="180" t="s">
        <v>2375</v>
      </c>
      <c r="N387" s="181" t="s">
        <v>386</v>
      </c>
      <c r="O387" s="182" t="s">
        <v>2376</v>
      </c>
    </row>
    <row r="388" spans="2:15">
      <c r="B388" s="174" t="s">
        <v>515</v>
      </c>
      <c r="C388" s="175" t="s">
        <v>516</v>
      </c>
      <c r="D388" s="176" t="s">
        <v>517</v>
      </c>
      <c r="E388" s="177" t="s">
        <v>518</v>
      </c>
      <c r="F388" s="175">
        <f t="shared" si="11"/>
        <v>9</v>
      </c>
      <c r="G388" s="175" t="str">
        <f t="shared" si="12"/>
        <v>Ashland</v>
      </c>
      <c r="H388" s="175"/>
      <c r="I388" s="178" t="s">
        <v>1514</v>
      </c>
      <c r="J388" s="27" t="s">
        <v>517</v>
      </c>
      <c r="K388" s="27">
        <v>1140</v>
      </c>
      <c r="L388" s="179">
        <v>4783</v>
      </c>
      <c r="M388" s="180" t="s">
        <v>1515</v>
      </c>
      <c r="N388" s="181" t="s">
        <v>517</v>
      </c>
      <c r="O388" s="182" t="s">
        <v>1516</v>
      </c>
    </row>
    <row r="389" spans="2:15">
      <c r="B389" s="174" t="s">
        <v>1517</v>
      </c>
      <c r="C389" s="175" t="s">
        <v>516</v>
      </c>
      <c r="D389" s="176" t="s">
        <v>517</v>
      </c>
      <c r="E389" s="177" t="s">
        <v>518</v>
      </c>
      <c r="F389" s="175">
        <f t="shared" si="11"/>
        <v>9</v>
      </c>
      <c r="G389" s="175" t="str">
        <f t="shared" si="12"/>
        <v>Ashland</v>
      </c>
      <c r="H389" s="175"/>
      <c r="I389" s="178" t="s">
        <v>1518</v>
      </c>
      <c r="J389" s="27" t="s">
        <v>1519</v>
      </c>
      <c r="K389" s="27">
        <v>1005</v>
      </c>
      <c r="L389" s="179">
        <v>4665</v>
      </c>
      <c r="M389" s="180" t="s">
        <v>1520</v>
      </c>
      <c r="N389" s="181" t="s">
        <v>1519</v>
      </c>
      <c r="O389" s="182" t="s">
        <v>1521</v>
      </c>
    </row>
    <row r="390" spans="2:15">
      <c r="B390" s="174" t="s">
        <v>1356</v>
      </c>
      <c r="C390" s="175" t="s">
        <v>516</v>
      </c>
      <c r="D390" s="176" t="s">
        <v>517</v>
      </c>
      <c r="E390" s="177" t="s">
        <v>1357</v>
      </c>
      <c r="F390" s="175">
        <f t="shared" si="11"/>
        <v>9</v>
      </c>
      <c r="G390" s="175" t="str">
        <f t="shared" si="12"/>
        <v>Campton</v>
      </c>
      <c r="H390" s="175"/>
      <c r="I390" s="178" t="s">
        <v>1358</v>
      </c>
      <c r="J390" s="27" t="s">
        <v>517</v>
      </c>
      <c r="K390" s="27">
        <v>1033</v>
      </c>
      <c r="L390" s="179">
        <v>4393</v>
      </c>
      <c r="M390" s="180" t="s">
        <v>1515</v>
      </c>
      <c r="N390" s="181" t="s">
        <v>517</v>
      </c>
      <c r="O390" s="182" t="s">
        <v>1516</v>
      </c>
    </row>
    <row r="391" spans="2:15">
      <c r="B391" s="174" t="s">
        <v>1359</v>
      </c>
      <c r="C391" s="175" t="s">
        <v>516</v>
      </c>
      <c r="D391" s="176" t="s">
        <v>517</v>
      </c>
      <c r="E391" s="177" t="s">
        <v>1357</v>
      </c>
      <c r="F391" s="175">
        <f t="shared" si="11"/>
        <v>9</v>
      </c>
      <c r="G391" s="175" t="str">
        <f t="shared" si="12"/>
        <v>Campton</v>
      </c>
      <c r="H391" s="175"/>
      <c r="I391" s="178" t="s">
        <v>1514</v>
      </c>
      <c r="J391" s="27" t="s">
        <v>517</v>
      </c>
      <c r="K391" s="27">
        <v>1140</v>
      </c>
      <c r="L391" s="179">
        <v>4783</v>
      </c>
      <c r="M391" s="180" t="s">
        <v>1515</v>
      </c>
      <c r="N391" s="181" t="s">
        <v>517</v>
      </c>
      <c r="O391" s="182" t="s">
        <v>1516</v>
      </c>
    </row>
    <row r="392" spans="2:15">
      <c r="B392" s="174" t="s">
        <v>2421</v>
      </c>
      <c r="C392" s="175" t="s">
        <v>516</v>
      </c>
      <c r="D392" s="176" t="s">
        <v>517</v>
      </c>
      <c r="E392" s="177" t="s">
        <v>2422</v>
      </c>
      <c r="F392" s="175">
        <f t="shared" si="11"/>
        <v>11</v>
      </c>
      <c r="G392" s="175" t="str">
        <f t="shared" si="12"/>
        <v>Pikeville</v>
      </c>
      <c r="H392" s="175"/>
      <c r="I392" s="178" t="s">
        <v>1308</v>
      </c>
      <c r="J392" s="27" t="s">
        <v>1519</v>
      </c>
      <c r="K392" s="27">
        <v>1031</v>
      </c>
      <c r="L392" s="179">
        <v>4646</v>
      </c>
      <c r="M392" s="180" t="s">
        <v>1520</v>
      </c>
      <c r="N392" s="181" t="s">
        <v>1519</v>
      </c>
      <c r="O392" s="182" t="s">
        <v>1521</v>
      </c>
    </row>
    <row r="393" spans="2:15">
      <c r="B393" s="174" t="s">
        <v>2423</v>
      </c>
      <c r="C393" s="175" t="s">
        <v>516</v>
      </c>
      <c r="D393" s="176" t="s">
        <v>517</v>
      </c>
      <c r="E393" s="177" t="s">
        <v>2422</v>
      </c>
      <c r="F393" s="175">
        <f t="shared" si="11"/>
        <v>11</v>
      </c>
      <c r="G393" s="175" t="str">
        <f t="shared" si="12"/>
        <v>Pikeville</v>
      </c>
      <c r="H393" s="175"/>
      <c r="I393" s="178" t="s">
        <v>1518</v>
      </c>
      <c r="J393" s="27" t="s">
        <v>1519</v>
      </c>
      <c r="K393" s="27">
        <v>1005</v>
      </c>
      <c r="L393" s="179">
        <v>4665</v>
      </c>
      <c r="M393" s="180" t="s">
        <v>1520</v>
      </c>
      <c r="N393" s="181" t="s">
        <v>1519</v>
      </c>
      <c r="O393" s="182" t="s">
        <v>1521</v>
      </c>
    </row>
    <row r="394" spans="2:15">
      <c r="B394" s="174" t="s">
        <v>759</v>
      </c>
      <c r="C394" s="175" t="s">
        <v>516</v>
      </c>
      <c r="D394" s="176" t="s">
        <v>517</v>
      </c>
      <c r="E394" s="177" t="s">
        <v>760</v>
      </c>
      <c r="F394" s="175">
        <f t="shared" ref="F394:F457" si="13">LEN(E394)</f>
        <v>8</v>
      </c>
      <c r="G394" s="175" t="str">
        <f t="shared" ref="G394:G457" si="14">MID(E394,2,F394-2)</f>
        <v>Hazard</v>
      </c>
      <c r="H394" s="175"/>
      <c r="I394" s="178" t="s">
        <v>1518</v>
      </c>
      <c r="J394" s="27" t="s">
        <v>1519</v>
      </c>
      <c r="K394" s="27">
        <v>1005</v>
      </c>
      <c r="L394" s="179">
        <v>4665</v>
      </c>
      <c r="M394" s="180" t="s">
        <v>1520</v>
      </c>
      <c r="N394" s="181" t="s">
        <v>1519</v>
      </c>
      <c r="O394" s="182" t="s">
        <v>1521</v>
      </c>
    </row>
    <row r="395" spans="2:15">
      <c r="B395" s="174" t="s">
        <v>761</v>
      </c>
      <c r="C395" s="175" t="s">
        <v>516</v>
      </c>
      <c r="D395" s="176" t="s">
        <v>517</v>
      </c>
      <c r="E395" s="177" t="s">
        <v>760</v>
      </c>
      <c r="F395" s="175">
        <f t="shared" si="13"/>
        <v>8</v>
      </c>
      <c r="G395" s="175" t="str">
        <f t="shared" si="14"/>
        <v>Hazard</v>
      </c>
      <c r="H395" s="175"/>
      <c r="I395" s="178" t="s">
        <v>1518</v>
      </c>
      <c r="J395" s="27" t="s">
        <v>1519</v>
      </c>
      <c r="K395" s="27">
        <v>1005</v>
      </c>
      <c r="L395" s="179">
        <v>4665</v>
      </c>
      <c r="M395" s="180" t="s">
        <v>1520</v>
      </c>
      <c r="N395" s="181" t="s">
        <v>1519</v>
      </c>
      <c r="O395" s="182" t="s">
        <v>1521</v>
      </c>
    </row>
    <row r="396" spans="2:15">
      <c r="B396" s="174" t="s">
        <v>1465</v>
      </c>
      <c r="C396" s="175" t="s">
        <v>516</v>
      </c>
      <c r="D396" s="176" t="s">
        <v>517</v>
      </c>
      <c r="E396" s="177" t="s">
        <v>1466</v>
      </c>
      <c r="F396" s="175">
        <f t="shared" si="13"/>
        <v>9</v>
      </c>
      <c r="G396" s="175" t="str">
        <f t="shared" si="14"/>
        <v>Paducah</v>
      </c>
      <c r="H396" s="175"/>
      <c r="I396" s="178" t="s">
        <v>1467</v>
      </c>
      <c r="J396" s="27" t="s">
        <v>517</v>
      </c>
      <c r="K396" s="27">
        <v>1475</v>
      </c>
      <c r="L396" s="179">
        <v>4279</v>
      </c>
      <c r="M396" s="180" t="s">
        <v>1468</v>
      </c>
      <c r="N396" s="181" t="s">
        <v>517</v>
      </c>
      <c r="O396" s="182" t="s">
        <v>2291</v>
      </c>
    </row>
    <row r="397" spans="2:15">
      <c r="B397" s="174" t="s">
        <v>651</v>
      </c>
      <c r="C397" s="175" t="s">
        <v>516</v>
      </c>
      <c r="D397" s="176" t="s">
        <v>517</v>
      </c>
      <c r="E397" s="177" t="s">
        <v>652</v>
      </c>
      <c r="F397" s="175">
        <f t="shared" si="13"/>
        <v>15</v>
      </c>
      <c r="G397" s="175" t="str">
        <f t="shared" si="14"/>
        <v>Bowling Green</v>
      </c>
      <c r="H397" s="175"/>
      <c r="I397" s="178" t="s">
        <v>653</v>
      </c>
      <c r="J397" s="27" t="s">
        <v>517</v>
      </c>
      <c r="K397" s="27">
        <v>1288</v>
      </c>
      <c r="L397" s="179">
        <v>4514</v>
      </c>
      <c r="M397" s="180" t="s">
        <v>654</v>
      </c>
      <c r="N397" s="181" t="s">
        <v>517</v>
      </c>
      <c r="O397" s="182" t="s">
        <v>655</v>
      </c>
    </row>
    <row r="398" spans="2:15">
      <c r="B398" s="174" t="s">
        <v>324</v>
      </c>
      <c r="C398" s="175" t="s">
        <v>516</v>
      </c>
      <c r="D398" s="176" t="s">
        <v>517</v>
      </c>
      <c r="E398" s="177" t="s">
        <v>323</v>
      </c>
      <c r="F398" s="175">
        <f t="shared" si="13"/>
        <v>14</v>
      </c>
      <c r="G398" s="175" t="str">
        <f t="shared" si="14"/>
        <v>Russellville</v>
      </c>
      <c r="H398" s="175"/>
      <c r="I398" s="178" t="s">
        <v>653</v>
      </c>
      <c r="J398" s="27" t="s">
        <v>517</v>
      </c>
      <c r="K398" s="27">
        <v>1288</v>
      </c>
      <c r="L398" s="179">
        <v>4514</v>
      </c>
      <c r="M398" s="180" t="s">
        <v>654</v>
      </c>
      <c r="N398" s="181" t="s">
        <v>517</v>
      </c>
      <c r="O398" s="182" t="s">
        <v>655</v>
      </c>
    </row>
    <row r="399" spans="2:15">
      <c r="B399" s="174" t="s">
        <v>1461</v>
      </c>
      <c r="C399" s="175" t="s">
        <v>516</v>
      </c>
      <c r="D399" s="176" t="s">
        <v>517</v>
      </c>
      <c r="E399" s="177" t="s">
        <v>1462</v>
      </c>
      <c r="F399" s="175">
        <f t="shared" si="13"/>
        <v>11</v>
      </c>
      <c r="G399" s="175" t="str">
        <f t="shared" si="14"/>
        <v>Owensboro</v>
      </c>
      <c r="H399" s="175"/>
      <c r="I399" s="178" t="s">
        <v>1512</v>
      </c>
      <c r="J399" s="27" t="s">
        <v>476</v>
      </c>
      <c r="K399" s="27">
        <v>1616</v>
      </c>
      <c r="L399" s="179">
        <v>3729</v>
      </c>
      <c r="M399" s="180" t="s">
        <v>1513</v>
      </c>
      <c r="N399" s="181" t="s">
        <v>476</v>
      </c>
      <c r="O399" s="182" t="s">
        <v>614</v>
      </c>
    </row>
    <row r="400" spans="2:15">
      <c r="B400" s="174" t="s">
        <v>768</v>
      </c>
      <c r="C400" s="175" t="s">
        <v>516</v>
      </c>
      <c r="D400" s="176" t="s">
        <v>517</v>
      </c>
      <c r="E400" s="177" t="s">
        <v>769</v>
      </c>
      <c r="F400" s="175">
        <f t="shared" si="13"/>
        <v>11</v>
      </c>
      <c r="G400" s="175" t="str">
        <f t="shared" si="14"/>
        <v>Henderson</v>
      </c>
      <c r="H400" s="175"/>
      <c r="I400" s="178" t="s">
        <v>1374</v>
      </c>
      <c r="J400" s="27" t="s">
        <v>2270</v>
      </c>
      <c r="K400" s="27">
        <v>1376</v>
      </c>
      <c r="L400" s="179">
        <v>4708</v>
      </c>
      <c r="M400" s="178" t="s">
        <v>1375</v>
      </c>
      <c r="N400" s="27" t="s">
        <v>2270</v>
      </c>
      <c r="O400" s="182" t="s">
        <v>1376</v>
      </c>
    </row>
    <row r="401" spans="2:15">
      <c r="B401" s="174" t="s">
        <v>2245</v>
      </c>
      <c r="C401" s="175" t="s">
        <v>516</v>
      </c>
      <c r="D401" s="176" t="s">
        <v>517</v>
      </c>
      <c r="E401" s="177" t="s">
        <v>2246</v>
      </c>
      <c r="F401" s="175">
        <f t="shared" si="13"/>
        <v>10</v>
      </c>
      <c r="G401" s="175" t="str">
        <f t="shared" si="14"/>
        <v>Somerset</v>
      </c>
      <c r="H401" s="175"/>
      <c r="I401" s="178" t="s">
        <v>1514</v>
      </c>
      <c r="J401" s="27" t="s">
        <v>517</v>
      </c>
      <c r="K401" s="27">
        <v>1140</v>
      </c>
      <c r="L401" s="179">
        <v>4783</v>
      </c>
      <c r="M401" s="180" t="s">
        <v>1515</v>
      </c>
      <c r="N401" s="181" t="s">
        <v>517</v>
      </c>
      <c r="O401" s="182" t="s">
        <v>1516</v>
      </c>
    </row>
    <row r="402" spans="2:15">
      <c r="B402" s="174" t="s">
        <v>2247</v>
      </c>
      <c r="C402" s="175" t="s">
        <v>516</v>
      </c>
      <c r="D402" s="176" t="s">
        <v>517</v>
      </c>
      <c r="E402" s="177" t="s">
        <v>2246</v>
      </c>
      <c r="F402" s="175">
        <f t="shared" si="13"/>
        <v>10</v>
      </c>
      <c r="G402" s="175" t="str">
        <f t="shared" si="14"/>
        <v>Somerset</v>
      </c>
      <c r="H402" s="175"/>
      <c r="I402" s="178" t="s">
        <v>1514</v>
      </c>
      <c r="J402" s="27" t="s">
        <v>517</v>
      </c>
      <c r="K402" s="27">
        <v>1140</v>
      </c>
      <c r="L402" s="179">
        <v>4783</v>
      </c>
      <c r="M402" s="180" t="s">
        <v>1515</v>
      </c>
      <c r="N402" s="181" t="s">
        <v>517</v>
      </c>
      <c r="O402" s="182" t="s">
        <v>1516</v>
      </c>
    </row>
    <row r="403" spans="2:15">
      <c r="B403" s="174" t="s">
        <v>64</v>
      </c>
      <c r="C403" s="175" t="s">
        <v>516</v>
      </c>
      <c r="D403" s="176" t="s">
        <v>517</v>
      </c>
      <c r="E403" s="177" t="s">
        <v>65</v>
      </c>
      <c r="F403" s="175">
        <f t="shared" si="13"/>
        <v>15</v>
      </c>
      <c r="G403" s="175" t="str">
        <f t="shared" si="14"/>
        <v>Elizabethtown</v>
      </c>
      <c r="H403" s="175"/>
      <c r="I403" s="178" t="s">
        <v>1512</v>
      </c>
      <c r="J403" s="27" t="s">
        <v>476</v>
      </c>
      <c r="K403" s="27">
        <v>1616</v>
      </c>
      <c r="L403" s="179">
        <v>3729</v>
      </c>
      <c r="M403" s="180" t="s">
        <v>1513</v>
      </c>
      <c r="N403" s="181" t="s">
        <v>476</v>
      </c>
      <c r="O403" s="182" t="s">
        <v>614</v>
      </c>
    </row>
    <row r="404" spans="2:15">
      <c r="B404" s="174" t="s">
        <v>626</v>
      </c>
      <c r="C404" s="175" t="s">
        <v>385</v>
      </c>
      <c r="D404" s="176" t="s">
        <v>386</v>
      </c>
      <c r="E404" s="177" t="s">
        <v>616</v>
      </c>
      <c r="F404" s="175">
        <f t="shared" si="13"/>
        <v>10</v>
      </c>
      <c r="G404" s="175" t="str">
        <f t="shared" si="14"/>
        <v>Columbus</v>
      </c>
      <c r="H404" s="175"/>
      <c r="I404" s="178" t="s">
        <v>1528</v>
      </c>
      <c r="J404" s="27" t="s">
        <v>386</v>
      </c>
      <c r="K404" s="27">
        <v>797</v>
      </c>
      <c r="L404" s="179">
        <v>5708</v>
      </c>
      <c r="M404" s="180" t="s">
        <v>404</v>
      </c>
      <c r="N404" s="181" t="s">
        <v>386</v>
      </c>
      <c r="O404" s="182" t="s">
        <v>1529</v>
      </c>
    </row>
    <row r="405" spans="2:15">
      <c r="B405" s="174" t="s">
        <v>627</v>
      </c>
      <c r="C405" s="175" t="s">
        <v>385</v>
      </c>
      <c r="D405" s="176" t="s">
        <v>386</v>
      </c>
      <c r="E405" s="177" t="s">
        <v>616</v>
      </c>
      <c r="F405" s="175">
        <f t="shared" si="13"/>
        <v>10</v>
      </c>
      <c r="G405" s="175" t="str">
        <f t="shared" si="14"/>
        <v>Columbus</v>
      </c>
      <c r="H405" s="175"/>
      <c r="I405" s="178" t="s">
        <v>1528</v>
      </c>
      <c r="J405" s="27" t="s">
        <v>386</v>
      </c>
      <c r="K405" s="27">
        <v>797</v>
      </c>
      <c r="L405" s="179">
        <v>5708</v>
      </c>
      <c r="M405" s="180" t="s">
        <v>404</v>
      </c>
      <c r="N405" s="181" t="s">
        <v>386</v>
      </c>
      <c r="O405" s="182" t="s">
        <v>1529</v>
      </c>
    </row>
    <row r="406" spans="2:15">
      <c r="B406" s="174" t="s">
        <v>628</v>
      </c>
      <c r="C406" s="175" t="s">
        <v>385</v>
      </c>
      <c r="D406" s="176" t="s">
        <v>386</v>
      </c>
      <c r="E406" s="177" t="s">
        <v>616</v>
      </c>
      <c r="F406" s="175">
        <f t="shared" si="13"/>
        <v>10</v>
      </c>
      <c r="G406" s="175" t="str">
        <f t="shared" si="14"/>
        <v>Columbus</v>
      </c>
      <c r="H406" s="175"/>
      <c r="I406" s="178" t="s">
        <v>1528</v>
      </c>
      <c r="J406" s="27" t="s">
        <v>386</v>
      </c>
      <c r="K406" s="27">
        <v>797</v>
      </c>
      <c r="L406" s="179">
        <v>5708</v>
      </c>
      <c r="M406" s="180" t="s">
        <v>404</v>
      </c>
      <c r="N406" s="181" t="s">
        <v>386</v>
      </c>
      <c r="O406" s="182" t="s">
        <v>1529</v>
      </c>
    </row>
    <row r="407" spans="2:15">
      <c r="B407" s="174" t="s">
        <v>1143</v>
      </c>
      <c r="C407" s="175" t="s">
        <v>385</v>
      </c>
      <c r="D407" s="176" t="s">
        <v>386</v>
      </c>
      <c r="E407" s="177" t="s">
        <v>1144</v>
      </c>
      <c r="F407" s="175">
        <f t="shared" si="13"/>
        <v>8</v>
      </c>
      <c r="G407" s="175" t="str">
        <f t="shared" si="14"/>
        <v>Marion</v>
      </c>
      <c r="H407" s="175"/>
      <c r="I407" s="178" t="s">
        <v>1683</v>
      </c>
      <c r="J407" s="27" t="s">
        <v>386</v>
      </c>
      <c r="K407" s="27">
        <v>886</v>
      </c>
      <c r="L407" s="179">
        <v>5708</v>
      </c>
      <c r="M407" s="180" t="s">
        <v>1680</v>
      </c>
      <c r="N407" s="181" t="s">
        <v>386</v>
      </c>
      <c r="O407" s="182" t="s">
        <v>1681</v>
      </c>
    </row>
    <row r="408" spans="2:15">
      <c r="B408" s="174" t="s">
        <v>656</v>
      </c>
      <c r="C408" s="175" t="s">
        <v>385</v>
      </c>
      <c r="D408" s="176" t="s">
        <v>386</v>
      </c>
      <c r="E408" s="177" t="s">
        <v>652</v>
      </c>
      <c r="F408" s="175">
        <f t="shared" si="13"/>
        <v>15</v>
      </c>
      <c r="G408" s="175" t="str">
        <f t="shared" si="14"/>
        <v>Bowling Green</v>
      </c>
      <c r="H408" s="175"/>
      <c r="I408" s="178" t="s">
        <v>657</v>
      </c>
      <c r="J408" s="27" t="s">
        <v>386</v>
      </c>
      <c r="K408" s="27">
        <v>610</v>
      </c>
      <c r="L408" s="179">
        <v>6579</v>
      </c>
      <c r="M408" s="180" t="s">
        <v>658</v>
      </c>
      <c r="N408" s="181" t="s">
        <v>386</v>
      </c>
      <c r="O408" s="182" t="s">
        <v>659</v>
      </c>
    </row>
    <row r="409" spans="2:15">
      <c r="B409" s="174" t="s">
        <v>1084</v>
      </c>
      <c r="C409" s="175" t="s">
        <v>385</v>
      </c>
      <c r="D409" s="176" t="s">
        <v>386</v>
      </c>
      <c r="E409" s="177" t="s">
        <v>1085</v>
      </c>
      <c r="F409" s="175">
        <f t="shared" si="13"/>
        <v>10</v>
      </c>
      <c r="G409" s="175" t="str">
        <f t="shared" si="14"/>
        <v>Napoleon</v>
      </c>
      <c r="H409" s="175"/>
      <c r="I409" s="178" t="s">
        <v>1964</v>
      </c>
      <c r="J409" s="27" t="s">
        <v>2270</v>
      </c>
      <c r="K409" s="27">
        <v>824</v>
      </c>
      <c r="L409" s="179">
        <v>6273</v>
      </c>
      <c r="M409" s="178" t="s">
        <v>1961</v>
      </c>
      <c r="N409" s="27" t="s">
        <v>2270</v>
      </c>
      <c r="O409" s="182" t="s">
        <v>1962</v>
      </c>
    </row>
    <row r="410" spans="2:15">
      <c r="B410" s="174" t="s">
        <v>859</v>
      </c>
      <c r="C410" s="175" t="s">
        <v>385</v>
      </c>
      <c r="D410" s="176" t="s">
        <v>386</v>
      </c>
      <c r="E410" s="177" t="s">
        <v>860</v>
      </c>
      <c r="F410" s="175">
        <f t="shared" si="13"/>
        <v>8</v>
      </c>
      <c r="G410" s="175" t="str">
        <f t="shared" si="14"/>
        <v>Toledo</v>
      </c>
      <c r="H410" s="175"/>
      <c r="I410" s="178" t="s">
        <v>657</v>
      </c>
      <c r="J410" s="27" t="s">
        <v>386</v>
      </c>
      <c r="K410" s="27">
        <v>610</v>
      </c>
      <c r="L410" s="179">
        <v>6579</v>
      </c>
      <c r="M410" s="180" t="s">
        <v>658</v>
      </c>
      <c r="N410" s="181" t="s">
        <v>386</v>
      </c>
      <c r="O410" s="182" t="s">
        <v>659</v>
      </c>
    </row>
    <row r="411" spans="2:15">
      <c r="B411" s="174" t="s">
        <v>1864</v>
      </c>
      <c r="C411" s="175" t="s">
        <v>385</v>
      </c>
      <c r="D411" s="176" t="s">
        <v>386</v>
      </c>
      <c r="E411" s="177" t="s">
        <v>1865</v>
      </c>
      <c r="F411" s="175">
        <f t="shared" si="13"/>
        <v>12</v>
      </c>
      <c r="G411" s="175" t="str">
        <f t="shared" si="14"/>
        <v>Zanesville</v>
      </c>
      <c r="H411" s="175"/>
      <c r="I411" s="178" t="s">
        <v>455</v>
      </c>
      <c r="J411" s="27" t="s">
        <v>441</v>
      </c>
      <c r="K411" s="27">
        <v>654</v>
      </c>
      <c r="L411" s="179">
        <v>5968</v>
      </c>
      <c r="M411" s="180" t="s">
        <v>456</v>
      </c>
      <c r="N411" s="181" t="s">
        <v>441</v>
      </c>
      <c r="O411" s="182" t="s">
        <v>457</v>
      </c>
    </row>
    <row r="412" spans="2:15">
      <c r="B412" s="174" t="s">
        <v>1866</v>
      </c>
      <c r="C412" s="175" t="s">
        <v>385</v>
      </c>
      <c r="D412" s="176" t="s">
        <v>386</v>
      </c>
      <c r="E412" s="177" t="s">
        <v>1865</v>
      </c>
      <c r="F412" s="175">
        <f t="shared" si="13"/>
        <v>12</v>
      </c>
      <c r="G412" s="175" t="str">
        <f t="shared" si="14"/>
        <v>Zanesville</v>
      </c>
      <c r="H412" s="175"/>
      <c r="I412" s="178" t="s">
        <v>1528</v>
      </c>
      <c r="J412" s="27" t="s">
        <v>386</v>
      </c>
      <c r="K412" s="27">
        <v>797</v>
      </c>
      <c r="L412" s="179">
        <v>5708</v>
      </c>
      <c r="M412" s="180" t="s">
        <v>404</v>
      </c>
      <c r="N412" s="181" t="s">
        <v>386</v>
      </c>
      <c r="O412" s="182" t="s">
        <v>1529</v>
      </c>
    </row>
    <row r="413" spans="2:15">
      <c r="B413" s="174" t="s">
        <v>818</v>
      </c>
      <c r="C413" s="175" t="s">
        <v>385</v>
      </c>
      <c r="D413" s="176" t="s">
        <v>386</v>
      </c>
      <c r="E413" s="177" t="s">
        <v>819</v>
      </c>
      <c r="F413" s="175">
        <f t="shared" si="13"/>
        <v>14</v>
      </c>
      <c r="G413" s="175" t="str">
        <f t="shared" si="14"/>
        <v>Stuebenville</v>
      </c>
      <c r="H413" s="175"/>
      <c r="I413" s="178" t="s">
        <v>455</v>
      </c>
      <c r="J413" s="27" t="s">
        <v>441</v>
      </c>
      <c r="K413" s="27">
        <v>654</v>
      </c>
      <c r="L413" s="179">
        <v>5968</v>
      </c>
      <c r="M413" s="180" t="s">
        <v>456</v>
      </c>
      <c r="N413" s="181" t="s">
        <v>441</v>
      </c>
      <c r="O413" s="182" t="s">
        <v>457</v>
      </c>
    </row>
    <row r="414" spans="2:15">
      <c r="B414" s="174" t="s">
        <v>589</v>
      </c>
      <c r="C414" s="175" t="s">
        <v>385</v>
      </c>
      <c r="D414" s="176" t="s">
        <v>386</v>
      </c>
      <c r="E414" s="177" t="s">
        <v>590</v>
      </c>
      <c r="F414" s="175">
        <f t="shared" si="13"/>
        <v>11</v>
      </c>
      <c r="G414" s="175" t="str">
        <f t="shared" si="14"/>
        <v>Cleveland</v>
      </c>
      <c r="H414" s="175"/>
      <c r="I414" s="178" t="s">
        <v>591</v>
      </c>
      <c r="J414" s="27" t="s">
        <v>386</v>
      </c>
      <c r="K414" s="27">
        <v>621</v>
      </c>
      <c r="L414" s="179">
        <v>6201</v>
      </c>
      <c r="M414" s="178" t="s">
        <v>592</v>
      </c>
      <c r="N414" s="27" t="s">
        <v>386</v>
      </c>
      <c r="O414" s="182" t="s">
        <v>593</v>
      </c>
    </row>
    <row r="415" spans="2:15">
      <c r="B415" s="174" t="s">
        <v>594</v>
      </c>
      <c r="C415" s="175" t="s">
        <v>385</v>
      </c>
      <c r="D415" s="176" t="s">
        <v>386</v>
      </c>
      <c r="E415" s="177" t="s">
        <v>590</v>
      </c>
      <c r="F415" s="175">
        <f t="shared" si="13"/>
        <v>11</v>
      </c>
      <c r="G415" s="175" t="str">
        <f t="shared" si="14"/>
        <v>Cleveland</v>
      </c>
      <c r="H415" s="175"/>
      <c r="I415" s="178" t="s">
        <v>591</v>
      </c>
      <c r="J415" s="27" t="s">
        <v>386</v>
      </c>
      <c r="K415" s="27">
        <v>621</v>
      </c>
      <c r="L415" s="179">
        <v>6201</v>
      </c>
      <c r="M415" s="178" t="s">
        <v>592</v>
      </c>
      <c r="N415" s="27" t="s">
        <v>386</v>
      </c>
      <c r="O415" s="182" t="s">
        <v>593</v>
      </c>
    </row>
    <row r="416" spans="2:15">
      <c r="B416" s="174" t="s">
        <v>384</v>
      </c>
      <c r="C416" s="175" t="s">
        <v>385</v>
      </c>
      <c r="D416" s="176" t="s">
        <v>386</v>
      </c>
      <c r="E416" s="177" t="s">
        <v>387</v>
      </c>
      <c r="F416" s="175">
        <f t="shared" si="13"/>
        <v>7</v>
      </c>
      <c r="G416" s="175" t="str">
        <f t="shared" si="14"/>
        <v>Akron</v>
      </c>
      <c r="H416" s="175"/>
      <c r="I416" s="178" t="s">
        <v>388</v>
      </c>
      <c r="J416" s="27" t="s">
        <v>386</v>
      </c>
      <c r="K416" s="27">
        <v>625</v>
      </c>
      <c r="L416" s="179">
        <v>6160</v>
      </c>
      <c r="M416" s="180" t="s">
        <v>389</v>
      </c>
      <c r="N416" s="181" t="s">
        <v>386</v>
      </c>
      <c r="O416" s="182" t="s">
        <v>390</v>
      </c>
    </row>
    <row r="417" spans="2:15">
      <c r="B417" s="174" t="s">
        <v>391</v>
      </c>
      <c r="C417" s="175" t="s">
        <v>385</v>
      </c>
      <c r="D417" s="176" t="s">
        <v>386</v>
      </c>
      <c r="E417" s="177" t="s">
        <v>387</v>
      </c>
      <c r="F417" s="175">
        <f t="shared" si="13"/>
        <v>7</v>
      </c>
      <c r="G417" s="175" t="str">
        <f t="shared" si="14"/>
        <v>Akron</v>
      </c>
      <c r="H417" s="175"/>
      <c r="I417" s="178" t="s">
        <v>388</v>
      </c>
      <c r="J417" s="27" t="s">
        <v>386</v>
      </c>
      <c r="K417" s="27">
        <v>625</v>
      </c>
      <c r="L417" s="179">
        <v>6160</v>
      </c>
      <c r="M417" s="180" t="s">
        <v>389</v>
      </c>
      <c r="N417" s="181" t="s">
        <v>386</v>
      </c>
      <c r="O417" s="182" t="s">
        <v>390</v>
      </c>
    </row>
    <row r="418" spans="2:15">
      <c r="B418" s="174" t="s">
        <v>1861</v>
      </c>
      <c r="C418" s="175" t="s">
        <v>385</v>
      </c>
      <c r="D418" s="176" t="s">
        <v>386</v>
      </c>
      <c r="E418" s="177" t="s">
        <v>1862</v>
      </c>
      <c r="F418" s="175">
        <f t="shared" si="13"/>
        <v>12</v>
      </c>
      <c r="G418" s="175" t="str">
        <f t="shared" si="14"/>
        <v>Youngstown</v>
      </c>
      <c r="H418" s="175"/>
      <c r="I418" s="178" t="s">
        <v>1339</v>
      </c>
      <c r="J418" s="27" t="s">
        <v>386</v>
      </c>
      <c r="K418" s="27">
        <v>497</v>
      </c>
      <c r="L418" s="179">
        <v>6544</v>
      </c>
      <c r="M418" s="180" t="s">
        <v>1340</v>
      </c>
      <c r="N418" s="181" t="s">
        <v>386</v>
      </c>
      <c r="O418" s="182" t="s">
        <v>1341</v>
      </c>
    </row>
    <row r="419" spans="2:15">
      <c r="B419" s="174" t="s">
        <v>1863</v>
      </c>
      <c r="C419" s="175" t="s">
        <v>385</v>
      </c>
      <c r="D419" s="176" t="s">
        <v>386</v>
      </c>
      <c r="E419" s="177" t="s">
        <v>1862</v>
      </c>
      <c r="F419" s="175">
        <f t="shared" si="13"/>
        <v>12</v>
      </c>
      <c r="G419" s="175" t="str">
        <f t="shared" si="14"/>
        <v>Youngstown</v>
      </c>
      <c r="H419" s="175"/>
      <c r="I419" s="178" t="s">
        <v>1339</v>
      </c>
      <c r="J419" s="27" t="s">
        <v>386</v>
      </c>
      <c r="K419" s="27">
        <v>497</v>
      </c>
      <c r="L419" s="179">
        <v>6544</v>
      </c>
      <c r="M419" s="180" t="s">
        <v>1340</v>
      </c>
      <c r="N419" s="181" t="s">
        <v>386</v>
      </c>
      <c r="O419" s="182" t="s">
        <v>1341</v>
      </c>
    </row>
    <row r="420" spans="2:15">
      <c r="B420" s="174" t="s">
        <v>1362</v>
      </c>
      <c r="C420" s="175" t="s">
        <v>385</v>
      </c>
      <c r="D420" s="176" t="s">
        <v>386</v>
      </c>
      <c r="E420" s="177" t="s">
        <v>1363</v>
      </c>
      <c r="F420" s="175">
        <f t="shared" si="13"/>
        <v>8</v>
      </c>
      <c r="G420" s="175" t="str">
        <f t="shared" si="14"/>
        <v>Canton</v>
      </c>
      <c r="H420" s="175"/>
      <c r="I420" s="178" t="s">
        <v>388</v>
      </c>
      <c r="J420" s="27" t="s">
        <v>386</v>
      </c>
      <c r="K420" s="27">
        <v>625</v>
      </c>
      <c r="L420" s="179">
        <v>6160</v>
      </c>
      <c r="M420" s="180" t="s">
        <v>389</v>
      </c>
      <c r="N420" s="181" t="s">
        <v>386</v>
      </c>
      <c r="O420" s="182" t="s">
        <v>390</v>
      </c>
    </row>
    <row r="421" spans="2:15">
      <c r="B421" s="174" t="s">
        <v>1364</v>
      </c>
      <c r="C421" s="175" t="s">
        <v>385</v>
      </c>
      <c r="D421" s="176" t="s">
        <v>386</v>
      </c>
      <c r="E421" s="177" t="s">
        <v>1363</v>
      </c>
      <c r="F421" s="175">
        <f t="shared" si="13"/>
        <v>8</v>
      </c>
      <c r="G421" s="175" t="str">
        <f t="shared" si="14"/>
        <v>Canton</v>
      </c>
      <c r="H421" s="175"/>
      <c r="I421" s="178" t="s">
        <v>388</v>
      </c>
      <c r="J421" s="27" t="s">
        <v>386</v>
      </c>
      <c r="K421" s="27">
        <v>625</v>
      </c>
      <c r="L421" s="179">
        <v>6160</v>
      </c>
      <c r="M421" s="180" t="s">
        <v>389</v>
      </c>
      <c r="N421" s="181" t="s">
        <v>386</v>
      </c>
      <c r="O421" s="182" t="s">
        <v>390</v>
      </c>
    </row>
    <row r="422" spans="2:15">
      <c r="B422" s="174" t="s">
        <v>1139</v>
      </c>
      <c r="C422" s="175" t="s">
        <v>385</v>
      </c>
      <c r="D422" s="176" t="s">
        <v>386</v>
      </c>
      <c r="E422" s="177" t="s">
        <v>1140</v>
      </c>
      <c r="F422" s="175">
        <f t="shared" si="13"/>
        <v>11</v>
      </c>
      <c r="G422" s="175" t="str">
        <f t="shared" si="14"/>
        <v>Mansfield</v>
      </c>
      <c r="H422" s="175"/>
      <c r="I422" s="178" t="s">
        <v>1141</v>
      </c>
      <c r="J422" s="27" t="s">
        <v>386</v>
      </c>
      <c r="K422" s="27">
        <v>666</v>
      </c>
      <c r="L422" s="179">
        <v>6258</v>
      </c>
      <c r="M422" s="180" t="s">
        <v>389</v>
      </c>
      <c r="N422" s="181" t="s">
        <v>386</v>
      </c>
      <c r="O422" s="182" t="s">
        <v>390</v>
      </c>
    </row>
    <row r="423" spans="2:15">
      <c r="B423" s="174" t="s">
        <v>1142</v>
      </c>
      <c r="C423" s="175" t="s">
        <v>385</v>
      </c>
      <c r="D423" s="176" t="s">
        <v>386</v>
      </c>
      <c r="E423" s="177" t="s">
        <v>1140</v>
      </c>
      <c r="F423" s="175">
        <f t="shared" si="13"/>
        <v>11</v>
      </c>
      <c r="G423" s="175" t="str">
        <f t="shared" si="14"/>
        <v>Mansfield</v>
      </c>
      <c r="H423" s="175"/>
      <c r="I423" s="178" t="s">
        <v>1141</v>
      </c>
      <c r="J423" s="27" t="s">
        <v>386</v>
      </c>
      <c r="K423" s="27">
        <v>666</v>
      </c>
      <c r="L423" s="179">
        <v>6258</v>
      </c>
      <c r="M423" s="180" t="s">
        <v>389</v>
      </c>
      <c r="N423" s="181" t="s">
        <v>386</v>
      </c>
      <c r="O423" s="182" t="s">
        <v>390</v>
      </c>
    </row>
    <row r="424" spans="2:15">
      <c r="B424" s="174" t="s">
        <v>2377</v>
      </c>
      <c r="C424" s="175" t="s">
        <v>385</v>
      </c>
      <c r="D424" s="176" t="s">
        <v>386</v>
      </c>
      <c r="E424" s="177" t="s">
        <v>2378</v>
      </c>
      <c r="F424" s="175">
        <f t="shared" si="13"/>
        <v>12</v>
      </c>
      <c r="G424" s="175" t="str">
        <f t="shared" si="14"/>
        <v>Cincinnati</v>
      </c>
      <c r="H424" s="175"/>
      <c r="I424" s="178" t="s">
        <v>2374</v>
      </c>
      <c r="J424" s="27" t="s">
        <v>517</v>
      </c>
      <c r="K424" s="27">
        <v>996</v>
      </c>
      <c r="L424" s="179">
        <v>5248</v>
      </c>
      <c r="M424" s="180" t="s">
        <v>2375</v>
      </c>
      <c r="N424" s="181" t="s">
        <v>386</v>
      </c>
      <c r="O424" s="182" t="s">
        <v>2376</v>
      </c>
    </row>
    <row r="425" spans="2:15">
      <c r="B425" s="174" t="s">
        <v>2379</v>
      </c>
      <c r="C425" s="175" t="s">
        <v>385</v>
      </c>
      <c r="D425" s="176" t="s">
        <v>386</v>
      </c>
      <c r="E425" s="177" t="s">
        <v>2378</v>
      </c>
      <c r="F425" s="175">
        <f t="shared" si="13"/>
        <v>12</v>
      </c>
      <c r="G425" s="175" t="str">
        <f t="shared" si="14"/>
        <v>Cincinnati</v>
      </c>
      <c r="H425" s="175"/>
      <c r="I425" s="178" t="s">
        <v>2374</v>
      </c>
      <c r="J425" s="27" t="s">
        <v>517</v>
      </c>
      <c r="K425" s="27">
        <v>996</v>
      </c>
      <c r="L425" s="179">
        <v>5248</v>
      </c>
      <c r="M425" s="180" t="s">
        <v>2375</v>
      </c>
      <c r="N425" s="181" t="s">
        <v>386</v>
      </c>
      <c r="O425" s="182" t="s">
        <v>2376</v>
      </c>
    </row>
    <row r="426" spans="2:15">
      <c r="B426" s="174" t="s">
        <v>2380</v>
      </c>
      <c r="C426" s="175" t="s">
        <v>385</v>
      </c>
      <c r="D426" s="176" t="s">
        <v>386</v>
      </c>
      <c r="E426" s="177" t="s">
        <v>2378</v>
      </c>
      <c r="F426" s="175">
        <f t="shared" si="13"/>
        <v>12</v>
      </c>
      <c r="G426" s="175" t="str">
        <f t="shared" si="14"/>
        <v>Cincinnati</v>
      </c>
      <c r="H426" s="175"/>
      <c r="I426" s="178" t="s">
        <v>2374</v>
      </c>
      <c r="J426" s="27" t="s">
        <v>517</v>
      </c>
      <c r="K426" s="27">
        <v>996</v>
      </c>
      <c r="L426" s="179">
        <v>5248</v>
      </c>
      <c r="M426" s="180" t="s">
        <v>2375</v>
      </c>
      <c r="N426" s="181" t="s">
        <v>386</v>
      </c>
      <c r="O426" s="182" t="s">
        <v>2376</v>
      </c>
    </row>
    <row r="427" spans="2:15">
      <c r="B427" s="174" t="s">
        <v>1678</v>
      </c>
      <c r="C427" s="175" t="s">
        <v>385</v>
      </c>
      <c r="D427" s="176" t="s">
        <v>386</v>
      </c>
      <c r="E427" s="177" t="s">
        <v>1679</v>
      </c>
      <c r="F427" s="175">
        <f t="shared" si="13"/>
        <v>8</v>
      </c>
      <c r="G427" s="175" t="str">
        <f t="shared" si="14"/>
        <v>Dayton</v>
      </c>
      <c r="H427" s="175"/>
      <c r="I427" s="178" t="s">
        <v>1528</v>
      </c>
      <c r="J427" s="27" t="s">
        <v>386</v>
      </c>
      <c r="K427" s="27">
        <v>797</v>
      </c>
      <c r="L427" s="179">
        <v>5708</v>
      </c>
      <c r="M427" s="180" t="s">
        <v>1680</v>
      </c>
      <c r="N427" s="181" t="s">
        <v>386</v>
      </c>
      <c r="O427" s="182" t="s">
        <v>1681</v>
      </c>
    </row>
    <row r="428" spans="2:15">
      <c r="B428" s="174" t="s">
        <v>1682</v>
      </c>
      <c r="C428" s="175" t="s">
        <v>385</v>
      </c>
      <c r="D428" s="176" t="s">
        <v>386</v>
      </c>
      <c r="E428" s="177" t="s">
        <v>1679</v>
      </c>
      <c r="F428" s="175">
        <f t="shared" si="13"/>
        <v>8</v>
      </c>
      <c r="G428" s="175" t="str">
        <f t="shared" si="14"/>
        <v>Dayton</v>
      </c>
      <c r="H428" s="175"/>
      <c r="I428" s="178" t="s">
        <v>1683</v>
      </c>
      <c r="J428" s="27" t="s">
        <v>386</v>
      </c>
      <c r="K428" s="27">
        <v>886</v>
      </c>
      <c r="L428" s="179">
        <v>5708</v>
      </c>
      <c r="M428" s="180" t="s">
        <v>1680</v>
      </c>
      <c r="N428" s="181" t="s">
        <v>386</v>
      </c>
      <c r="O428" s="182" t="s">
        <v>1681</v>
      </c>
    </row>
    <row r="429" spans="2:15">
      <c r="B429" s="174" t="s">
        <v>1238</v>
      </c>
      <c r="C429" s="175" t="s">
        <v>385</v>
      </c>
      <c r="D429" s="176" t="s">
        <v>386</v>
      </c>
      <c r="E429" s="177" t="s">
        <v>1230</v>
      </c>
      <c r="F429" s="175">
        <f t="shared" si="13"/>
        <v>13</v>
      </c>
      <c r="G429" s="175" t="str">
        <f t="shared" si="14"/>
        <v>Springfield</v>
      </c>
      <c r="H429" s="175"/>
      <c r="I429" s="178" t="s">
        <v>1683</v>
      </c>
      <c r="J429" s="27" t="s">
        <v>386</v>
      </c>
      <c r="K429" s="27">
        <v>886</v>
      </c>
      <c r="L429" s="179">
        <v>5708</v>
      </c>
      <c r="M429" s="180" t="s">
        <v>1680</v>
      </c>
      <c r="N429" s="181" t="s">
        <v>386</v>
      </c>
      <c r="O429" s="182" t="s">
        <v>1681</v>
      </c>
    </row>
    <row r="430" spans="2:15">
      <c r="B430" s="174" t="s">
        <v>2373</v>
      </c>
      <c r="C430" s="175" t="s">
        <v>385</v>
      </c>
      <c r="D430" s="176" t="s">
        <v>386</v>
      </c>
      <c r="E430" s="177" t="s">
        <v>2369</v>
      </c>
      <c r="F430" s="175">
        <f t="shared" si="13"/>
        <v>13</v>
      </c>
      <c r="G430" s="175" t="str">
        <f t="shared" si="14"/>
        <v>Chillicothe</v>
      </c>
      <c r="H430" s="175"/>
      <c r="I430" s="178" t="s">
        <v>2374</v>
      </c>
      <c r="J430" s="27" t="s">
        <v>517</v>
      </c>
      <c r="K430" s="27">
        <v>996</v>
      </c>
      <c r="L430" s="179">
        <v>5248</v>
      </c>
      <c r="M430" s="180" t="s">
        <v>2375</v>
      </c>
      <c r="N430" s="181" t="s">
        <v>386</v>
      </c>
      <c r="O430" s="182" t="s">
        <v>2376</v>
      </c>
    </row>
    <row r="431" spans="2:15">
      <c r="B431" s="174" t="s">
        <v>1527</v>
      </c>
      <c r="C431" s="175" t="s">
        <v>385</v>
      </c>
      <c r="D431" s="176" t="s">
        <v>386</v>
      </c>
      <c r="E431" s="177" t="s">
        <v>1523</v>
      </c>
      <c r="F431" s="175">
        <f t="shared" si="13"/>
        <v>8</v>
      </c>
      <c r="G431" s="175" t="str">
        <f t="shared" si="14"/>
        <v>Athens</v>
      </c>
      <c r="H431" s="175"/>
      <c r="I431" s="178" t="s">
        <v>1528</v>
      </c>
      <c r="J431" s="27" t="s">
        <v>386</v>
      </c>
      <c r="K431" s="27">
        <v>797</v>
      </c>
      <c r="L431" s="179">
        <v>5708</v>
      </c>
      <c r="M431" s="180" t="s">
        <v>404</v>
      </c>
      <c r="N431" s="181" t="s">
        <v>386</v>
      </c>
      <c r="O431" s="182" t="s">
        <v>1529</v>
      </c>
    </row>
    <row r="432" spans="2:15">
      <c r="B432" s="174" t="s">
        <v>2115</v>
      </c>
      <c r="C432" s="175" t="s">
        <v>385</v>
      </c>
      <c r="D432" s="176" t="s">
        <v>386</v>
      </c>
      <c r="E432" s="177" t="s">
        <v>2116</v>
      </c>
      <c r="F432" s="175">
        <f t="shared" si="13"/>
        <v>6</v>
      </c>
      <c r="G432" s="175" t="str">
        <f t="shared" si="14"/>
        <v>Lima</v>
      </c>
      <c r="H432" s="175"/>
      <c r="I432" s="178" t="s">
        <v>1683</v>
      </c>
      <c r="J432" s="27" t="s">
        <v>386</v>
      </c>
      <c r="K432" s="27">
        <v>886</v>
      </c>
      <c r="L432" s="179">
        <v>5708</v>
      </c>
      <c r="M432" s="180" t="s">
        <v>1680</v>
      </c>
      <c r="N432" s="181" t="s">
        <v>386</v>
      </c>
      <c r="O432" s="182" t="s">
        <v>1681</v>
      </c>
    </row>
    <row r="433" spans="2:15">
      <c r="B433" s="174" t="s">
        <v>83</v>
      </c>
      <c r="C433" s="175" t="s">
        <v>2269</v>
      </c>
      <c r="D433" s="176" t="s">
        <v>2270</v>
      </c>
      <c r="E433" s="177" t="s">
        <v>84</v>
      </c>
      <c r="F433" s="175">
        <f t="shared" si="13"/>
        <v>14</v>
      </c>
      <c r="G433" s="175" t="str">
        <f t="shared" si="14"/>
        <v>Indianapolis</v>
      </c>
      <c r="H433" s="175"/>
      <c r="I433" s="178" t="s">
        <v>2271</v>
      </c>
      <c r="J433" s="27" t="s">
        <v>2270</v>
      </c>
      <c r="K433" s="27">
        <v>1014</v>
      </c>
      <c r="L433" s="179">
        <v>5615</v>
      </c>
      <c r="M433" s="178" t="s">
        <v>2272</v>
      </c>
      <c r="N433" s="27" t="s">
        <v>2270</v>
      </c>
      <c r="O433" s="182" t="s">
        <v>2273</v>
      </c>
    </row>
    <row r="434" spans="2:15">
      <c r="B434" s="174" t="s">
        <v>85</v>
      </c>
      <c r="C434" s="175" t="s">
        <v>2269</v>
      </c>
      <c r="D434" s="176" t="s">
        <v>2270</v>
      </c>
      <c r="E434" s="177" t="s">
        <v>84</v>
      </c>
      <c r="F434" s="175">
        <f t="shared" si="13"/>
        <v>14</v>
      </c>
      <c r="G434" s="175" t="str">
        <f t="shared" si="14"/>
        <v>Indianapolis</v>
      </c>
      <c r="H434" s="175"/>
      <c r="I434" s="178" t="s">
        <v>2271</v>
      </c>
      <c r="J434" s="27" t="s">
        <v>2270</v>
      </c>
      <c r="K434" s="27">
        <v>1014</v>
      </c>
      <c r="L434" s="179">
        <v>5615</v>
      </c>
      <c r="M434" s="178" t="s">
        <v>2272</v>
      </c>
      <c r="N434" s="27" t="s">
        <v>2270</v>
      </c>
      <c r="O434" s="182" t="s">
        <v>2273</v>
      </c>
    </row>
    <row r="435" spans="2:15">
      <c r="B435" s="174" t="s">
        <v>86</v>
      </c>
      <c r="C435" s="175" t="s">
        <v>2269</v>
      </c>
      <c r="D435" s="176" t="s">
        <v>2270</v>
      </c>
      <c r="E435" s="177" t="s">
        <v>84</v>
      </c>
      <c r="F435" s="175">
        <f t="shared" si="13"/>
        <v>14</v>
      </c>
      <c r="G435" s="175" t="str">
        <f t="shared" si="14"/>
        <v>Indianapolis</v>
      </c>
      <c r="H435" s="175"/>
      <c r="I435" s="178" t="s">
        <v>2271</v>
      </c>
      <c r="J435" s="27" t="s">
        <v>2270</v>
      </c>
      <c r="K435" s="27">
        <v>1014</v>
      </c>
      <c r="L435" s="179">
        <v>5615</v>
      </c>
      <c r="M435" s="178" t="s">
        <v>2272</v>
      </c>
      <c r="N435" s="27" t="s">
        <v>2270</v>
      </c>
      <c r="O435" s="182" t="s">
        <v>2273</v>
      </c>
    </row>
    <row r="436" spans="2:15">
      <c r="B436" s="174" t="s">
        <v>1997</v>
      </c>
      <c r="C436" s="175" t="s">
        <v>2269</v>
      </c>
      <c r="D436" s="176" t="s">
        <v>2270</v>
      </c>
      <c r="E436" s="177" t="s">
        <v>1998</v>
      </c>
      <c r="F436" s="175">
        <f t="shared" si="13"/>
        <v>6</v>
      </c>
      <c r="G436" s="175" t="str">
        <f t="shared" si="14"/>
        <v>Gary</v>
      </c>
      <c r="H436" s="175"/>
      <c r="I436" s="178" t="s">
        <v>1960</v>
      </c>
      <c r="J436" s="27" t="s">
        <v>2270</v>
      </c>
      <c r="K436" s="27">
        <v>728</v>
      </c>
      <c r="L436" s="179">
        <v>6331</v>
      </c>
      <c r="M436" s="178" t="s">
        <v>1999</v>
      </c>
      <c r="N436" s="27" t="s">
        <v>2270</v>
      </c>
      <c r="O436" s="182" t="s">
        <v>2000</v>
      </c>
    </row>
    <row r="437" spans="2:15">
      <c r="B437" s="174" t="s">
        <v>2001</v>
      </c>
      <c r="C437" s="175" t="s">
        <v>2269</v>
      </c>
      <c r="D437" s="176" t="s">
        <v>2270</v>
      </c>
      <c r="E437" s="177" t="s">
        <v>1998</v>
      </c>
      <c r="F437" s="175">
        <f t="shared" si="13"/>
        <v>6</v>
      </c>
      <c r="G437" s="175" t="str">
        <f t="shared" si="14"/>
        <v>Gary</v>
      </c>
      <c r="H437" s="175"/>
      <c r="I437" s="178" t="s">
        <v>2359</v>
      </c>
      <c r="J437" s="27" t="s">
        <v>1637</v>
      </c>
      <c r="K437" s="27">
        <v>752</v>
      </c>
      <c r="L437" s="179">
        <v>6536</v>
      </c>
      <c r="M437" s="178" t="s">
        <v>2360</v>
      </c>
      <c r="N437" s="27" t="s">
        <v>1637</v>
      </c>
      <c r="O437" s="182" t="s">
        <v>2361</v>
      </c>
    </row>
    <row r="438" spans="2:15">
      <c r="B438" s="174" t="s">
        <v>2249</v>
      </c>
      <c r="C438" s="175" t="s">
        <v>2269</v>
      </c>
      <c r="D438" s="176" t="s">
        <v>2270</v>
      </c>
      <c r="E438" s="177" t="s">
        <v>2250</v>
      </c>
      <c r="F438" s="175">
        <f t="shared" si="13"/>
        <v>12</v>
      </c>
      <c r="G438" s="175" t="str">
        <f t="shared" si="14"/>
        <v>South Bend</v>
      </c>
      <c r="H438" s="175"/>
      <c r="I438" s="178" t="s">
        <v>1964</v>
      </c>
      <c r="J438" s="27" t="s">
        <v>2270</v>
      </c>
      <c r="K438" s="27">
        <v>824</v>
      </c>
      <c r="L438" s="179">
        <v>6273</v>
      </c>
      <c r="M438" s="178" t="s">
        <v>1999</v>
      </c>
      <c r="N438" s="27" t="s">
        <v>2270</v>
      </c>
      <c r="O438" s="182" t="s">
        <v>2000</v>
      </c>
    </row>
    <row r="439" spans="2:15">
      <c r="B439" s="174" t="s">
        <v>2251</v>
      </c>
      <c r="C439" s="175" t="s">
        <v>2269</v>
      </c>
      <c r="D439" s="176" t="s">
        <v>2270</v>
      </c>
      <c r="E439" s="177" t="s">
        <v>2250</v>
      </c>
      <c r="F439" s="175">
        <f t="shared" si="13"/>
        <v>12</v>
      </c>
      <c r="G439" s="175" t="str">
        <f t="shared" si="14"/>
        <v>South Bend</v>
      </c>
      <c r="H439" s="175"/>
      <c r="I439" s="178" t="s">
        <v>1960</v>
      </c>
      <c r="J439" s="27" t="s">
        <v>2270</v>
      </c>
      <c r="K439" s="27">
        <v>728</v>
      </c>
      <c r="L439" s="179">
        <v>6331</v>
      </c>
      <c r="M439" s="178" t="s">
        <v>1999</v>
      </c>
      <c r="N439" s="27" t="s">
        <v>2270</v>
      </c>
      <c r="O439" s="182" t="s">
        <v>2000</v>
      </c>
    </row>
    <row r="440" spans="2:15">
      <c r="B440" s="174" t="s">
        <v>1958</v>
      </c>
      <c r="C440" s="175" t="s">
        <v>2269</v>
      </c>
      <c r="D440" s="176" t="s">
        <v>2270</v>
      </c>
      <c r="E440" s="177" t="s">
        <v>1959</v>
      </c>
      <c r="F440" s="175">
        <f t="shared" si="13"/>
        <v>12</v>
      </c>
      <c r="G440" s="175" t="str">
        <f t="shared" si="14"/>
        <v>Fort Wayne</v>
      </c>
      <c r="H440" s="175"/>
      <c r="I440" s="178" t="s">
        <v>1960</v>
      </c>
      <c r="J440" s="27" t="s">
        <v>2270</v>
      </c>
      <c r="K440" s="27">
        <v>728</v>
      </c>
      <c r="L440" s="179">
        <v>6331</v>
      </c>
      <c r="M440" s="178" t="s">
        <v>1961</v>
      </c>
      <c r="N440" s="27" t="s">
        <v>2270</v>
      </c>
      <c r="O440" s="182" t="s">
        <v>1962</v>
      </c>
    </row>
    <row r="441" spans="2:15">
      <c r="B441" s="174" t="s">
        <v>1963</v>
      </c>
      <c r="C441" s="175" t="s">
        <v>2269</v>
      </c>
      <c r="D441" s="176" t="s">
        <v>2270</v>
      </c>
      <c r="E441" s="177" t="s">
        <v>1959</v>
      </c>
      <c r="F441" s="175">
        <f t="shared" si="13"/>
        <v>12</v>
      </c>
      <c r="G441" s="175" t="str">
        <f t="shared" si="14"/>
        <v>Fort Wayne</v>
      </c>
      <c r="H441" s="175"/>
      <c r="I441" s="178" t="s">
        <v>1964</v>
      </c>
      <c r="J441" s="27" t="s">
        <v>2270</v>
      </c>
      <c r="K441" s="27">
        <v>824</v>
      </c>
      <c r="L441" s="179">
        <v>6273</v>
      </c>
      <c r="M441" s="178" t="s">
        <v>1961</v>
      </c>
      <c r="N441" s="27" t="s">
        <v>2270</v>
      </c>
      <c r="O441" s="182" t="s">
        <v>1962</v>
      </c>
    </row>
    <row r="442" spans="2:15">
      <c r="B442" s="174" t="s">
        <v>931</v>
      </c>
      <c r="C442" s="175" t="s">
        <v>2269</v>
      </c>
      <c r="D442" s="176" t="s">
        <v>2270</v>
      </c>
      <c r="E442" s="177" t="s">
        <v>932</v>
      </c>
      <c r="F442" s="175">
        <f t="shared" si="13"/>
        <v>8</v>
      </c>
      <c r="G442" s="175" t="str">
        <f t="shared" si="14"/>
        <v>Kokomo</v>
      </c>
      <c r="H442" s="175"/>
      <c r="I442" s="178" t="s">
        <v>1960</v>
      </c>
      <c r="J442" s="27" t="s">
        <v>2270</v>
      </c>
      <c r="K442" s="27">
        <v>728</v>
      </c>
      <c r="L442" s="179">
        <v>6331</v>
      </c>
      <c r="M442" s="178" t="s">
        <v>1999</v>
      </c>
      <c r="N442" s="27" t="s">
        <v>2270</v>
      </c>
      <c r="O442" s="182" t="s">
        <v>2000</v>
      </c>
    </row>
    <row r="443" spans="2:15">
      <c r="B443" s="174" t="s">
        <v>2095</v>
      </c>
      <c r="C443" s="175" t="s">
        <v>2269</v>
      </c>
      <c r="D443" s="176" t="s">
        <v>2270</v>
      </c>
      <c r="E443" s="177" t="s">
        <v>2096</v>
      </c>
      <c r="F443" s="175">
        <f t="shared" si="13"/>
        <v>14</v>
      </c>
      <c r="G443" s="175" t="str">
        <f t="shared" si="14"/>
        <v>Lawrenceburg</v>
      </c>
      <c r="H443" s="175"/>
      <c r="I443" s="178" t="s">
        <v>2374</v>
      </c>
      <c r="J443" s="27" t="s">
        <v>517</v>
      </c>
      <c r="K443" s="27">
        <v>996</v>
      </c>
      <c r="L443" s="179">
        <v>5248</v>
      </c>
      <c r="M443" s="180" t="s">
        <v>2375</v>
      </c>
      <c r="N443" s="181" t="s">
        <v>386</v>
      </c>
      <c r="O443" s="182" t="s">
        <v>2376</v>
      </c>
    </row>
    <row r="444" spans="2:15">
      <c r="B444" s="174" t="s">
        <v>1090</v>
      </c>
      <c r="C444" s="175" t="s">
        <v>2269</v>
      </c>
      <c r="D444" s="176" t="s">
        <v>2270</v>
      </c>
      <c r="E444" s="177" t="s">
        <v>1091</v>
      </c>
      <c r="F444" s="175">
        <f t="shared" si="13"/>
        <v>12</v>
      </c>
      <c r="G444" s="175" t="str">
        <f t="shared" si="14"/>
        <v>New Albany</v>
      </c>
      <c r="H444" s="175"/>
      <c r="I444" s="178" t="s">
        <v>653</v>
      </c>
      <c r="J444" s="27" t="s">
        <v>517</v>
      </c>
      <c r="K444" s="27">
        <v>1288</v>
      </c>
      <c r="L444" s="179">
        <v>4514</v>
      </c>
      <c r="M444" s="180" t="s">
        <v>654</v>
      </c>
      <c r="N444" s="181" t="s">
        <v>517</v>
      </c>
      <c r="O444" s="182" t="s">
        <v>655</v>
      </c>
    </row>
    <row r="445" spans="2:15">
      <c r="B445" s="174" t="s">
        <v>619</v>
      </c>
      <c r="C445" s="175" t="s">
        <v>2269</v>
      </c>
      <c r="D445" s="176" t="s">
        <v>2270</v>
      </c>
      <c r="E445" s="177" t="s">
        <v>616</v>
      </c>
      <c r="F445" s="175">
        <f t="shared" si="13"/>
        <v>10</v>
      </c>
      <c r="G445" s="175" t="str">
        <f t="shared" si="14"/>
        <v>Columbus</v>
      </c>
      <c r="H445" s="175"/>
      <c r="I445" s="178" t="s">
        <v>2271</v>
      </c>
      <c r="J445" s="27" t="s">
        <v>2270</v>
      </c>
      <c r="K445" s="27">
        <v>1014</v>
      </c>
      <c r="L445" s="179">
        <v>5615</v>
      </c>
      <c r="M445" s="178" t="s">
        <v>2272</v>
      </c>
      <c r="N445" s="27" t="s">
        <v>2270</v>
      </c>
      <c r="O445" s="182" t="s">
        <v>2273</v>
      </c>
    </row>
    <row r="446" spans="2:15">
      <c r="B446" s="174" t="s">
        <v>1078</v>
      </c>
      <c r="C446" s="175" t="s">
        <v>2269</v>
      </c>
      <c r="D446" s="176" t="s">
        <v>2270</v>
      </c>
      <c r="E446" s="177" t="s">
        <v>1079</v>
      </c>
      <c r="F446" s="175">
        <f t="shared" si="13"/>
        <v>8</v>
      </c>
      <c r="G446" s="175" t="str">
        <f t="shared" si="14"/>
        <v>Muncie</v>
      </c>
      <c r="H446" s="175"/>
      <c r="I446" s="178" t="s">
        <v>1683</v>
      </c>
      <c r="J446" s="27" t="s">
        <v>386</v>
      </c>
      <c r="K446" s="27">
        <v>886</v>
      </c>
      <c r="L446" s="179">
        <v>5708</v>
      </c>
      <c r="M446" s="180" t="s">
        <v>1680</v>
      </c>
      <c r="N446" s="181" t="s">
        <v>386</v>
      </c>
      <c r="O446" s="182" t="s">
        <v>1681</v>
      </c>
    </row>
    <row r="447" spans="2:15">
      <c r="B447" s="174" t="s">
        <v>2268</v>
      </c>
      <c r="C447" s="175" t="s">
        <v>2269</v>
      </c>
      <c r="D447" s="176" t="s">
        <v>2270</v>
      </c>
      <c r="E447" s="177" t="s">
        <v>1638</v>
      </c>
      <c r="F447" s="175">
        <f t="shared" si="13"/>
        <v>13</v>
      </c>
      <c r="G447" s="175" t="str">
        <f t="shared" si="14"/>
        <v>Bloomington</v>
      </c>
      <c r="H447" s="175"/>
      <c r="I447" s="178" t="s">
        <v>2271</v>
      </c>
      <c r="J447" s="27" t="s">
        <v>2270</v>
      </c>
      <c r="K447" s="27">
        <v>1014</v>
      </c>
      <c r="L447" s="179">
        <v>5615</v>
      </c>
      <c r="M447" s="178" t="s">
        <v>2272</v>
      </c>
      <c r="N447" s="27" t="s">
        <v>2270</v>
      </c>
      <c r="O447" s="182" t="s">
        <v>2273</v>
      </c>
    </row>
    <row r="448" spans="2:15">
      <c r="B448" s="174" t="s">
        <v>1808</v>
      </c>
      <c r="C448" s="175" t="s">
        <v>2269</v>
      </c>
      <c r="D448" s="176" t="s">
        <v>2270</v>
      </c>
      <c r="E448" s="177" t="s">
        <v>584</v>
      </c>
      <c r="F448" s="175">
        <f t="shared" si="13"/>
        <v>12</v>
      </c>
      <c r="G448" s="175" t="str">
        <f t="shared" si="14"/>
        <v>Washington</v>
      </c>
      <c r="H448" s="175"/>
      <c r="I448" s="178" t="s">
        <v>1374</v>
      </c>
      <c r="J448" s="27" t="s">
        <v>2270</v>
      </c>
      <c r="K448" s="27">
        <v>1376</v>
      </c>
      <c r="L448" s="179">
        <v>4708</v>
      </c>
      <c r="M448" s="178" t="s">
        <v>1375</v>
      </c>
      <c r="N448" s="27" t="s">
        <v>2270</v>
      </c>
      <c r="O448" s="182" t="s">
        <v>1376</v>
      </c>
    </row>
    <row r="449" spans="2:15">
      <c r="B449" s="174" t="s">
        <v>543</v>
      </c>
      <c r="C449" s="175" t="s">
        <v>2269</v>
      </c>
      <c r="D449" s="176" t="s">
        <v>2270</v>
      </c>
      <c r="E449" s="177" t="s">
        <v>2387</v>
      </c>
      <c r="F449" s="175">
        <f t="shared" si="13"/>
        <v>12</v>
      </c>
      <c r="G449" s="175" t="str">
        <f t="shared" si="14"/>
        <v>Evansville</v>
      </c>
      <c r="H449" s="175"/>
      <c r="I449" s="178" t="s">
        <v>1374</v>
      </c>
      <c r="J449" s="27" t="s">
        <v>2270</v>
      </c>
      <c r="K449" s="27">
        <v>1376</v>
      </c>
      <c r="L449" s="179">
        <v>4708</v>
      </c>
      <c r="M449" s="178" t="s">
        <v>1375</v>
      </c>
      <c r="N449" s="27" t="s">
        <v>2270</v>
      </c>
      <c r="O449" s="182" t="s">
        <v>1376</v>
      </c>
    </row>
    <row r="450" spans="2:15">
      <c r="B450" s="174" t="s">
        <v>2388</v>
      </c>
      <c r="C450" s="175" t="s">
        <v>2269</v>
      </c>
      <c r="D450" s="176" t="s">
        <v>2270</v>
      </c>
      <c r="E450" s="177" t="s">
        <v>2387</v>
      </c>
      <c r="F450" s="175">
        <f t="shared" si="13"/>
        <v>12</v>
      </c>
      <c r="G450" s="175" t="str">
        <f t="shared" si="14"/>
        <v>Evansville</v>
      </c>
      <c r="H450" s="175"/>
      <c r="I450" s="178" t="s">
        <v>1374</v>
      </c>
      <c r="J450" s="27" t="s">
        <v>2270</v>
      </c>
      <c r="K450" s="27">
        <v>1376</v>
      </c>
      <c r="L450" s="179">
        <v>4708</v>
      </c>
      <c r="M450" s="178" t="s">
        <v>1375</v>
      </c>
      <c r="N450" s="27" t="s">
        <v>2270</v>
      </c>
      <c r="O450" s="182" t="s">
        <v>1376</v>
      </c>
    </row>
    <row r="451" spans="2:15">
      <c r="B451" s="174" t="s">
        <v>849</v>
      </c>
      <c r="C451" s="175" t="s">
        <v>2269</v>
      </c>
      <c r="D451" s="176" t="s">
        <v>2270</v>
      </c>
      <c r="E451" s="177" t="s">
        <v>850</v>
      </c>
      <c r="F451" s="175">
        <f t="shared" si="13"/>
        <v>13</v>
      </c>
      <c r="G451" s="175" t="str">
        <f t="shared" si="14"/>
        <v>Terre Haute</v>
      </c>
      <c r="H451" s="175"/>
      <c r="I451" s="178" t="s">
        <v>2271</v>
      </c>
      <c r="J451" s="27" t="s">
        <v>2270</v>
      </c>
      <c r="K451" s="27">
        <v>1014</v>
      </c>
      <c r="L451" s="179">
        <v>5615</v>
      </c>
      <c r="M451" s="178" t="s">
        <v>2272</v>
      </c>
      <c r="N451" s="27" t="s">
        <v>2270</v>
      </c>
      <c r="O451" s="182" t="s">
        <v>2273</v>
      </c>
    </row>
    <row r="452" spans="2:15">
      <c r="B452" s="174" t="s">
        <v>940</v>
      </c>
      <c r="C452" s="175" t="s">
        <v>2269</v>
      </c>
      <c r="D452" s="176" t="s">
        <v>2270</v>
      </c>
      <c r="E452" s="177" t="s">
        <v>941</v>
      </c>
      <c r="F452" s="175">
        <f t="shared" si="13"/>
        <v>11</v>
      </c>
      <c r="G452" s="175" t="str">
        <f t="shared" si="14"/>
        <v>Lafayette</v>
      </c>
      <c r="H452" s="175"/>
      <c r="I452" s="178" t="s">
        <v>1960</v>
      </c>
      <c r="J452" s="27" t="s">
        <v>2270</v>
      </c>
      <c r="K452" s="27">
        <v>728</v>
      </c>
      <c r="L452" s="179">
        <v>6331</v>
      </c>
      <c r="M452" s="178" t="s">
        <v>1999</v>
      </c>
      <c r="N452" s="27" t="s">
        <v>2270</v>
      </c>
      <c r="O452" s="182" t="s">
        <v>2000</v>
      </c>
    </row>
    <row r="453" spans="2:15">
      <c r="B453" s="174" t="s">
        <v>320</v>
      </c>
      <c r="C453" s="175" t="s">
        <v>480</v>
      </c>
      <c r="D453" s="176" t="s">
        <v>481</v>
      </c>
      <c r="E453" s="177" t="s">
        <v>321</v>
      </c>
      <c r="F453" s="175">
        <f t="shared" si="13"/>
        <v>11</v>
      </c>
      <c r="G453" s="175" t="str">
        <f t="shared" si="14"/>
        <v>Royal Oak</v>
      </c>
      <c r="H453" s="175"/>
      <c r="I453" s="178" t="s">
        <v>483</v>
      </c>
      <c r="J453" s="27" t="s">
        <v>481</v>
      </c>
      <c r="K453" s="27">
        <v>626</v>
      </c>
      <c r="L453" s="179">
        <v>6569</v>
      </c>
      <c r="M453" s="178" t="s">
        <v>484</v>
      </c>
      <c r="N453" s="27" t="s">
        <v>481</v>
      </c>
      <c r="O453" s="182" t="s">
        <v>485</v>
      </c>
    </row>
    <row r="454" spans="2:15">
      <c r="B454" s="174" t="s">
        <v>479</v>
      </c>
      <c r="C454" s="175" t="s">
        <v>480</v>
      </c>
      <c r="D454" s="176" t="s">
        <v>481</v>
      </c>
      <c r="E454" s="177" t="s">
        <v>482</v>
      </c>
      <c r="F454" s="175">
        <f t="shared" si="13"/>
        <v>11</v>
      </c>
      <c r="G454" s="175" t="str">
        <f t="shared" si="14"/>
        <v>Ann Arbor</v>
      </c>
      <c r="H454" s="175"/>
      <c r="I454" s="178" t="s">
        <v>483</v>
      </c>
      <c r="J454" s="27" t="s">
        <v>481</v>
      </c>
      <c r="K454" s="27">
        <v>626</v>
      </c>
      <c r="L454" s="179">
        <v>6569</v>
      </c>
      <c r="M454" s="178" t="s">
        <v>484</v>
      </c>
      <c r="N454" s="27" t="s">
        <v>481</v>
      </c>
      <c r="O454" s="182" t="s">
        <v>485</v>
      </c>
    </row>
    <row r="455" spans="2:15">
      <c r="B455" s="174" t="s">
        <v>1706</v>
      </c>
      <c r="C455" s="175" t="s">
        <v>480</v>
      </c>
      <c r="D455" s="176" t="s">
        <v>481</v>
      </c>
      <c r="E455" s="177" t="s">
        <v>1707</v>
      </c>
      <c r="F455" s="175">
        <f t="shared" si="13"/>
        <v>9</v>
      </c>
      <c r="G455" s="175" t="str">
        <f t="shared" si="14"/>
        <v>Detroit</v>
      </c>
      <c r="H455" s="175"/>
      <c r="I455" s="178" t="s">
        <v>483</v>
      </c>
      <c r="J455" s="27" t="s">
        <v>481</v>
      </c>
      <c r="K455" s="27">
        <v>626</v>
      </c>
      <c r="L455" s="179">
        <v>6569</v>
      </c>
      <c r="M455" s="178" t="s">
        <v>484</v>
      </c>
      <c r="N455" s="27" t="s">
        <v>481</v>
      </c>
      <c r="O455" s="182" t="s">
        <v>485</v>
      </c>
    </row>
    <row r="456" spans="2:15">
      <c r="B456" s="174" t="s">
        <v>1708</v>
      </c>
      <c r="C456" s="175" t="s">
        <v>480</v>
      </c>
      <c r="D456" s="176" t="s">
        <v>481</v>
      </c>
      <c r="E456" s="177" t="s">
        <v>1707</v>
      </c>
      <c r="F456" s="175">
        <f t="shared" si="13"/>
        <v>9</v>
      </c>
      <c r="G456" s="175" t="str">
        <f t="shared" si="14"/>
        <v>Detroit</v>
      </c>
      <c r="H456" s="175"/>
      <c r="I456" s="178" t="s">
        <v>483</v>
      </c>
      <c r="J456" s="27" t="s">
        <v>481</v>
      </c>
      <c r="K456" s="27">
        <v>626</v>
      </c>
      <c r="L456" s="179">
        <v>6569</v>
      </c>
      <c r="M456" s="178" t="s">
        <v>484</v>
      </c>
      <c r="N456" s="27" t="s">
        <v>481</v>
      </c>
      <c r="O456" s="182" t="s">
        <v>485</v>
      </c>
    </row>
    <row r="457" spans="2:15">
      <c r="B457" s="174" t="s">
        <v>1924</v>
      </c>
      <c r="C457" s="175" t="s">
        <v>480</v>
      </c>
      <c r="D457" s="176" t="s">
        <v>481</v>
      </c>
      <c r="E457" s="177" t="s">
        <v>1925</v>
      </c>
      <c r="F457" s="175">
        <f t="shared" si="13"/>
        <v>7</v>
      </c>
      <c r="G457" s="175" t="str">
        <f t="shared" si="14"/>
        <v>Flint</v>
      </c>
      <c r="H457" s="175"/>
      <c r="I457" s="178" t="s">
        <v>1926</v>
      </c>
      <c r="J457" s="27" t="s">
        <v>481</v>
      </c>
      <c r="K457" s="27">
        <v>490</v>
      </c>
      <c r="L457" s="179">
        <v>7101</v>
      </c>
      <c r="M457" s="180" t="s">
        <v>1927</v>
      </c>
      <c r="N457" s="181" t="s">
        <v>481</v>
      </c>
      <c r="O457" s="182" t="s">
        <v>1928</v>
      </c>
    </row>
    <row r="458" spans="2:15">
      <c r="B458" s="174" t="s">
        <v>1929</v>
      </c>
      <c r="C458" s="175" t="s">
        <v>480</v>
      </c>
      <c r="D458" s="176" t="s">
        <v>481</v>
      </c>
      <c r="E458" s="177" t="s">
        <v>1925</v>
      </c>
      <c r="F458" s="175">
        <f t="shared" ref="F458:F521" si="15">LEN(E458)</f>
        <v>7</v>
      </c>
      <c r="G458" s="175" t="str">
        <f t="shared" ref="G458:G521" si="16">MID(E458,2,F458-2)</f>
        <v>Flint</v>
      </c>
      <c r="H458" s="175"/>
      <c r="I458" s="178" t="s">
        <v>1930</v>
      </c>
      <c r="J458" s="27" t="s">
        <v>481</v>
      </c>
      <c r="K458" s="27">
        <v>483</v>
      </c>
      <c r="L458" s="179">
        <v>6979</v>
      </c>
      <c r="M458" s="180" t="s">
        <v>1927</v>
      </c>
      <c r="N458" s="181" t="s">
        <v>481</v>
      </c>
      <c r="O458" s="182" t="s">
        <v>1928</v>
      </c>
    </row>
    <row r="459" spans="2:15">
      <c r="B459" s="174" t="s">
        <v>332</v>
      </c>
      <c r="C459" s="175" t="s">
        <v>480</v>
      </c>
      <c r="D459" s="176" t="s">
        <v>481</v>
      </c>
      <c r="E459" s="177" t="s">
        <v>333</v>
      </c>
      <c r="F459" s="175">
        <f t="shared" si="15"/>
        <v>9</v>
      </c>
      <c r="G459" s="175" t="str">
        <f t="shared" si="16"/>
        <v>Saginaw</v>
      </c>
      <c r="H459" s="175"/>
      <c r="I459" s="178" t="s">
        <v>1926</v>
      </c>
      <c r="J459" s="27" t="s">
        <v>481</v>
      </c>
      <c r="K459" s="27">
        <v>490</v>
      </c>
      <c r="L459" s="179">
        <v>7101</v>
      </c>
      <c r="M459" s="180" t="s">
        <v>959</v>
      </c>
      <c r="N459" s="181" t="s">
        <v>481</v>
      </c>
      <c r="O459" s="182" t="s">
        <v>960</v>
      </c>
    </row>
    <row r="460" spans="2:15">
      <c r="B460" s="174" t="s">
        <v>334</v>
      </c>
      <c r="C460" s="175" t="s">
        <v>480</v>
      </c>
      <c r="D460" s="176" t="s">
        <v>481</v>
      </c>
      <c r="E460" s="177" t="s">
        <v>333</v>
      </c>
      <c r="F460" s="175">
        <f t="shared" si="15"/>
        <v>9</v>
      </c>
      <c r="G460" s="175" t="str">
        <f t="shared" si="16"/>
        <v>Saginaw</v>
      </c>
      <c r="H460" s="175"/>
      <c r="I460" s="178" t="s">
        <v>1930</v>
      </c>
      <c r="J460" s="27" t="s">
        <v>481</v>
      </c>
      <c r="K460" s="27">
        <v>483</v>
      </c>
      <c r="L460" s="179">
        <v>6979</v>
      </c>
      <c r="M460" s="180" t="s">
        <v>1927</v>
      </c>
      <c r="N460" s="181" t="s">
        <v>481</v>
      </c>
      <c r="O460" s="182" t="s">
        <v>1928</v>
      </c>
    </row>
    <row r="461" spans="2:15">
      <c r="B461" s="174" t="s">
        <v>957</v>
      </c>
      <c r="C461" s="175" t="s">
        <v>480</v>
      </c>
      <c r="D461" s="176" t="s">
        <v>481</v>
      </c>
      <c r="E461" s="177" t="s">
        <v>958</v>
      </c>
      <c r="F461" s="175">
        <f t="shared" si="15"/>
        <v>9</v>
      </c>
      <c r="G461" s="175" t="str">
        <f t="shared" si="16"/>
        <v>Lansing</v>
      </c>
      <c r="H461" s="175"/>
      <c r="I461" s="178" t="s">
        <v>1930</v>
      </c>
      <c r="J461" s="27" t="s">
        <v>481</v>
      </c>
      <c r="K461" s="27">
        <v>483</v>
      </c>
      <c r="L461" s="179">
        <v>6979</v>
      </c>
      <c r="M461" s="180" t="s">
        <v>959</v>
      </c>
      <c r="N461" s="181" t="s">
        <v>481</v>
      </c>
      <c r="O461" s="182" t="s">
        <v>960</v>
      </c>
    </row>
    <row r="462" spans="2:15">
      <c r="B462" s="174" t="s">
        <v>961</v>
      </c>
      <c r="C462" s="175" t="s">
        <v>480</v>
      </c>
      <c r="D462" s="176" t="s">
        <v>481</v>
      </c>
      <c r="E462" s="177" t="s">
        <v>958</v>
      </c>
      <c r="F462" s="175">
        <f t="shared" si="15"/>
        <v>9</v>
      </c>
      <c r="G462" s="175" t="str">
        <f t="shared" si="16"/>
        <v>Lansing</v>
      </c>
      <c r="H462" s="175"/>
      <c r="I462" s="178" t="s">
        <v>1926</v>
      </c>
      <c r="J462" s="27" t="s">
        <v>481</v>
      </c>
      <c r="K462" s="27">
        <v>490</v>
      </c>
      <c r="L462" s="179">
        <v>7101</v>
      </c>
      <c r="M462" s="180" t="s">
        <v>959</v>
      </c>
      <c r="N462" s="181" t="s">
        <v>481</v>
      </c>
      <c r="O462" s="182" t="s">
        <v>960</v>
      </c>
    </row>
    <row r="463" spans="2:15">
      <c r="B463" s="174" t="s">
        <v>134</v>
      </c>
      <c r="C463" s="175" t="s">
        <v>480</v>
      </c>
      <c r="D463" s="176" t="s">
        <v>481</v>
      </c>
      <c r="E463" s="177" t="s">
        <v>135</v>
      </c>
      <c r="F463" s="175">
        <f t="shared" si="15"/>
        <v>11</v>
      </c>
      <c r="G463" s="175" t="str">
        <f t="shared" si="16"/>
        <v>Kalamazoo</v>
      </c>
      <c r="H463" s="175"/>
      <c r="I463" s="178" t="s">
        <v>1960</v>
      </c>
      <c r="J463" s="27" t="s">
        <v>2270</v>
      </c>
      <c r="K463" s="27">
        <v>728</v>
      </c>
      <c r="L463" s="179">
        <v>6331</v>
      </c>
      <c r="M463" s="178" t="s">
        <v>1999</v>
      </c>
      <c r="N463" s="27" t="s">
        <v>2270</v>
      </c>
      <c r="O463" s="182" t="s">
        <v>2000</v>
      </c>
    </row>
    <row r="464" spans="2:15">
      <c r="B464" s="174" t="s">
        <v>136</v>
      </c>
      <c r="C464" s="175" t="s">
        <v>480</v>
      </c>
      <c r="D464" s="176" t="s">
        <v>481</v>
      </c>
      <c r="E464" s="177" t="s">
        <v>135</v>
      </c>
      <c r="F464" s="175">
        <f t="shared" si="15"/>
        <v>11</v>
      </c>
      <c r="G464" s="175" t="str">
        <f t="shared" si="16"/>
        <v>Kalamazoo</v>
      </c>
      <c r="H464" s="175"/>
      <c r="I464" s="178" t="s">
        <v>1960</v>
      </c>
      <c r="J464" s="27" t="s">
        <v>2270</v>
      </c>
      <c r="K464" s="27">
        <v>728</v>
      </c>
      <c r="L464" s="179">
        <v>6331</v>
      </c>
      <c r="M464" s="178" t="s">
        <v>1999</v>
      </c>
      <c r="N464" s="27" t="s">
        <v>2270</v>
      </c>
      <c r="O464" s="182" t="s">
        <v>2000</v>
      </c>
    </row>
    <row r="465" spans="2:15">
      <c r="B465" s="174" t="s">
        <v>96</v>
      </c>
      <c r="C465" s="175" t="s">
        <v>480</v>
      </c>
      <c r="D465" s="176" t="s">
        <v>481</v>
      </c>
      <c r="E465" s="177" t="s">
        <v>97</v>
      </c>
      <c r="F465" s="175">
        <f t="shared" si="15"/>
        <v>9</v>
      </c>
      <c r="G465" s="175" t="str">
        <f t="shared" si="16"/>
        <v>Jackson</v>
      </c>
      <c r="H465" s="175"/>
      <c r="I465" s="178" t="s">
        <v>657</v>
      </c>
      <c r="J465" s="27" t="s">
        <v>386</v>
      </c>
      <c r="K465" s="27">
        <v>610</v>
      </c>
      <c r="L465" s="179">
        <v>6579</v>
      </c>
      <c r="M465" s="180" t="s">
        <v>658</v>
      </c>
      <c r="N465" s="181" t="s">
        <v>386</v>
      </c>
      <c r="O465" s="182" t="s">
        <v>659</v>
      </c>
    </row>
    <row r="466" spans="2:15">
      <c r="B466" s="174" t="s">
        <v>2027</v>
      </c>
      <c r="C466" s="175" t="s">
        <v>480</v>
      </c>
      <c r="D466" s="176" t="s">
        <v>481</v>
      </c>
      <c r="E466" s="177" t="s">
        <v>2028</v>
      </c>
      <c r="F466" s="175">
        <f t="shared" si="15"/>
        <v>14</v>
      </c>
      <c r="G466" s="175" t="str">
        <f t="shared" si="16"/>
        <v>Grand Rapids</v>
      </c>
      <c r="H466" s="175"/>
      <c r="I466" s="178" t="s">
        <v>2029</v>
      </c>
      <c r="J466" s="27" t="s">
        <v>481</v>
      </c>
      <c r="K466" s="27">
        <v>431</v>
      </c>
      <c r="L466" s="179">
        <v>6924</v>
      </c>
      <c r="M466" s="180" t="s">
        <v>2030</v>
      </c>
      <c r="N466" s="181" t="s">
        <v>481</v>
      </c>
      <c r="O466" s="182" t="s">
        <v>2031</v>
      </c>
    </row>
    <row r="467" spans="2:15">
      <c r="B467" s="174" t="s">
        <v>1080</v>
      </c>
      <c r="C467" s="175" t="s">
        <v>480</v>
      </c>
      <c r="D467" s="176" t="s">
        <v>481</v>
      </c>
      <c r="E467" s="177" t="s">
        <v>1081</v>
      </c>
      <c r="F467" s="175">
        <f t="shared" si="15"/>
        <v>10</v>
      </c>
      <c r="G467" s="175" t="str">
        <f t="shared" si="16"/>
        <v>Muskegon</v>
      </c>
      <c r="H467" s="175"/>
      <c r="I467" s="178" t="s">
        <v>2029</v>
      </c>
      <c r="J467" s="27" t="s">
        <v>481</v>
      </c>
      <c r="K467" s="27">
        <v>431</v>
      </c>
      <c r="L467" s="179">
        <v>6924</v>
      </c>
      <c r="M467" s="180" t="s">
        <v>2030</v>
      </c>
      <c r="N467" s="181" t="s">
        <v>481</v>
      </c>
      <c r="O467" s="182" t="s">
        <v>2031</v>
      </c>
    </row>
    <row r="468" spans="2:15">
      <c r="B468" s="174" t="s">
        <v>2032</v>
      </c>
      <c r="C468" s="175" t="s">
        <v>480</v>
      </c>
      <c r="D468" s="176" t="s">
        <v>481</v>
      </c>
      <c r="E468" s="177" t="s">
        <v>2028</v>
      </c>
      <c r="F468" s="175">
        <f t="shared" si="15"/>
        <v>14</v>
      </c>
      <c r="G468" s="175" t="str">
        <f t="shared" si="16"/>
        <v>Grand Rapids</v>
      </c>
      <c r="H468" s="175"/>
      <c r="I468" s="178" t="s">
        <v>2033</v>
      </c>
      <c r="J468" s="27" t="s">
        <v>481</v>
      </c>
      <c r="K468" s="27">
        <v>534</v>
      </c>
      <c r="L468" s="179">
        <v>6973</v>
      </c>
      <c r="M468" s="180" t="s">
        <v>2030</v>
      </c>
      <c r="N468" s="181" t="s">
        <v>481</v>
      </c>
      <c r="O468" s="182" t="s">
        <v>2031</v>
      </c>
    </row>
    <row r="469" spans="2:15">
      <c r="B469" s="174" t="s">
        <v>869</v>
      </c>
      <c r="C469" s="175" t="s">
        <v>480</v>
      </c>
      <c r="D469" s="176" t="s">
        <v>481</v>
      </c>
      <c r="E469" s="177" t="s">
        <v>1748</v>
      </c>
      <c r="F469" s="175">
        <f t="shared" si="15"/>
        <v>15</v>
      </c>
      <c r="G469" s="175" t="str">
        <f t="shared" si="16"/>
        <v>Traverse City</v>
      </c>
      <c r="H469" s="175"/>
      <c r="I469" s="178" t="s">
        <v>1749</v>
      </c>
      <c r="J469" s="27" t="s">
        <v>481</v>
      </c>
      <c r="K469" s="27">
        <v>231</v>
      </c>
      <c r="L469" s="179">
        <v>8284</v>
      </c>
      <c r="M469" s="180" t="s">
        <v>796</v>
      </c>
      <c r="N469" s="181" t="s">
        <v>481</v>
      </c>
      <c r="O469" s="182" t="s">
        <v>797</v>
      </c>
    </row>
    <row r="470" spans="2:15">
      <c r="B470" s="174" t="s">
        <v>2157</v>
      </c>
      <c r="C470" s="175" t="s">
        <v>480</v>
      </c>
      <c r="D470" s="176" t="s">
        <v>481</v>
      </c>
      <c r="E470" s="177" t="s">
        <v>2158</v>
      </c>
      <c r="F470" s="175">
        <f t="shared" si="15"/>
        <v>15</v>
      </c>
      <c r="G470" s="175" t="str">
        <f t="shared" si="16"/>
        <v>Mackinaw City</v>
      </c>
      <c r="H470" s="175"/>
      <c r="I470" s="178" t="s">
        <v>2159</v>
      </c>
      <c r="J470" s="27" t="s">
        <v>481</v>
      </c>
      <c r="K470" s="27">
        <v>131</v>
      </c>
      <c r="L470" s="179">
        <v>9316</v>
      </c>
      <c r="M470" s="180" t="s">
        <v>796</v>
      </c>
      <c r="N470" s="181" t="s">
        <v>481</v>
      </c>
      <c r="O470" s="182" t="s">
        <v>797</v>
      </c>
    </row>
    <row r="471" spans="2:15">
      <c r="B471" s="174" t="s">
        <v>90</v>
      </c>
      <c r="C471" s="175" t="s">
        <v>480</v>
      </c>
      <c r="D471" s="176" t="s">
        <v>481</v>
      </c>
      <c r="E471" s="177" t="s">
        <v>91</v>
      </c>
      <c r="F471" s="175">
        <f t="shared" si="15"/>
        <v>15</v>
      </c>
      <c r="G471" s="175" t="str">
        <f t="shared" si="16"/>
        <v>Iron Mountain</v>
      </c>
      <c r="H471" s="175"/>
      <c r="I471" s="178" t="s">
        <v>92</v>
      </c>
      <c r="J471" s="27" t="s">
        <v>481</v>
      </c>
      <c r="K471" s="27">
        <v>155</v>
      </c>
      <c r="L471" s="179">
        <v>9567</v>
      </c>
      <c r="M471" s="180" t="s">
        <v>796</v>
      </c>
      <c r="N471" s="181" t="s">
        <v>481</v>
      </c>
      <c r="O471" s="182" t="s">
        <v>797</v>
      </c>
    </row>
    <row r="472" spans="2:15">
      <c r="B472" s="174" t="s">
        <v>793</v>
      </c>
      <c r="C472" s="175" t="s">
        <v>480</v>
      </c>
      <c r="D472" s="176" t="s">
        <v>481</v>
      </c>
      <c r="E472" s="177" t="s">
        <v>794</v>
      </c>
      <c r="F472" s="175">
        <f t="shared" si="15"/>
        <v>10</v>
      </c>
      <c r="G472" s="175" t="str">
        <f t="shared" si="16"/>
        <v>Houghton</v>
      </c>
      <c r="H472" s="175"/>
      <c r="I472" s="178" t="s">
        <v>795</v>
      </c>
      <c r="J472" s="27" t="s">
        <v>481</v>
      </c>
      <c r="K472" s="27">
        <v>256</v>
      </c>
      <c r="L472" s="179">
        <v>8218</v>
      </c>
      <c r="M472" s="180" t="s">
        <v>796</v>
      </c>
      <c r="N472" s="181" t="s">
        <v>481</v>
      </c>
      <c r="O472" s="182" t="s">
        <v>797</v>
      </c>
    </row>
    <row r="473" spans="2:15">
      <c r="B473" s="174" t="s">
        <v>1698</v>
      </c>
      <c r="C473" s="175" t="s">
        <v>1322</v>
      </c>
      <c r="D473" s="176" t="s">
        <v>1323</v>
      </c>
      <c r="E473" s="177" t="s">
        <v>1699</v>
      </c>
      <c r="F473" s="175">
        <f t="shared" si="15"/>
        <v>12</v>
      </c>
      <c r="G473" s="175" t="str">
        <f t="shared" si="16"/>
        <v>Des Moines</v>
      </c>
      <c r="H473" s="175"/>
      <c r="I473" s="178" t="s">
        <v>2307</v>
      </c>
      <c r="J473" s="27" t="s">
        <v>1323</v>
      </c>
      <c r="K473" s="27">
        <v>1036</v>
      </c>
      <c r="L473" s="179">
        <v>6497</v>
      </c>
      <c r="M473" s="180" t="s">
        <v>1326</v>
      </c>
      <c r="N473" s="181" t="s">
        <v>1323</v>
      </c>
      <c r="O473" s="182" t="s">
        <v>1327</v>
      </c>
    </row>
    <row r="474" spans="2:15">
      <c r="B474" s="174" t="s">
        <v>1700</v>
      </c>
      <c r="C474" s="175" t="s">
        <v>1322</v>
      </c>
      <c r="D474" s="176" t="s">
        <v>1323</v>
      </c>
      <c r="E474" s="177" t="s">
        <v>1699</v>
      </c>
      <c r="F474" s="175">
        <f t="shared" si="15"/>
        <v>12</v>
      </c>
      <c r="G474" s="175" t="str">
        <f t="shared" si="16"/>
        <v>Des Moines</v>
      </c>
      <c r="H474" s="175"/>
      <c r="I474" s="178" t="s">
        <v>2307</v>
      </c>
      <c r="J474" s="27" t="s">
        <v>1323</v>
      </c>
      <c r="K474" s="27">
        <v>1036</v>
      </c>
      <c r="L474" s="179">
        <v>6497</v>
      </c>
      <c r="M474" s="180" t="s">
        <v>1326</v>
      </c>
      <c r="N474" s="181" t="s">
        <v>1323</v>
      </c>
      <c r="O474" s="182" t="s">
        <v>1327</v>
      </c>
    </row>
    <row r="475" spans="2:15">
      <c r="B475" s="174" t="s">
        <v>1701</v>
      </c>
      <c r="C475" s="175" t="s">
        <v>1322</v>
      </c>
      <c r="D475" s="176" t="s">
        <v>1323</v>
      </c>
      <c r="E475" s="177" t="s">
        <v>1699</v>
      </c>
      <c r="F475" s="175">
        <f t="shared" si="15"/>
        <v>12</v>
      </c>
      <c r="G475" s="175" t="str">
        <f t="shared" si="16"/>
        <v>Des Moines</v>
      </c>
      <c r="H475" s="175"/>
      <c r="I475" s="178" t="s">
        <v>2307</v>
      </c>
      <c r="J475" s="27" t="s">
        <v>1323</v>
      </c>
      <c r="K475" s="27">
        <v>1036</v>
      </c>
      <c r="L475" s="179">
        <v>6497</v>
      </c>
      <c r="M475" s="180" t="s">
        <v>1326</v>
      </c>
      <c r="N475" s="181" t="s">
        <v>1323</v>
      </c>
      <c r="O475" s="182" t="s">
        <v>1327</v>
      </c>
    </row>
    <row r="476" spans="2:15">
      <c r="B476" s="174" t="s">
        <v>1702</v>
      </c>
      <c r="C476" s="175" t="s">
        <v>1322</v>
      </c>
      <c r="D476" s="176" t="s">
        <v>1323</v>
      </c>
      <c r="E476" s="177" t="s">
        <v>1699</v>
      </c>
      <c r="F476" s="175">
        <f t="shared" si="15"/>
        <v>12</v>
      </c>
      <c r="G476" s="175" t="str">
        <f t="shared" si="16"/>
        <v>Des Moines</v>
      </c>
      <c r="H476" s="175"/>
      <c r="I476" s="178" t="s">
        <v>2307</v>
      </c>
      <c r="J476" s="27" t="s">
        <v>1323</v>
      </c>
      <c r="K476" s="27">
        <v>1036</v>
      </c>
      <c r="L476" s="179">
        <v>6497</v>
      </c>
      <c r="M476" s="180" t="s">
        <v>1326</v>
      </c>
      <c r="N476" s="181" t="s">
        <v>1323</v>
      </c>
      <c r="O476" s="182" t="s">
        <v>1327</v>
      </c>
    </row>
    <row r="477" spans="2:15">
      <c r="B477" s="174" t="s">
        <v>1149</v>
      </c>
      <c r="C477" s="175" t="s">
        <v>1322</v>
      </c>
      <c r="D477" s="176" t="s">
        <v>1323</v>
      </c>
      <c r="E477" s="177" t="s">
        <v>1150</v>
      </c>
      <c r="F477" s="175">
        <f t="shared" si="15"/>
        <v>12</v>
      </c>
      <c r="G477" s="175" t="str">
        <f t="shared" si="16"/>
        <v>Mason City</v>
      </c>
      <c r="H477" s="175"/>
      <c r="I477" s="178" t="s">
        <v>2310</v>
      </c>
      <c r="J477" s="27" t="s">
        <v>1323</v>
      </c>
      <c r="K477" s="27">
        <v>702</v>
      </c>
      <c r="L477" s="179">
        <v>7406</v>
      </c>
      <c r="M477" s="180" t="s">
        <v>1326</v>
      </c>
      <c r="N477" s="181" t="s">
        <v>1323</v>
      </c>
      <c r="O477" s="182" t="s">
        <v>1327</v>
      </c>
    </row>
    <row r="478" spans="2:15">
      <c r="B478" s="174" t="s">
        <v>1937</v>
      </c>
      <c r="C478" s="175" t="s">
        <v>1322</v>
      </c>
      <c r="D478" s="176" t="s">
        <v>1323</v>
      </c>
      <c r="E478" s="177" t="s">
        <v>1938</v>
      </c>
      <c r="F478" s="175">
        <f t="shared" si="15"/>
        <v>12</v>
      </c>
      <c r="G478" s="175" t="str">
        <f t="shared" si="16"/>
        <v>Fort Dodge</v>
      </c>
      <c r="H478" s="175"/>
      <c r="I478" s="178" t="s">
        <v>1386</v>
      </c>
      <c r="J478" s="27" t="s">
        <v>1323</v>
      </c>
      <c r="K478" s="27">
        <v>907</v>
      </c>
      <c r="L478" s="179">
        <v>6893</v>
      </c>
      <c r="M478" s="178" t="s">
        <v>1387</v>
      </c>
      <c r="N478" s="27" t="s">
        <v>1323</v>
      </c>
      <c r="O478" s="182" t="s">
        <v>1388</v>
      </c>
    </row>
    <row r="479" spans="2:15">
      <c r="B479" s="174" t="s">
        <v>1812</v>
      </c>
      <c r="C479" s="175" t="s">
        <v>1322</v>
      </c>
      <c r="D479" s="176" t="s">
        <v>1323</v>
      </c>
      <c r="E479" s="177" t="s">
        <v>1813</v>
      </c>
      <c r="F479" s="175">
        <f t="shared" si="15"/>
        <v>10</v>
      </c>
      <c r="G479" s="175" t="str">
        <f t="shared" si="16"/>
        <v>Waterloo</v>
      </c>
      <c r="H479" s="175"/>
      <c r="I479" s="178" t="s">
        <v>2310</v>
      </c>
      <c r="J479" s="27" t="s">
        <v>1323</v>
      </c>
      <c r="K479" s="27">
        <v>702</v>
      </c>
      <c r="L479" s="179">
        <v>7406</v>
      </c>
      <c r="M479" s="180" t="s">
        <v>1326</v>
      </c>
      <c r="N479" s="181" t="s">
        <v>1323</v>
      </c>
      <c r="O479" s="182" t="s">
        <v>1327</v>
      </c>
    </row>
    <row r="480" spans="2:15">
      <c r="B480" s="174" t="s">
        <v>1814</v>
      </c>
      <c r="C480" s="175" t="s">
        <v>1322</v>
      </c>
      <c r="D480" s="176" t="s">
        <v>1323</v>
      </c>
      <c r="E480" s="177" t="s">
        <v>1813</v>
      </c>
      <c r="F480" s="175">
        <f t="shared" si="15"/>
        <v>10</v>
      </c>
      <c r="G480" s="175" t="str">
        <f t="shared" si="16"/>
        <v>Waterloo</v>
      </c>
      <c r="H480" s="175"/>
      <c r="I480" s="178" t="s">
        <v>2310</v>
      </c>
      <c r="J480" s="27" t="s">
        <v>1323</v>
      </c>
      <c r="K480" s="27">
        <v>702</v>
      </c>
      <c r="L480" s="179">
        <v>7406</v>
      </c>
      <c r="M480" s="180" t="s">
        <v>1326</v>
      </c>
      <c r="N480" s="181" t="s">
        <v>1323</v>
      </c>
      <c r="O480" s="182" t="s">
        <v>1327</v>
      </c>
    </row>
    <row r="481" spans="2:15">
      <c r="B481" s="174" t="s">
        <v>1661</v>
      </c>
      <c r="C481" s="175" t="s">
        <v>1322</v>
      </c>
      <c r="D481" s="176" t="s">
        <v>1323</v>
      </c>
      <c r="E481" s="177" t="s">
        <v>1662</v>
      </c>
      <c r="F481" s="175">
        <f t="shared" si="15"/>
        <v>9</v>
      </c>
      <c r="G481" s="175" t="str">
        <f t="shared" si="16"/>
        <v>Creston</v>
      </c>
      <c r="H481" s="175"/>
      <c r="I481" s="178" t="s">
        <v>2307</v>
      </c>
      <c r="J481" s="27" t="s">
        <v>1323</v>
      </c>
      <c r="K481" s="27">
        <v>1036</v>
      </c>
      <c r="L481" s="179">
        <v>6497</v>
      </c>
      <c r="M481" s="180" t="s">
        <v>1326</v>
      </c>
      <c r="N481" s="181" t="s">
        <v>1323</v>
      </c>
      <c r="O481" s="182" t="s">
        <v>1327</v>
      </c>
    </row>
    <row r="482" spans="2:15">
      <c r="B482" s="174" t="s">
        <v>2235</v>
      </c>
      <c r="C482" s="175" t="s">
        <v>1322</v>
      </c>
      <c r="D482" s="176" t="s">
        <v>1323</v>
      </c>
      <c r="E482" s="177" t="s">
        <v>2236</v>
      </c>
      <c r="F482" s="175">
        <f t="shared" si="15"/>
        <v>12</v>
      </c>
      <c r="G482" s="175" t="str">
        <f t="shared" si="16"/>
        <v>Sioux City</v>
      </c>
      <c r="H482" s="175"/>
      <c r="I482" s="178" t="s">
        <v>1386</v>
      </c>
      <c r="J482" s="27" t="s">
        <v>1323</v>
      </c>
      <c r="K482" s="27">
        <v>907</v>
      </c>
      <c r="L482" s="179">
        <v>6893</v>
      </c>
      <c r="M482" s="178" t="s">
        <v>1387</v>
      </c>
      <c r="N482" s="27" t="s">
        <v>1323</v>
      </c>
      <c r="O482" s="182" t="s">
        <v>1388</v>
      </c>
    </row>
    <row r="483" spans="2:15">
      <c r="B483" s="174" t="s">
        <v>2237</v>
      </c>
      <c r="C483" s="175" t="s">
        <v>1322</v>
      </c>
      <c r="D483" s="176" t="s">
        <v>1323</v>
      </c>
      <c r="E483" s="177" t="s">
        <v>2236</v>
      </c>
      <c r="F483" s="175">
        <f t="shared" si="15"/>
        <v>12</v>
      </c>
      <c r="G483" s="175" t="str">
        <f t="shared" si="16"/>
        <v>Sioux City</v>
      </c>
      <c r="H483" s="175"/>
      <c r="I483" s="178" t="s">
        <v>1386</v>
      </c>
      <c r="J483" s="27" t="s">
        <v>1323</v>
      </c>
      <c r="K483" s="27">
        <v>907</v>
      </c>
      <c r="L483" s="179">
        <v>6893</v>
      </c>
      <c r="M483" s="178" t="s">
        <v>1387</v>
      </c>
      <c r="N483" s="27" t="s">
        <v>1323</v>
      </c>
      <c r="O483" s="182" t="s">
        <v>1388</v>
      </c>
    </row>
    <row r="484" spans="2:15">
      <c r="B484" s="174" t="s">
        <v>1277</v>
      </c>
      <c r="C484" s="175" t="s">
        <v>1322</v>
      </c>
      <c r="D484" s="176" t="s">
        <v>1323</v>
      </c>
      <c r="E484" s="177" t="s">
        <v>1278</v>
      </c>
      <c r="F484" s="175">
        <f t="shared" si="15"/>
        <v>9</v>
      </c>
      <c r="G484" s="175" t="str">
        <f t="shared" si="16"/>
        <v>Sheldon</v>
      </c>
      <c r="H484" s="175"/>
      <c r="I484" s="178" t="s">
        <v>1279</v>
      </c>
      <c r="J484" s="27" t="s">
        <v>247</v>
      </c>
      <c r="K484" s="27">
        <v>744</v>
      </c>
      <c r="L484" s="179">
        <v>7809</v>
      </c>
      <c r="M484" s="180" t="s">
        <v>1280</v>
      </c>
      <c r="N484" s="181" t="s">
        <v>247</v>
      </c>
      <c r="O484" s="182" t="s">
        <v>1281</v>
      </c>
    </row>
    <row r="485" spans="2:15">
      <c r="B485" s="174" t="s">
        <v>1221</v>
      </c>
      <c r="C485" s="175" t="s">
        <v>1322</v>
      </c>
      <c r="D485" s="176" t="s">
        <v>1323</v>
      </c>
      <c r="E485" s="177" t="s">
        <v>1222</v>
      </c>
      <c r="F485" s="175">
        <f t="shared" si="15"/>
        <v>9</v>
      </c>
      <c r="G485" s="175" t="str">
        <f t="shared" si="16"/>
        <v>Spencer</v>
      </c>
      <c r="H485" s="175"/>
      <c r="I485" s="178" t="s">
        <v>1279</v>
      </c>
      <c r="J485" s="27" t="s">
        <v>247</v>
      </c>
      <c r="K485" s="27">
        <v>744</v>
      </c>
      <c r="L485" s="179">
        <v>7809</v>
      </c>
      <c r="M485" s="180" t="s">
        <v>1280</v>
      </c>
      <c r="N485" s="181" t="s">
        <v>247</v>
      </c>
      <c r="O485" s="182" t="s">
        <v>1281</v>
      </c>
    </row>
    <row r="486" spans="2:15">
      <c r="B486" s="174" t="s">
        <v>1384</v>
      </c>
      <c r="C486" s="175" t="s">
        <v>1322</v>
      </c>
      <c r="D486" s="176" t="s">
        <v>1323</v>
      </c>
      <c r="E486" s="177" t="s">
        <v>1385</v>
      </c>
      <c r="F486" s="175">
        <f t="shared" si="15"/>
        <v>9</v>
      </c>
      <c r="G486" s="175" t="str">
        <f t="shared" si="16"/>
        <v>Carroll</v>
      </c>
      <c r="H486" s="175"/>
      <c r="I486" s="178" t="s">
        <v>1386</v>
      </c>
      <c r="J486" s="27" t="s">
        <v>1323</v>
      </c>
      <c r="K486" s="27">
        <v>907</v>
      </c>
      <c r="L486" s="179">
        <v>6893</v>
      </c>
      <c r="M486" s="178" t="s">
        <v>1387</v>
      </c>
      <c r="N486" s="27" t="s">
        <v>1323</v>
      </c>
      <c r="O486" s="182" t="s">
        <v>1388</v>
      </c>
    </row>
    <row r="487" spans="2:15">
      <c r="B487" s="174" t="s">
        <v>1654</v>
      </c>
      <c r="C487" s="175" t="s">
        <v>1322</v>
      </c>
      <c r="D487" s="176" t="s">
        <v>1323</v>
      </c>
      <c r="E487" s="177" t="s">
        <v>1655</v>
      </c>
      <c r="F487" s="175">
        <f t="shared" si="15"/>
        <v>16</v>
      </c>
      <c r="G487" s="175" t="str">
        <f t="shared" si="16"/>
        <v>Council Bluffs</v>
      </c>
      <c r="H487" s="175"/>
      <c r="I487" s="178" t="s">
        <v>1656</v>
      </c>
      <c r="J487" s="27" t="s">
        <v>448</v>
      </c>
      <c r="K487" s="27">
        <v>1037</v>
      </c>
      <c r="L487" s="179">
        <v>6413</v>
      </c>
      <c r="M487" s="180" t="s">
        <v>1657</v>
      </c>
      <c r="N487" s="181" t="s">
        <v>448</v>
      </c>
      <c r="O487" s="182" t="s">
        <v>1658</v>
      </c>
    </row>
    <row r="488" spans="2:15">
      <c r="B488" s="174" t="s">
        <v>1282</v>
      </c>
      <c r="C488" s="175" t="s">
        <v>1322</v>
      </c>
      <c r="D488" s="176" t="s">
        <v>1323</v>
      </c>
      <c r="E488" s="177" t="s">
        <v>1283</v>
      </c>
      <c r="F488" s="175">
        <f t="shared" si="15"/>
        <v>12</v>
      </c>
      <c r="G488" s="175" t="str">
        <f t="shared" si="16"/>
        <v>Shenandoah</v>
      </c>
      <c r="H488" s="175"/>
      <c r="I488" s="178" t="s">
        <v>1656</v>
      </c>
      <c r="J488" s="27" t="s">
        <v>448</v>
      </c>
      <c r="K488" s="27">
        <v>1037</v>
      </c>
      <c r="L488" s="179">
        <v>6413</v>
      </c>
      <c r="M488" s="180" t="s">
        <v>1657</v>
      </c>
      <c r="N488" s="181" t="s">
        <v>448</v>
      </c>
      <c r="O488" s="182" t="s">
        <v>1658</v>
      </c>
    </row>
    <row r="489" spans="2:15">
      <c r="B489" s="174" t="s">
        <v>1733</v>
      </c>
      <c r="C489" s="175" t="s">
        <v>1322</v>
      </c>
      <c r="D489" s="176" t="s">
        <v>1323</v>
      </c>
      <c r="E489" s="177" t="s">
        <v>1734</v>
      </c>
      <c r="F489" s="175">
        <f t="shared" si="15"/>
        <v>9</v>
      </c>
      <c r="G489" s="175" t="str">
        <f t="shared" si="16"/>
        <v>Dubuque</v>
      </c>
      <c r="H489" s="175"/>
      <c r="I489" s="178" t="s">
        <v>1735</v>
      </c>
      <c r="J489" s="27" t="s">
        <v>1323</v>
      </c>
      <c r="K489" s="27">
        <v>593</v>
      </c>
      <c r="L489" s="179">
        <v>7327</v>
      </c>
      <c r="M489" s="180" t="s">
        <v>1326</v>
      </c>
      <c r="N489" s="181" t="s">
        <v>1323</v>
      </c>
      <c r="O489" s="182" t="s">
        <v>1327</v>
      </c>
    </row>
    <row r="490" spans="2:15">
      <c r="B490" s="174" t="s">
        <v>1688</v>
      </c>
      <c r="C490" s="175" t="s">
        <v>1322</v>
      </c>
      <c r="D490" s="176" t="s">
        <v>1323</v>
      </c>
      <c r="E490" s="177" t="s">
        <v>1689</v>
      </c>
      <c r="F490" s="175">
        <f t="shared" si="15"/>
        <v>9</v>
      </c>
      <c r="G490" s="175" t="str">
        <f t="shared" si="16"/>
        <v>Decorah</v>
      </c>
      <c r="H490" s="175"/>
      <c r="I490" s="178" t="s">
        <v>1690</v>
      </c>
      <c r="J490" s="27" t="s">
        <v>1691</v>
      </c>
      <c r="K490" s="27">
        <v>692</v>
      </c>
      <c r="L490" s="179">
        <v>7491</v>
      </c>
      <c r="M490" s="180" t="s">
        <v>1326</v>
      </c>
      <c r="N490" s="181" t="s">
        <v>1323</v>
      </c>
      <c r="O490" s="182" t="s">
        <v>1327</v>
      </c>
    </row>
    <row r="491" spans="2:15">
      <c r="B491" s="174" t="s">
        <v>2305</v>
      </c>
      <c r="C491" s="175" t="s">
        <v>1322</v>
      </c>
      <c r="D491" s="176" t="s">
        <v>1323</v>
      </c>
      <c r="E491" s="177" t="s">
        <v>2306</v>
      </c>
      <c r="F491" s="175">
        <f t="shared" si="15"/>
        <v>14</v>
      </c>
      <c r="G491" s="175" t="str">
        <f t="shared" si="16"/>
        <v>Cedar Rapids</v>
      </c>
      <c r="H491" s="175"/>
      <c r="I491" s="178" t="s">
        <v>2307</v>
      </c>
      <c r="J491" s="27" t="s">
        <v>1323</v>
      </c>
      <c r="K491" s="27">
        <v>1036</v>
      </c>
      <c r="L491" s="179">
        <v>6497</v>
      </c>
      <c r="M491" s="180" t="s">
        <v>1326</v>
      </c>
      <c r="N491" s="181" t="s">
        <v>1323</v>
      </c>
      <c r="O491" s="182" t="s">
        <v>1327</v>
      </c>
    </row>
    <row r="492" spans="2:15">
      <c r="B492" s="174" t="s">
        <v>2308</v>
      </c>
      <c r="C492" s="175" t="s">
        <v>1322</v>
      </c>
      <c r="D492" s="176" t="s">
        <v>1323</v>
      </c>
      <c r="E492" s="177" t="s">
        <v>2306</v>
      </c>
      <c r="F492" s="175">
        <f t="shared" si="15"/>
        <v>14</v>
      </c>
      <c r="G492" s="175" t="str">
        <f t="shared" si="16"/>
        <v>Cedar Rapids</v>
      </c>
      <c r="H492" s="175"/>
      <c r="I492" s="178" t="s">
        <v>2307</v>
      </c>
      <c r="J492" s="27" t="s">
        <v>1323</v>
      </c>
      <c r="K492" s="27">
        <v>1036</v>
      </c>
      <c r="L492" s="179">
        <v>6497</v>
      </c>
      <c r="M492" s="180" t="s">
        <v>1326</v>
      </c>
      <c r="N492" s="181" t="s">
        <v>1323</v>
      </c>
      <c r="O492" s="182" t="s">
        <v>1327</v>
      </c>
    </row>
    <row r="493" spans="2:15">
      <c r="B493" s="174" t="s">
        <v>2309</v>
      </c>
      <c r="C493" s="175" t="s">
        <v>1322</v>
      </c>
      <c r="D493" s="176" t="s">
        <v>1323</v>
      </c>
      <c r="E493" s="177" t="s">
        <v>2306</v>
      </c>
      <c r="F493" s="175">
        <f t="shared" si="15"/>
        <v>14</v>
      </c>
      <c r="G493" s="175" t="str">
        <f t="shared" si="16"/>
        <v>Cedar Rapids</v>
      </c>
      <c r="H493" s="175"/>
      <c r="I493" s="178" t="s">
        <v>2310</v>
      </c>
      <c r="J493" s="27" t="s">
        <v>1323</v>
      </c>
      <c r="K493" s="27">
        <v>702</v>
      </c>
      <c r="L493" s="179">
        <v>7406</v>
      </c>
      <c r="M493" s="180" t="s">
        <v>1326</v>
      </c>
      <c r="N493" s="181" t="s">
        <v>1323</v>
      </c>
      <c r="O493" s="182" t="s">
        <v>1327</v>
      </c>
    </row>
    <row r="494" spans="2:15">
      <c r="B494" s="174" t="s">
        <v>1459</v>
      </c>
      <c r="C494" s="175" t="s">
        <v>1322</v>
      </c>
      <c r="D494" s="176" t="s">
        <v>1323</v>
      </c>
      <c r="E494" s="177" t="s">
        <v>1460</v>
      </c>
      <c r="F494" s="175">
        <f t="shared" si="15"/>
        <v>9</v>
      </c>
      <c r="G494" s="175" t="str">
        <f t="shared" si="16"/>
        <v>Ottumwa</v>
      </c>
      <c r="H494" s="175"/>
      <c r="I494" s="178" t="s">
        <v>1325</v>
      </c>
      <c r="J494" s="27" t="s">
        <v>1637</v>
      </c>
      <c r="K494" s="27">
        <v>911</v>
      </c>
      <c r="L494" s="179">
        <v>6474</v>
      </c>
      <c r="M494" s="180" t="s">
        <v>1326</v>
      </c>
      <c r="N494" s="181" t="s">
        <v>1323</v>
      </c>
      <c r="O494" s="182" t="s">
        <v>1327</v>
      </c>
    </row>
    <row r="495" spans="2:15">
      <c r="B495" s="174" t="s">
        <v>1321</v>
      </c>
      <c r="C495" s="175" t="s">
        <v>1322</v>
      </c>
      <c r="D495" s="176" t="s">
        <v>1323</v>
      </c>
      <c r="E495" s="177" t="s">
        <v>1324</v>
      </c>
      <c r="F495" s="175">
        <f t="shared" si="15"/>
        <v>12</v>
      </c>
      <c r="G495" s="175" t="str">
        <f t="shared" si="16"/>
        <v>Burlington</v>
      </c>
      <c r="H495" s="175"/>
      <c r="I495" s="178" t="s">
        <v>1325</v>
      </c>
      <c r="J495" s="27" t="s">
        <v>1637</v>
      </c>
      <c r="K495" s="27">
        <v>911</v>
      </c>
      <c r="L495" s="179">
        <v>6474</v>
      </c>
      <c r="M495" s="180" t="s">
        <v>1326</v>
      </c>
      <c r="N495" s="181" t="s">
        <v>1323</v>
      </c>
      <c r="O495" s="182" t="s">
        <v>1327</v>
      </c>
    </row>
    <row r="496" spans="2:15">
      <c r="B496" s="174" t="s">
        <v>1675</v>
      </c>
      <c r="C496" s="175" t="s">
        <v>1322</v>
      </c>
      <c r="D496" s="176" t="s">
        <v>1323</v>
      </c>
      <c r="E496" s="177" t="s">
        <v>1676</v>
      </c>
      <c r="F496" s="175">
        <f t="shared" si="15"/>
        <v>11</v>
      </c>
      <c r="G496" s="175" t="str">
        <f t="shared" si="16"/>
        <v>Davenport</v>
      </c>
      <c r="H496" s="175"/>
      <c r="I496" s="178" t="s">
        <v>1325</v>
      </c>
      <c r="J496" s="27" t="s">
        <v>1637</v>
      </c>
      <c r="K496" s="27">
        <v>911</v>
      </c>
      <c r="L496" s="179">
        <v>6474</v>
      </c>
      <c r="M496" s="180" t="s">
        <v>1326</v>
      </c>
      <c r="N496" s="181" t="s">
        <v>1323</v>
      </c>
      <c r="O496" s="182" t="s">
        <v>1327</v>
      </c>
    </row>
    <row r="497" spans="2:15">
      <c r="B497" s="174" t="s">
        <v>1677</v>
      </c>
      <c r="C497" s="175" t="s">
        <v>1322</v>
      </c>
      <c r="D497" s="176" t="s">
        <v>1323</v>
      </c>
      <c r="E497" s="177" t="s">
        <v>1676</v>
      </c>
      <c r="F497" s="175">
        <f t="shared" si="15"/>
        <v>11</v>
      </c>
      <c r="G497" s="175" t="str">
        <f t="shared" si="16"/>
        <v>Davenport</v>
      </c>
      <c r="H497" s="175"/>
      <c r="I497" s="178" t="s">
        <v>1325</v>
      </c>
      <c r="J497" s="27" t="s">
        <v>1637</v>
      </c>
      <c r="K497" s="27">
        <v>911</v>
      </c>
      <c r="L497" s="179">
        <v>6474</v>
      </c>
      <c r="M497" s="180" t="s">
        <v>1326</v>
      </c>
      <c r="N497" s="181" t="s">
        <v>1323</v>
      </c>
      <c r="O497" s="182" t="s">
        <v>1327</v>
      </c>
    </row>
    <row r="498" spans="2:15">
      <c r="B498" s="174" t="s">
        <v>162</v>
      </c>
      <c r="C498" s="175" t="s">
        <v>42</v>
      </c>
      <c r="D498" s="176" t="s">
        <v>1691</v>
      </c>
      <c r="E498" s="177" t="s">
        <v>163</v>
      </c>
      <c r="F498" s="175">
        <f t="shared" si="15"/>
        <v>11</v>
      </c>
      <c r="G498" s="175" t="str">
        <f t="shared" si="16"/>
        <v>Milwaukee</v>
      </c>
      <c r="H498" s="175"/>
      <c r="I498" s="178" t="s">
        <v>935</v>
      </c>
      <c r="J498" s="27" t="s">
        <v>1691</v>
      </c>
      <c r="K498" s="27">
        <v>485</v>
      </c>
      <c r="L498" s="179">
        <v>7673</v>
      </c>
      <c r="M498" s="180" t="s">
        <v>164</v>
      </c>
      <c r="N498" s="181" t="s">
        <v>1691</v>
      </c>
      <c r="O498" s="182" t="s">
        <v>165</v>
      </c>
    </row>
    <row r="499" spans="2:15">
      <c r="B499" s="174" t="s">
        <v>166</v>
      </c>
      <c r="C499" s="175" t="s">
        <v>42</v>
      </c>
      <c r="D499" s="176" t="s">
        <v>1691</v>
      </c>
      <c r="E499" s="177" t="s">
        <v>163</v>
      </c>
      <c r="F499" s="175">
        <f t="shared" si="15"/>
        <v>11</v>
      </c>
      <c r="G499" s="175" t="str">
        <f t="shared" si="16"/>
        <v>Milwaukee</v>
      </c>
      <c r="H499" s="175"/>
      <c r="I499" s="178" t="s">
        <v>935</v>
      </c>
      <c r="J499" s="27" t="s">
        <v>1691</v>
      </c>
      <c r="K499" s="27">
        <v>485</v>
      </c>
      <c r="L499" s="179">
        <v>7673</v>
      </c>
      <c r="M499" s="180" t="s">
        <v>164</v>
      </c>
      <c r="N499" s="181" t="s">
        <v>1691</v>
      </c>
      <c r="O499" s="182" t="s">
        <v>165</v>
      </c>
    </row>
    <row r="500" spans="2:15">
      <c r="B500" s="174" t="s">
        <v>167</v>
      </c>
      <c r="C500" s="175" t="s">
        <v>42</v>
      </c>
      <c r="D500" s="176" t="s">
        <v>1691</v>
      </c>
      <c r="E500" s="177" t="s">
        <v>163</v>
      </c>
      <c r="F500" s="175">
        <f t="shared" si="15"/>
        <v>11</v>
      </c>
      <c r="G500" s="175" t="str">
        <f t="shared" si="16"/>
        <v>Milwaukee</v>
      </c>
      <c r="H500" s="175"/>
      <c r="I500" s="178" t="s">
        <v>168</v>
      </c>
      <c r="J500" s="27" t="s">
        <v>1691</v>
      </c>
      <c r="K500" s="27">
        <v>479</v>
      </c>
      <c r="L500" s="179">
        <v>7324</v>
      </c>
      <c r="M500" s="180" t="s">
        <v>164</v>
      </c>
      <c r="N500" s="181" t="s">
        <v>1691</v>
      </c>
      <c r="O500" s="182" t="s">
        <v>165</v>
      </c>
    </row>
    <row r="501" spans="2:15">
      <c r="B501" s="174" t="s">
        <v>169</v>
      </c>
      <c r="C501" s="175" t="s">
        <v>42</v>
      </c>
      <c r="D501" s="176" t="s">
        <v>1691</v>
      </c>
      <c r="E501" s="177" t="s">
        <v>163</v>
      </c>
      <c r="F501" s="175">
        <f t="shared" si="15"/>
        <v>11</v>
      </c>
      <c r="G501" s="175" t="str">
        <f t="shared" si="16"/>
        <v>Milwaukee</v>
      </c>
      <c r="H501" s="175"/>
      <c r="I501" s="178" t="s">
        <v>168</v>
      </c>
      <c r="J501" s="27" t="s">
        <v>1691</v>
      </c>
      <c r="K501" s="27">
        <v>479</v>
      </c>
      <c r="L501" s="179">
        <v>7324</v>
      </c>
      <c r="M501" s="180" t="s">
        <v>164</v>
      </c>
      <c r="N501" s="181" t="s">
        <v>1691</v>
      </c>
      <c r="O501" s="182" t="s">
        <v>165</v>
      </c>
    </row>
    <row r="502" spans="2:15">
      <c r="B502" s="174" t="s">
        <v>2483</v>
      </c>
      <c r="C502" s="175" t="s">
        <v>42</v>
      </c>
      <c r="D502" s="176" t="s">
        <v>1691</v>
      </c>
      <c r="E502" s="177" t="s">
        <v>2484</v>
      </c>
      <c r="F502" s="175">
        <f t="shared" si="15"/>
        <v>8</v>
      </c>
      <c r="G502" s="175" t="str">
        <f t="shared" si="16"/>
        <v>Racine</v>
      </c>
      <c r="H502" s="175"/>
      <c r="I502" s="178" t="s">
        <v>168</v>
      </c>
      <c r="J502" s="27" t="s">
        <v>1691</v>
      </c>
      <c r="K502" s="27">
        <v>479</v>
      </c>
      <c r="L502" s="179">
        <v>7324</v>
      </c>
      <c r="M502" s="180" t="s">
        <v>164</v>
      </c>
      <c r="N502" s="181" t="s">
        <v>1691</v>
      </c>
      <c r="O502" s="182" t="s">
        <v>165</v>
      </c>
    </row>
    <row r="503" spans="2:15">
      <c r="B503" s="174" t="s">
        <v>2166</v>
      </c>
      <c r="C503" s="175" t="s">
        <v>42</v>
      </c>
      <c r="D503" s="176" t="s">
        <v>1691</v>
      </c>
      <c r="E503" s="177" t="s">
        <v>2167</v>
      </c>
      <c r="F503" s="175">
        <f t="shared" si="15"/>
        <v>9</v>
      </c>
      <c r="G503" s="175" t="str">
        <f t="shared" si="16"/>
        <v>Madison</v>
      </c>
      <c r="H503" s="175"/>
      <c r="I503" s="178" t="s">
        <v>1690</v>
      </c>
      <c r="J503" s="27" t="s">
        <v>1691</v>
      </c>
      <c r="K503" s="27">
        <v>692</v>
      </c>
      <c r="L503" s="179">
        <v>7491</v>
      </c>
      <c r="M503" s="180" t="s">
        <v>936</v>
      </c>
      <c r="N503" s="181" t="s">
        <v>1691</v>
      </c>
      <c r="O503" s="182" t="s">
        <v>937</v>
      </c>
    </row>
    <row r="504" spans="2:15">
      <c r="B504" s="174" t="s">
        <v>2168</v>
      </c>
      <c r="C504" s="175" t="s">
        <v>42</v>
      </c>
      <c r="D504" s="176" t="s">
        <v>1691</v>
      </c>
      <c r="E504" s="177" t="s">
        <v>2167</v>
      </c>
      <c r="F504" s="175">
        <f t="shared" si="15"/>
        <v>9</v>
      </c>
      <c r="G504" s="175" t="str">
        <f t="shared" si="16"/>
        <v>Madison</v>
      </c>
      <c r="H504" s="175"/>
      <c r="I504" s="178" t="s">
        <v>1690</v>
      </c>
      <c r="J504" s="27" t="s">
        <v>1691</v>
      </c>
      <c r="K504" s="27">
        <v>692</v>
      </c>
      <c r="L504" s="179">
        <v>7491</v>
      </c>
      <c r="M504" s="180" t="s">
        <v>936</v>
      </c>
      <c r="N504" s="181" t="s">
        <v>1691</v>
      </c>
      <c r="O504" s="182" t="s">
        <v>937</v>
      </c>
    </row>
    <row r="505" spans="2:15">
      <c r="B505" s="174" t="s">
        <v>2169</v>
      </c>
      <c r="C505" s="175" t="s">
        <v>42</v>
      </c>
      <c r="D505" s="176" t="s">
        <v>1691</v>
      </c>
      <c r="E505" s="177" t="s">
        <v>2167</v>
      </c>
      <c r="F505" s="175">
        <f t="shared" si="15"/>
        <v>9</v>
      </c>
      <c r="G505" s="175" t="str">
        <f t="shared" si="16"/>
        <v>Madison</v>
      </c>
      <c r="H505" s="175"/>
      <c r="I505" s="178" t="s">
        <v>935</v>
      </c>
      <c r="J505" s="27" t="s">
        <v>1691</v>
      </c>
      <c r="K505" s="27">
        <v>485</v>
      </c>
      <c r="L505" s="179">
        <v>7673</v>
      </c>
      <c r="M505" s="180" t="s">
        <v>936</v>
      </c>
      <c r="N505" s="181" t="s">
        <v>1691</v>
      </c>
      <c r="O505" s="182" t="s">
        <v>937</v>
      </c>
    </row>
    <row r="506" spans="2:15">
      <c r="B506" s="174" t="s">
        <v>2433</v>
      </c>
      <c r="C506" s="175" t="s">
        <v>42</v>
      </c>
      <c r="D506" s="176" t="s">
        <v>1691</v>
      </c>
      <c r="E506" s="177" t="s">
        <v>2434</v>
      </c>
      <c r="F506" s="175">
        <f t="shared" si="15"/>
        <v>13</v>
      </c>
      <c r="G506" s="175" t="str">
        <f t="shared" si="16"/>
        <v>Platteville</v>
      </c>
      <c r="H506" s="175"/>
      <c r="I506" s="178" t="s">
        <v>2310</v>
      </c>
      <c r="J506" s="27" t="s">
        <v>1323</v>
      </c>
      <c r="K506" s="27">
        <v>702</v>
      </c>
      <c r="L506" s="179">
        <v>7406</v>
      </c>
      <c r="M506" s="180" t="s">
        <v>936</v>
      </c>
      <c r="N506" s="181" t="s">
        <v>1691</v>
      </c>
      <c r="O506" s="182" t="s">
        <v>937</v>
      </c>
    </row>
    <row r="507" spans="2:15">
      <c r="B507" s="174" t="s">
        <v>2448</v>
      </c>
      <c r="C507" s="175" t="s">
        <v>42</v>
      </c>
      <c r="D507" s="176" t="s">
        <v>1691</v>
      </c>
      <c r="E507" s="177" t="s">
        <v>2449</v>
      </c>
      <c r="F507" s="175">
        <f t="shared" si="15"/>
        <v>9</v>
      </c>
      <c r="G507" s="175" t="str">
        <f t="shared" si="16"/>
        <v>Portage</v>
      </c>
      <c r="H507" s="175"/>
      <c r="I507" s="178" t="s">
        <v>935</v>
      </c>
      <c r="J507" s="27" t="s">
        <v>1691</v>
      </c>
      <c r="K507" s="27">
        <v>485</v>
      </c>
      <c r="L507" s="179">
        <v>7673</v>
      </c>
      <c r="M507" s="180" t="s">
        <v>936</v>
      </c>
      <c r="N507" s="181" t="s">
        <v>1691</v>
      </c>
      <c r="O507" s="182" t="s">
        <v>937</v>
      </c>
    </row>
    <row r="508" spans="2:15">
      <c r="B508" s="174" t="s">
        <v>283</v>
      </c>
      <c r="C508" s="175" t="s">
        <v>42</v>
      </c>
      <c r="D508" s="176" t="s">
        <v>1691</v>
      </c>
      <c r="E508" s="177" t="s">
        <v>284</v>
      </c>
      <c r="F508" s="175">
        <f t="shared" si="15"/>
        <v>13</v>
      </c>
      <c r="G508" s="175" t="str">
        <f t="shared" si="16"/>
        <v>River Falls</v>
      </c>
      <c r="H508" s="175"/>
      <c r="I508" s="178" t="s">
        <v>44</v>
      </c>
      <c r="J508" s="27" t="s">
        <v>1616</v>
      </c>
      <c r="K508" s="27">
        <v>682</v>
      </c>
      <c r="L508" s="179">
        <v>7981</v>
      </c>
      <c r="M508" s="178" t="s">
        <v>675</v>
      </c>
      <c r="N508" s="27" t="s">
        <v>1616</v>
      </c>
      <c r="O508" s="182" t="s">
        <v>676</v>
      </c>
    </row>
    <row r="509" spans="2:15">
      <c r="B509" s="174" t="s">
        <v>2043</v>
      </c>
      <c r="C509" s="175" t="s">
        <v>42</v>
      </c>
      <c r="D509" s="176" t="s">
        <v>1691</v>
      </c>
      <c r="E509" s="177" t="s">
        <v>2044</v>
      </c>
      <c r="F509" s="175">
        <f t="shared" si="15"/>
        <v>11</v>
      </c>
      <c r="G509" s="175" t="str">
        <f t="shared" si="16"/>
        <v>Green Bay</v>
      </c>
      <c r="H509" s="175"/>
      <c r="I509" s="178" t="s">
        <v>2045</v>
      </c>
      <c r="J509" s="27" t="s">
        <v>1691</v>
      </c>
      <c r="K509" s="27">
        <v>381</v>
      </c>
      <c r="L509" s="179">
        <v>8089</v>
      </c>
      <c r="M509" s="180" t="s">
        <v>2046</v>
      </c>
      <c r="N509" s="181" t="s">
        <v>1691</v>
      </c>
      <c r="O509" s="182" t="s">
        <v>2047</v>
      </c>
    </row>
    <row r="510" spans="2:15">
      <c r="B510" s="174" t="s">
        <v>2048</v>
      </c>
      <c r="C510" s="175" t="s">
        <v>42</v>
      </c>
      <c r="D510" s="176" t="s">
        <v>1691</v>
      </c>
      <c r="E510" s="177" t="s">
        <v>2044</v>
      </c>
      <c r="F510" s="175">
        <f t="shared" si="15"/>
        <v>11</v>
      </c>
      <c r="G510" s="175" t="str">
        <f t="shared" si="16"/>
        <v>Green Bay</v>
      </c>
      <c r="H510" s="175"/>
      <c r="I510" s="178" t="s">
        <v>2045</v>
      </c>
      <c r="J510" s="27" t="s">
        <v>1691</v>
      </c>
      <c r="K510" s="27">
        <v>381</v>
      </c>
      <c r="L510" s="179">
        <v>8089</v>
      </c>
      <c r="M510" s="180" t="s">
        <v>2046</v>
      </c>
      <c r="N510" s="181" t="s">
        <v>1691</v>
      </c>
      <c r="O510" s="182" t="s">
        <v>2047</v>
      </c>
    </row>
    <row r="511" spans="2:15">
      <c r="B511" s="174" t="s">
        <v>2049</v>
      </c>
      <c r="C511" s="175" t="s">
        <v>42</v>
      </c>
      <c r="D511" s="176" t="s">
        <v>1691</v>
      </c>
      <c r="E511" s="177" t="s">
        <v>2044</v>
      </c>
      <c r="F511" s="175">
        <f t="shared" si="15"/>
        <v>11</v>
      </c>
      <c r="G511" s="175" t="str">
        <f t="shared" si="16"/>
        <v>Green Bay</v>
      </c>
      <c r="H511" s="175"/>
      <c r="I511" s="178" t="s">
        <v>2045</v>
      </c>
      <c r="J511" s="27" t="s">
        <v>1691</v>
      </c>
      <c r="K511" s="27">
        <v>381</v>
      </c>
      <c r="L511" s="179">
        <v>8089</v>
      </c>
      <c r="M511" s="180" t="s">
        <v>2046</v>
      </c>
      <c r="N511" s="181" t="s">
        <v>1691</v>
      </c>
      <c r="O511" s="182" t="s">
        <v>2047</v>
      </c>
    </row>
    <row r="512" spans="2:15">
      <c r="B512" s="174" t="s">
        <v>1820</v>
      </c>
      <c r="C512" s="175" t="s">
        <v>42</v>
      </c>
      <c r="D512" s="176" t="s">
        <v>1691</v>
      </c>
      <c r="E512" s="177" t="s">
        <v>1821</v>
      </c>
      <c r="F512" s="175">
        <f t="shared" si="15"/>
        <v>8</v>
      </c>
      <c r="G512" s="175" t="str">
        <f t="shared" si="16"/>
        <v>Wausau</v>
      </c>
      <c r="H512" s="175"/>
      <c r="I512" s="178" t="s">
        <v>2045</v>
      </c>
      <c r="J512" s="27" t="s">
        <v>1691</v>
      </c>
      <c r="K512" s="27">
        <v>381</v>
      </c>
      <c r="L512" s="179">
        <v>8089</v>
      </c>
      <c r="M512" s="180" t="s">
        <v>2046</v>
      </c>
      <c r="N512" s="181" t="s">
        <v>1691</v>
      </c>
      <c r="O512" s="182" t="s">
        <v>2047</v>
      </c>
    </row>
    <row r="513" spans="2:15">
      <c r="B513" s="174" t="s">
        <v>2504</v>
      </c>
      <c r="C513" s="175" t="s">
        <v>42</v>
      </c>
      <c r="D513" s="176" t="s">
        <v>1691</v>
      </c>
      <c r="E513" s="177" t="s">
        <v>2505</v>
      </c>
      <c r="F513" s="175">
        <f t="shared" si="15"/>
        <v>13</v>
      </c>
      <c r="G513" s="175" t="str">
        <f t="shared" si="16"/>
        <v>Rhinelander</v>
      </c>
      <c r="H513" s="175"/>
      <c r="I513" s="178" t="s">
        <v>795</v>
      </c>
      <c r="J513" s="27" t="s">
        <v>481</v>
      </c>
      <c r="K513" s="27">
        <v>256</v>
      </c>
      <c r="L513" s="179">
        <v>8218</v>
      </c>
      <c r="M513" s="180" t="s">
        <v>2046</v>
      </c>
      <c r="N513" s="181" t="s">
        <v>1691</v>
      </c>
      <c r="O513" s="182" t="s">
        <v>2047</v>
      </c>
    </row>
    <row r="514" spans="2:15">
      <c r="B514" s="174" t="s">
        <v>933</v>
      </c>
      <c r="C514" s="175" t="s">
        <v>42</v>
      </c>
      <c r="D514" s="176" t="s">
        <v>1691</v>
      </c>
      <c r="E514" s="177" t="s">
        <v>934</v>
      </c>
      <c r="F514" s="175">
        <f t="shared" si="15"/>
        <v>11</v>
      </c>
      <c r="G514" s="175" t="str">
        <f t="shared" si="16"/>
        <v>La Crosse</v>
      </c>
      <c r="H514" s="175"/>
      <c r="I514" s="178" t="s">
        <v>935</v>
      </c>
      <c r="J514" s="27" t="s">
        <v>1691</v>
      </c>
      <c r="K514" s="27">
        <v>485</v>
      </c>
      <c r="L514" s="179">
        <v>7673</v>
      </c>
      <c r="M514" s="180" t="s">
        <v>936</v>
      </c>
      <c r="N514" s="181" t="s">
        <v>1691</v>
      </c>
      <c r="O514" s="182" t="s">
        <v>937</v>
      </c>
    </row>
    <row r="515" spans="2:15">
      <c r="B515" s="174" t="s">
        <v>528</v>
      </c>
      <c r="C515" s="175" t="s">
        <v>42</v>
      </c>
      <c r="D515" s="176" t="s">
        <v>1691</v>
      </c>
      <c r="E515" s="177" t="s">
        <v>43</v>
      </c>
      <c r="F515" s="175">
        <f t="shared" si="15"/>
        <v>12</v>
      </c>
      <c r="G515" s="175" t="str">
        <f t="shared" si="16"/>
        <v>Eau Claire</v>
      </c>
      <c r="H515" s="175"/>
      <c r="I515" s="178" t="s">
        <v>44</v>
      </c>
      <c r="J515" s="27" t="s">
        <v>1616</v>
      </c>
      <c r="K515" s="27">
        <v>682</v>
      </c>
      <c r="L515" s="179">
        <v>7981</v>
      </c>
      <c r="M515" s="178" t="s">
        <v>675</v>
      </c>
      <c r="N515" s="27" t="s">
        <v>1616</v>
      </c>
      <c r="O515" s="182" t="s">
        <v>676</v>
      </c>
    </row>
    <row r="516" spans="2:15">
      <c r="B516" s="174" t="s">
        <v>1227</v>
      </c>
      <c r="C516" s="175" t="s">
        <v>42</v>
      </c>
      <c r="D516" s="176" t="s">
        <v>1691</v>
      </c>
      <c r="E516" s="177" t="s">
        <v>1228</v>
      </c>
      <c r="F516" s="175">
        <f t="shared" si="15"/>
        <v>9</v>
      </c>
      <c r="G516" s="175" t="str">
        <f t="shared" si="16"/>
        <v>Spooner</v>
      </c>
      <c r="H516" s="175"/>
      <c r="I516" s="178" t="s">
        <v>674</v>
      </c>
      <c r="J516" s="27" t="s">
        <v>1616</v>
      </c>
      <c r="K516" s="27">
        <v>415</v>
      </c>
      <c r="L516" s="179">
        <v>8928</v>
      </c>
      <c r="M516" s="180" t="s">
        <v>936</v>
      </c>
      <c r="N516" s="181" t="s">
        <v>1691</v>
      </c>
      <c r="O516" s="182" t="s">
        <v>937</v>
      </c>
    </row>
    <row r="517" spans="2:15">
      <c r="B517" s="174" t="s">
        <v>1457</v>
      </c>
      <c r="C517" s="175" t="s">
        <v>42</v>
      </c>
      <c r="D517" s="176" t="s">
        <v>1691</v>
      </c>
      <c r="E517" s="177" t="s">
        <v>1458</v>
      </c>
      <c r="F517" s="175">
        <f t="shared" si="15"/>
        <v>9</v>
      </c>
      <c r="G517" s="175" t="str">
        <f t="shared" si="16"/>
        <v>Oshkosh</v>
      </c>
      <c r="H517" s="175"/>
      <c r="I517" s="178" t="s">
        <v>1690</v>
      </c>
      <c r="J517" s="27" t="s">
        <v>1691</v>
      </c>
      <c r="K517" s="27">
        <v>692</v>
      </c>
      <c r="L517" s="179">
        <v>7491</v>
      </c>
      <c r="M517" s="180" t="s">
        <v>936</v>
      </c>
      <c r="N517" s="181" t="s">
        <v>1691</v>
      </c>
      <c r="O517" s="182" t="s">
        <v>937</v>
      </c>
    </row>
    <row r="518" spans="2:15">
      <c r="B518" s="174" t="s">
        <v>346</v>
      </c>
      <c r="C518" s="175" t="s">
        <v>1615</v>
      </c>
      <c r="D518" s="176" t="s">
        <v>1616</v>
      </c>
      <c r="E518" s="177" t="s">
        <v>347</v>
      </c>
      <c r="F518" s="175">
        <f t="shared" si="15"/>
        <v>12</v>
      </c>
      <c r="G518" s="175" t="str">
        <f t="shared" si="16"/>
        <v>Saint Paul</v>
      </c>
      <c r="H518" s="175"/>
      <c r="I518" s="178" t="s">
        <v>44</v>
      </c>
      <c r="J518" s="27" t="s">
        <v>1616</v>
      </c>
      <c r="K518" s="27">
        <v>682</v>
      </c>
      <c r="L518" s="179">
        <v>7981</v>
      </c>
      <c r="M518" s="178" t="s">
        <v>675</v>
      </c>
      <c r="N518" s="27" t="s">
        <v>1616</v>
      </c>
      <c r="O518" s="182" t="s">
        <v>676</v>
      </c>
    </row>
    <row r="519" spans="2:15">
      <c r="B519" s="174" t="s">
        <v>348</v>
      </c>
      <c r="C519" s="175" t="s">
        <v>1615</v>
      </c>
      <c r="D519" s="176" t="s">
        <v>1616</v>
      </c>
      <c r="E519" s="177" t="s">
        <v>347</v>
      </c>
      <c r="F519" s="175">
        <f t="shared" si="15"/>
        <v>12</v>
      </c>
      <c r="G519" s="175" t="str">
        <f t="shared" si="16"/>
        <v>Saint Paul</v>
      </c>
      <c r="H519" s="175"/>
      <c r="I519" s="178" t="s">
        <v>44</v>
      </c>
      <c r="J519" s="27" t="s">
        <v>1616</v>
      </c>
      <c r="K519" s="27">
        <v>682</v>
      </c>
      <c r="L519" s="179">
        <v>7981</v>
      </c>
      <c r="M519" s="178" t="s">
        <v>675</v>
      </c>
      <c r="N519" s="27" t="s">
        <v>1616</v>
      </c>
      <c r="O519" s="182" t="s">
        <v>676</v>
      </c>
    </row>
    <row r="520" spans="2:15">
      <c r="B520" s="174" t="s">
        <v>170</v>
      </c>
      <c r="C520" s="175" t="s">
        <v>1615</v>
      </c>
      <c r="D520" s="176" t="s">
        <v>1616</v>
      </c>
      <c r="E520" s="177" t="s">
        <v>171</v>
      </c>
      <c r="F520" s="175">
        <f t="shared" si="15"/>
        <v>13</v>
      </c>
      <c r="G520" s="175" t="str">
        <f t="shared" si="16"/>
        <v>Minneapolis</v>
      </c>
      <c r="H520" s="175"/>
      <c r="I520" s="178" t="s">
        <v>44</v>
      </c>
      <c r="J520" s="27" t="s">
        <v>1616</v>
      </c>
      <c r="K520" s="27">
        <v>682</v>
      </c>
      <c r="L520" s="179">
        <v>7981</v>
      </c>
      <c r="M520" s="178" t="s">
        <v>675</v>
      </c>
      <c r="N520" s="27" t="s">
        <v>1616</v>
      </c>
      <c r="O520" s="182" t="s">
        <v>676</v>
      </c>
    </row>
    <row r="521" spans="2:15">
      <c r="B521" s="174" t="s">
        <v>172</v>
      </c>
      <c r="C521" s="175" t="s">
        <v>1615</v>
      </c>
      <c r="D521" s="176" t="s">
        <v>1616</v>
      </c>
      <c r="E521" s="177" t="s">
        <v>171</v>
      </c>
      <c r="F521" s="175">
        <f t="shared" si="15"/>
        <v>13</v>
      </c>
      <c r="G521" s="175" t="str">
        <f t="shared" si="16"/>
        <v>Minneapolis</v>
      </c>
      <c r="H521" s="175"/>
      <c r="I521" s="178" t="s">
        <v>44</v>
      </c>
      <c r="J521" s="27" t="s">
        <v>1616</v>
      </c>
      <c r="K521" s="27">
        <v>682</v>
      </c>
      <c r="L521" s="179">
        <v>7981</v>
      </c>
      <c r="M521" s="178" t="s">
        <v>675</v>
      </c>
      <c r="N521" s="27" t="s">
        <v>1616</v>
      </c>
      <c r="O521" s="182" t="s">
        <v>676</v>
      </c>
    </row>
    <row r="522" spans="2:15">
      <c r="B522" s="174" t="s">
        <v>1736</v>
      </c>
      <c r="C522" s="175" t="s">
        <v>1615</v>
      </c>
      <c r="D522" s="176" t="s">
        <v>1616</v>
      </c>
      <c r="E522" s="177" t="s">
        <v>1737</v>
      </c>
      <c r="F522" s="175">
        <f t="shared" ref="F522:F585" si="17">LEN(E522)</f>
        <v>8</v>
      </c>
      <c r="G522" s="175" t="str">
        <f t="shared" ref="G522:G585" si="18">MID(E522,2,F522-2)</f>
        <v>Duluth</v>
      </c>
      <c r="H522" s="175"/>
      <c r="I522" s="178" t="s">
        <v>1738</v>
      </c>
      <c r="J522" s="27" t="s">
        <v>1616</v>
      </c>
      <c r="K522" s="27">
        <v>180</v>
      </c>
      <c r="L522" s="179">
        <v>9818</v>
      </c>
      <c r="M522" s="180" t="s">
        <v>1619</v>
      </c>
      <c r="N522" s="181" t="s">
        <v>1616</v>
      </c>
      <c r="O522" s="182" t="s">
        <v>1620</v>
      </c>
    </row>
    <row r="523" spans="2:15">
      <c r="B523" s="174" t="s">
        <v>1739</v>
      </c>
      <c r="C523" s="175" t="s">
        <v>1615</v>
      </c>
      <c r="D523" s="176" t="s">
        <v>1616</v>
      </c>
      <c r="E523" s="177" t="s">
        <v>1737</v>
      </c>
      <c r="F523" s="175">
        <f t="shared" si="17"/>
        <v>8</v>
      </c>
      <c r="G523" s="175" t="str">
        <f t="shared" si="18"/>
        <v>Duluth</v>
      </c>
      <c r="H523" s="175"/>
      <c r="I523" s="178" t="s">
        <v>1738</v>
      </c>
      <c r="J523" s="27" t="s">
        <v>1616</v>
      </c>
      <c r="K523" s="27">
        <v>180</v>
      </c>
      <c r="L523" s="179">
        <v>9818</v>
      </c>
      <c r="M523" s="180" t="s">
        <v>1619</v>
      </c>
      <c r="N523" s="181" t="s">
        <v>1616</v>
      </c>
      <c r="O523" s="182" t="s">
        <v>1620</v>
      </c>
    </row>
    <row r="524" spans="2:15">
      <c r="B524" s="174" t="s">
        <v>1740</v>
      </c>
      <c r="C524" s="175" t="s">
        <v>1615</v>
      </c>
      <c r="D524" s="176" t="s">
        <v>1616</v>
      </c>
      <c r="E524" s="177" t="s">
        <v>1737</v>
      </c>
      <c r="F524" s="175">
        <f t="shared" si="17"/>
        <v>8</v>
      </c>
      <c r="G524" s="175" t="str">
        <f t="shared" si="18"/>
        <v>Duluth</v>
      </c>
      <c r="H524" s="175"/>
      <c r="I524" s="178" t="s">
        <v>1738</v>
      </c>
      <c r="J524" s="27" t="s">
        <v>1616</v>
      </c>
      <c r="K524" s="27">
        <v>180</v>
      </c>
      <c r="L524" s="179">
        <v>9818</v>
      </c>
      <c r="M524" s="180" t="s">
        <v>1619</v>
      </c>
      <c r="N524" s="181" t="s">
        <v>1616</v>
      </c>
      <c r="O524" s="182" t="s">
        <v>1620</v>
      </c>
    </row>
    <row r="525" spans="2:15">
      <c r="B525" s="174" t="s">
        <v>294</v>
      </c>
      <c r="C525" s="175" t="s">
        <v>1615</v>
      </c>
      <c r="D525" s="176" t="s">
        <v>1616</v>
      </c>
      <c r="E525" s="177" t="s">
        <v>295</v>
      </c>
      <c r="F525" s="175">
        <f t="shared" si="17"/>
        <v>11</v>
      </c>
      <c r="G525" s="175" t="str">
        <f t="shared" si="18"/>
        <v>Rochester</v>
      </c>
      <c r="H525" s="175"/>
      <c r="I525" s="178" t="s">
        <v>1138</v>
      </c>
      <c r="J525" s="27" t="s">
        <v>1616</v>
      </c>
      <c r="K525" s="27">
        <v>472</v>
      </c>
      <c r="L525" s="179">
        <v>8250</v>
      </c>
      <c r="M525" s="178" t="s">
        <v>675</v>
      </c>
      <c r="N525" s="27" t="s">
        <v>1616</v>
      </c>
      <c r="O525" s="182" t="s">
        <v>676</v>
      </c>
    </row>
    <row r="526" spans="2:15">
      <c r="B526" s="174" t="s">
        <v>1136</v>
      </c>
      <c r="C526" s="175" t="s">
        <v>1615</v>
      </c>
      <c r="D526" s="176" t="s">
        <v>1616</v>
      </c>
      <c r="E526" s="177" t="s">
        <v>1137</v>
      </c>
      <c r="F526" s="175">
        <f t="shared" si="17"/>
        <v>9</v>
      </c>
      <c r="G526" s="175" t="str">
        <f t="shared" si="18"/>
        <v>Mankato</v>
      </c>
      <c r="H526" s="175"/>
      <c r="I526" s="178" t="s">
        <v>1138</v>
      </c>
      <c r="J526" s="27" t="s">
        <v>1616</v>
      </c>
      <c r="K526" s="27">
        <v>472</v>
      </c>
      <c r="L526" s="179">
        <v>8250</v>
      </c>
      <c r="M526" s="178" t="s">
        <v>675</v>
      </c>
      <c r="N526" s="27" t="s">
        <v>1616</v>
      </c>
      <c r="O526" s="182" t="s">
        <v>676</v>
      </c>
    </row>
    <row r="527" spans="2:15">
      <c r="B527" s="174" t="s">
        <v>727</v>
      </c>
      <c r="C527" s="175" t="s">
        <v>1615</v>
      </c>
      <c r="D527" s="176" t="s">
        <v>1616</v>
      </c>
      <c r="E527" s="177" t="s">
        <v>728</v>
      </c>
      <c r="F527" s="175">
        <f t="shared" si="17"/>
        <v>8</v>
      </c>
      <c r="G527" s="175" t="str">
        <f t="shared" si="18"/>
        <v>Windom</v>
      </c>
      <c r="H527" s="175"/>
      <c r="I527" s="178" t="s">
        <v>1279</v>
      </c>
      <c r="J527" s="27" t="s">
        <v>247</v>
      </c>
      <c r="K527" s="27">
        <v>744</v>
      </c>
      <c r="L527" s="179">
        <v>7809</v>
      </c>
      <c r="M527" s="180" t="s">
        <v>1280</v>
      </c>
      <c r="N527" s="181" t="s">
        <v>247</v>
      </c>
      <c r="O527" s="182" t="s">
        <v>1281</v>
      </c>
    </row>
    <row r="528" spans="2:15">
      <c r="B528" s="174" t="s">
        <v>718</v>
      </c>
      <c r="C528" s="175" t="s">
        <v>1615</v>
      </c>
      <c r="D528" s="176" t="s">
        <v>1616</v>
      </c>
      <c r="E528" s="177" t="s">
        <v>719</v>
      </c>
      <c r="F528" s="175">
        <f t="shared" si="17"/>
        <v>9</v>
      </c>
      <c r="G528" s="175" t="str">
        <f t="shared" si="18"/>
        <v>Willmar</v>
      </c>
      <c r="H528" s="175"/>
      <c r="I528" s="178" t="s">
        <v>720</v>
      </c>
      <c r="J528" s="27" t="s">
        <v>247</v>
      </c>
      <c r="K528" s="27">
        <v>743</v>
      </c>
      <c r="L528" s="179">
        <v>7923</v>
      </c>
      <c r="M528" s="178" t="s">
        <v>675</v>
      </c>
      <c r="N528" s="27" t="s">
        <v>1616</v>
      </c>
      <c r="O528" s="182" t="s">
        <v>676</v>
      </c>
    </row>
    <row r="529" spans="2:15">
      <c r="B529" s="174" t="s">
        <v>337</v>
      </c>
      <c r="C529" s="175" t="s">
        <v>1615</v>
      </c>
      <c r="D529" s="176" t="s">
        <v>1616</v>
      </c>
      <c r="E529" s="177" t="s">
        <v>338</v>
      </c>
      <c r="F529" s="175">
        <f t="shared" si="17"/>
        <v>13</v>
      </c>
      <c r="G529" s="175" t="str">
        <f t="shared" si="18"/>
        <v>Saint Cloud</v>
      </c>
      <c r="H529" s="175"/>
      <c r="I529" s="178" t="s">
        <v>674</v>
      </c>
      <c r="J529" s="27" t="s">
        <v>1616</v>
      </c>
      <c r="K529" s="27">
        <v>415</v>
      </c>
      <c r="L529" s="179">
        <v>8928</v>
      </c>
      <c r="M529" s="178" t="s">
        <v>675</v>
      </c>
      <c r="N529" s="27" t="s">
        <v>1616</v>
      </c>
      <c r="O529" s="182" t="s">
        <v>676</v>
      </c>
    </row>
    <row r="530" spans="2:15">
      <c r="B530" s="174" t="s">
        <v>672</v>
      </c>
      <c r="C530" s="175" t="s">
        <v>1615</v>
      </c>
      <c r="D530" s="176" t="s">
        <v>1616</v>
      </c>
      <c r="E530" s="177" t="s">
        <v>673</v>
      </c>
      <c r="F530" s="175">
        <f t="shared" si="17"/>
        <v>10</v>
      </c>
      <c r="G530" s="175" t="str">
        <f t="shared" si="18"/>
        <v>Brainerd</v>
      </c>
      <c r="H530" s="175"/>
      <c r="I530" s="178" t="s">
        <v>674</v>
      </c>
      <c r="J530" s="27" t="s">
        <v>1616</v>
      </c>
      <c r="K530" s="27">
        <v>415</v>
      </c>
      <c r="L530" s="179">
        <v>8928</v>
      </c>
      <c r="M530" s="178" t="s">
        <v>675</v>
      </c>
      <c r="N530" s="27" t="s">
        <v>1616</v>
      </c>
      <c r="O530" s="182" t="s">
        <v>676</v>
      </c>
    </row>
    <row r="531" spans="2:15">
      <c r="B531" s="174" t="s">
        <v>1703</v>
      </c>
      <c r="C531" s="175" t="s">
        <v>1615</v>
      </c>
      <c r="D531" s="176" t="s">
        <v>1616</v>
      </c>
      <c r="E531" s="177" t="s">
        <v>1704</v>
      </c>
      <c r="F531" s="175">
        <f t="shared" si="17"/>
        <v>15</v>
      </c>
      <c r="G531" s="175" t="str">
        <f t="shared" si="18"/>
        <v>Detroit Lakes</v>
      </c>
      <c r="H531" s="175"/>
      <c r="I531" s="178" t="s">
        <v>1705</v>
      </c>
      <c r="J531" s="27" t="s">
        <v>251</v>
      </c>
      <c r="K531" s="27">
        <v>537</v>
      </c>
      <c r="L531" s="179">
        <v>9254</v>
      </c>
      <c r="M531" s="180" t="s">
        <v>250</v>
      </c>
      <c r="N531" s="181" t="s">
        <v>251</v>
      </c>
      <c r="O531" s="182" t="s">
        <v>252</v>
      </c>
    </row>
    <row r="532" spans="2:15">
      <c r="B532" s="174" t="s">
        <v>1614</v>
      </c>
      <c r="C532" s="175" t="s">
        <v>1615</v>
      </c>
      <c r="D532" s="176" t="s">
        <v>1616</v>
      </c>
      <c r="E532" s="177" t="s">
        <v>1617</v>
      </c>
      <c r="F532" s="175">
        <f t="shared" si="17"/>
        <v>9</v>
      </c>
      <c r="G532" s="175" t="str">
        <f t="shared" si="18"/>
        <v>Bemidji</v>
      </c>
      <c r="H532" s="175"/>
      <c r="I532" s="178" t="s">
        <v>1618</v>
      </c>
      <c r="J532" s="27" t="s">
        <v>1616</v>
      </c>
      <c r="K532" s="27">
        <v>249</v>
      </c>
      <c r="L532" s="179">
        <v>10487</v>
      </c>
      <c r="M532" s="180" t="s">
        <v>1619</v>
      </c>
      <c r="N532" s="181" t="s">
        <v>1616</v>
      </c>
      <c r="O532" s="182" t="s">
        <v>1620</v>
      </c>
    </row>
    <row r="533" spans="2:15">
      <c r="B533" s="174" t="s">
        <v>855</v>
      </c>
      <c r="C533" s="175" t="s">
        <v>1615</v>
      </c>
      <c r="D533" s="176" t="s">
        <v>1616</v>
      </c>
      <c r="E533" s="177" t="s">
        <v>856</v>
      </c>
      <c r="F533" s="175">
        <f t="shared" si="17"/>
        <v>19</v>
      </c>
      <c r="G533" s="175" t="str">
        <f t="shared" si="18"/>
        <v>Thief River Falls</v>
      </c>
      <c r="H533" s="175"/>
      <c r="I533" s="178" t="s">
        <v>1705</v>
      </c>
      <c r="J533" s="27" t="s">
        <v>251</v>
      </c>
      <c r="K533" s="27">
        <v>537</v>
      </c>
      <c r="L533" s="179">
        <v>9254</v>
      </c>
      <c r="M533" s="180" t="s">
        <v>250</v>
      </c>
      <c r="N533" s="181" t="s">
        <v>251</v>
      </c>
      <c r="O533" s="182" t="s">
        <v>252</v>
      </c>
    </row>
    <row r="534" spans="2:15">
      <c r="B534" s="174" t="s">
        <v>2238</v>
      </c>
      <c r="C534" s="175" t="s">
        <v>246</v>
      </c>
      <c r="D534" s="176" t="s">
        <v>247</v>
      </c>
      <c r="E534" s="177" t="s">
        <v>2239</v>
      </c>
      <c r="F534" s="175">
        <f t="shared" si="17"/>
        <v>13</v>
      </c>
      <c r="G534" s="175" t="str">
        <f t="shared" si="18"/>
        <v>Sioux Falls</v>
      </c>
      <c r="H534" s="175"/>
      <c r="I534" s="178" t="s">
        <v>1279</v>
      </c>
      <c r="J534" s="27" t="s">
        <v>247</v>
      </c>
      <c r="K534" s="27">
        <v>744</v>
      </c>
      <c r="L534" s="179">
        <v>7809</v>
      </c>
      <c r="M534" s="180" t="s">
        <v>1280</v>
      </c>
      <c r="N534" s="181" t="s">
        <v>247</v>
      </c>
      <c r="O534" s="182" t="s">
        <v>1281</v>
      </c>
    </row>
    <row r="535" spans="2:15">
      <c r="B535" s="174" t="s">
        <v>2240</v>
      </c>
      <c r="C535" s="175" t="s">
        <v>246</v>
      </c>
      <c r="D535" s="176" t="s">
        <v>247</v>
      </c>
      <c r="E535" s="177" t="s">
        <v>2239</v>
      </c>
      <c r="F535" s="175">
        <f t="shared" si="17"/>
        <v>13</v>
      </c>
      <c r="G535" s="175" t="str">
        <f t="shared" si="18"/>
        <v>Sioux Falls</v>
      </c>
      <c r="H535" s="175"/>
      <c r="I535" s="178" t="s">
        <v>1279</v>
      </c>
      <c r="J535" s="27" t="s">
        <v>247</v>
      </c>
      <c r="K535" s="27">
        <v>744</v>
      </c>
      <c r="L535" s="179">
        <v>7809</v>
      </c>
      <c r="M535" s="180" t="s">
        <v>1280</v>
      </c>
      <c r="N535" s="181" t="s">
        <v>247</v>
      </c>
      <c r="O535" s="182" t="s">
        <v>1281</v>
      </c>
    </row>
    <row r="536" spans="2:15">
      <c r="B536" s="174" t="s">
        <v>1817</v>
      </c>
      <c r="C536" s="175" t="s">
        <v>246</v>
      </c>
      <c r="D536" s="176" t="s">
        <v>247</v>
      </c>
      <c r="E536" s="177" t="s">
        <v>1816</v>
      </c>
      <c r="F536" s="175">
        <f t="shared" si="17"/>
        <v>11</v>
      </c>
      <c r="G536" s="175" t="str">
        <f t="shared" si="18"/>
        <v>Watertown</v>
      </c>
      <c r="H536" s="175"/>
      <c r="I536" s="178" t="s">
        <v>1705</v>
      </c>
      <c r="J536" s="27" t="s">
        <v>251</v>
      </c>
      <c r="K536" s="27">
        <v>537</v>
      </c>
      <c r="L536" s="179">
        <v>9254</v>
      </c>
      <c r="M536" s="180" t="s">
        <v>250</v>
      </c>
      <c r="N536" s="181" t="s">
        <v>251</v>
      </c>
      <c r="O536" s="182" t="s">
        <v>252</v>
      </c>
    </row>
    <row r="537" spans="2:15">
      <c r="B537" s="174" t="s">
        <v>180</v>
      </c>
      <c r="C537" s="175" t="s">
        <v>246</v>
      </c>
      <c r="D537" s="176" t="s">
        <v>247</v>
      </c>
      <c r="E537" s="177" t="s">
        <v>181</v>
      </c>
      <c r="F537" s="175">
        <f t="shared" si="17"/>
        <v>10</v>
      </c>
      <c r="G537" s="175" t="str">
        <f t="shared" si="18"/>
        <v>Mitchell</v>
      </c>
      <c r="H537" s="175"/>
      <c r="I537" s="178" t="s">
        <v>450</v>
      </c>
      <c r="J537" s="27" t="s">
        <v>247</v>
      </c>
      <c r="K537" s="27">
        <v>611</v>
      </c>
      <c r="L537" s="179">
        <v>7301</v>
      </c>
      <c r="M537" s="180" t="s">
        <v>451</v>
      </c>
      <c r="N537" s="181" t="s">
        <v>247</v>
      </c>
      <c r="O537" s="182" t="s">
        <v>452</v>
      </c>
    </row>
    <row r="538" spans="2:15">
      <c r="B538" s="174" t="s">
        <v>245</v>
      </c>
      <c r="C538" s="175" t="s">
        <v>246</v>
      </c>
      <c r="D538" s="176" t="s">
        <v>247</v>
      </c>
      <c r="E538" s="177" t="s">
        <v>248</v>
      </c>
      <c r="F538" s="175">
        <f t="shared" si="17"/>
        <v>10</v>
      </c>
      <c r="G538" s="175" t="str">
        <f t="shared" si="18"/>
        <v>Aberdeen</v>
      </c>
      <c r="H538" s="175"/>
      <c r="I538" s="178" t="s">
        <v>249</v>
      </c>
      <c r="J538" s="27" t="s">
        <v>247</v>
      </c>
      <c r="K538" s="27">
        <v>633</v>
      </c>
      <c r="L538" s="179">
        <v>8446</v>
      </c>
      <c r="M538" s="180" t="s">
        <v>250</v>
      </c>
      <c r="N538" s="181" t="s">
        <v>251</v>
      </c>
      <c r="O538" s="182" t="s">
        <v>252</v>
      </c>
    </row>
    <row r="539" spans="2:15">
      <c r="B539" s="174" t="s">
        <v>2419</v>
      </c>
      <c r="C539" s="175" t="s">
        <v>246</v>
      </c>
      <c r="D539" s="176" t="s">
        <v>247</v>
      </c>
      <c r="E539" s="177" t="s">
        <v>2420</v>
      </c>
      <c r="F539" s="175">
        <f t="shared" si="17"/>
        <v>8</v>
      </c>
      <c r="G539" s="175" t="str">
        <f t="shared" si="18"/>
        <v>Pierre</v>
      </c>
      <c r="H539" s="175"/>
      <c r="I539" s="178" t="s">
        <v>450</v>
      </c>
      <c r="J539" s="27" t="s">
        <v>247</v>
      </c>
      <c r="K539" s="27">
        <v>611</v>
      </c>
      <c r="L539" s="179">
        <v>7301</v>
      </c>
      <c r="M539" s="180" t="s">
        <v>451</v>
      </c>
      <c r="N539" s="181" t="s">
        <v>247</v>
      </c>
      <c r="O539" s="182" t="s">
        <v>452</v>
      </c>
    </row>
    <row r="540" spans="2:15">
      <c r="B540" s="174" t="s">
        <v>185</v>
      </c>
      <c r="C540" s="175" t="s">
        <v>246</v>
      </c>
      <c r="D540" s="176" t="s">
        <v>247</v>
      </c>
      <c r="E540" s="177" t="s">
        <v>186</v>
      </c>
      <c r="F540" s="175">
        <f t="shared" si="17"/>
        <v>10</v>
      </c>
      <c r="G540" s="175" t="str">
        <f t="shared" si="18"/>
        <v>Mobridge</v>
      </c>
      <c r="H540" s="175"/>
      <c r="I540" s="178" t="s">
        <v>1632</v>
      </c>
      <c r="J540" s="27" t="s">
        <v>251</v>
      </c>
      <c r="K540" s="27">
        <v>488</v>
      </c>
      <c r="L540" s="179">
        <v>8968</v>
      </c>
      <c r="M540" s="180" t="s">
        <v>1633</v>
      </c>
      <c r="N540" s="181" t="s">
        <v>251</v>
      </c>
      <c r="O540" s="182" t="s">
        <v>1634</v>
      </c>
    </row>
    <row r="541" spans="2:15">
      <c r="B541" s="174" t="s">
        <v>2488</v>
      </c>
      <c r="C541" s="175" t="s">
        <v>246</v>
      </c>
      <c r="D541" s="176" t="s">
        <v>247</v>
      </c>
      <c r="E541" s="177" t="s">
        <v>2489</v>
      </c>
      <c r="F541" s="175">
        <f t="shared" si="17"/>
        <v>12</v>
      </c>
      <c r="G541" s="175" t="str">
        <f t="shared" si="18"/>
        <v>Rapid City</v>
      </c>
      <c r="H541" s="175"/>
      <c r="I541" s="178" t="s">
        <v>450</v>
      </c>
      <c r="J541" s="27" t="s">
        <v>247</v>
      </c>
      <c r="K541" s="27">
        <v>611</v>
      </c>
      <c r="L541" s="179">
        <v>7301</v>
      </c>
      <c r="M541" s="180" t="s">
        <v>451</v>
      </c>
      <c r="N541" s="181" t="s">
        <v>247</v>
      </c>
      <c r="O541" s="182" t="s">
        <v>452</v>
      </c>
    </row>
    <row r="542" spans="2:15">
      <c r="B542" s="174" t="s">
        <v>1905</v>
      </c>
      <c r="C542" s="175" t="s">
        <v>1434</v>
      </c>
      <c r="D542" s="176" t="s">
        <v>251</v>
      </c>
      <c r="E542" s="177" t="s">
        <v>1906</v>
      </c>
      <c r="F542" s="175">
        <f t="shared" si="17"/>
        <v>7</v>
      </c>
      <c r="G542" s="175" t="str">
        <f t="shared" si="18"/>
        <v>Fargo</v>
      </c>
      <c r="H542" s="175"/>
      <c r="I542" s="178" t="s">
        <v>1705</v>
      </c>
      <c r="J542" s="27" t="s">
        <v>251</v>
      </c>
      <c r="K542" s="27">
        <v>537</v>
      </c>
      <c r="L542" s="179">
        <v>9254</v>
      </c>
      <c r="M542" s="180" t="s">
        <v>250</v>
      </c>
      <c r="N542" s="181" t="s">
        <v>251</v>
      </c>
      <c r="O542" s="182" t="s">
        <v>252</v>
      </c>
    </row>
    <row r="543" spans="2:15">
      <c r="B543" s="174" t="s">
        <v>1907</v>
      </c>
      <c r="C543" s="175" t="s">
        <v>1434</v>
      </c>
      <c r="D543" s="176" t="s">
        <v>251</v>
      </c>
      <c r="E543" s="177" t="s">
        <v>1906</v>
      </c>
      <c r="F543" s="175">
        <f t="shared" si="17"/>
        <v>7</v>
      </c>
      <c r="G543" s="175" t="str">
        <f t="shared" si="18"/>
        <v>Fargo</v>
      </c>
      <c r="H543" s="175"/>
      <c r="I543" s="178" t="s">
        <v>1705</v>
      </c>
      <c r="J543" s="27" t="s">
        <v>251</v>
      </c>
      <c r="K543" s="27">
        <v>537</v>
      </c>
      <c r="L543" s="179">
        <v>9254</v>
      </c>
      <c r="M543" s="180" t="s">
        <v>250</v>
      </c>
      <c r="N543" s="181" t="s">
        <v>251</v>
      </c>
      <c r="O543" s="182" t="s">
        <v>252</v>
      </c>
    </row>
    <row r="544" spans="2:15">
      <c r="B544" s="174" t="s">
        <v>2021</v>
      </c>
      <c r="C544" s="175" t="s">
        <v>1434</v>
      </c>
      <c r="D544" s="176" t="s">
        <v>251</v>
      </c>
      <c r="E544" s="177" t="s">
        <v>2022</v>
      </c>
      <c r="F544" s="175">
        <f t="shared" si="17"/>
        <v>13</v>
      </c>
      <c r="G544" s="175" t="str">
        <f t="shared" si="18"/>
        <v>Grand Forks</v>
      </c>
      <c r="H544" s="175"/>
      <c r="I544" s="178" t="s">
        <v>1705</v>
      </c>
      <c r="J544" s="27" t="s">
        <v>251</v>
      </c>
      <c r="K544" s="27">
        <v>537</v>
      </c>
      <c r="L544" s="179">
        <v>9254</v>
      </c>
      <c r="M544" s="180" t="s">
        <v>250</v>
      </c>
      <c r="N544" s="181" t="s">
        <v>251</v>
      </c>
      <c r="O544" s="182" t="s">
        <v>252</v>
      </c>
    </row>
    <row r="545" spans="2:15">
      <c r="B545" s="174" t="s">
        <v>1709</v>
      </c>
      <c r="C545" s="175" t="s">
        <v>1434</v>
      </c>
      <c r="D545" s="176" t="s">
        <v>251</v>
      </c>
      <c r="E545" s="177" t="s">
        <v>1710</v>
      </c>
      <c r="F545" s="175">
        <f t="shared" si="17"/>
        <v>13</v>
      </c>
      <c r="G545" s="175" t="str">
        <f t="shared" si="18"/>
        <v>Devils Lake</v>
      </c>
      <c r="H545" s="175"/>
      <c r="I545" s="178" t="s">
        <v>1705</v>
      </c>
      <c r="J545" s="27" t="s">
        <v>251</v>
      </c>
      <c r="K545" s="27">
        <v>537</v>
      </c>
      <c r="L545" s="179">
        <v>9254</v>
      </c>
      <c r="M545" s="180" t="s">
        <v>250</v>
      </c>
      <c r="N545" s="181" t="s">
        <v>251</v>
      </c>
      <c r="O545" s="182" t="s">
        <v>252</v>
      </c>
    </row>
    <row r="546" spans="2:15">
      <c r="B546" s="174" t="s">
        <v>111</v>
      </c>
      <c r="C546" s="175" t="s">
        <v>1434</v>
      </c>
      <c r="D546" s="176" t="s">
        <v>251</v>
      </c>
      <c r="E546" s="177" t="s">
        <v>112</v>
      </c>
      <c r="F546" s="175">
        <f t="shared" si="17"/>
        <v>11</v>
      </c>
      <c r="G546" s="175" t="str">
        <f t="shared" si="18"/>
        <v>Jamestown</v>
      </c>
      <c r="H546" s="175"/>
      <c r="I546" s="178" t="s">
        <v>1632</v>
      </c>
      <c r="J546" s="27" t="s">
        <v>251</v>
      </c>
      <c r="K546" s="27">
        <v>488</v>
      </c>
      <c r="L546" s="179">
        <v>8968</v>
      </c>
      <c r="M546" s="180" t="s">
        <v>1633</v>
      </c>
      <c r="N546" s="181" t="s">
        <v>251</v>
      </c>
      <c r="O546" s="182" t="s">
        <v>1634</v>
      </c>
    </row>
    <row r="547" spans="2:15">
      <c r="B547" s="174" t="s">
        <v>1433</v>
      </c>
      <c r="C547" s="175" t="s">
        <v>1434</v>
      </c>
      <c r="D547" s="176" t="s">
        <v>251</v>
      </c>
      <c r="E547" s="177" t="s">
        <v>1435</v>
      </c>
      <c r="F547" s="175">
        <f t="shared" si="17"/>
        <v>10</v>
      </c>
      <c r="G547" s="175" t="str">
        <f t="shared" si="18"/>
        <v>Bismarck</v>
      </c>
      <c r="H547" s="175"/>
      <c r="I547" s="178" t="s">
        <v>1632</v>
      </c>
      <c r="J547" s="27" t="s">
        <v>251</v>
      </c>
      <c r="K547" s="27">
        <v>488</v>
      </c>
      <c r="L547" s="179">
        <v>8968</v>
      </c>
      <c r="M547" s="180" t="s">
        <v>1633</v>
      </c>
      <c r="N547" s="181" t="s">
        <v>251</v>
      </c>
      <c r="O547" s="182" t="s">
        <v>1634</v>
      </c>
    </row>
    <row r="548" spans="2:15">
      <c r="B548" s="174" t="s">
        <v>1711</v>
      </c>
      <c r="C548" s="175" t="s">
        <v>1434</v>
      </c>
      <c r="D548" s="176" t="s">
        <v>251</v>
      </c>
      <c r="E548" s="177" t="s">
        <v>1712</v>
      </c>
      <c r="F548" s="175">
        <f t="shared" si="17"/>
        <v>11</v>
      </c>
      <c r="G548" s="175" t="str">
        <f t="shared" si="18"/>
        <v>Dickinson</v>
      </c>
      <c r="H548" s="175"/>
      <c r="I548" s="178" t="s">
        <v>1632</v>
      </c>
      <c r="J548" s="27" t="s">
        <v>251</v>
      </c>
      <c r="K548" s="27">
        <v>488</v>
      </c>
      <c r="L548" s="179">
        <v>8968</v>
      </c>
      <c r="M548" s="180" t="s">
        <v>1633</v>
      </c>
      <c r="N548" s="181" t="s">
        <v>251</v>
      </c>
      <c r="O548" s="182" t="s">
        <v>1634</v>
      </c>
    </row>
    <row r="549" spans="2:15">
      <c r="B549" s="174" t="s">
        <v>175</v>
      </c>
      <c r="C549" s="175" t="s">
        <v>1434</v>
      </c>
      <c r="D549" s="176" t="s">
        <v>251</v>
      </c>
      <c r="E549" s="177" t="s">
        <v>176</v>
      </c>
      <c r="F549" s="175">
        <f t="shared" si="17"/>
        <v>7</v>
      </c>
      <c r="G549" s="175" t="str">
        <f t="shared" si="18"/>
        <v>Minot</v>
      </c>
      <c r="H549" s="175"/>
      <c r="I549" s="178" t="s">
        <v>177</v>
      </c>
      <c r="J549" s="27" t="s">
        <v>251</v>
      </c>
      <c r="K549" s="27">
        <v>548</v>
      </c>
      <c r="L549" s="179">
        <v>9090</v>
      </c>
      <c r="M549" s="180" t="s">
        <v>1633</v>
      </c>
      <c r="N549" s="181" t="s">
        <v>251</v>
      </c>
      <c r="O549" s="182" t="s">
        <v>1634</v>
      </c>
    </row>
    <row r="550" spans="2:15">
      <c r="B550" s="174" t="s">
        <v>716</v>
      </c>
      <c r="C550" s="175" t="s">
        <v>1434</v>
      </c>
      <c r="D550" s="176" t="s">
        <v>251</v>
      </c>
      <c r="E550" s="177" t="s">
        <v>717</v>
      </c>
      <c r="F550" s="175">
        <f t="shared" si="17"/>
        <v>11</v>
      </c>
      <c r="G550" s="175" t="str">
        <f t="shared" si="18"/>
        <v>Williston</v>
      </c>
      <c r="H550" s="175"/>
      <c r="I550" s="178" t="s">
        <v>177</v>
      </c>
      <c r="J550" s="27" t="s">
        <v>251</v>
      </c>
      <c r="K550" s="27">
        <v>548</v>
      </c>
      <c r="L550" s="179">
        <v>9090</v>
      </c>
      <c r="M550" s="180" t="s">
        <v>1633</v>
      </c>
      <c r="N550" s="181" t="s">
        <v>251</v>
      </c>
      <c r="O550" s="182" t="s">
        <v>1634</v>
      </c>
    </row>
    <row r="551" spans="2:15">
      <c r="B551" s="174" t="s">
        <v>1414</v>
      </c>
      <c r="C551" s="175" t="s">
        <v>1415</v>
      </c>
      <c r="D551" s="176" t="s">
        <v>1416</v>
      </c>
      <c r="E551" s="177" t="s">
        <v>1417</v>
      </c>
      <c r="F551" s="175">
        <f t="shared" si="17"/>
        <v>10</v>
      </c>
      <c r="G551" s="175" t="str">
        <f t="shared" si="18"/>
        <v>Billings</v>
      </c>
      <c r="H551" s="175"/>
      <c r="I551" s="178" t="s">
        <v>1418</v>
      </c>
      <c r="J551" s="27" t="s">
        <v>1416</v>
      </c>
      <c r="K551" s="27">
        <v>652</v>
      </c>
      <c r="L551" s="179">
        <v>7164</v>
      </c>
      <c r="M551" s="180" t="s">
        <v>1419</v>
      </c>
      <c r="N551" s="181" t="s">
        <v>1416</v>
      </c>
      <c r="O551" s="182" t="s">
        <v>1420</v>
      </c>
    </row>
    <row r="552" spans="2:15">
      <c r="B552" s="174" t="s">
        <v>1421</v>
      </c>
      <c r="C552" s="175" t="s">
        <v>1415</v>
      </c>
      <c r="D552" s="176" t="s">
        <v>1416</v>
      </c>
      <c r="E552" s="177" t="s">
        <v>1417</v>
      </c>
      <c r="F552" s="175">
        <f t="shared" si="17"/>
        <v>10</v>
      </c>
      <c r="G552" s="175" t="str">
        <f t="shared" si="18"/>
        <v>Billings</v>
      </c>
      <c r="H552" s="175"/>
      <c r="I552" s="178" t="s">
        <v>1418</v>
      </c>
      <c r="J552" s="27" t="s">
        <v>1416</v>
      </c>
      <c r="K552" s="27">
        <v>652</v>
      </c>
      <c r="L552" s="179">
        <v>7164</v>
      </c>
      <c r="M552" s="180" t="s">
        <v>1419</v>
      </c>
      <c r="N552" s="181" t="s">
        <v>1416</v>
      </c>
      <c r="O552" s="182" t="s">
        <v>1420</v>
      </c>
    </row>
    <row r="553" spans="2:15">
      <c r="B553" s="174" t="s">
        <v>736</v>
      </c>
      <c r="C553" s="175" t="s">
        <v>1415</v>
      </c>
      <c r="D553" s="176" t="s">
        <v>1416</v>
      </c>
      <c r="E553" s="177" t="s">
        <v>737</v>
      </c>
      <c r="F553" s="175">
        <f t="shared" si="17"/>
        <v>12</v>
      </c>
      <c r="G553" s="175" t="str">
        <f t="shared" si="18"/>
        <v>Wolf Point</v>
      </c>
      <c r="H553" s="175"/>
      <c r="I553" s="178" t="s">
        <v>161</v>
      </c>
      <c r="J553" s="27" t="s">
        <v>1416</v>
      </c>
      <c r="K553" s="27">
        <v>558</v>
      </c>
      <c r="L553" s="179">
        <v>8745</v>
      </c>
      <c r="M553" s="180" t="s">
        <v>2037</v>
      </c>
      <c r="N553" s="181" t="s">
        <v>1416</v>
      </c>
      <c r="O553" s="182" t="s">
        <v>2038</v>
      </c>
    </row>
    <row r="554" spans="2:15">
      <c r="B554" s="174" t="s">
        <v>159</v>
      </c>
      <c r="C554" s="175" t="s">
        <v>1415</v>
      </c>
      <c r="D554" s="176" t="s">
        <v>1416</v>
      </c>
      <c r="E554" s="177" t="s">
        <v>160</v>
      </c>
      <c r="F554" s="175">
        <f t="shared" si="17"/>
        <v>12</v>
      </c>
      <c r="G554" s="175" t="str">
        <f t="shared" si="18"/>
        <v>Miles City</v>
      </c>
      <c r="H554" s="175"/>
      <c r="I554" s="178" t="s">
        <v>161</v>
      </c>
      <c r="J554" s="27" t="s">
        <v>1416</v>
      </c>
      <c r="K554" s="27">
        <v>558</v>
      </c>
      <c r="L554" s="179">
        <v>8745</v>
      </c>
      <c r="M554" s="180" t="s">
        <v>2037</v>
      </c>
      <c r="N554" s="181" t="s">
        <v>1416</v>
      </c>
      <c r="O554" s="182" t="s">
        <v>2038</v>
      </c>
    </row>
    <row r="555" spans="2:15">
      <c r="B555" s="174" t="s">
        <v>2034</v>
      </c>
      <c r="C555" s="175" t="s">
        <v>1415</v>
      </c>
      <c r="D555" s="176" t="s">
        <v>1416</v>
      </c>
      <c r="E555" s="177" t="s">
        <v>2035</v>
      </c>
      <c r="F555" s="175">
        <f t="shared" si="17"/>
        <v>13</v>
      </c>
      <c r="G555" s="175" t="str">
        <f t="shared" si="18"/>
        <v>Great Falls</v>
      </c>
      <c r="H555" s="175"/>
      <c r="I555" s="178" t="s">
        <v>2036</v>
      </c>
      <c r="J555" s="27" t="s">
        <v>1416</v>
      </c>
      <c r="K555" s="27">
        <v>388</v>
      </c>
      <c r="L555" s="179">
        <v>7741</v>
      </c>
      <c r="M555" s="180" t="s">
        <v>2037</v>
      </c>
      <c r="N555" s="181" t="s">
        <v>1416</v>
      </c>
      <c r="O555" s="182" t="s">
        <v>2038</v>
      </c>
    </row>
    <row r="556" spans="2:15">
      <c r="B556" s="174" t="s">
        <v>755</v>
      </c>
      <c r="C556" s="175" t="s">
        <v>1415</v>
      </c>
      <c r="D556" s="176" t="s">
        <v>1416</v>
      </c>
      <c r="E556" s="177" t="s">
        <v>756</v>
      </c>
      <c r="F556" s="175">
        <f t="shared" si="17"/>
        <v>7</v>
      </c>
      <c r="G556" s="175" t="str">
        <f t="shared" si="18"/>
        <v>Havre</v>
      </c>
      <c r="H556" s="175"/>
      <c r="I556" s="178" t="s">
        <v>2036</v>
      </c>
      <c r="J556" s="27" t="s">
        <v>1416</v>
      </c>
      <c r="K556" s="27">
        <v>388</v>
      </c>
      <c r="L556" s="179">
        <v>7741</v>
      </c>
      <c r="M556" s="180" t="s">
        <v>2037</v>
      </c>
      <c r="N556" s="181" t="s">
        <v>1416</v>
      </c>
      <c r="O556" s="182" t="s">
        <v>2038</v>
      </c>
    </row>
    <row r="557" spans="2:15">
      <c r="B557" s="174" t="s">
        <v>765</v>
      </c>
      <c r="C557" s="175" t="s">
        <v>1415</v>
      </c>
      <c r="D557" s="176" t="s">
        <v>1416</v>
      </c>
      <c r="E557" s="177" t="s">
        <v>766</v>
      </c>
      <c r="F557" s="175">
        <f t="shared" si="17"/>
        <v>8</v>
      </c>
      <c r="G557" s="175" t="str">
        <f t="shared" si="18"/>
        <v>Helena</v>
      </c>
      <c r="H557" s="175"/>
      <c r="I557" s="178" t="s">
        <v>767</v>
      </c>
      <c r="J557" s="27" t="s">
        <v>1416</v>
      </c>
      <c r="K557" s="27">
        <v>386</v>
      </c>
      <c r="L557" s="179">
        <v>8031</v>
      </c>
      <c r="M557" s="180" t="s">
        <v>1345</v>
      </c>
      <c r="N557" s="181" t="s">
        <v>1416</v>
      </c>
      <c r="O557" s="182" t="s">
        <v>1346</v>
      </c>
    </row>
    <row r="558" spans="2:15">
      <c r="B558" s="174" t="s">
        <v>1342</v>
      </c>
      <c r="C558" s="175" t="s">
        <v>1415</v>
      </c>
      <c r="D558" s="176" t="s">
        <v>1416</v>
      </c>
      <c r="E558" s="177" t="s">
        <v>1343</v>
      </c>
      <c r="F558" s="175">
        <f t="shared" si="17"/>
        <v>7</v>
      </c>
      <c r="G558" s="175" t="str">
        <f t="shared" si="18"/>
        <v>Butte</v>
      </c>
      <c r="H558" s="175"/>
      <c r="I558" s="178" t="s">
        <v>1344</v>
      </c>
      <c r="J558" s="27" t="s">
        <v>1416</v>
      </c>
      <c r="K558" s="27">
        <v>280</v>
      </c>
      <c r="L558" s="179">
        <v>7792</v>
      </c>
      <c r="M558" s="180" t="s">
        <v>1345</v>
      </c>
      <c r="N558" s="181" t="s">
        <v>1416</v>
      </c>
      <c r="O558" s="182" t="s">
        <v>1346</v>
      </c>
    </row>
    <row r="559" spans="2:15">
      <c r="B559" s="174" t="s">
        <v>178</v>
      </c>
      <c r="C559" s="175" t="s">
        <v>1415</v>
      </c>
      <c r="D559" s="176" t="s">
        <v>1416</v>
      </c>
      <c r="E559" s="177" t="s">
        <v>179</v>
      </c>
      <c r="F559" s="175">
        <f t="shared" si="17"/>
        <v>10</v>
      </c>
      <c r="G559" s="175" t="str">
        <f t="shared" si="18"/>
        <v>Missoula</v>
      </c>
      <c r="H559" s="175"/>
      <c r="I559" s="178" t="s">
        <v>1344</v>
      </c>
      <c r="J559" s="27" t="s">
        <v>1416</v>
      </c>
      <c r="K559" s="27">
        <v>280</v>
      </c>
      <c r="L559" s="179">
        <v>7792</v>
      </c>
      <c r="M559" s="180" t="s">
        <v>1345</v>
      </c>
      <c r="N559" s="181" t="s">
        <v>1416</v>
      </c>
      <c r="O559" s="182" t="s">
        <v>1346</v>
      </c>
    </row>
    <row r="560" spans="2:15">
      <c r="B560" s="174" t="s">
        <v>137</v>
      </c>
      <c r="C560" s="175" t="s">
        <v>1415</v>
      </c>
      <c r="D560" s="176" t="s">
        <v>1416</v>
      </c>
      <c r="E560" s="177" t="s">
        <v>138</v>
      </c>
      <c r="F560" s="175">
        <f t="shared" si="17"/>
        <v>11</v>
      </c>
      <c r="G560" s="175" t="str">
        <f t="shared" si="18"/>
        <v>Kalispell</v>
      </c>
      <c r="H560" s="175"/>
      <c r="I560" s="178" t="s">
        <v>890</v>
      </c>
      <c r="J560" s="27" t="s">
        <v>1416</v>
      </c>
      <c r="K560" s="27">
        <v>149</v>
      </c>
      <c r="L560" s="179">
        <v>8378</v>
      </c>
      <c r="M560" s="180" t="s">
        <v>2037</v>
      </c>
      <c r="N560" s="181" t="s">
        <v>1416</v>
      </c>
      <c r="O560" s="182" t="s">
        <v>2038</v>
      </c>
    </row>
    <row r="561" spans="2:15">
      <c r="B561" s="174" t="s">
        <v>1161</v>
      </c>
      <c r="C561" s="175" t="s">
        <v>1636</v>
      </c>
      <c r="D561" s="176" t="s">
        <v>1637</v>
      </c>
      <c r="E561" s="177" t="s">
        <v>1162</v>
      </c>
      <c r="F561" s="175">
        <f t="shared" si="17"/>
        <v>20</v>
      </c>
      <c r="G561" s="175" t="str">
        <f t="shared" si="18"/>
        <v>North Chicago Sub.</v>
      </c>
      <c r="H561" s="175"/>
      <c r="I561" s="178" t="s">
        <v>1163</v>
      </c>
      <c r="J561" s="27" t="s">
        <v>1637</v>
      </c>
      <c r="K561" s="27">
        <v>702</v>
      </c>
      <c r="L561" s="179">
        <v>6969</v>
      </c>
      <c r="M561" s="178" t="s">
        <v>1164</v>
      </c>
      <c r="N561" s="27" t="s">
        <v>1637</v>
      </c>
      <c r="O561" s="182" t="s">
        <v>1165</v>
      </c>
    </row>
    <row r="562" spans="2:15">
      <c r="B562" s="174" t="s">
        <v>1166</v>
      </c>
      <c r="C562" s="175" t="s">
        <v>1636</v>
      </c>
      <c r="D562" s="176" t="s">
        <v>1637</v>
      </c>
      <c r="E562" s="177" t="s">
        <v>1162</v>
      </c>
      <c r="F562" s="175">
        <f t="shared" si="17"/>
        <v>20</v>
      </c>
      <c r="G562" s="175" t="str">
        <f t="shared" si="18"/>
        <v>North Chicago Sub.</v>
      </c>
      <c r="H562" s="175"/>
      <c r="I562" s="178" t="s">
        <v>1163</v>
      </c>
      <c r="J562" s="27" t="s">
        <v>1637</v>
      </c>
      <c r="K562" s="27">
        <v>702</v>
      </c>
      <c r="L562" s="179">
        <v>6969</v>
      </c>
      <c r="M562" s="178" t="s">
        <v>1164</v>
      </c>
      <c r="N562" s="27" t="s">
        <v>1637</v>
      </c>
      <c r="O562" s="182" t="s">
        <v>1165</v>
      </c>
    </row>
    <row r="563" spans="2:15">
      <c r="B563" s="174" t="s">
        <v>541</v>
      </c>
      <c r="C563" s="175" t="s">
        <v>1636</v>
      </c>
      <c r="D563" s="176" t="s">
        <v>1637</v>
      </c>
      <c r="E563" s="177" t="s">
        <v>542</v>
      </c>
      <c r="F563" s="175">
        <f t="shared" si="17"/>
        <v>10</v>
      </c>
      <c r="G563" s="175" t="str">
        <f t="shared" si="18"/>
        <v>Evanston</v>
      </c>
      <c r="H563" s="175"/>
      <c r="I563" s="178" t="s">
        <v>2359</v>
      </c>
      <c r="J563" s="27" t="s">
        <v>1637</v>
      </c>
      <c r="K563" s="27">
        <v>752</v>
      </c>
      <c r="L563" s="179">
        <v>6536</v>
      </c>
      <c r="M563" s="178" t="s">
        <v>2360</v>
      </c>
      <c r="N563" s="27" t="s">
        <v>1637</v>
      </c>
      <c r="O563" s="182" t="s">
        <v>2361</v>
      </c>
    </row>
    <row r="564" spans="2:15">
      <c r="B564" s="174" t="s">
        <v>1177</v>
      </c>
      <c r="C564" s="175" t="s">
        <v>1636</v>
      </c>
      <c r="D564" s="176" t="s">
        <v>1637</v>
      </c>
      <c r="E564" s="177" t="s">
        <v>1178</v>
      </c>
      <c r="F564" s="175">
        <f t="shared" si="17"/>
        <v>10</v>
      </c>
      <c r="G564" s="175" t="str">
        <f t="shared" si="18"/>
        <v>Oak Park</v>
      </c>
      <c r="H564" s="175"/>
      <c r="I564" s="178" t="s">
        <v>2359</v>
      </c>
      <c r="J564" s="27" t="s">
        <v>1637</v>
      </c>
      <c r="K564" s="27">
        <v>752</v>
      </c>
      <c r="L564" s="179">
        <v>6536</v>
      </c>
      <c r="M564" s="178" t="s">
        <v>2360</v>
      </c>
      <c r="N564" s="27" t="s">
        <v>1637</v>
      </c>
      <c r="O564" s="182" t="s">
        <v>2361</v>
      </c>
    </row>
    <row r="565" spans="2:15">
      <c r="B565" s="174" t="s">
        <v>1631</v>
      </c>
      <c r="C565" s="175" t="s">
        <v>1636</v>
      </c>
      <c r="D565" s="176" t="s">
        <v>1637</v>
      </c>
      <c r="E565" s="177" t="s">
        <v>2254</v>
      </c>
      <c r="F565" s="175">
        <f t="shared" si="17"/>
        <v>20</v>
      </c>
      <c r="G565" s="175" t="str">
        <f t="shared" si="18"/>
        <v>South Chicago Sub.</v>
      </c>
      <c r="H565" s="175"/>
      <c r="I565" s="178" t="s">
        <v>2359</v>
      </c>
      <c r="J565" s="27" t="s">
        <v>1637</v>
      </c>
      <c r="K565" s="27">
        <v>752</v>
      </c>
      <c r="L565" s="179">
        <v>6536</v>
      </c>
      <c r="M565" s="178" t="s">
        <v>2360</v>
      </c>
      <c r="N565" s="27" t="s">
        <v>1637</v>
      </c>
      <c r="O565" s="182" t="s">
        <v>2361</v>
      </c>
    </row>
    <row r="566" spans="2:15">
      <c r="B566" s="174" t="s">
        <v>1207</v>
      </c>
      <c r="C566" s="175" t="s">
        <v>1636</v>
      </c>
      <c r="D566" s="176" t="s">
        <v>1637</v>
      </c>
      <c r="E566" s="177" t="s">
        <v>2254</v>
      </c>
      <c r="F566" s="175">
        <f t="shared" si="17"/>
        <v>20</v>
      </c>
      <c r="G566" s="175" t="str">
        <f t="shared" si="18"/>
        <v>South Chicago Sub.</v>
      </c>
      <c r="H566" s="175"/>
      <c r="I566" s="178" t="s">
        <v>2359</v>
      </c>
      <c r="J566" s="27" t="s">
        <v>1637</v>
      </c>
      <c r="K566" s="27">
        <v>752</v>
      </c>
      <c r="L566" s="179">
        <v>6536</v>
      </c>
      <c r="M566" s="178" t="s">
        <v>2360</v>
      </c>
      <c r="N566" s="27" t="s">
        <v>1637</v>
      </c>
      <c r="O566" s="182" t="s">
        <v>2361</v>
      </c>
    </row>
    <row r="567" spans="2:15">
      <c r="B567" s="174" t="s">
        <v>2357</v>
      </c>
      <c r="C567" s="175" t="s">
        <v>1636</v>
      </c>
      <c r="D567" s="176" t="s">
        <v>1637</v>
      </c>
      <c r="E567" s="177" t="s">
        <v>2358</v>
      </c>
      <c r="F567" s="175">
        <f t="shared" si="17"/>
        <v>9</v>
      </c>
      <c r="G567" s="175" t="str">
        <f t="shared" si="18"/>
        <v>Chicago</v>
      </c>
      <c r="H567" s="175"/>
      <c r="I567" s="178" t="s">
        <v>2359</v>
      </c>
      <c r="J567" s="27" t="s">
        <v>1637</v>
      </c>
      <c r="K567" s="27">
        <v>752</v>
      </c>
      <c r="L567" s="179">
        <v>6536</v>
      </c>
      <c r="M567" s="178" t="s">
        <v>2360</v>
      </c>
      <c r="N567" s="27" t="s">
        <v>1637</v>
      </c>
      <c r="O567" s="182" t="s">
        <v>2361</v>
      </c>
    </row>
    <row r="568" spans="2:15">
      <c r="B568" s="174" t="s">
        <v>2362</v>
      </c>
      <c r="C568" s="175" t="s">
        <v>1636</v>
      </c>
      <c r="D568" s="176" t="s">
        <v>1637</v>
      </c>
      <c r="E568" s="177" t="s">
        <v>2358</v>
      </c>
      <c r="F568" s="175">
        <f t="shared" si="17"/>
        <v>9</v>
      </c>
      <c r="G568" s="175" t="str">
        <f t="shared" si="18"/>
        <v>Chicago</v>
      </c>
      <c r="H568" s="175"/>
      <c r="I568" s="178" t="s">
        <v>2359</v>
      </c>
      <c r="J568" s="27" t="s">
        <v>1637</v>
      </c>
      <c r="K568" s="27">
        <v>752</v>
      </c>
      <c r="L568" s="179">
        <v>6536</v>
      </c>
      <c r="M568" s="178" t="s">
        <v>2360</v>
      </c>
      <c r="N568" s="27" t="s">
        <v>1637</v>
      </c>
      <c r="O568" s="182" t="s">
        <v>2361</v>
      </c>
    </row>
    <row r="569" spans="2:15">
      <c r="B569" s="174" t="s">
        <v>891</v>
      </c>
      <c r="C569" s="175" t="s">
        <v>1636</v>
      </c>
      <c r="D569" s="176" t="s">
        <v>1637</v>
      </c>
      <c r="E569" s="177" t="s">
        <v>892</v>
      </c>
      <c r="F569" s="175">
        <f t="shared" si="17"/>
        <v>10</v>
      </c>
      <c r="G569" s="175" t="str">
        <f t="shared" si="18"/>
        <v>Kankakee</v>
      </c>
      <c r="H569" s="175"/>
      <c r="I569" s="178" t="s">
        <v>893</v>
      </c>
      <c r="J569" s="27" t="s">
        <v>1637</v>
      </c>
      <c r="K569" s="27">
        <v>982</v>
      </c>
      <c r="L569" s="179">
        <v>6148</v>
      </c>
      <c r="M569" s="178" t="s">
        <v>1990</v>
      </c>
      <c r="N569" s="27" t="s">
        <v>1637</v>
      </c>
      <c r="O569" s="182" t="s">
        <v>1991</v>
      </c>
    </row>
    <row r="570" spans="2:15">
      <c r="B570" s="174" t="s">
        <v>305</v>
      </c>
      <c r="C570" s="175" t="s">
        <v>1636</v>
      </c>
      <c r="D570" s="176" t="s">
        <v>1637</v>
      </c>
      <c r="E570" s="177" t="s">
        <v>306</v>
      </c>
      <c r="F570" s="175">
        <f t="shared" si="17"/>
        <v>10</v>
      </c>
      <c r="G570" s="175" t="str">
        <f t="shared" si="18"/>
        <v>Rockford</v>
      </c>
      <c r="H570" s="175"/>
      <c r="I570" s="178" t="s">
        <v>1163</v>
      </c>
      <c r="J570" s="27" t="s">
        <v>1637</v>
      </c>
      <c r="K570" s="27">
        <v>702</v>
      </c>
      <c r="L570" s="179">
        <v>6969</v>
      </c>
      <c r="M570" s="178" t="s">
        <v>1164</v>
      </c>
      <c r="N570" s="27" t="s">
        <v>1637</v>
      </c>
      <c r="O570" s="182" t="s">
        <v>1165</v>
      </c>
    </row>
    <row r="571" spans="2:15">
      <c r="B571" s="174" t="s">
        <v>307</v>
      </c>
      <c r="C571" s="175" t="s">
        <v>1636</v>
      </c>
      <c r="D571" s="176" t="s">
        <v>1637</v>
      </c>
      <c r="E571" s="177" t="s">
        <v>306</v>
      </c>
      <c r="F571" s="175">
        <f t="shared" si="17"/>
        <v>10</v>
      </c>
      <c r="G571" s="175" t="str">
        <f t="shared" si="18"/>
        <v>Rockford</v>
      </c>
      <c r="H571" s="175"/>
      <c r="I571" s="178" t="s">
        <v>1163</v>
      </c>
      <c r="J571" s="27" t="s">
        <v>1637</v>
      </c>
      <c r="K571" s="27">
        <v>702</v>
      </c>
      <c r="L571" s="179">
        <v>6969</v>
      </c>
      <c r="M571" s="178" t="s">
        <v>1164</v>
      </c>
      <c r="N571" s="27" t="s">
        <v>1637</v>
      </c>
      <c r="O571" s="182" t="s">
        <v>1165</v>
      </c>
    </row>
    <row r="572" spans="2:15">
      <c r="B572" s="174" t="s">
        <v>299</v>
      </c>
      <c r="C572" s="175" t="s">
        <v>1636</v>
      </c>
      <c r="D572" s="176" t="s">
        <v>1637</v>
      </c>
      <c r="E572" s="177" t="s">
        <v>300</v>
      </c>
      <c r="F572" s="175">
        <f t="shared" si="17"/>
        <v>13</v>
      </c>
      <c r="G572" s="175" t="str">
        <f t="shared" si="18"/>
        <v>Rock Island</v>
      </c>
      <c r="H572" s="175"/>
      <c r="I572" s="178" t="s">
        <v>1325</v>
      </c>
      <c r="J572" s="27" t="s">
        <v>1637</v>
      </c>
      <c r="K572" s="27">
        <v>911</v>
      </c>
      <c r="L572" s="179">
        <v>6474</v>
      </c>
      <c r="M572" s="178" t="s">
        <v>1990</v>
      </c>
      <c r="N572" s="27" t="s">
        <v>1637</v>
      </c>
      <c r="O572" s="182" t="s">
        <v>1991</v>
      </c>
    </row>
    <row r="573" spans="2:15">
      <c r="B573" s="174" t="s">
        <v>938</v>
      </c>
      <c r="C573" s="175" t="s">
        <v>1636</v>
      </c>
      <c r="D573" s="176" t="s">
        <v>1637</v>
      </c>
      <c r="E573" s="177" t="s">
        <v>939</v>
      </c>
      <c r="F573" s="175">
        <f t="shared" si="17"/>
        <v>10</v>
      </c>
      <c r="G573" s="175" t="str">
        <f t="shared" si="18"/>
        <v>La Salle</v>
      </c>
      <c r="H573" s="175"/>
      <c r="I573" s="178" t="s">
        <v>1325</v>
      </c>
      <c r="J573" s="27" t="s">
        <v>1637</v>
      </c>
      <c r="K573" s="27">
        <v>911</v>
      </c>
      <c r="L573" s="179">
        <v>6474</v>
      </c>
      <c r="M573" s="178" t="s">
        <v>1990</v>
      </c>
      <c r="N573" s="27" t="s">
        <v>1637</v>
      </c>
      <c r="O573" s="182" t="s">
        <v>1991</v>
      </c>
    </row>
    <row r="574" spans="2:15">
      <c r="B574" s="174" t="s">
        <v>1988</v>
      </c>
      <c r="C574" s="175" t="s">
        <v>1636</v>
      </c>
      <c r="D574" s="176" t="s">
        <v>1637</v>
      </c>
      <c r="E574" s="177" t="s">
        <v>1989</v>
      </c>
      <c r="F574" s="175">
        <f t="shared" si="17"/>
        <v>11</v>
      </c>
      <c r="G574" s="175" t="str">
        <f t="shared" si="18"/>
        <v>Galesburg</v>
      </c>
      <c r="H574" s="175"/>
      <c r="I574" s="178" t="s">
        <v>1325</v>
      </c>
      <c r="J574" s="27" t="s">
        <v>1637</v>
      </c>
      <c r="K574" s="27">
        <v>911</v>
      </c>
      <c r="L574" s="179">
        <v>6474</v>
      </c>
      <c r="M574" s="178" t="s">
        <v>1990</v>
      </c>
      <c r="N574" s="27" t="s">
        <v>1637</v>
      </c>
      <c r="O574" s="182" t="s">
        <v>1991</v>
      </c>
    </row>
    <row r="575" spans="2:15">
      <c r="B575" s="174" t="s">
        <v>2404</v>
      </c>
      <c r="C575" s="175" t="s">
        <v>1636</v>
      </c>
      <c r="D575" s="176" t="s">
        <v>1637</v>
      </c>
      <c r="E575" s="177" t="s">
        <v>2405</v>
      </c>
      <c r="F575" s="175">
        <f t="shared" si="17"/>
        <v>8</v>
      </c>
      <c r="G575" s="175" t="str">
        <f t="shared" si="18"/>
        <v>Peoria</v>
      </c>
      <c r="H575" s="175"/>
      <c r="I575" s="178" t="s">
        <v>893</v>
      </c>
      <c r="J575" s="27" t="s">
        <v>1637</v>
      </c>
      <c r="K575" s="27">
        <v>982</v>
      </c>
      <c r="L575" s="179">
        <v>6148</v>
      </c>
      <c r="M575" s="178" t="s">
        <v>1990</v>
      </c>
      <c r="N575" s="27" t="s">
        <v>1637</v>
      </c>
      <c r="O575" s="182" t="s">
        <v>1991</v>
      </c>
    </row>
    <row r="576" spans="2:15">
      <c r="B576" s="174" t="s">
        <v>2406</v>
      </c>
      <c r="C576" s="175" t="s">
        <v>1636</v>
      </c>
      <c r="D576" s="176" t="s">
        <v>1637</v>
      </c>
      <c r="E576" s="177" t="s">
        <v>2405</v>
      </c>
      <c r="F576" s="175">
        <f t="shared" si="17"/>
        <v>8</v>
      </c>
      <c r="G576" s="175" t="str">
        <f t="shared" si="18"/>
        <v>Peoria</v>
      </c>
      <c r="H576" s="175"/>
      <c r="I576" s="178" t="s">
        <v>893</v>
      </c>
      <c r="J576" s="27" t="s">
        <v>1637</v>
      </c>
      <c r="K576" s="27">
        <v>982</v>
      </c>
      <c r="L576" s="179">
        <v>6148</v>
      </c>
      <c r="M576" s="178" t="s">
        <v>1990</v>
      </c>
      <c r="N576" s="27" t="s">
        <v>1637</v>
      </c>
      <c r="O576" s="182" t="s">
        <v>1991</v>
      </c>
    </row>
    <row r="577" spans="2:15">
      <c r="B577" s="174" t="s">
        <v>1635</v>
      </c>
      <c r="C577" s="175" t="s">
        <v>1636</v>
      </c>
      <c r="D577" s="176" t="s">
        <v>1637</v>
      </c>
      <c r="E577" s="177" t="s">
        <v>1638</v>
      </c>
      <c r="F577" s="175">
        <f t="shared" si="17"/>
        <v>13</v>
      </c>
      <c r="G577" s="175" t="str">
        <f t="shared" si="18"/>
        <v>Bloomington</v>
      </c>
      <c r="H577" s="175"/>
      <c r="I577" s="178" t="s">
        <v>1639</v>
      </c>
      <c r="J577" s="27" t="s">
        <v>1637</v>
      </c>
      <c r="K577" s="27">
        <v>1141</v>
      </c>
      <c r="L577" s="179">
        <v>5688</v>
      </c>
      <c r="M577" s="178" t="s">
        <v>1640</v>
      </c>
      <c r="N577" s="27" t="s">
        <v>1637</v>
      </c>
      <c r="O577" s="182" t="s">
        <v>2267</v>
      </c>
    </row>
    <row r="578" spans="2:15">
      <c r="B578" s="174" t="s">
        <v>2318</v>
      </c>
      <c r="C578" s="175" t="s">
        <v>1636</v>
      </c>
      <c r="D578" s="176" t="s">
        <v>1637</v>
      </c>
      <c r="E578" s="177" t="s">
        <v>2319</v>
      </c>
      <c r="F578" s="175">
        <f t="shared" si="17"/>
        <v>18</v>
      </c>
      <c r="G578" s="175" t="str">
        <f t="shared" si="18"/>
        <v>Champaign/Urbana</v>
      </c>
      <c r="H578" s="175"/>
      <c r="I578" s="178" t="s">
        <v>1639</v>
      </c>
      <c r="J578" s="27" t="s">
        <v>1637</v>
      </c>
      <c r="K578" s="27">
        <v>1141</v>
      </c>
      <c r="L578" s="179">
        <v>5688</v>
      </c>
      <c r="M578" s="178" t="s">
        <v>1640</v>
      </c>
      <c r="N578" s="27" t="s">
        <v>1637</v>
      </c>
      <c r="O578" s="182" t="s">
        <v>2267</v>
      </c>
    </row>
    <row r="579" spans="2:15">
      <c r="B579" s="174" t="s">
        <v>2320</v>
      </c>
      <c r="C579" s="175" t="s">
        <v>1636</v>
      </c>
      <c r="D579" s="176" t="s">
        <v>1637</v>
      </c>
      <c r="E579" s="177" t="s">
        <v>2319</v>
      </c>
      <c r="F579" s="175">
        <f t="shared" si="17"/>
        <v>18</v>
      </c>
      <c r="G579" s="175" t="str">
        <f t="shared" si="18"/>
        <v>Champaign/Urbana</v>
      </c>
      <c r="H579" s="175"/>
      <c r="I579" s="178" t="s">
        <v>1639</v>
      </c>
      <c r="J579" s="27" t="s">
        <v>1637</v>
      </c>
      <c r="K579" s="27">
        <v>1141</v>
      </c>
      <c r="L579" s="179">
        <v>5688</v>
      </c>
      <c r="M579" s="178" t="s">
        <v>1640</v>
      </c>
      <c r="N579" s="27" t="s">
        <v>1637</v>
      </c>
      <c r="O579" s="182" t="s">
        <v>2267</v>
      </c>
    </row>
    <row r="580" spans="2:15">
      <c r="B580" s="174" t="s">
        <v>523</v>
      </c>
      <c r="C580" s="175" t="s">
        <v>1636</v>
      </c>
      <c r="D580" s="176" t="s">
        <v>1637</v>
      </c>
      <c r="E580" s="177" t="s">
        <v>524</v>
      </c>
      <c r="F580" s="175">
        <f t="shared" si="17"/>
        <v>18</v>
      </c>
      <c r="G580" s="175" t="str">
        <f t="shared" si="18"/>
        <v>East Saint Louis</v>
      </c>
      <c r="H580" s="175"/>
      <c r="I580" s="178" t="s">
        <v>1369</v>
      </c>
      <c r="J580" s="27" t="s">
        <v>1367</v>
      </c>
      <c r="K580" s="27">
        <v>1534</v>
      </c>
      <c r="L580" s="179">
        <v>4758</v>
      </c>
      <c r="M580" s="178" t="s">
        <v>1370</v>
      </c>
      <c r="N580" s="27" t="s">
        <v>1367</v>
      </c>
      <c r="O580" s="182" t="s">
        <v>1371</v>
      </c>
    </row>
    <row r="581" spans="2:15">
      <c r="B581" s="174" t="s">
        <v>525</v>
      </c>
      <c r="C581" s="175" t="s">
        <v>1636</v>
      </c>
      <c r="D581" s="176" t="s">
        <v>1637</v>
      </c>
      <c r="E581" s="177" t="s">
        <v>524</v>
      </c>
      <c r="F581" s="175">
        <f t="shared" si="17"/>
        <v>18</v>
      </c>
      <c r="G581" s="175" t="str">
        <f t="shared" si="18"/>
        <v>East Saint Louis</v>
      </c>
      <c r="H581" s="175"/>
      <c r="I581" s="178" t="s">
        <v>1369</v>
      </c>
      <c r="J581" s="27" t="s">
        <v>1367</v>
      </c>
      <c r="K581" s="27">
        <v>1534</v>
      </c>
      <c r="L581" s="179">
        <v>4758</v>
      </c>
      <c r="M581" s="178" t="s">
        <v>1370</v>
      </c>
      <c r="N581" s="27" t="s">
        <v>1367</v>
      </c>
      <c r="O581" s="182" t="s">
        <v>1371</v>
      </c>
    </row>
    <row r="582" spans="2:15">
      <c r="B582" s="174" t="s">
        <v>2481</v>
      </c>
      <c r="C582" s="175" t="s">
        <v>1636</v>
      </c>
      <c r="D582" s="176" t="s">
        <v>1637</v>
      </c>
      <c r="E582" s="177" t="s">
        <v>2482</v>
      </c>
      <c r="F582" s="175">
        <f t="shared" si="17"/>
        <v>8</v>
      </c>
      <c r="G582" s="175" t="str">
        <f t="shared" si="18"/>
        <v>Quincy</v>
      </c>
      <c r="H582" s="175"/>
      <c r="I582" s="178" t="s">
        <v>1639</v>
      </c>
      <c r="J582" s="27" t="s">
        <v>1637</v>
      </c>
      <c r="K582" s="27">
        <v>1141</v>
      </c>
      <c r="L582" s="179">
        <v>5688</v>
      </c>
      <c r="M582" s="178" t="s">
        <v>1640</v>
      </c>
      <c r="N582" s="27" t="s">
        <v>1637</v>
      </c>
      <c r="O582" s="182" t="s">
        <v>2267</v>
      </c>
    </row>
    <row r="583" spans="2:15">
      <c r="B583" s="174" t="s">
        <v>45</v>
      </c>
      <c r="C583" s="175" t="s">
        <v>1636</v>
      </c>
      <c r="D583" s="176" t="s">
        <v>1637</v>
      </c>
      <c r="E583" s="177" t="s">
        <v>46</v>
      </c>
      <c r="F583" s="175">
        <f t="shared" si="17"/>
        <v>11</v>
      </c>
      <c r="G583" s="175" t="str">
        <f t="shared" si="18"/>
        <v>Effingham</v>
      </c>
      <c r="H583" s="175"/>
      <c r="I583" s="178" t="s">
        <v>1369</v>
      </c>
      <c r="J583" s="27" t="s">
        <v>1367</v>
      </c>
      <c r="K583" s="27">
        <v>1534</v>
      </c>
      <c r="L583" s="179">
        <v>4758</v>
      </c>
      <c r="M583" s="178" t="s">
        <v>1370</v>
      </c>
      <c r="N583" s="27" t="s">
        <v>1367</v>
      </c>
      <c r="O583" s="182" t="s">
        <v>1371</v>
      </c>
    </row>
    <row r="584" spans="2:15">
      <c r="B584" s="174" t="s">
        <v>1229</v>
      </c>
      <c r="C584" s="175" t="s">
        <v>1636</v>
      </c>
      <c r="D584" s="176" t="s">
        <v>1637</v>
      </c>
      <c r="E584" s="177" t="s">
        <v>1230</v>
      </c>
      <c r="F584" s="175">
        <f t="shared" si="17"/>
        <v>13</v>
      </c>
      <c r="G584" s="175" t="str">
        <f t="shared" si="18"/>
        <v>Springfield</v>
      </c>
      <c r="H584" s="175"/>
      <c r="I584" s="178" t="s">
        <v>1639</v>
      </c>
      <c r="J584" s="27" t="s">
        <v>1637</v>
      </c>
      <c r="K584" s="27">
        <v>1141</v>
      </c>
      <c r="L584" s="179">
        <v>5688</v>
      </c>
      <c r="M584" s="178" t="s">
        <v>1640</v>
      </c>
      <c r="N584" s="27" t="s">
        <v>1637</v>
      </c>
      <c r="O584" s="182" t="s">
        <v>2267</v>
      </c>
    </row>
    <row r="585" spans="2:15">
      <c r="B585" s="174" t="s">
        <v>1231</v>
      </c>
      <c r="C585" s="175" t="s">
        <v>1636</v>
      </c>
      <c r="D585" s="176" t="s">
        <v>1637</v>
      </c>
      <c r="E585" s="177" t="s">
        <v>1230</v>
      </c>
      <c r="F585" s="175">
        <f t="shared" si="17"/>
        <v>13</v>
      </c>
      <c r="G585" s="175" t="str">
        <f t="shared" si="18"/>
        <v>Springfield</v>
      </c>
      <c r="H585" s="175"/>
      <c r="I585" s="178" t="s">
        <v>1639</v>
      </c>
      <c r="J585" s="27" t="s">
        <v>1637</v>
      </c>
      <c r="K585" s="27">
        <v>1141</v>
      </c>
      <c r="L585" s="179">
        <v>5688</v>
      </c>
      <c r="M585" s="178" t="s">
        <v>1640</v>
      </c>
      <c r="N585" s="27" t="s">
        <v>1637</v>
      </c>
      <c r="O585" s="182" t="s">
        <v>2267</v>
      </c>
    </row>
    <row r="586" spans="2:15">
      <c r="B586" s="174" t="s">
        <v>1232</v>
      </c>
      <c r="C586" s="175" t="s">
        <v>1636</v>
      </c>
      <c r="D586" s="176" t="s">
        <v>1637</v>
      </c>
      <c r="E586" s="177" t="s">
        <v>1230</v>
      </c>
      <c r="F586" s="175">
        <f t="shared" ref="F586:F649" si="19">LEN(E586)</f>
        <v>13</v>
      </c>
      <c r="G586" s="175" t="str">
        <f t="shared" ref="G586:G649" si="20">MID(E586,2,F586-2)</f>
        <v>Springfield</v>
      </c>
      <c r="H586" s="175"/>
      <c r="I586" s="178" t="s">
        <v>1639</v>
      </c>
      <c r="J586" s="27" t="s">
        <v>1637</v>
      </c>
      <c r="K586" s="27">
        <v>1141</v>
      </c>
      <c r="L586" s="179">
        <v>5688</v>
      </c>
      <c r="M586" s="178" t="s">
        <v>1640</v>
      </c>
      <c r="N586" s="27" t="s">
        <v>1637</v>
      </c>
      <c r="O586" s="182" t="s">
        <v>2267</v>
      </c>
    </row>
    <row r="587" spans="2:15">
      <c r="B587" s="174" t="s">
        <v>2311</v>
      </c>
      <c r="C587" s="175" t="s">
        <v>1636</v>
      </c>
      <c r="D587" s="176" t="s">
        <v>1637</v>
      </c>
      <c r="E587" s="177" t="s">
        <v>2312</v>
      </c>
      <c r="F587" s="175">
        <f t="shared" si="19"/>
        <v>11</v>
      </c>
      <c r="G587" s="175" t="str">
        <f t="shared" si="20"/>
        <v>Centralia</v>
      </c>
      <c r="H587" s="175"/>
      <c r="I587" s="178" t="s">
        <v>1374</v>
      </c>
      <c r="J587" s="27" t="s">
        <v>2270</v>
      </c>
      <c r="K587" s="27">
        <v>1376</v>
      </c>
      <c r="L587" s="179">
        <v>4708</v>
      </c>
      <c r="M587" s="178" t="s">
        <v>1375</v>
      </c>
      <c r="N587" s="27" t="s">
        <v>2270</v>
      </c>
      <c r="O587" s="182" t="s">
        <v>1376</v>
      </c>
    </row>
    <row r="588" spans="2:15">
      <c r="B588" s="174" t="s">
        <v>1372</v>
      </c>
      <c r="C588" s="175" t="s">
        <v>1636</v>
      </c>
      <c r="D588" s="176" t="s">
        <v>1637</v>
      </c>
      <c r="E588" s="177" t="s">
        <v>1373</v>
      </c>
      <c r="F588" s="175">
        <f t="shared" si="19"/>
        <v>12</v>
      </c>
      <c r="G588" s="175" t="str">
        <f t="shared" si="20"/>
        <v>Carbondale</v>
      </c>
      <c r="H588" s="175"/>
      <c r="I588" s="178" t="s">
        <v>1374</v>
      </c>
      <c r="J588" s="27" t="s">
        <v>2270</v>
      </c>
      <c r="K588" s="27">
        <v>1376</v>
      </c>
      <c r="L588" s="179">
        <v>4708</v>
      </c>
      <c r="M588" s="178" t="s">
        <v>1375</v>
      </c>
      <c r="N588" s="27" t="s">
        <v>2270</v>
      </c>
      <c r="O588" s="182" t="s">
        <v>1376</v>
      </c>
    </row>
    <row r="589" spans="2:15">
      <c r="B589" s="174" t="s">
        <v>342</v>
      </c>
      <c r="C589" s="175" t="s">
        <v>1366</v>
      </c>
      <c r="D589" s="176" t="s">
        <v>1367</v>
      </c>
      <c r="E589" s="177" t="s">
        <v>343</v>
      </c>
      <c r="F589" s="175">
        <f t="shared" si="19"/>
        <v>13</v>
      </c>
      <c r="G589" s="175" t="str">
        <f t="shared" si="20"/>
        <v>Saint Louis</v>
      </c>
      <c r="H589" s="175"/>
      <c r="I589" s="178" t="s">
        <v>1369</v>
      </c>
      <c r="J589" s="27" t="s">
        <v>1367</v>
      </c>
      <c r="K589" s="27">
        <v>1534</v>
      </c>
      <c r="L589" s="179">
        <v>4758</v>
      </c>
      <c r="M589" s="178" t="s">
        <v>1370</v>
      </c>
      <c r="N589" s="27" t="s">
        <v>1367</v>
      </c>
      <c r="O589" s="182" t="s">
        <v>1371</v>
      </c>
    </row>
    <row r="590" spans="2:15">
      <c r="B590" s="174" t="s">
        <v>344</v>
      </c>
      <c r="C590" s="175" t="s">
        <v>1366</v>
      </c>
      <c r="D590" s="176" t="s">
        <v>1367</v>
      </c>
      <c r="E590" s="177" t="s">
        <v>343</v>
      </c>
      <c r="F590" s="175">
        <f t="shared" si="19"/>
        <v>13</v>
      </c>
      <c r="G590" s="175" t="str">
        <f t="shared" si="20"/>
        <v>Saint Louis</v>
      </c>
      <c r="H590" s="175"/>
      <c r="I590" s="178" t="s">
        <v>1369</v>
      </c>
      <c r="J590" s="27" t="s">
        <v>1367</v>
      </c>
      <c r="K590" s="27">
        <v>1534</v>
      </c>
      <c r="L590" s="179">
        <v>4758</v>
      </c>
      <c r="M590" s="178" t="s">
        <v>1370</v>
      </c>
      <c r="N590" s="27" t="s">
        <v>1367</v>
      </c>
      <c r="O590" s="182" t="s">
        <v>1371</v>
      </c>
    </row>
    <row r="591" spans="2:15">
      <c r="B591" s="174" t="s">
        <v>345</v>
      </c>
      <c r="C591" s="175" t="s">
        <v>1366</v>
      </c>
      <c r="D591" s="176" t="s">
        <v>1367</v>
      </c>
      <c r="E591" s="177" t="s">
        <v>343</v>
      </c>
      <c r="F591" s="175">
        <f t="shared" si="19"/>
        <v>13</v>
      </c>
      <c r="G591" s="175" t="str">
        <f t="shared" si="20"/>
        <v>Saint Louis</v>
      </c>
      <c r="H591" s="175"/>
      <c r="I591" s="178" t="s">
        <v>1369</v>
      </c>
      <c r="J591" s="27" t="s">
        <v>1367</v>
      </c>
      <c r="K591" s="27">
        <v>1534</v>
      </c>
      <c r="L591" s="179">
        <v>4758</v>
      </c>
      <c r="M591" s="178" t="s">
        <v>1370</v>
      </c>
      <c r="N591" s="27" t="s">
        <v>1367</v>
      </c>
      <c r="O591" s="182" t="s">
        <v>1371</v>
      </c>
    </row>
    <row r="592" spans="2:15">
      <c r="B592" s="174" t="s">
        <v>335</v>
      </c>
      <c r="C592" s="175" t="s">
        <v>1366</v>
      </c>
      <c r="D592" s="176" t="s">
        <v>1367</v>
      </c>
      <c r="E592" s="177" t="s">
        <v>336</v>
      </c>
      <c r="F592" s="175">
        <f t="shared" si="19"/>
        <v>15</v>
      </c>
      <c r="G592" s="175" t="str">
        <f t="shared" si="20"/>
        <v>Saint Charles</v>
      </c>
      <c r="H592" s="175"/>
      <c r="I592" s="178" t="s">
        <v>1369</v>
      </c>
      <c r="J592" s="27" t="s">
        <v>1367</v>
      </c>
      <c r="K592" s="27">
        <v>1534</v>
      </c>
      <c r="L592" s="179">
        <v>4758</v>
      </c>
      <c r="M592" s="178" t="s">
        <v>1370</v>
      </c>
      <c r="N592" s="27" t="s">
        <v>1367</v>
      </c>
      <c r="O592" s="182" t="s">
        <v>1371</v>
      </c>
    </row>
    <row r="593" spans="2:15">
      <c r="B593" s="174" t="s">
        <v>2081</v>
      </c>
      <c r="C593" s="175" t="s">
        <v>1366</v>
      </c>
      <c r="D593" s="176" t="s">
        <v>1367</v>
      </c>
      <c r="E593" s="177" t="s">
        <v>2082</v>
      </c>
      <c r="F593" s="175">
        <f t="shared" si="19"/>
        <v>10</v>
      </c>
      <c r="G593" s="175" t="str">
        <f t="shared" si="20"/>
        <v>Hannibal</v>
      </c>
      <c r="H593" s="175"/>
      <c r="I593" s="178" t="s">
        <v>1507</v>
      </c>
      <c r="J593" s="27" t="s">
        <v>1367</v>
      </c>
      <c r="K593" s="27">
        <v>1189</v>
      </c>
      <c r="L593" s="179">
        <v>5212</v>
      </c>
      <c r="M593" s="178" t="s">
        <v>1370</v>
      </c>
      <c r="N593" s="27" t="s">
        <v>1367</v>
      </c>
      <c r="O593" s="182" t="s">
        <v>1371</v>
      </c>
    </row>
    <row r="594" spans="2:15">
      <c r="B594" s="174" t="s">
        <v>918</v>
      </c>
      <c r="C594" s="175" t="s">
        <v>1366</v>
      </c>
      <c r="D594" s="176" t="s">
        <v>1367</v>
      </c>
      <c r="E594" s="177" t="s">
        <v>919</v>
      </c>
      <c r="F594" s="175">
        <f t="shared" si="19"/>
        <v>12</v>
      </c>
      <c r="G594" s="175" t="str">
        <f t="shared" si="20"/>
        <v>Kirksville</v>
      </c>
      <c r="H594" s="175"/>
      <c r="I594" s="178" t="s">
        <v>1325</v>
      </c>
      <c r="J594" s="27" t="s">
        <v>1637</v>
      </c>
      <c r="K594" s="27">
        <v>911</v>
      </c>
      <c r="L594" s="179">
        <v>6474</v>
      </c>
      <c r="M594" s="178" t="s">
        <v>1990</v>
      </c>
      <c r="N594" s="27" t="s">
        <v>1637</v>
      </c>
      <c r="O594" s="182" t="s">
        <v>1991</v>
      </c>
    </row>
    <row r="595" spans="2:15">
      <c r="B595" s="174" t="s">
        <v>1922</v>
      </c>
      <c r="C595" s="175" t="s">
        <v>1366</v>
      </c>
      <c r="D595" s="176" t="s">
        <v>1367</v>
      </c>
      <c r="E595" s="177" t="s">
        <v>1923</v>
      </c>
      <c r="F595" s="175">
        <f t="shared" si="19"/>
        <v>12</v>
      </c>
      <c r="G595" s="175" t="str">
        <f t="shared" si="20"/>
        <v>Flat River</v>
      </c>
      <c r="H595" s="175"/>
      <c r="I595" s="178" t="s">
        <v>1369</v>
      </c>
      <c r="J595" s="27" t="s">
        <v>1367</v>
      </c>
      <c r="K595" s="27">
        <v>1534</v>
      </c>
      <c r="L595" s="179">
        <v>4758</v>
      </c>
      <c r="M595" s="178" t="s">
        <v>1370</v>
      </c>
      <c r="N595" s="27" t="s">
        <v>1367</v>
      </c>
      <c r="O595" s="182" t="s">
        <v>1371</v>
      </c>
    </row>
    <row r="596" spans="2:15">
      <c r="B596" s="174" t="s">
        <v>1365</v>
      </c>
      <c r="C596" s="175" t="s">
        <v>1366</v>
      </c>
      <c r="D596" s="176" t="s">
        <v>1367</v>
      </c>
      <c r="E596" s="177" t="s">
        <v>1368</v>
      </c>
      <c r="F596" s="175">
        <f t="shared" si="19"/>
        <v>16</v>
      </c>
      <c r="G596" s="175" t="str">
        <f t="shared" si="20"/>
        <v>Cape Girardeau</v>
      </c>
      <c r="H596" s="175"/>
      <c r="I596" s="178" t="s">
        <v>1369</v>
      </c>
      <c r="J596" s="27" t="s">
        <v>1367</v>
      </c>
      <c r="K596" s="27">
        <v>1534</v>
      </c>
      <c r="L596" s="179">
        <v>4758</v>
      </c>
      <c r="M596" s="178" t="s">
        <v>1370</v>
      </c>
      <c r="N596" s="27" t="s">
        <v>1367</v>
      </c>
      <c r="O596" s="182" t="s">
        <v>1371</v>
      </c>
    </row>
    <row r="597" spans="2:15">
      <c r="B597" s="174" t="s">
        <v>2231</v>
      </c>
      <c r="C597" s="175" t="s">
        <v>1366</v>
      </c>
      <c r="D597" s="176" t="s">
        <v>1367</v>
      </c>
      <c r="E597" s="177" t="s">
        <v>2232</v>
      </c>
      <c r="F597" s="175">
        <f t="shared" si="19"/>
        <v>10</v>
      </c>
      <c r="G597" s="175" t="str">
        <f t="shared" si="20"/>
        <v>Sikeston</v>
      </c>
      <c r="H597" s="175"/>
      <c r="I597" s="178" t="s">
        <v>1374</v>
      </c>
      <c r="J597" s="27" t="s">
        <v>2270</v>
      </c>
      <c r="K597" s="27">
        <v>1376</v>
      </c>
      <c r="L597" s="179">
        <v>4708</v>
      </c>
      <c r="M597" s="178" t="s">
        <v>1375</v>
      </c>
      <c r="N597" s="27" t="s">
        <v>2270</v>
      </c>
      <c r="O597" s="182" t="s">
        <v>1376</v>
      </c>
    </row>
    <row r="598" spans="2:15">
      <c r="B598" s="174" t="s">
        <v>2446</v>
      </c>
      <c r="C598" s="175" t="s">
        <v>1366</v>
      </c>
      <c r="D598" s="176" t="s">
        <v>1367</v>
      </c>
      <c r="E598" s="177" t="s">
        <v>2447</v>
      </c>
      <c r="F598" s="175">
        <f t="shared" si="19"/>
        <v>14</v>
      </c>
      <c r="G598" s="175" t="str">
        <f t="shared" si="20"/>
        <v>Poplar Bluff</v>
      </c>
      <c r="H598" s="175"/>
      <c r="I598" s="178" t="s">
        <v>1914</v>
      </c>
      <c r="J598" s="27" t="s">
        <v>1367</v>
      </c>
      <c r="K598" s="27">
        <v>1320</v>
      </c>
      <c r="L598" s="179">
        <v>4638</v>
      </c>
      <c r="M598" s="180" t="s">
        <v>1640</v>
      </c>
      <c r="N598" s="181" t="s">
        <v>1367</v>
      </c>
      <c r="O598" s="182" t="s">
        <v>1915</v>
      </c>
    </row>
    <row r="599" spans="2:15">
      <c r="B599" s="174" t="s">
        <v>898</v>
      </c>
      <c r="C599" s="175" t="s">
        <v>1366</v>
      </c>
      <c r="D599" s="176" t="s">
        <v>1367</v>
      </c>
      <c r="E599" s="177" t="s">
        <v>895</v>
      </c>
      <c r="F599" s="175">
        <f t="shared" si="19"/>
        <v>13</v>
      </c>
      <c r="G599" s="175" t="str">
        <f t="shared" si="20"/>
        <v>Kansas City</v>
      </c>
      <c r="H599" s="175"/>
      <c r="I599" s="178" t="s">
        <v>2370</v>
      </c>
      <c r="J599" s="27" t="s">
        <v>1367</v>
      </c>
      <c r="K599" s="27">
        <v>1288</v>
      </c>
      <c r="L599" s="179">
        <v>5393</v>
      </c>
      <c r="M599" s="180" t="s">
        <v>2371</v>
      </c>
      <c r="N599" s="181" t="s">
        <v>1367</v>
      </c>
      <c r="O599" s="182" t="s">
        <v>2372</v>
      </c>
    </row>
    <row r="600" spans="2:15">
      <c r="B600" s="174" t="s">
        <v>899</v>
      </c>
      <c r="C600" s="175" t="s">
        <v>1366</v>
      </c>
      <c r="D600" s="176" t="s">
        <v>1367</v>
      </c>
      <c r="E600" s="177" t="s">
        <v>895</v>
      </c>
      <c r="F600" s="175">
        <f t="shared" si="19"/>
        <v>13</v>
      </c>
      <c r="G600" s="175" t="str">
        <f t="shared" si="20"/>
        <v>Kansas City</v>
      </c>
      <c r="H600" s="175"/>
      <c r="I600" s="178" t="s">
        <v>2370</v>
      </c>
      <c r="J600" s="27" t="s">
        <v>1367</v>
      </c>
      <c r="K600" s="27">
        <v>1288</v>
      </c>
      <c r="L600" s="179">
        <v>5393</v>
      </c>
      <c r="M600" s="180" t="s">
        <v>2371</v>
      </c>
      <c r="N600" s="181" t="s">
        <v>1367</v>
      </c>
      <c r="O600" s="182" t="s">
        <v>2372</v>
      </c>
    </row>
    <row r="601" spans="2:15">
      <c r="B601" s="174" t="s">
        <v>339</v>
      </c>
      <c r="C601" s="175" t="s">
        <v>1366</v>
      </c>
      <c r="D601" s="176" t="s">
        <v>1367</v>
      </c>
      <c r="E601" s="177" t="s">
        <v>340</v>
      </c>
      <c r="F601" s="175">
        <f t="shared" si="19"/>
        <v>14</v>
      </c>
      <c r="G601" s="175" t="str">
        <f t="shared" si="20"/>
        <v>Saint Joseph</v>
      </c>
      <c r="H601" s="175"/>
      <c r="I601" s="178" t="s">
        <v>896</v>
      </c>
      <c r="J601" s="27" t="s">
        <v>1496</v>
      </c>
      <c r="K601" s="27">
        <v>1304</v>
      </c>
      <c r="L601" s="179">
        <v>5265</v>
      </c>
      <c r="M601" s="180" t="s">
        <v>638</v>
      </c>
      <c r="N601" s="181" t="s">
        <v>1496</v>
      </c>
      <c r="O601" s="182" t="s">
        <v>639</v>
      </c>
    </row>
    <row r="602" spans="2:15">
      <c r="B602" s="174" t="s">
        <v>341</v>
      </c>
      <c r="C602" s="175" t="s">
        <v>1366</v>
      </c>
      <c r="D602" s="176" t="s">
        <v>1367</v>
      </c>
      <c r="E602" s="177" t="s">
        <v>340</v>
      </c>
      <c r="F602" s="175">
        <f t="shared" si="19"/>
        <v>14</v>
      </c>
      <c r="G602" s="175" t="str">
        <f t="shared" si="20"/>
        <v>Saint Joseph</v>
      </c>
      <c r="H602" s="175"/>
      <c r="I602" s="178" t="s">
        <v>2370</v>
      </c>
      <c r="J602" s="27" t="s">
        <v>1367</v>
      </c>
      <c r="K602" s="27">
        <v>1288</v>
      </c>
      <c r="L602" s="179">
        <v>5393</v>
      </c>
      <c r="M602" s="180" t="s">
        <v>2371</v>
      </c>
      <c r="N602" s="181" t="s">
        <v>1367</v>
      </c>
      <c r="O602" s="182" t="s">
        <v>2372</v>
      </c>
    </row>
    <row r="603" spans="2:15">
      <c r="B603" s="174" t="s">
        <v>2368</v>
      </c>
      <c r="C603" s="175" t="s">
        <v>1366</v>
      </c>
      <c r="D603" s="176" t="s">
        <v>1367</v>
      </c>
      <c r="E603" s="177" t="s">
        <v>2369</v>
      </c>
      <c r="F603" s="175">
        <f t="shared" si="19"/>
        <v>13</v>
      </c>
      <c r="G603" s="175" t="str">
        <f t="shared" si="20"/>
        <v>Chillicothe</v>
      </c>
      <c r="H603" s="175"/>
      <c r="I603" s="178" t="s">
        <v>2370</v>
      </c>
      <c r="J603" s="27" t="s">
        <v>1367</v>
      </c>
      <c r="K603" s="27">
        <v>1288</v>
      </c>
      <c r="L603" s="179">
        <v>5393</v>
      </c>
      <c r="M603" s="180" t="s">
        <v>2371</v>
      </c>
      <c r="N603" s="181" t="s">
        <v>1367</v>
      </c>
      <c r="O603" s="182" t="s">
        <v>2372</v>
      </c>
    </row>
    <row r="604" spans="2:15">
      <c r="B604" s="174" t="s">
        <v>2179</v>
      </c>
      <c r="C604" s="175" t="s">
        <v>1366</v>
      </c>
      <c r="D604" s="176" t="s">
        <v>1367</v>
      </c>
      <c r="E604" s="177" t="s">
        <v>2180</v>
      </c>
      <c r="F604" s="175">
        <f t="shared" si="19"/>
        <v>15</v>
      </c>
      <c r="G604" s="175" t="str">
        <f t="shared" si="20"/>
        <v>Harrisonville</v>
      </c>
      <c r="H604" s="175"/>
      <c r="I604" s="178" t="s">
        <v>1914</v>
      </c>
      <c r="J604" s="27" t="s">
        <v>1367</v>
      </c>
      <c r="K604" s="27">
        <v>1320</v>
      </c>
      <c r="L604" s="179">
        <v>4638</v>
      </c>
      <c r="M604" s="180" t="s">
        <v>1640</v>
      </c>
      <c r="N604" s="181" t="s">
        <v>1367</v>
      </c>
      <c r="O604" s="182" t="s">
        <v>1915</v>
      </c>
    </row>
    <row r="605" spans="2:15">
      <c r="B605" s="174" t="s">
        <v>127</v>
      </c>
      <c r="C605" s="175" t="s">
        <v>1366</v>
      </c>
      <c r="D605" s="176" t="s">
        <v>1367</v>
      </c>
      <c r="E605" s="177" t="s">
        <v>128</v>
      </c>
      <c r="F605" s="175">
        <f t="shared" si="19"/>
        <v>8</v>
      </c>
      <c r="G605" s="175" t="str">
        <f t="shared" si="20"/>
        <v>Joplin</v>
      </c>
      <c r="H605" s="175"/>
      <c r="I605" s="178" t="s">
        <v>1914</v>
      </c>
      <c r="J605" s="27" t="s">
        <v>1367</v>
      </c>
      <c r="K605" s="27">
        <v>1320</v>
      </c>
      <c r="L605" s="179">
        <v>4638</v>
      </c>
      <c r="M605" s="180" t="s">
        <v>1640</v>
      </c>
      <c r="N605" s="181" t="s">
        <v>1367</v>
      </c>
      <c r="O605" s="182" t="s">
        <v>1915</v>
      </c>
    </row>
    <row r="606" spans="2:15">
      <c r="B606" s="174" t="s">
        <v>116</v>
      </c>
      <c r="C606" s="175" t="s">
        <v>1366</v>
      </c>
      <c r="D606" s="176" t="s">
        <v>1367</v>
      </c>
      <c r="E606" s="177" t="s">
        <v>117</v>
      </c>
      <c r="F606" s="175">
        <f t="shared" si="19"/>
        <v>16</v>
      </c>
      <c r="G606" s="175" t="str">
        <f t="shared" si="20"/>
        <v>Jefferson_City</v>
      </c>
      <c r="H606" s="175"/>
      <c r="I606" s="178" t="s">
        <v>1369</v>
      </c>
      <c r="J606" s="27" t="s">
        <v>1367</v>
      </c>
      <c r="K606" s="27">
        <v>1534</v>
      </c>
      <c r="L606" s="179">
        <v>4758</v>
      </c>
      <c r="M606" s="178" t="s">
        <v>1370</v>
      </c>
      <c r="N606" s="27" t="s">
        <v>1367</v>
      </c>
      <c r="O606" s="182" t="s">
        <v>1371</v>
      </c>
    </row>
    <row r="607" spans="2:15">
      <c r="B607" s="174" t="s">
        <v>118</v>
      </c>
      <c r="C607" s="175" t="s">
        <v>1366</v>
      </c>
      <c r="D607" s="176" t="s">
        <v>1367</v>
      </c>
      <c r="E607" s="177" t="s">
        <v>117</v>
      </c>
      <c r="F607" s="175">
        <f t="shared" si="19"/>
        <v>16</v>
      </c>
      <c r="G607" s="175" t="str">
        <f t="shared" si="20"/>
        <v>Jefferson_City</v>
      </c>
      <c r="H607" s="175"/>
      <c r="I607" s="178" t="s">
        <v>1507</v>
      </c>
      <c r="J607" s="27" t="s">
        <v>1367</v>
      </c>
      <c r="K607" s="27">
        <v>1189</v>
      </c>
      <c r="L607" s="179">
        <v>5212</v>
      </c>
      <c r="M607" s="178" t="s">
        <v>1370</v>
      </c>
      <c r="N607" s="27" t="s">
        <v>1367</v>
      </c>
      <c r="O607" s="182" t="s">
        <v>1371</v>
      </c>
    </row>
    <row r="608" spans="2:15">
      <c r="B608" s="174" t="s">
        <v>1505</v>
      </c>
      <c r="C608" s="175" t="s">
        <v>1366</v>
      </c>
      <c r="D608" s="176" t="s">
        <v>1367</v>
      </c>
      <c r="E608" s="177" t="s">
        <v>1506</v>
      </c>
      <c r="F608" s="175">
        <f t="shared" si="19"/>
        <v>10</v>
      </c>
      <c r="G608" s="175" t="str">
        <f t="shared" si="20"/>
        <v>Columbia</v>
      </c>
      <c r="H608" s="175"/>
      <c r="I608" s="178" t="s">
        <v>1507</v>
      </c>
      <c r="J608" s="27" t="s">
        <v>1367</v>
      </c>
      <c r="K608" s="27">
        <v>1189</v>
      </c>
      <c r="L608" s="179">
        <v>5212</v>
      </c>
      <c r="M608" s="178" t="s">
        <v>1370</v>
      </c>
      <c r="N608" s="27" t="s">
        <v>1367</v>
      </c>
      <c r="O608" s="182" t="s">
        <v>1371</v>
      </c>
    </row>
    <row r="609" spans="2:15">
      <c r="B609" s="174" t="s">
        <v>1269</v>
      </c>
      <c r="C609" s="175" t="s">
        <v>1366</v>
      </c>
      <c r="D609" s="176" t="s">
        <v>1367</v>
      </c>
      <c r="E609" s="177" t="s">
        <v>1270</v>
      </c>
      <c r="F609" s="175">
        <f t="shared" si="19"/>
        <v>9</v>
      </c>
      <c r="G609" s="175" t="str">
        <f t="shared" si="20"/>
        <v>Sedalia</v>
      </c>
      <c r="H609" s="175"/>
      <c r="I609" s="178" t="s">
        <v>1507</v>
      </c>
      <c r="J609" s="27" t="s">
        <v>1367</v>
      </c>
      <c r="K609" s="27">
        <v>1189</v>
      </c>
      <c r="L609" s="179">
        <v>5212</v>
      </c>
      <c r="M609" s="178" t="s">
        <v>1370</v>
      </c>
      <c r="N609" s="27" t="s">
        <v>1367</v>
      </c>
      <c r="O609" s="182" t="s">
        <v>1371</v>
      </c>
    </row>
    <row r="610" spans="2:15">
      <c r="B610" s="174" t="s">
        <v>314</v>
      </c>
      <c r="C610" s="175" t="s">
        <v>1366</v>
      </c>
      <c r="D610" s="176" t="s">
        <v>1367</v>
      </c>
      <c r="E610" s="177" t="s">
        <v>315</v>
      </c>
      <c r="F610" s="175">
        <f t="shared" si="19"/>
        <v>7</v>
      </c>
      <c r="G610" s="175" t="str">
        <f t="shared" si="20"/>
        <v>Rolla</v>
      </c>
      <c r="H610" s="175"/>
      <c r="I610" s="178" t="s">
        <v>1914</v>
      </c>
      <c r="J610" s="27" t="s">
        <v>1367</v>
      </c>
      <c r="K610" s="27">
        <v>1320</v>
      </c>
      <c r="L610" s="179">
        <v>4638</v>
      </c>
      <c r="M610" s="180" t="s">
        <v>1640</v>
      </c>
      <c r="N610" s="181" t="s">
        <v>1367</v>
      </c>
      <c r="O610" s="182" t="s">
        <v>1915</v>
      </c>
    </row>
    <row r="611" spans="2:15">
      <c r="B611" s="174" t="s">
        <v>316</v>
      </c>
      <c r="C611" s="175" t="s">
        <v>1366</v>
      </c>
      <c r="D611" s="176" t="s">
        <v>1367</v>
      </c>
      <c r="E611" s="177" t="s">
        <v>315</v>
      </c>
      <c r="F611" s="175">
        <f t="shared" si="19"/>
        <v>7</v>
      </c>
      <c r="G611" s="175" t="str">
        <f t="shared" si="20"/>
        <v>Rolla</v>
      </c>
      <c r="H611" s="175"/>
      <c r="I611" s="178" t="s">
        <v>1914</v>
      </c>
      <c r="J611" s="27" t="s">
        <v>1367</v>
      </c>
      <c r="K611" s="27">
        <v>1320</v>
      </c>
      <c r="L611" s="179">
        <v>4638</v>
      </c>
      <c r="M611" s="180" t="s">
        <v>1640</v>
      </c>
      <c r="N611" s="181" t="s">
        <v>1367</v>
      </c>
      <c r="O611" s="182" t="s">
        <v>1915</v>
      </c>
    </row>
    <row r="612" spans="2:15">
      <c r="B612" s="174" t="s">
        <v>1235</v>
      </c>
      <c r="C612" s="175" t="s">
        <v>1366</v>
      </c>
      <c r="D612" s="176" t="s">
        <v>1367</v>
      </c>
      <c r="E612" s="177" t="s">
        <v>1230</v>
      </c>
      <c r="F612" s="175">
        <f t="shared" si="19"/>
        <v>13</v>
      </c>
      <c r="G612" s="175" t="str">
        <f t="shared" si="20"/>
        <v>Springfield</v>
      </c>
      <c r="H612" s="175"/>
      <c r="I612" s="178" t="s">
        <v>1914</v>
      </c>
      <c r="J612" s="27" t="s">
        <v>1367</v>
      </c>
      <c r="K612" s="27">
        <v>1320</v>
      </c>
      <c r="L612" s="179">
        <v>4638</v>
      </c>
      <c r="M612" s="180" t="s">
        <v>1640</v>
      </c>
      <c r="N612" s="181" t="s">
        <v>1367</v>
      </c>
      <c r="O612" s="182" t="s">
        <v>1915</v>
      </c>
    </row>
    <row r="613" spans="2:15">
      <c r="B613" s="174" t="s">
        <v>1236</v>
      </c>
      <c r="C613" s="175" t="s">
        <v>1366</v>
      </c>
      <c r="D613" s="176" t="s">
        <v>1367</v>
      </c>
      <c r="E613" s="177" t="s">
        <v>1230</v>
      </c>
      <c r="F613" s="175">
        <f t="shared" si="19"/>
        <v>13</v>
      </c>
      <c r="G613" s="175" t="str">
        <f t="shared" si="20"/>
        <v>Springfield</v>
      </c>
      <c r="H613" s="175"/>
      <c r="I613" s="178" t="s">
        <v>1914</v>
      </c>
      <c r="J613" s="27" t="s">
        <v>1367</v>
      </c>
      <c r="K613" s="27">
        <v>1320</v>
      </c>
      <c r="L613" s="179">
        <v>4638</v>
      </c>
      <c r="M613" s="180" t="s">
        <v>1640</v>
      </c>
      <c r="N613" s="181" t="s">
        <v>1367</v>
      </c>
      <c r="O613" s="182" t="s">
        <v>1915</v>
      </c>
    </row>
    <row r="614" spans="2:15">
      <c r="B614" s="174" t="s">
        <v>1237</v>
      </c>
      <c r="C614" s="175" t="s">
        <v>1366</v>
      </c>
      <c r="D614" s="176" t="s">
        <v>1367</v>
      </c>
      <c r="E614" s="177" t="s">
        <v>1230</v>
      </c>
      <c r="F614" s="175">
        <f t="shared" si="19"/>
        <v>13</v>
      </c>
      <c r="G614" s="175" t="str">
        <f t="shared" si="20"/>
        <v>Springfield</v>
      </c>
      <c r="H614" s="175"/>
      <c r="I614" s="178" t="s">
        <v>1914</v>
      </c>
      <c r="J614" s="27" t="s">
        <v>1367</v>
      </c>
      <c r="K614" s="27">
        <v>1320</v>
      </c>
      <c r="L614" s="179">
        <v>4638</v>
      </c>
      <c r="M614" s="180" t="s">
        <v>1640</v>
      </c>
      <c r="N614" s="181" t="s">
        <v>1367</v>
      </c>
      <c r="O614" s="182" t="s">
        <v>1915</v>
      </c>
    </row>
    <row r="615" spans="2:15">
      <c r="B615" s="174" t="s">
        <v>894</v>
      </c>
      <c r="C615" s="175" t="s">
        <v>1495</v>
      </c>
      <c r="D615" s="176" t="s">
        <v>1496</v>
      </c>
      <c r="E615" s="177" t="s">
        <v>895</v>
      </c>
      <c r="F615" s="175">
        <f t="shared" si="19"/>
        <v>13</v>
      </c>
      <c r="G615" s="175" t="str">
        <f t="shared" si="20"/>
        <v>Kansas City</v>
      </c>
      <c r="H615" s="175"/>
      <c r="I615" s="178" t="s">
        <v>896</v>
      </c>
      <c r="J615" s="27" t="s">
        <v>1496</v>
      </c>
      <c r="K615" s="27">
        <v>1304</v>
      </c>
      <c r="L615" s="179">
        <v>5265</v>
      </c>
      <c r="M615" s="180" t="s">
        <v>2371</v>
      </c>
      <c r="N615" s="181" t="s">
        <v>1367</v>
      </c>
      <c r="O615" s="182" t="s">
        <v>2372</v>
      </c>
    </row>
    <row r="616" spans="2:15">
      <c r="B616" s="174" t="s">
        <v>897</v>
      </c>
      <c r="C616" s="175" t="s">
        <v>1495</v>
      </c>
      <c r="D616" s="176" t="s">
        <v>1496</v>
      </c>
      <c r="E616" s="177" t="s">
        <v>895</v>
      </c>
      <c r="F616" s="175">
        <f t="shared" si="19"/>
        <v>13</v>
      </c>
      <c r="G616" s="175" t="str">
        <f t="shared" si="20"/>
        <v>Kansas City</v>
      </c>
      <c r="H616" s="175"/>
      <c r="I616" s="178" t="s">
        <v>2370</v>
      </c>
      <c r="J616" s="27" t="s">
        <v>1367</v>
      </c>
      <c r="K616" s="27">
        <v>1288</v>
      </c>
      <c r="L616" s="179">
        <v>5393</v>
      </c>
      <c r="M616" s="180" t="s">
        <v>2371</v>
      </c>
      <c r="N616" s="181" t="s">
        <v>1367</v>
      </c>
      <c r="O616" s="182" t="s">
        <v>2372</v>
      </c>
    </row>
    <row r="617" spans="2:15">
      <c r="B617" s="174" t="s">
        <v>1275</v>
      </c>
      <c r="C617" s="175" t="s">
        <v>1495</v>
      </c>
      <c r="D617" s="176" t="s">
        <v>1496</v>
      </c>
      <c r="E617" s="177" t="s">
        <v>1276</v>
      </c>
      <c r="F617" s="175">
        <f t="shared" si="19"/>
        <v>17</v>
      </c>
      <c r="G617" s="175" t="str">
        <f t="shared" si="20"/>
        <v>Shawnee/Mission</v>
      </c>
      <c r="H617" s="175"/>
      <c r="I617" s="178" t="s">
        <v>2370</v>
      </c>
      <c r="J617" s="27" t="s">
        <v>1367</v>
      </c>
      <c r="K617" s="27">
        <v>1288</v>
      </c>
      <c r="L617" s="179">
        <v>5393</v>
      </c>
      <c r="M617" s="180" t="s">
        <v>2371</v>
      </c>
      <c r="N617" s="181" t="s">
        <v>1367</v>
      </c>
      <c r="O617" s="182" t="s">
        <v>2372</v>
      </c>
    </row>
    <row r="618" spans="2:15">
      <c r="B618" s="174" t="s">
        <v>863</v>
      </c>
      <c r="C618" s="175" t="s">
        <v>1495</v>
      </c>
      <c r="D618" s="176" t="s">
        <v>1496</v>
      </c>
      <c r="E618" s="177" t="s">
        <v>864</v>
      </c>
      <c r="F618" s="175">
        <f t="shared" si="19"/>
        <v>8</v>
      </c>
      <c r="G618" s="175" t="str">
        <f t="shared" si="20"/>
        <v>Topeka</v>
      </c>
      <c r="H618" s="175"/>
      <c r="I618" s="178" t="s">
        <v>896</v>
      </c>
      <c r="J618" s="27" t="s">
        <v>1496</v>
      </c>
      <c r="K618" s="27">
        <v>1304</v>
      </c>
      <c r="L618" s="179">
        <v>5265</v>
      </c>
      <c r="M618" s="180" t="s">
        <v>638</v>
      </c>
      <c r="N618" s="181" t="s">
        <v>1496</v>
      </c>
      <c r="O618" s="182" t="s">
        <v>639</v>
      </c>
    </row>
    <row r="619" spans="2:15">
      <c r="B619" s="174" t="s">
        <v>865</v>
      </c>
      <c r="C619" s="175" t="s">
        <v>1495</v>
      </c>
      <c r="D619" s="176" t="s">
        <v>1496</v>
      </c>
      <c r="E619" s="177" t="s">
        <v>864</v>
      </c>
      <c r="F619" s="175">
        <f t="shared" si="19"/>
        <v>8</v>
      </c>
      <c r="G619" s="175" t="str">
        <f t="shared" si="20"/>
        <v>Topeka</v>
      </c>
      <c r="H619" s="175"/>
      <c r="I619" s="178" t="s">
        <v>896</v>
      </c>
      <c r="J619" s="27" t="s">
        <v>1496</v>
      </c>
      <c r="K619" s="27">
        <v>1304</v>
      </c>
      <c r="L619" s="179">
        <v>5265</v>
      </c>
      <c r="M619" s="180" t="s">
        <v>638</v>
      </c>
      <c r="N619" s="181" t="s">
        <v>1496</v>
      </c>
      <c r="O619" s="182" t="s">
        <v>639</v>
      </c>
    </row>
    <row r="620" spans="2:15">
      <c r="B620" s="174" t="s">
        <v>866</v>
      </c>
      <c r="C620" s="175" t="s">
        <v>1495</v>
      </c>
      <c r="D620" s="176" t="s">
        <v>1496</v>
      </c>
      <c r="E620" s="177" t="s">
        <v>864</v>
      </c>
      <c r="F620" s="175">
        <f t="shared" si="19"/>
        <v>8</v>
      </c>
      <c r="G620" s="175" t="str">
        <f t="shared" si="20"/>
        <v>Topeka</v>
      </c>
      <c r="H620" s="175"/>
      <c r="I620" s="178" t="s">
        <v>896</v>
      </c>
      <c r="J620" s="27" t="s">
        <v>1496</v>
      </c>
      <c r="K620" s="27">
        <v>1304</v>
      </c>
      <c r="L620" s="179">
        <v>5265</v>
      </c>
      <c r="M620" s="180" t="s">
        <v>638</v>
      </c>
      <c r="N620" s="181" t="s">
        <v>1496</v>
      </c>
      <c r="O620" s="182" t="s">
        <v>639</v>
      </c>
    </row>
    <row r="621" spans="2:15">
      <c r="B621" s="174" t="s">
        <v>1951</v>
      </c>
      <c r="C621" s="175" t="s">
        <v>1495</v>
      </c>
      <c r="D621" s="176" t="s">
        <v>1496</v>
      </c>
      <c r="E621" s="177" t="s">
        <v>1952</v>
      </c>
      <c r="F621" s="175">
        <f t="shared" si="19"/>
        <v>12</v>
      </c>
      <c r="G621" s="175" t="str">
        <f t="shared" si="20"/>
        <v>Fort Scott</v>
      </c>
      <c r="H621" s="175"/>
      <c r="I621" s="178" t="s">
        <v>1914</v>
      </c>
      <c r="J621" s="27" t="s">
        <v>1367</v>
      </c>
      <c r="K621" s="27">
        <v>1320</v>
      </c>
      <c r="L621" s="179">
        <v>4638</v>
      </c>
      <c r="M621" s="180" t="s">
        <v>1640</v>
      </c>
      <c r="N621" s="181" t="s">
        <v>1367</v>
      </c>
      <c r="O621" s="182" t="s">
        <v>1915</v>
      </c>
    </row>
    <row r="622" spans="2:15">
      <c r="B622" s="174" t="s">
        <v>1040</v>
      </c>
      <c r="C622" s="175" t="s">
        <v>1495</v>
      </c>
      <c r="D622" s="176" t="s">
        <v>1496</v>
      </c>
      <c r="E622" s="177" t="s">
        <v>1041</v>
      </c>
      <c r="F622" s="175">
        <f t="shared" si="19"/>
        <v>9</v>
      </c>
      <c r="G622" s="175" t="str">
        <f t="shared" si="20"/>
        <v>Emporia</v>
      </c>
      <c r="H622" s="175"/>
      <c r="I622" s="178" t="s">
        <v>1042</v>
      </c>
      <c r="J622" s="27" t="s">
        <v>1496</v>
      </c>
      <c r="K622" s="27">
        <v>1628</v>
      </c>
      <c r="L622" s="179">
        <v>4791</v>
      </c>
      <c r="M622" s="180" t="s">
        <v>1716</v>
      </c>
      <c r="N622" s="181" t="s">
        <v>1496</v>
      </c>
      <c r="O622" s="182" t="s">
        <v>1717</v>
      </c>
    </row>
    <row r="623" spans="2:15">
      <c r="B623" s="174" t="s">
        <v>635</v>
      </c>
      <c r="C623" s="175" t="s">
        <v>1495</v>
      </c>
      <c r="D623" s="176" t="s">
        <v>1496</v>
      </c>
      <c r="E623" s="177" t="s">
        <v>636</v>
      </c>
      <c r="F623" s="175">
        <f t="shared" si="19"/>
        <v>11</v>
      </c>
      <c r="G623" s="175" t="str">
        <f t="shared" si="20"/>
        <v>Concordia</v>
      </c>
      <c r="H623" s="175"/>
      <c r="I623" s="178" t="s">
        <v>637</v>
      </c>
      <c r="J623" s="27" t="s">
        <v>1496</v>
      </c>
      <c r="K623" s="27">
        <v>1317</v>
      </c>
      <c r="L623" s="179">
        <v>5574</v>
      </c>
      <c r="M623" s="180" t="s">
        <v>638</v>
      </c>
      <c r="N623" s="181" t="s">
        <v>1496</v>
      </c>
      <c r="O623" s="182" t="s">
        <v>639</v>
      </c>
    </row>
    <row r="624" spans="2:15">
      <c r="B624" s="174" t="s">
        <v>705</v>
      </c>
      <c r="C624" s="175" t="s">
        <v>1495</v>
      </c>
      <c r="D624" s="176" t="s">
        <v>1496</v>
      </c>
      <c r="E624" s="177" t="s">
        <v>706</v>
      </c>
      <c r="F624" s="175">
        <f t="shared" si="19"/>
        <v>9</v>
      </c>
      <c r="G624" s="175" t="str">
        <f t="shared" si="20"/>
        <v>Wichita</v>
      </c>
      <c r="H624" s="175"/>
      <c r="I624" s="178" t="s">
        <v>1042</v>
      </c>
      <c r="J624" s="27" t="s">
        <v>1496</v>
      </c>
      <c r="K624" s="27">
        <v>1628</v>
      </c>
      <c r="L624" s="179">
        <v>4791</v>
      </c>
      <c r="M624" s="180" t="s">
        <v>1716</v>
      </c>
      <c r="N624" s="181" t="s">
        <v>1496</v>
      </c>
      <c r="O624" s="182" t="s">
        <v>1717</v>
      </c>
    </row>
    <row r="625" spans="2:15">
      <c r="B625" s="174" t="s">
        <v>707</v>
      </c>
      <c r="C625" s="175" t="s">
        <v>1495</v>
      </c>
      <c r="D625" s="176" t="s">
        <v>1496</v>
      </c>
      <c r="E625" s="177" t="s">
        <v>706</v>
      </c>
      <c r="F625" s="175">
        <f t="shared" si="19"/>
        <v>9</v>
      </c>
      <c r="G625" s="175" t="str">
        <f t="shared" si="20"/>
        <v>Wichita</v>
      </c>
      <c r="H625" s="175"/>
      <c r="I625" s="178" t="s">
        <v>1042</v>
      </c>
      <c r="J625" s="27" t="s">
        <v>1496</v>
      </c>
      <c r="K625" s="27">
        <v>1628</v>
      </c>
      <c r="L625" s="179">
        <v>4791</v>
      </c>
      <c r="M625" s="180" t="s">
        <v>1716</v>
      </c>
      <c r="N625" s="181" t="s">
        <v>1496</v>
      </c>
      <c r="O625" s="182" t="s">
        <v>1717</v>
      </c>
    </row>
    <row r="626" spans="2:15">
      <c r="B626" s="174" t="s">
        <v>708</v>
      </c>
      <c r="C626" s="175" t="s">
        <v>1495</v>
      </c>
      <c r="D626" s="176" t="s">
        <v>1496</v>
      </c>
      <c r="E626" s="177" t="s">
        <v>706</v>
      </c>
      <c r="F626" s="175">
        <f t="shared" si="19"/>
        <v>9</v>
      </c>
      <c r="G626" s="175" t="str">
        <f t="shared" si="20"/>
        <v>Wichita</v>
      </c>
      <c r="H626" s="175"/>
      <c r="I626" s="178" t="s">
        <v>1042</v>
      </c>
      <c r="J626" s="27" t="s">
        <v>1496</v>
      </c>
      <c r="K626" s="27">
        <v>1628</v>
      </c>
      <c r="L626" s="179">
        <v>4791</v>
      </c>
      <c r="M626" s="180" t="s">
        <v>1716</v>
      </c>
      <c r="N626" s="181" t="s">
        <v>1496</v>
      </c>
      <c r="O626" s="182" t="s">
        <v>1717</v>
      </c>
    </row>
    <row r="627" spans="2:15">
      <c r="B627" s="174" t="s">
        <v>80</v>
      </c>
      <c r="C627" s="175" t="s">
        <v>1495</v>
      </c>
      <c r="D627" s="176" t="s">
        <v>1496</v>
      </c>
      <c r="E627" s="177" t="s">
        <v>81</v>
      </c>
      <c r="F627" s="175">
        <f t="shared" si="19"/>
        <v>14</v>
      </c>
      <c r="G627" s="175" t="str">
        <f t="shared" si="20"/>
        <v>Independence</v>
      </c>
      <c r="H627" s="175"/>
      <c r="I627" s="178" t="s">
        <v>1914</v>
      </c>
      <c r="J627" s="27" t="s">
        <v>1367</v>
      </c>
      <c r="K627" s="27">
        <v>1320</v>
      </c>
      <c r="L627" s="179">
        <v>4638</v>
      </c>
      <c r="M627" s="180" t="s">
        <v>1640</v>
      </c>
      <c r="N627" s="181" t="s">
        <v>1367</v>
      </c>
      <c r="O627" s="182" t="s">
        <v>1915</v>
      </c>
    </row>
    <row r="628" spans="2:15">
      <c r="B628" s="174" t="s">
        <v>353</v>
      </c>
      <c r="C628" s="175" t="s">
        <v>1495</v>
      </c>
      <c r="D628" s="176" t="s">
        <v>1496</v>
      </c>
      <c r="E628" s="177" t="s">
        <v>354</v>
      </c>
      <c r="F628" s="175">
        <f t="shared" si="19"/>
        <v>8</v>
      </c>
      <c r="G628" s="175" t="str">
        <f t="shared" si="20"/>
        <v>Salina</v>
      </c>
      <c r="H628" s="175"/>
      <c r="I628" s="178" t="s">
        <v>896</v>
      </c>
      <c r="J628" s="27" t="s">
        <v>1496</v>
      </c>
      <c r="K628" s="27">
        <v>1304</v>
      </c>
      <c r="L628" s="179">
        <v>5265</v>
      </c>
      <c r="M628" s="180" t="s">
        <v>638</v>
      </c>
      <c r="N628" s="181" t="s">
        <v>1496</v>
      </c>
      <c r="O628" s="182" t="s">
        <v>639</v>
      </c>
    </row>
    <row r="629" spans="2:15">
      <c r="B629" s="174" t="s">
        <v>809</v>
      </c>
      <c r="C629" s="175" t="s">
        <v>1495</v>
      </c>
      <c r="D629" s="176" t="s">
        <v>1496</v>
      </c>
      <c r="E629" s="177" t="s">
        <v>810</v>
      </c>
      <c r="F629" s="175">
        <f t="shared" si="19"/>
        <v>12</v>
      </c>
      <c r="G629" s="175" t="str">
        <f t="shared" si="20"/>
        <v>Hutchinson</v>
      </c>
      <c r="H629" s="175"/>
      <c r="I629" s="178" t="s">
        <v>1042</v>
      </c>
      <c r="J629" s="27" t="s">
        <v>1496</v>
      </c>
      <c r="K629" s="27">
        <v>1628</v>
      </c>
      <c r="L629" s="179">
        <v>4791</v>
      </c>
      <c r="M629" s="180" t="s">
        <v>1716</v>
      </c>
      <c r="N629" s="181" t="s">
        <v>1496</v>
      </c>
      <c r="O629" s="182" t="s">
        <v>1717</v>
      </c>
    </row>
    <row r="630" spans="2:15">
      <c r="B630" s="174" t="s">
        <v>757</v>
      </c>
      <c r="C630" s="175" t="s">
        <v>1495</v>
      </c>
      <c r="D630" s="176" t="s">
        <v>1496</v>
      </c>
      <c r="E630" s="177" t="s">
        <v>758</v>
      </c>
      <c r="F630" s="175">
        <f t="shared" si="19"/>
        <v>6</v>
      </c>
      <c r="G630" s="175" t="str">
        <f t="shared" si="20"/>
        <v>Hays</v>
      </c>
      <c r="H630" s="175"/>
      <c r="I630" s="178" t="s">
        <v>1715</v>
      </c>
      <c r="J630" s="27" t="s">
        <v>1496</v>
      </c>
      <c r="K630" s="27">
        <v>1465</v>
      </c>
      <c r="L630" s="179">
        <v>5001</v>
      </c>
      <c r="M630" s="180" t="s">
        <v>1716</v>
      </c>
      <c r="N630" s="181" t="s">
        <v>1496</v>
      </c>
      <c r="O630" s="182" t="s">
        <v>1717</v>
      </c>
    </row>
    <row r="631" spans="2:15">
      <c r="B631" s="174" t="s">
        <v>1494</v>
      </c>
      <c r="C631" s="175" t="s">
        <v>1495</v>
      </c>
      <c r="D631" s="176" t="s">
        <v>1496</v>
      </c>
      <c r="E631" s="177" t="s">
        <v>1497</v>
      </c>
      <c r="F631" s="175">
        <f t="shared" si="19"/>
        <v>7</v>
      </c>
      <c r="G631" s="175" t="str">
        <f t="shared" si="20"/>
        <v>Colby</v>
      </c>
      <c r="H631" s="175"/>
      <c r="I631" s="178" t="s">
        <v>1498</v>
      </c>
      <c r="J631" s="27" t="s">
        <v>1496</v>
      </c>
      <c r="K631" s="27">
        <v>859</v>
      </c>
      <c r="L631" s="179">
        <v>5974</v>
      </c>
      <c r="M631" s="180" t="s">
        <v>1499</v>
      </c>
      <c r="N631" s="181" t="s">
        <v>1496</v>
      </c>
      <c r="O631" s="182" t="s">
        <v>1500</v>
      </c>
    </row>
    <row r="632" spans="2:15">
      <c r="B632" s="174" t="s">
        <v>1713</v>
      </c>
      <c r="C632" s="175" t="s">
        <v>1495</v>
      </c>
      <c r="D632" s="176" t="s">
        <v>1496</v>
      </c>
      <c r="E632" s="177" t="s">
        <v>1714</v>
      </c>
      <c r="F632" s="175">
        <f t="shared" si="19"/>
        <v>12</v>
      </c>
      <c r="G632" s="175" t="str">
        <f t="shared" si="20"/>
        <v>Dodge City</v>
      </c>
      <c r="H632" s="175"/>
      <c r="I632" s="178" t="s">
        <v>1715</v>
      </c>
      <c r="J632" s="27" t="s">
        <v>1496</v>
      </c>
      <c r="K632" s="27">
        <v>1465</v>
      </c>
      <c r="L632" s="179">
        <v>5001</v>
      </c>
      <c r="M632" s="180" t="s">
        <v>1716</v>
      </c>
      <c r="N632" s="181" t="s">
        <v>1496</v>
      </c>
      <c r="O632" s="182" t="s">
        <v>1717</v>
      </c>
    </row>
    <row r="633" spans="2:15">
      <c r="B633" s="174" t="s">
        <v>2113</v>
      </c>
      <c r="C633" s="175" t="s">
        <v>1495</v>
      </c>
      <c r="D633" s="176" t="s">
        <v>1496</v>
      </c>
      <c r="E633" s="177" t="s">
        <v>2114</v>
      </c>
      <c r="F633" s="175">
        <f t="shared" si="19"/>
        <v>9</v>
      </c>
      <c r="G633" s="175" t="str">
        <f t="shared" si="20"/>
        <v>Liberal</v>
      </c>
      <c r="H633" s="175"/>
      <c r="I633" s="178" t="s">
        <v>1715</v>
      </c>
      <c r="J633" s="27" t="s">
        <v>1496</v>
      </c>
      <c r="K633" s="27">
        <v>1465</v>
      </c>
      <c r="L633" s="179">
        <v>5001</v>
      </c>
      <c r="M633" s="180" t="s">
        <v>1716</v>
      </c>
      <c r="N633" s="181" t="s">
        <v>1496</v>
      </c>
      <c r="O633" s="182" t="s">
        <v>1717</v>
      </c>
    </row>
    <row r="634" spans="2:15">
      <c r="B634" s="174" t="s">
        <v>1445</v>
      </c>
      <c r="C634" s="175" t="s">
        <v>447</v>
      </c>
      <c r="D634" s="176" t="s">
        <v>448</v>
      </c>
      <c r="E634" s="177" t="s">
        <v>1446</v>
      </c>
      <c r="F634" s="175">
        <f t="shared" si="19"/>
        <v>7</v>
      </c>
      <c r="G634" s="175" t="str">
        <f t="shared" si="20"/>
        <v>Omaha</v>
      </c>
      <c r="H634" s="175"/>
      <c r="I634" s="178" t="s">
        <v>1447</v>
      </c>
      <c r="J634" s="27" t="s">
        <v>448</v>
      </c>
      <c r="K634" s="27">
        <v>1072</v>
      </c>
      <c r="L634" s="179">
        <v>6300</v>
      </c>
      <c r="M634" s="180" t="s">
        <v>1657</v>
      </c>
      <c r="N634" s="181" t="s">
        <v>448</v>
      </c>
      <c r="O634" s="182" t="s">
        <v>1658</v>
      </c>
    </row>
    <row r="635" spans="2:15">
      <c r="B635" s="174" t="s">
        <v>1448</v>
      </c>
      <c r="C635" s="175" t="s">
        <v>447</v>
      </c>
      <c r="D635" s="176" t="s">
        <v>448</v>
      </c>
      <c r="E635" s="177" t="s">
        <v>1446</v>
      </c>
      <c r="F635" s="175">
        <f t="shared" si="19"/>
        <v>7</v>
      </c>
      <c r="G635" s="175" t="str">
        <f t="shared" si="20"/>
        <v>Omaha</v>
      </c>
      <c r="H635" s="175"/>
      <c r="I635" s="178" t="s">
        <v>1447</v>
      </c>
      <c r="J635" s="27" t="s">
        <v>448</v>
      </c>
      <c r="K635" s="27">
        <v>1072</v>
      </c>
      <c r="L635" s="179">
        <v>6300</v>
      </c>
      <c r="M635" s="180" t="s">
        <v>1657</v>
      </c>
      <c r="N635" s="181" t="s">
        <v>448</v>
      </c>
      <c r="O635" s="182" t="s">
        <v>1658</v>
      </c>
    </row>
    <row r="636" spans="2:15">
      <c r="B636" s="174" t="s">
        <v>2117</v>
      </c>
      <c r="C636" s="175" t="s">
        <v>447</v>
      </c>
      <c r="D636" s="176" t="s">
        <v>448</v>
      </c>
      <c r="E636" s="177" t="s">
        <v>2118</v>
      </c>
      <c r="F636" s="175">
        <f t="shared" si="19"/>
        <v>9</v>
      </c>
      <c r="G636" s="175" t="str">
        <f t="shared" si="20"/>
        <v>Lincoln</v>
      </c>
      <c r="H636" s="175"/>
      <c r="I636" s="178" t="s">
        <v>2119</v>
      </c>
      <c r="J636" s="27" t="s">
        <v>448</v>
      </c>
      <c r="K636" s="27">
        <v>1134</v>
      </c>
      <c r="L636" s="179">
        <v>6278</v>
      </c>
      <c r="M636" s="180" t="s">
        <v>624</v>
      </c>
      <c r="N636" s="181" t="s">
        <v>448</v>
      </c>
      <c r="O636" s="182" t="s">
        <v>625</v>
      </c>
    </row>
    <row r="637" spans="2:15">
      <c r="B637" s="174" t="s">
        <v>2120</v>
      </c>
      <c r="C637" s="175" t="s">
        <v>447</v>
      </c>
      <c r="D637" s="176" t="s">
        <v>448</v>
      </c>
      <c r="E637" s="177" t="s">
        <v>2118</v>
      </c>
      <c r="F637" s="175">
        <f t="shared" si="19"/>
        <v>9</v>
      </c>
      <c r="G637" s="175" t="str">
        <f t="shared" si="20"/>
        <v>Lincoln</v>
      </c>
      <c r="H637" s="175"/>
      <c r="I637" s="178" t="s">
        <v>2119</v>
      </c>
      <c r="J637" s="27" t="s">
        <v>448</v>
      </c>
      <c r="K637" s="27">
        <v>1134</v>
      </c>
      <c r="L637" s="179">
        <v>6278</v>
      </c>
      <c r="M637" s="180" t="s">
        <v>624</v>
      </c>
      <c r="N637" s="181" t="s">
        <v>448</v>
      </c>
      <c r="O637" s="182" t="s">
        <v>625</v>
      </c>
    </row>
    <row r="638" spans="2:15">
      <c r="B638" s="174" t="s">
        <v>2121</v>
      </c>
      <c r="C638" s="175" t="s">
        <v>447</v>
      </c>
      <c r="D638" s="176" t="s">
        <v>448</v>
      </c>
      <c r="E638" s="177" t="s">
        <v>2118</v>
      </c>
      <c r="F638" s="175">
        <f t="shared" si="19"/>
        <v>9</v>
      </c>
      <c r="G638" s="175" t="str">
        <f t="shared" si="20"/>
        <v>Lincoln</v>
      </c>
      <c r="H638" s="175"/>
      <c r="I638" s="178" t="s">
        <v>2119</v>
      </c>
      <c r="J638" s="27" t="s">
        <v>448</v>
      </c>
      <c r="K638" s="27">
        <v>1134</v>
      </c>
      <c r="L638" s="179">
        <v>6278</v>
      </c>
      <c r="M638" s="180" t="s">
        <v>624</v>
      </c>
      <c r="N638" s="181" t="s">
        <v>448</v>
      </c>
      <c r="O638" s="182" t="s">
        <v>625</v>
      </c>
    </row>
    <row r="639" spans="2:15">
      <c r="B639" s="174" t="s">
        <v>622</v>
      </c>
      <c r="C639" s="175" t="s">
        <v>447</v>
      </c>
      <c r="D639" s="176" t="s">
        <v>448</v>
      </c>
      <c r="E639" s="177" t="s">
        <v>616</v>
      </c>
      <c r="F639" s="175">
        <f t="shared" si="19"/>
        <v>10</v>
      </c>
      <c r="G639" s="175" t="str">
        <f t="shared" si="20"/>
        <v>Columbus</v>
      </c>
      <c r="H639" s="175"/>
      <c r="I639" s="178" t="s">
        <v>623</v>
      </c>
      <c r="J639" s="27" t="s">
        <v>448</v>
      </c>
      <c r="K639" s="27">
        <v>997</v>
      </c>
      <c r="L639" s="179">
        <v>6421</v>
      </c>
      <c r="M639" s="180" t="s">
        <v>624</v>
      </c>
      <c r="N639" s="181" t="s">
        <v>448</v>
      </c>
      <c r="O639" s="182" t="s">
        <v>625</v>
      </c>
    </row>
    <row r="640" spans="2:15">
      <c r="B640" s="174" t="s">
        <v>145</v>
      </c>
      <c r="C640" s="175" t="s">
        <v>447</v>
      </c>
      <c r="D640" s="176" t="s">
        <v>448</v>
      </c>
      <c r="E640" s="177" t="s">
        <v>146</v>
      </c>
      <c r="F640" s="175">
        <f t="shared" si="19"/>
        <v>9</v>
      </c>
      <c r="G640" s="175" t="str">
        <f t="shared" si="20"/>
        <v>Norfolk</v>
      </c>
      <c r="H640" s="175"/>
      <c r="I640" s="178" t="s">
        <v>1156</v>
      </c>
      <c r="J640" s="27" t="s">
        <v>448</v>
      </c>
      <c r="K640" s="27">
        <v>877</v>
      </c>
      <c r="L640" s="179">
        <v>6873</v>
      </c>
      <c r="M640" s="178" t="s">
        <v>1387</v>
      </c>
      <c r="N640" s="27" t="s">
        <v>1323</v>
      </c>
      <c r="O640" s="182" t="s">
        <v>1388</v>
      </c>
    </row>
    <row r="641" spans="2:15">
      <c r="B641" s="174" t="s">
        <v>2023</v>
      </c>
      <c r="C641" s="175" t="s">
        <v>447</v>
      </c>
      <c r="D641" s="176" t="s">
        <v>448</v>
      </c>
      <c r="E641" s="177" t="s">
        <v>2024</v>
      </c>
      <c r="F641" s="175">
        <f t="shared" si="19"/>
        <v>14</v>
      </c>
      <c r="G641" s="175" t="str">
        <f t="shared" si="20"/>
        <v>Grand Island</v>
      </c>
      <c r="H641" s="175"/>
      <c r="I641" s="178" t="s">
        <v>623</v>
      </c>
      <c r="J641" s="27" t="s">
        <v>448</v>
      </c>
      <c r="K641" s="27">
        <v>997</v>
      </c>
      <c r="L641" s="179">
        <v>6421</v>
      </c>
      <c r="M641" s="180" t="s">
        <v>624</v>
      </c>
      <c r="N641" s="181" t="s">
        <v>448</v>
      </c>
      <c r="O641" s="182" t="s">
        <v>625</v>
      </c>
    </row>
    <row r="642" spans="2:15">
      <c r="B642" s="174" t="s">
        <v>748</v>
      </c>
      <c r="C642" s="175" t="s">
        <v>447</v>
      </c>
      <c r="D642" s="176" t="s">
        <v>448</v>
      </c>
      <c r="E642" s="177" t="s">
        <v>749</v>
      </c>
      <c r="F642" s="175">
        <f t="shared" si="19"/>
        <v>10</v>
      </c>
      <c r="G642" s="175" t="str">
        <f t="shared" si="20"/>
        <v>Hastings</v>
      </c>
      <c r="H642" s="175"/>
      <c r="I642" s="178" t="s">
        <v>623</v>
      </c>
      <c r="J642" s="27" t="s">
        <v>448</v>
      </c>
      <c r="K642" s="27">
        <v>997</v>
      </c>
      <c r="L642" s="179">
        <v>6421</v>
      </c>
      <c r="M642" s="180" t="s">
        <v>624</v>
      </c>
      <c r="N642" s="181" t="s">
        <v>448</v>
      </c>
      <c r="O642" s="182" t="s">
        <v>625</v>
      </c>
    </row>
    <row r="643" spans="2:15">
      <c r="B643" s="174" t="s">
        <v>1121</v>
      </c>
      <c r="C643" s="175" t="s">
        <v>447</v>
      </c>
      <c r="D643" s="176" t="s">
        <v>448</v>
      </c>
      <c r="E643" s="177" t="s">
        <v>1122</v>
      </c>
      <c r="F643" s="175">
        <f t="shared" si="19"/>
        <v>8</v>
      </c>
      <c r="G643" s="175" t="str">
        <f t="shared" si="20"/>
        <v>McCook</v>
      </c>
      <c r="H643" s="175"/>
      <c r="I643" s="178" t="s">
        <v>1498</v>
      </c>
      <c r="J643" s="27" t="s">
        <v>1496</v>
      </c>
      <c r="K643" s="27">
        <v>859</v>
      </c>
      <c r="L643" s="179">
        <v>5974</v>
      </c>
      <c r="M643" s="180" t="s">
        <v>1499</v>
      </c>
      <c r="N643" s="181" t="s">
        <v>1496</v>
      </c>
      <c r="O643" s="182" t="s">
        <v>1500</v>
      </c>
    </row>
    <row r="644" spans="2:15">
      <c r="B644" s="174" t="s">
        <v>1169</v>
      </c>
      <c r="C644" s="175" t="s">
        <v>447</v>
      </c>
      <c r="D644" s="176" t="s">
        <v>448</v>
      </c>
      <c r="E644" s="177" t="s">
        <v>1170</v>
      </c>
      <c r="F644" s="175">
        <f t="shared" si="19"/>
        <v>14</v>
      </c>
      <c r="G644" s="175" t="str">
        <f t="shared" si="20"/>
        <v>North_Platte</v>
      </c>
      <c r="H644" s="175"/>
      <c r="I644" s="178" t="s">
        <v>1171</v>
      </c>
      <c r="J644" s="27" t="s">
        <v>448</v>
      </c>
      <c r="K644" s="27">
        <v>713</v>
      </c>
      <c r="L644" s="179">
        <v>6859</v>
      </c>
      <c r="M644" s="180" t="s">
        <v>1172</v>
      </c>
      <c r="N644" s="181" t="s">
        <v>448</v>
      </c>
      <c r="O644" s="182" t="s">
        <v>1173</v>
      </c>
    </row>
    <row r="645" spans="2:15">
      <c r="B645" s="174" t="s">
        <v>1782</v>
      </c>
      <c r="C645" s="175" t="s">
        <v>447</v>
      </c>
      <c r="D645" s="176" t="s">
        <v>448</v>
      </c>
      <c r="E645" s="177" t="s">
        <v>1783</v>
      </c>
      <c r="F645" s="175">
        <f t="shared" si="19"/>
        <v>11</v>
      </c>
      <c r="G645" s="175" t="str">
        <f t="shared" si="20"/>
        <v>Valentine</v>
      </c>
      <c r="H645" s="175"/>
      <c r="I645" s="178" t="s">
        <v>1784</v>
      </c>
      <c r="J645" s="27" t="s">
        <v>448</v>
      </c>
      <c r="K645" s="27">
        <v>752</v>
      </c>
      <c r="L645" s="179">
        <v>7282</v>
      </c>
      <c r="M645" s="180" t="s">
        <v>1172</v>
      </c>
      <c r="N645" s="181" t="s">
        <v>448</v>
      </c>
      <c r="O645" s="182" t="s">
        <v>1173</v>
      </c>
    </row>
    <row r="646" spans="2:15">
      <c r="B646" s="174" t="s">
        <v>446</v>
      </c>
      <c r="C646" s="175" t="s">
        <v>447</v>
      </c>
      <c r="D646" s="176" t="s">
        <v>448</v>
      </c>
      <c r="E646" s="177" t="s">
        <v>449</v>
      </c>
      <c r="F646" s="175">
        <f t="shared" si="19"/>
        <v>10</v>
      </c>
      <c r="G646" s="175" t="str">
        <f t="shared" si="20"/>
        <v>Alliance</v>
      </c>
      <c r="H646" s="175"/>
      <c r="I646" s="178" t="s">
        <v>450</v>
      </c>
      <c r="J646" s="27" t="s">
        <v>247</v>
      </c>
      <c r="K646" s="27">
        <v>611</v>
      </c>
      <c r="L646" s="179">
        <v>7301</v>
      </c>
      <c r="M646" s="180" t="s">
        <v>451</v>
      </c>
      <c r="N646" s="181" t="s">
        <v>247</v>
      </c>
      <c r="O646" s="182" t="s">
        <v>452</v>
      </c>
    </row>
    <row r="647" spans="2:15">
      <c r="B647" s="174" t="s">
        <v>1104</v>
      </c>
      <c r="C647" s="175" t="s">
        <v>281</v>
      </c>
      <c r="D647" s="176" t="s">
        <v>282</v>
      </c>
      <c r="E647" s="177" t="s">
        <v>1105</v>
      </c>
      <c r="F647" s="175">
        <f t="shared" si="19"/>
        <v>13</v>
      </c>
      <c r="G647" s="175" t="str">
        <f t="shared" si="20"/>
        <v>New Orleans</v>
      </c>
      <c r="H647" s="175"/>
      <c r="I647" s="178" t="s">
        <v>2072</v>
      </c>
      <c r="J647" s="27" t="s">
        <v>282</v>
      </c>
      <c r="K647" s="27">
        <v>2655</v>
      </c>
      <c r="L647" s="179">
        <v>1513</v>
      </c>
      <c r="M647" s="180" t="s">
        <v>2073</v>
      </c>
      <c r="N647" s="181" t="s">
        <v>282</v>
      </c>
      <c r="O647" s="182" t="s">
        <v>2074</v>
      </c>
    </row>
    <row r="648" spans="2:15">
      <c r="B648" s="174" t="s">
        <v>1106</v>
      </c>
      <c r="C648" s="175" t="s">
        <v>281</v>
      </c>
      <c r="D648" s="176" t="s">
        <v>282</v>
      </c>
      <c r="E648" s="177" t="s">
        <v>1105</v>
      </c>
      <c r="F648" s="175">
        <f t="shared" si="19"/>
        <v>13</v>
      </c>
      <c r="G648" s="175" t="str">
        <f t="shared" si="20"/>
        <v>New Orleans</v>
      </c>
      <c r="H648" s="175"/>
      <c r="I648" s="178" t="s">
        <v>2072</v>
      </c>
      <c r="J648" s="27" t="s">
        <v>282</v>
      </c>
      <c r="K648" s="27">
        <v>2655</v>
      </c>
      <c r="L648" s="179">
        <v>1513</v>
      </c>
      <c r="M648" s="180" t="s">
        <v>2073</v>
      </c>
      <c r="N648" s="181" t="s">
        <v>282</v>
      </c>
      <c r="O648" s="182" t="s">
        <v>2074</v>
      </c>
    </row>
    <row r="649" spans="2:15">
      <c r="B649" s="174" t="s">
        <v>853</v>
      </c>
      <c r="C649" s="175" t="s">
        <v>281</v>
      </c>
      <c r="D649" s="176" t="s">
        <v>282</v>
      </c>
      <c r="E649" s="177" t="s">
        <v>854</v>
      </c>
      <c r="F649" s="175">
        <f t="shared" si="19"/>
        <v>11</v>
      </c>
      <c r="G649" s="175" t="str">
        <f t="shared" si="20"/>
        <v>Thibodaux</v>
      </c>
      <c r="H649" s="175"/>
      <c r="I649" s="178" t="s">
        <v>2072</v>
      </c>
      <c r="J649" s="27" t="s">
        <v>282</v>
      </c>
      <c r="K649" s="27">
        <v>2655</v>
      </c>
      <c r="L649" s="179">
        <v>1513</v>
      </c>
      <c r="M649" s="180" t="s">
        <v>2073</v>
      </c>
      <c r="N649" s="181" t="s">
        <v>282</v>
      </c>
      <c r="O649" s="182" t="s">
        <v>2074</v>
      </c>
    </row>
    <row r="650" spans="2:15">
      <c r="B650" s="174" t="s">
        <v>2079</v>
      </c>
      <c r="C650" s="175" t="s">
        <v>281</v>
      </c>
      <c r="D650" s="176" t="s">
        <v>282</v>
      </c>
      <c r="E650" s="177" t="s">
        <v>2080</v>
      </c>
      <c r="F650" s="175">
        <f t="shared" ref="F650:F713" si="21">LEN(E650)</f>
        <v>9</v>
      </c>
      <c r="G650" s="175" t="str">
        <f t="shared" ref="G650:G713" si="22">MID(E650,2,F650-2)</f>
        <v>Hammond</v>
      </c>
      <c r="H650" s="175"/>
      <c r="I650" s="178" t="s">
        <v>1588</v>
      </c>
      <c r="J650" s="27" t="s">
        <v>282</v>
      </c>
      <c r="K650" s="27">
        <v>2690</v>
      </c>
      <c r="L650" s="179">
        <v>1669</v>
      </c>
      <c r="M650" s="180" t="s">
        <v>1589</v>
      </c>
      <c r="N650" s="181" t="s">
        <v>282</v>
      </c>
      <c r="O650" s="182" t="s">
        <v>1590</v>
      </c>
    </row>
    <row r="651" spans="2:15">
      <c r="B651" s="174" t="s">
        <v>942</v>
      </c>
      <c r="C651" s="175" t="s">
        <v>281</v>
      </c>
      <c r="D651" s="176" t="s">
        <v>282</v>
      </c>
      <c r="E651" s="177" t="s">
        <v>941</v>
      </c>
      <c r="F651" s="175">
        <f t="shared" si="21"/>
        <v>11</v>
      </c>
      <c r="G651" s="175" t="str">
        <f t="shared" si="22"/>
        <v>Lafayette</v>
      </c>
      <c r="H651" s="175"/>
      <c r="I651" s="178" t="s">
        <v>1588</v>
      </c>
      <c r="J651" s="27" t="s">
        <v>282</v>
      </c>
      <c r="K651" s="27">
        <v>2690</v>
      </c>
      <c r="L651" s="179">
        <v>1669</v>
      </c>
      <c r="M651" s="180" t="s">
        <v>1589</v>
      </c>
      <c r="N651" s="181" t="s">
        <v>282</v>
      </c>
      <c r="O651" s="182" t="s">
        <v>1590</v>
      </c>
    </row>
    <row r="652" spans="2:15">
      <c r="B652" s="174" t="s">
        <v>943</v>
      </c>
      <c r="C652" s="175" t="s">
        <v>281</v>
      </c>
      <c r="D652" s="176" t="s">
        <v>282</v>
      </c>
      <c r="E652" s="177" t="s">
        <v>944</v>
      </c>
      <c r="F652" s="175">
        <f t="shared" si="21"/>
        <v>14</v>
      </c>
      <c r="G652" s="175" t="str">
        <f t="shared" si="22"/>
        <v>Lake Charles</v>
      </c>
      <c r="H652" s="175"/>
      <c r="I652" s="178" t="s">
        <v>945</v>
      </c>
      <c r="J652" s="27" t="s">
        <v>282</v>
      </c>
      <c r="K652" s="27">
        <v>2650</v>
      </c>
      <c r="L652" s="179">
        <v>1616</v>
      </c>
      <c r="M652" s="180" t="s">
        <v>946</v>
      </c>
      <c r="N652" s="181" t="s">
        <v>282</v>
      </c>
      <c r="O652" s="182" t="s">
        <v>947</v>
      </c>
    </row>
    <row r="653" spans="2:15">
      <c r="B653" s="174" t="s">
        <v>1586</v>
      </c>
      <c r="C653" s="175" t="s">
        <v>281</v>
      </c>
      <c r="D653" s="176" t="s">
        <v>282</v>
      </c>
      <c r="E653" s="177" t="s">
        <v>1587</v>
      </c>
      <c r="F653" s="175">
        <f t="shared" si="21"/>
        <v>13</v>
      </c>
      <c r="G653" s="175" t="str">
        <f t="shared" si="22"/>
        <v>Baton Rouge</v>
      </c>
      <c r="H653" s="175"/>
      <c r="I653" s="178" t="s">
        <v>1588</v>
      </c>
      <c r="J653" s="27" t="s">
        <v>282</v>
      </c>
      <c r="K653" s="27">
        <v>2690</v>
      </c>
      <c r="L653" s="179">
        <v>1669</v>
      </c>
      <c r="M653" s="180" t="s">
        <v>1589</v>
      </c>
      <c r="N653" s="181" t="s">
        <v>282</v>
      </c>
      <c r="O653" s="182" t="s">
        <v>1590</v>
      </c>
    </row>
    <row r="654" spans="2:15">
      <c r="B654" s="174" t="s">
        <v>1591</v>
      </c>
      <c r="C654" s="175" t="s">
        <v>281</v>
      </c>
      <c r="D654" s="176" t="s">
        <v>282</v>
      </c>
      <c r="E654" s="177" t="s">
        <v>1587</v>
      </c>
      <c r="F654" s="175">
        <f t="shared" si="21"/>
        <v>13</v>
      </c>
      <c r="G654" s="175" t="str">
        <f t="shared" si="22"/>
        <v>Baton Rouge</v>
      </c>
      <c r="H654" s="175"/>
      <c r="I654" s="178" t="s">
        <v>1588</v>
      </c>
      <c r="J654" s="27" t="s">
        <v>282</v>
      </c>
      <c r="K654" s="27">
        <v>2690</v>
      </c>
      <c r="L654" s="179">
        <v>1669</v>
      </c>
      <c r="M654" s="180" t="s">
        <v>1589</v>
      </c>
      <c r="N654" s="181" t="s">
        <v>282</v>
      </c>
      <c r="O654" s="182" t="s">
        <v>1590</v>
      </c>
    </row>
    <row r="655" spans="2:15">
      <c r="B655" s="174" t="s">
        <v>2226</v>
      </c>
      <c r="C655" s="175" t="s">
        <v>281</v>
      </c>
      <c r="D655" s="176" t="s">
        <v>282</v>
      </c>
      <c r="E655" s="177" t="s">
        <v>2227</v>
      </c>
      <c r="F655" s="175">
        <f t="shared" si="21"/>
        <v>12</v>
      </c>
      <c r="G655" s="175" t="str">
        <f t="shared" si="22"/>
        <v>Shreveport</v>
      </c>
      <c r="H655" s="175"/>
      <c r="I655" s="178" t="s">
        <v>381</v>
      </c>
      <c r="J655" s="27" t="s">
        <v>282</v>
      </c>
      <c r="K655" s="27">
        <v>2368</v>
      </c>
      <c r="L655" s="179">
        <v>2264</v>
      </c>
      <c r="M655" s="180" t="s">
        <v>382</v>
      </c>
      <c r="N655" s="181" t="s">
        <v>282</v>
      </c>
      <c r="O655" s="182" t="s">
        <v>383</v>
      </c>
    </row>
    <row r="656" spans="2:15">
      <c r="B656" s="174" t="s">
        <v>2228</v>
      </c>
      <c r="C656" s="175" t="s">
        <v>281</v>
      </c>
      <c r="D656" s="176" t="s">
        <v>282</v>
      </c>
      <c r="E656" s="177" t="s">
        <v>2227</v>
      </c>
      <c r="F656" s="175">
        <f t="shared" si="21"/>
        <v>12</v>
      </c>
      <c r="G656" s="175" t="str">
        <f t="shared" si="22"/>
        <v>Shreveport</v>
      </c>
      <c r="H656" s="175"/>
      <c r="I656" s="178" t="s">
        <v>381</v>
      </c>
      <c r="J656" s="27" t="s">
        <v>282</v>
      </c>
      <c r="K656" s="27">
        <v>2368</v>
      </c>
      <c r="L656" s="179">
        <v>2264</v>
      </c>
      <c r="M656" s="180" t="s">
        <v>382</v>
      </c>
      <c r="N656" s="181" t="s">
        <v>282</v>
      </c>
      <c r="O656" s="182" t="s">
        <v>383</v>
      </c>
    </row>
    <row r="657" spans="2:15">
      <c r="B657" s="174" t="s">
        <v>187</v>
      </c>
      <c r="C657" s="175" t="s">
        <v>281</v>
      </c>
      <c r="D657" s="176" t="s">
        <v>282</v>
      </c>
      <c r="E657" s="177" t="s">
        <v>188</v>
      </c>
      <c r="F657" s="175">
        <f t="shared" si="21"/>
        <v>8</v>
      </c>
      <c r="G657" s="175" t="str">
        <f t="shared" si="22"/>
        <v>Monroe</v>
      </c>
      <c r="H657" s="175"/>
      <c r="I657" s="178" t="s">
        <v>2063</v>
      </c>
      <c r="J657" s="27" t="s">
        <v>1335</v>
      </c>
      <c r="K657" s="27">
        <v>2215</v>
      </c>
      <c r="L657" s="179">
        <v>2467</v>
      </c>
      <c r="M657" s="180" t="s">
        <v>1336</v>
      </c>
      <c r="N657" s="181" t="s">
        <v>1335</v>
      </c>
      <c r="O657" s="182" t="s">
        <v>1337</v>
      </c>
    </row>
    <row r="658" spans="2:15">
      <c r="B658" s="174" t="s">
        <v>422</v>
      </c>
      <c r="C658" s="175" t="s">
        <v>281</v>
      </c>
      <c r="D658" s="176" t="s">
        <v>282</v>
      </c>
      <c r="E658" s="177" t="s">
        <v>423</v>
      </c>
      <c r="F658" s="175">
        <f t="shared" si="21"/>
        <v>12</v>
      </c>
      <c r="G658" s="175" t="str">
        <f t="shared" si="22"/>
        <v>Alexandria</v>
      </c>
      <c r="H658" s="175"/>
      <c r="I658" s="178" t="s">
        <v>381</v>
      </c>
      <c r="J658" s="27" t="s">
        <v>282</v>
      </c>
      <c r="K658" s="27">
        <v>2368</v>
      </c>
      <c r="L658" s="179">
        <v>2264</v>
      </c>
      <c r="M658" s="180" t="s">
        <v>382</v>
      </c>
      <c r="N658" s="181" t="s">
        <v>282</v>
      </c>
      <c r="O658" s="182" t="s">
        <v>383</v>
      </c>
    </row>
    <row r="659" spans="2:15">
      <c r="B659" s="174" t="s">
        <v>280</v>
      </c>
      <c r="C659" s="175" t="s">
        <v>281</v>
      </c>
      <c r="D659" s="176" t="s">
        <v>282</v>
      </c>
      <c r="E659" s="177" t="s">
        <v>380</v>
      </c>
      <c r="F659" s="175">
        <f t="shared" si="21"/>
        <v>9</v>
      </c>
      <c r="G659" s="175" t="str">
        <f t="shared" si="22"/>
        <v>Aimwell</v>
      </c>
      <c r="H659" s="175"/>
      <c r="I659" s="178" t="s">
        <v>381</v>
      </c>
      <c r="J659" s="27" t="s">
        <v>282</v>
      </c>
      <c r="K659" s="27">
        <v>2368</v>
      </c>
      <c r="L659" s="179">
        <v>2264</v>
      </c>
      <c r="M659" s="180" t="s">
        <v>382</v>
      </c>
      <c r="N659" s="181" t="s">
        <v>282</v>
      </c>
      <c r="O659" s="182" t="s">
        <v>383</v>
      </c>
    </row>
    <row r="660" spans="2:15">
      <c r="B660" s="174" t="s">
        <v>2424</v>
      </c>
      <c r="C660" s="175" t="s">
        <v>1578</v>
      </c>
      <c r="D660" s="176" t="s">
        <v>1579</v>
      </c>
      <c r="E660" s="177" t="s">
        <v>2425</v>
      </c>
      <c r="F660" s="175">
        <f t="shared" si="21"/>
        <v>12</v>
      </c>
      <c r="G660" s="175" t="str">
        <f t="shared" si="22"/>
        <v>Pine Bluff</v>
      </c>
      <c r="H660" s="175"/>
      <c r="I660" s="178" t="s">
        <v>2063</v>
      </c>
      <c r="J660" s="27" t="s">
        <v>1335</v>
      </c>
      <c r="K660" s="27">
        <v>2215</v>
      </c>
      <c r="L660" s="179">
        <v>2467</v>
      </c>
      <c r="M660" s="180" t="s">
        <v>1336</v>
      </c>
      <c r="N660" s="181" t="s">
        <v>1335</v>
      </c>
      <c r="O660" s="182" t="s">
        <v>1337</v>
      </c>
    </row>
    <row r="661" spans="2:15">
      <c r="B661" s="174" t="s">
        <v>1349</v>
      </c>
      <c r="C661" s="175" t="s">
        <v>1578</v>
      </c>
      <c r="D661" s="176" t="s">
        <v>1579</v>
      </c>
      <c r="E661" s="177" t="s">
        <v>1350</v>
      </c>
      <c r="F661" s="175">
        <f t="shared" si="21"/>
        <v>8</v>
      </c>
      <c r="G661" s="175" t="str">
        <f t="shared" si="22"/>
        <v>Camden</v>
      </c>
      <c r="H661" s="175"/>
      <c r="I661" s="178" t="s">
        <v>1351</v>
      </c>
      <c r="J661" s="27" t="s">
        <v>1579</v>
      </c>
      <c r="K661" s="27">
        <v>2005</v>
      </c>
      <c r="L661" s="179">
        <v>3155</v>
      </c>
      <c r="M661" s="178" t="s">
        <v>1582</v>
      </c>
      <c r="N661" s="27" t="s">
        <v>1579</v>
      </c>
      <c r="O661" s="182" t="s">
        <v>1583</v>
      </c>
    </row>
    <row r="662" spans="2:15">
      <c r="B662" s="174" t="s">
        <v>789</v>
      </c>
      <c r="C662" s="175" t="s">
        <v>1578</v>
      </c>
      <c r="D662" s="176" t="s">
        <v>1579</v>
      </c>
      <c r="E662" s="177" t="s">
        <v>790</v>
      </c>
      <c r="F662" s="175">
        <f t="shared" si="21"/>
        <v>6</v>
      </c>
      <c r="G662" s="175" t="str">
        <f t="shared" si="22"/>
        <v>Hope</v>
      </c>
      <c r="H662" s="175"/>
      <c r="I662" s="178" t="s">
        <v>1351</v>
      </c>
      <c r="J662" s="27" t="s">
        <v>1579</v>
      </c>
      <c r="K662" s="27">
        <v>2005</v>
      </c>
      <c r="L662" s="179">
        <v>3155</v>
      </c>
      <c r="M662" s="178" t="s">
        <v>1582</v>
      </c>
      <c r="N662" s="27" t="s">
        <v>1579</v>
      </c>
      <c r="O662" s="182" t="s">
        <v>1583</v>
      </c>
    </row>
    <row r="663" spans="2:15">
      <c r="B663" s="174" t="s">
        <v>791</v>
      </c>
      <c r="C663" s="175" t="s">
        <v>1578</v>
      </c>
      <c r="D663" s="176" t="s">
        <v>1579</v>
      </c>
      <c r="E663" s="177" t="s">
        <v>792</v>
      </c>
      <c r="F663" s="175">
        <f t="shared" si="21"/>
        <v>13</v>
      </c>
      <c r="G663" s="175" t="str">
        <f t="shared" si="22"/>
        <v>Hot Springs</v>
      </c>
      <c r="H663" s="175"/>
      <c r="I663" s="178" t="s">
        <v>1351</v>
      </c>
      <c r="J663" s="27" t="s">
        <v>1579</v>
      </c>
      <c r="K663" s="27">
        <v>2005</v>
      </c>
      <c r="L663" s="179">
        <v>3155</v>
      </c>
      <c r="M663" s="178" t="s">
        <v>1582</v>
      </c>
      <c r="N663" s="27" t="s">
        <v>1579</v>
      </c>
      <c r="O663" s="182" t="s">
        <v>1583</v>
      </c>
    </row>
    <row r="664" spans="2:15">
      <c r="B664" s="174" t="s">
        <v>2122</v>
      </c>
      <c r="C664" s="175" t="s">
        <v>1578</v>
      </c>
      <c r="D664" s="176" t="s">
        <v>1579</v>
      </c>
      <c r="E664" s="177" t="s">
        <v>2123</v>
      </c>
      <c r="F664" s="175">
        <f t="shared" si="21"/>
        <v>13</v>
      </c>
      <c r="G664" s="175" t="str">
        <f t="shared" si="22"/>
        <v>Little Rock</v>
      </c>
      <c r="H664" s="175"/>
      <c r="I664" s="178" t="s">
        <v>1351</v>
      </c>
      <c r="J664" s="27" t="s">
        <v>1579</v>
      </c>
      <c r="K664" s="27">
        <v>2005</v>
      </c>
      <c r="L664" s="179">
        <v>3155</v>
      </c>
      <c r="M664" s="178" t="s">
        <v>1582</v>
      </c>
      <c r="N664" s="27" t="s">
        <v>1579</v>
      </c>
      <c r="O664" s="182" t="s">
        <v>1583</v>
      </c>
    </row>
    <row r="665" spans="2:15">
      <c r="B665" s="174" t="s">
        <v>2124</v>
      </c>
      <c r="C665" s="175" t="s">
        <v>1578</v>
      </c>
      <c r="D665" s="176" t="s">
        <v>1579</v>
      </c>
      <c r="E665" s="177" t="s">
        <v>2123</v>
      </c>
      <c r="F665" s="175">
        <f t="shared" si="21"/>
        <v>13</v>
      </c>
      <c r="G665" s="175" t="str">
        <f t="shared" si="22"/>
        <v>Little Rock</v>
      </c>
      <c r="H665" s="175"/>
      <c r="I665" s="178" t="s">
        <v>1351</v>
      </c>
      <c r="J665" s="27" t="s">
        <v>1579</v>
      </c>
      <c r="K665" s="27">
        <v>2005</v>
      </c>
      <c r="L665" s="179">
        <v>3155</v>
      </c>
      <c r="M665" s="178" t="s">
        <v>1582</v>
      </c>
      <c r="N665" s="27" t="s">
        <v>1579</v>
      </c>
      <c r="O665" s="182" t="s">
        <v>1583</v>
      </c>
    </row>
    <row r="666" spans="2:15">
      <c r="B666" s="174" t="s">
        <v>2125</v>
      </c>
      <c r="C666" s="175" t="s">
        <v>1578</v>
      </c>
      <c r="D666" s="176" t="s">
        <v>1579</v>
      </c>
      <c r="E666" s="177" t="s">
        <v>2123</v>
      </c>
      <c r="F666" s="175">
        <f t="shared" si="21"/>
        <v>13</v>
      </c>
      <c r="G666" s="175" t="str">
        <f t="shared" si="22"/>
        <v>Little Rock</v>
      </c>
      <c r="H666" s="175"/>
      <c r="I666" s="178" t="s">
        <v>1351</v>
      </c>
      <c r="J666" s="27" t="s">
        <v>1579</v>
      </c>
      <c r="K666" s="27">
        <v>2005</v>
      </c>
      <c r="L666" s="179">
        <v>3155</v>
      </c>
      <c r="M666" s="178" t="s">
        <v>1582</v>
      </c>
      <c r="N666" s="27" t="s">
        <v>1579</v>
      </c>
      <c r="O666" s="182" t="s">
        <v>1583</v>
      </c>
    </row>
    <row r="667" spans="2:15">
      <c r="B667" s="174" t="s">
        <v>1831</v>
      </c>
      <c r="C667" s="175" t="s">
        <v>1578</v>
      </c>
      <c r="D667" s="176" t="s">
        <v>1579</v>
      </c>
      <c r="E667" s="177" t="s">
        <v>1832</v>
      </c>
      <c r="F667" s="175">
        <f t="shared" si="21"/>
        <v>14</v>
      </c>
      <c r="G667" s="175" t="str">
        <f t="shared" si="22"/>
        <v>West Memphis</v>
      </c>
      <c r="H667" s="175"/>
      <c r="I667" s="178" t="s">
        <v>1581</v>
      </c>
      <c r="J667" s="27" t="s">
        <v>1579</v>
      </c>
      <c r="K667" s="27">
        <v>1916</v>
      </c>
      <c r="L667" s="179">
        <v>3228</v>
      </c>
      <c r="M667" s="178" t="s">
        <v>1582</v>
      </c>
      <c r="N667" s="27" t="s">
        <v>1579</v>
      </c>
      <c r="O667" s="182" t="s">
        <v>1583</v>
      </c>
    </row>
    <row r="668" spans="2:15">
      <c r="B668" s="174" t="s">
        <v>125</v>
      </c>
      <c r="C668" s="175" t="s">
        <v>1578</v>
      </c>
      <c r="D668" s="176" t="s">
        <v>1579</v>
      </c>
      <c r="E668" s="177" t="s">
        <v>126</v>
      </c>
      <c r="F668" s="175">
        <f t="shared" si="21"/>
        <v>11</v>
      </c>
      <c r="G668" s="175" t="str">
        <f t="shared" si="22"/>
        <v>Jonesboro</v>
      </c>
      <c r="H668" s="175"/>
      <c r="I668" s="178" t="s">
        <v>1581</v>
      </c>
      <c r="J668" s="27" t="s">
        <v>1579</v>
      </c>
      <c r="K668" s="27">
        <v>1916</v>
      </c>
      <c r="L668" s="179">
        <v>3228</v>
      </c>
      <c r="M668" s="178" t="s">
        <v>1582</v>
      </c>
      <c r="N668" s="27" t="s">
        <v>1579</v>
      </c>
      <c r="O668" s="182" t="s">
        <v>1583</v>
      </c>
    </row>
    <row r="669" spans="2:15">
      <c r="B669" s="174" t="s">
        <v>1577</v>
      </c>
      <c r="C669" s="175" t="s">
        <v>1578</v>
      </c>
      <c r="D669" s="176" t="s">
        <v>1579</v>
      </c>
      <c r="E669" s="177" t="s">
        <v>1580</v>
      </c>
      <c r="F669" s="175">
        <f t="shared" si="21"/>
        <v>12</v>
      </c>
      <c r="G669" s="175" t="str">
        <f t="shared" si="22"/>
        <v>Batesville</v>
      </c>
      <c r="H669" s="175"/>
      <c r="I669" s="178" t="s">
        <v>1581</v>
      </c>
      <c r="J669" s="27" t="s">
        <v>1579</v>
      </c>
      <c r="K669" s="27">
        <v>1916</v>
      </c>
      <c r="L669" s="179">
        <v>3228</v>
      </c>
      <c r="M669" s="178" t="s">
        <v>1582</v>
      </c>
      <c r="N669" s="27" t="s">
        <v>1579</v>
      </c>
      <c r="O669" s="182" t="s">
        <v>1583</v>
      </c>
    </row>
    <row r="670" spans="2:15">
      <c r="B670" s="174" t="s">
        <v>2086</v>
      </c>
      <c r="C670" s="175" t="s">
        <v>1578</v>
      </c>
      <c r="D670" s="176" t="s">
        <v>1579</v>
      </c>
      <c r="E670" s="177" t="s">
        <v>2176</v>
      </c>
      <c r="F670" s="175">
        <f t="shared" si="21"/>
        <v>10</v>
      </c>
      <c r="G670" s="175" t="str">
        <f t="shared" si="22"/>
        <v>Harrison</v>
      </c>
      <c r="H670" s="175"/>
      <c r="I670" s="178" t="s">
        <v>1955</v>
      </c>
      <c r="J670" s="27" t="s">
        <v>1579</v>
      </c>
      <c r="K670" s="27">
        <v>1894</v>
      </c>
      <c r="L670" s="179">
        <v>3478</v>
      </c>
      <c r="M670" s="178" t="s">
        <v>1956</v>
      </c>
      <c r="N670" s="27" t="s">
        <v>1579</v>
      </c>
      <c r="O670" s="182" t="s">
        <v>1957</v>
      </c>
    </row>
    <row r="671" spans="2:15">
      <c r="B671" s="174" t="s">
        <v>1912</v>
      </c>
      <c r="C671" s="175" t="s">
        <v>1578</v>
      </c>
      <c r="D671" s="176" t="s">
        <v>1579</v>
      </c>
      <c r="E671" s="177" t="s">
        <v>1913</v>
      </c>
      <c r="F671" s="175">
        <f t="shared" si="21"/>
        <v>14</v>
      </c>
      <c r="G671" s="175" t="str">
        <f t="shared" si="22"/>
        <v>Fayetteville</v>
      </c>
      <c r="H671" s="175"/>
      <c r="I671" s="178" t="s">
        <v>1914</v>
      </c>
      <c r="J671" s="27" t="s">
        <v>1367</v>
      </c>
      <c r="K671" s="27">
        <v>1320</v>
      </c>
      <c r="L671" s="179">
        <v>4638</v>
      </c>
      <c r="M671" s="180" t="s">
        <v>1640</v>
      </c>
      <c r="N671" s="181" t="s">
        <v>1367</v>
      </c>
      <c r="O671" s="182" t="s">
        <v>1915</v>
      </c>
    </row>
    <row r="672" spans="2:15">
      <c r="B672" s="174" t="s">
        <v>322</v>
      </c>
      <c r="C672" s="175" t="s">
        <v>1578</v>
      </c>
      <c r="D672" s="176" t="s">
        <v>1579</v>
      </c>
      <c r="E672" s="177" t="s">
        <v>323</v>
      </c>
      <c r="F672" s="175">
        <f t="shared" si="21"/>
        <v>14</v>
      </c>
      <c r="G672" s="175" t="str">
        <f t="shared" si="22"/>
        <v>Russellville</v>
      </c>
      <c r="H672" s="175"/>
      <c r="I672" s="178" t="s">
        <v>1955</v>
      </c>
      <c r="J672" s="27" t="s">
        <v>1579</v>
      </c>
      <c r="K672" s="27">
        <v>1894</v>
      </c>
      <c r="L672" s="179">
        <v>3478</v>
      </c>
      <c r="M672" s="178" t="s">
        <v>1956</v>
      </c>
      <c r="N672" s="27" t="s">
        <v>1579</v>
      </c>
      <c r="O672" s="182" t="s">
        <v>1957</v>
      </c>
    </row>
    <row r="673" spans="2:15">
      <c r="B673" s="174" t="s">
        <v>1953</v>
      </c>
      <c r="C673" s="175" t="s">
        <v>1578</v>
      </c>
      <c r="D673" s="176" t="s">
        <v>1579</v>
      </c>
      <c r="E673" s="177" t="s">
        <v>1954</v>
      </c>
      <c r="F673" s="175">
        <f t="shared" si="21"/>
        <v>12</v>
      </c>
      <c r="G673" s="175" t="str">
        <f t="shared" si="22"/>
        <v>Fort Smith</v>
      </c>
      <c r="H673" s="175"/>
      <c r="I673" s="178" t="s">
        <v>1955</v>
      </c>
      <c r="J673" s="27" t="s">
        <v>1579</v>
      </c>
      <c r="K673" s="27">
        <v>1894</v>
      </c>
      <c r="L673" s="179">
        <v>3478</v>
      </c>
      <c r="M673" s="178" t="s">
        <v>1956</v>
      </c>
      <c r="N673" s="27" t="s">
        <v>1579</v>
      </c>
      <c r="O673" s="182" t="s">
        <v>1957</v>
      </c>
    </row>
    <row r="674" spans="2:15">
      <c r="B674" s="174" t="s">
        <v>1439</v>
      </c>
      <c r="C674" s="175" t="s">
        <v>500</v>
      </c>
      <c r="D674" s="176" t="s">
        <v>501</v>
      </c>
      <c r="E674" s="177" t="s">
        <v>1440</v>
      </c>
      <c r="F674" s="175">
        <f t="shared" si="21"/>
        <v>15</v>
      </c>
      <c r="G674" s="175" t="str">
        <f t="shared" si="22"/>
        <v>Oklahoma City</v>
      </c>
      <c r="H674" s="175"/>
      <c r="I674" s="178" t="s">
        <v>597</v>
      </c>
      <c r="J674" s="27" t="s">
        <v>501</v>
      </c>
      <c r="K674" s="27">
        <v>1859</v>
      </c>
      <c r="L674" s="179">
        <v>3659</v>
      </c>
      <c r="M674" s="180" t="s">
        <v>689</v>
      </c>
      <c r="N674" s="181" t="s">
        <v>501</v>
      </c>
      <c r="O674" s="182" t="s">
        <v>690</v>
      </c>
    </row>
    <row r="675" spans="2:15">
      <c r="B675" s="174" t="s">
        <v>1441</v>
      </c>
      <c r="C675" s="175" t="s">
        <v>500</v>
      </c>
      <c r="D675" s="176" t="s">
        <v>501</v>
      </c>
      <c r="E675" s="177" t="s">
        <v>1440</v>
      </c>
      <c r="F675" s="175">
        <f t="shared" si="21"/>
        <v>15</v>
      </c>
      <c r="G675" s="175" t="str">
        <f t="shared" si="22"/>
        <v>Oklahoma City</v>
      </c>
      <c r="H675" s="175"/>
      <c r="I675" s="178" t="s">
        <v>597</v>
      </c>
      <c r="J675" s="27" t="s">
        <v>501</v>
      </c>
      <c r="K675" s="27">
        <v>1859</v>
      </c>
      <c r="L675" s="179">
        <v>3659</v>
      </c>
      <c r="M675" s="180" t="s">
        <v>689</v>
      </c>
      <c r="N675" s="181" t="s">
        <v>501</v>
      </c>
      <c r="O675" s="182" t="s">
        <v>690</v>
      </c>
    </row>
    <row r="676" spans="2:15">
      <c r="B676" s="174" t="s">
        <v>499</v>
      </c>
      <c r="C676" s="175" t="s">
        <v>500</v>
      </c>
      <c r="D676" s="176" t="s">
        <v>501</v>
      </c>
      <c r="E676" s="177" t="s">
        <v>502</v>
      </c>
      <c r="F676" s="175">
        <f t="shared" si="21"/>
        <v>9</v>
      </c>
      <c r="G676" s="175" t="str">
        <f t="shared" si="22"/>
        <v>Ardmore</v>
      </c>
      <c r="H676" s="175"/>
      <c r="I676" s="178" t="s">
        <v>503</v>
      </c>
      <c r="J676" s="27" t="s">
        <v>255</v>
      </c>
      <c r="K676" s="27">
        <v>2603</v>
      </c>
      <c r="L676" s="179">
        <v>2407</v>
      </c>
      <c r="M676" s="180" t="s">
        <v>504</v>
      </c>
      <c r="N676" s="181" t="s">
        <v>255</v>
      </c>
      <c r="O676" s="182" t="s">
        <v>505</v>
      </c>
    </row>
    <row r="677" spans="2:15">
      <c r="B677" s="174" t="s">
        <v>2097</v>
      </c>
      <c r="C677" s="175" t="s">
        <v>500</v>
      </c>
      <c r="D677" s="176" t="s">
        <v>501</v>
      </c>
      <c r="E677" s="177" t="s">
        <v>2098</v>
      </c>
      <c r="F677" s="175">
        <f t="shared" si="21"/>
        <v>8</v>
      </c>
      <c r="G677" s="175" t="str">
        <f t="shared" si="22"/>
        <v>Lawton</v>
      </c>
      <c r="H677" s="175"/>
      <c r="I677" s="178" t="s">
        <v>2099</v>
      </c>
      <c r="J677" s="27" t="s">
        <v>255</v>
      </c>
      <c r="K677" s="27">
        <v>2340</v>
      </c>
      <c r="L677" s="179">
        <v>3042</v>
      </c>
      <c r="M677" s="180" t="s">
        <v>2100</v>
      </c>
      <c r="N677" s="181" t="s">
        <v>255</v>
      </c>
      <c r="O677" s="182" t="s">
        <v>2101</v>
      </c>
    </row>
    <row r="678" spans="2:15">
      <c r="B678" s="174" t="s">
        <v>595</v>
      </c>
      <c r="C678" s="175" t="s">
        <v>500</v>
      </c>
      <c r="D678" s="176" t="s">
        <v>501</v>
      </c>
      <c r="E678" s="177" t="s">
        <v>596</v>
      </c>
      <c r="F678" s="175">
        <f t="shared" si="21"/>
        <v>9</v>
      </c>
      <c r="G678" s="175" t="str">
        <f t="shared" si="22"/>
        <v>Clinton</v>
      </c>
      <c r="H678" s="175"/>
      <c r="I678" s="178" t="s">
        <v>597</v>
      </c>
      <c r="J678" s="27" t="s">
        <v>501</v>
      </c>
      <c r="K678" s="27">
        <v>1859</v>
      </c>
      <c r="L678" s="179">
        <v>3659</v>
      </c>
      <c r="M678" s="180" t="s">
        <v>689</v>
      </c>
      <c r="N678" s="181" t="s">
        <v>501</v>
      </c>
      <c r="O678" s="182" t="s">
        <v>690</v>
      </c>
    </row>
    <row r="679" spans="2:15">
      <c r="B679" s="174" t="s">
        <v>1043</v>
      </c>
      <c r="C679" s="175" t="s">
        <v>500</v>
      </c>
      <c r="D679" s="176" t="s">
        <v>501</v>
      </c>
      <c r="E679" s="177" t="s">
        <v>1044</v>
      </c>
      <c r="F679" s="175">
        <f t="shared" si="21"/>
        <v>6</v>
      </c>
      <c r="G679" s="175" t="str">
        <f t="shared" si="22"/>
        <v>Enid</v>
      </c>
      <c r="H679" s="175"/>
      <c r="I679" s="178" t="s">
        <v>597</v>
      </c>
      <c r="J679" s="27" t="s">
        <v>501</v>
      </c>
      <c r="K679" s="27">
        <v>1859</v>
      </c>
      <c r="L679" s="179">
        <v>3659</v>
      </c>
      <c r="M679" s="180" t="s">
        <v>689</v>
      </c>
      <c r="N679" s="181" t="s">
        <v>501</v>
      </c>
      <c r="O679" s="182" t="s">
        <v>690</v>
      </c>
    </row>
    <row r="680" spans="2:15">
      <c r="B680" s="174" t="s">
        <v>738</v>
      </c>
      <c r="C680" s="175" t="s">
        <v>500</v>
      </c>
      <c r="D680" s="176" t="s">
        <v>501</v>
      </c>
      <c r="E680" s="177" t="s">
        <v>739</v>
      </c>
      <c r="F680" s="175">
        <f t="shared" si="21"/>
        <v>10</v>
      </c>
      <c r="G680" s="175" t="str">
        <f t="shared" si="22"/>
        <v>Woodward</v>
      </c>
      <c r="H680" s="175"/>
      <c r="I680" s="178" t="s">
        <v>270</v>
      </c>
      <c r="J680" s="27" t="s">
        <v>255</v>
      </c>
      <c r="K680" s="27">
        <v>1354</v>
      </c>
      <c r="L680" s="179">
        <v>4258</v>
      </c>
      <c r="M680" s="180" t="s">
        <v>271</v>
      </c>
      <c r="N680" s="181" t="s">
        <v>255</v>
      </c>
      <c r="O680" s="182" t="s">
        <v>272</v>
      </c>
    </row>
    <row r="681" spans="2:15">
      <c r="B681" s="174" t="s">
        <v>2075</v>
      </c>
      <c r="C681" s="175" t="s">
        <v>500</v>
      </c>
      <c r="D681" s="176" t="s">
        <v>501</v>
      </c>
      <c r="E681" s="177" t="s">
        <v>2076</v>
      </c>
      <c r="F681" s="175">
        <f t="shared" si="21"/>
        <v>8</v>
      </c>
      <c r="G681" s="175" t="str">
        <f t="shared" si="22"/>
        <v>Guymon</v>
      </c>
      <c r="H681" s="175"/>
      <c r="I681" s="178" t="s">
        <v>270</v>
      </c>
      <c r="J681" s="27" t="s">
        <v>255</v>
      </c>
      <c r="K681" s="27">
        <v>1354</v>
      </c>
      <c r="L681" s="179">
        <v>4258</v>
      </c>
      <c r="M681" s="180" t="s">
        <v>689</v>
      </c>
      <c r="N681" s="181" t="s">
        <v>501</v>
      </c>
      <c r="O681" s="182" t="s">
        <v>690</v>
      </c>
    </row>
    <row r="682" spans="2:15">
      <c r="B682" s="174" t="s">
        <v>1759</v>
      </c>
      <c r="C682" s="175" t="s">
        <v>500</v>
      </c>
      <c r="D682" s="176" t="s">
        <v>501</v>
      </c>
      <c r="E682" s="177" t="s">
        <v>1760</v>
      </c>
      <c r="F682" s="175">
        <f t="shared" si="21"/>
        <v>7</v>
      </c>
      <c r="G682" s="175" t="str">
        <f t="shared" si="22"/>
        <v>Tulsa</v>
      </c>
      <c r="H682" s="175"/>
      <c r="I682" s="178" t="s">
        <v>597</v>
      </c>
      <c r="J682" s="27" t="s">
        <v>501</v>
      </c>
      <c r="K682" s="27">
        <v>1859</v>
      </c>
      <c r="L682" s="179">
        <v>3659</v>
      </c>
      <c r="M682" s="180" t="s">
        <v>2444</v>
      </c>
      <c r="N682" s="181" t="s">
        <v>501</v>
      </c>
      <c r="O682" s="182" t="s">
        <v>2445</v>
      </c>
    </row>
    <row r="683" spans="2:15">
      <c r="B683" s="174" t="s">
        <v>1761</v>
      </c>
      <c r="C683" s="175" t="s">
        <v>500</v>
      </c>
      <c r="D683" s="176" t="s">
        <v>501</v>
      </c>
      <c r="E683" s="177" t="s">
        <v>1760</v>
      </c>
      <c r="F683" s="175">
        <f t="shared" si="21"/>
        <v>7</v>
      </c>
      <c r="G683" s="175" t="str">
        <f t="shared" si="22"/>
        <v>Tulsa</v>
      </c>
      <c r="H683" s="175"/>
      <c r="I683" s="178" t="s">
        <v>2443</v>
      </c>
      <c r="J683" s="27" t="s">
        <v>501</v>
      </c>
      <c r="K683" s="27">
        <v>2017</v>
      </c>
      <c r="L683" s="179">
        <v>3691</v>
      </c>
      <c r="M683" s="180" t="s">
        <v>2444</v>
      </c>
      <c r="N683" s="181" t="s">
        <v>501</v>
      </c>
      <c r="O683" s="182" t="s">
        <v>2445</v>
      </c>
    </row>
    <row r="684" spans="2:15">
      <c r="B684" s="174" t="s">
        <v>1794</v>
      </c>
      <c r="C684" s="175" t="s">
        <v>500</v>
      </c>
      <c r="D684" s="176" t="s">
        <v>501</v>
      </c>
      <c r="E684" s="177" t="s">
        <v>1795</v>
      </c>
      <c r="F684" s="175">
        <f t="shared" si="21"/>
        <v>8</v>
      </c>
      <c r="G684" s="175" t="str">
        <f t="shared" si="22"/>
        <v>Vinita</v>
      </c>
      <c r="H684" s="175"/>
      <c r="I684" s="178" t="s">
        <v>2443</v>
      </c>
      <c r="J684" s="27" t="s">
        <v>501</v>
      </c>
      <c r="K684" s="27">
        <v>2017</v>
      </c>
      <c r="L684" s="179">
        <v>3691</v>
      </c>
      <c r="M684" s="180" t="s">
        <v>2444</v>
      </c>
      <c r="N684" s="181" t="s">
        <v>501</v>
      </c>
      <c r="O684" s="182" t="s">
        <v>2445</v>
      </c>
    </row>
    <row r="685" spans="2:15">
      <c r="B685" s="174" t="s">
        <v>1082</v>
      </c>
      <c r="C685" s="175" t="s">
        <v>500</v>
      </c>
      <c r="D685" s="176" t="s">
        <v>501</v>
      </c>
      <c r="E685" s="177" t="s">
        <v>1083</v>
      </c>
      <c r="F685" s="175">
        <f t="shared" si="21"/>
        <v>10</v>
      </c>
      <c r="G685" s="175" t="str">
        <f t="shared" si="22"/>
        <v>Muskogee</v>
      </c>
      <c r="H685" s="175"/>
      <c r="I685" s="178" t="s">
        <v>1955</v>
      </c>
      <c r="J685" s="27" t="s">
        <v>1579</v>
      </c>
      <c r="K685" s="27">
        <v>1894</v>
      </c>
      <c r="L685" s="179">
        <v>3478</v>
      </c>
      <c r="M685" s="178" t="s">
        <v>1956</v>
      </c>
      <c r="N685" s="27" t="s">
        <v>1579</v>
      </c>
      <c r="O685" s="182" t="s">
        <v>1957</v>
      </c>
    </row>
    <row r="686" spans="2:15">
      <c r="B686" s="174" t="s">
        <v>1153</v>
      </c>
      <c r="C686" s="175" t="s">
        <v>500</v>
      </c>
      <c r="D686" s="176" t="s">
        <v>501</v>
      </c>
      <c r="E686" s="177" t="s">
        <v>1154</v>
      </c>
      <c r="F686" s="175">
        <f t="shared" si="21"/>
        <v>11</v>
      </c>
      <c r="G686" s="175" t="str">
        <f t="shared" si="22"/>
        <v>McAlester</v>
      </c>
      <c r="H686" s="175"/>
      <c r="I686" s="178" t="s">
        <v>1955</v>
      </c>
      <c r="J686" s="27" t="s">
        <v>1579</v>
      </c>
      <c r="K686" s="27">
        <v>1894</v>
      </c>
      <c r="L686" s="179">
        <v>3478</v>
      </c>
      <c r="M686" s="178" t="s">
        <v>1956</v>
      </c>
      <c r="N686" s="27" t="s">
        <v>1579</v>
      </c>
      <c r="O686" s="182" t="s">
        <v>1957</v>
      </c>
    </row>
    <row r="687" spans="2:15">
      <c r="B687" s="174" t="s">
        <v>2441</v>
      </c>
      <c r="C687" s="175" t="s">
        <v>500</v>
      </c>
      <c r="D687" s="176" t="s">
        <v>501</v>
      </c>
      <c r="E687" s="177" t="s">
        <v>2442</v>
      </c>
      <c r="F687" s="175">
        <f t="shared" si="21"/>
        <v>12</v>
      </c>
      <c r="G687" s="175" t="str">
        <f t="shared" si="22"/>
        <v>Ponca City</v>
      </c>
      <c r="H687" s="175"/>
      <c r="I687" s="178" t="s">
        <v>2443</v>
      </c>
      <c r="J687" s="27" t="s">
        <v>501</v>
      </c>
      <c r="K687" s="27">
        <v>2017</v>
      </c>
      <c r="L687" s="179">
        <v>3691</v>
      </c>
      <c r="M687" s="180" t="s">
        <v>2444</v>
      </c>
      <c r="N687" s="181" t="s">
        <v>501</v>
      </c>
      <c r="O687" s="182" t="s">
        <v>2445</v>
      </c>
    </row>
    <row r="688" spans="2:15">
      <c r="B688" s="174" t="s">
        <v>1746</v>
      </c>
      <c r="C688" s="175" t="s">
        <v>500</v>
      </c>
      <c r="D688" s="176" t="s">
        <v>501</v>
      </c>
      <c r="E688" s="177" t="s">
        <v>1747</v>
      </c>
      <c r="F688" s="175">
        <f t="shared" si="21"/>
        <v>8</v>
      </c>
      <c r="G688" s="175" t="str">
        <f t="shared" si="22"/>
        <v>Durant</v>
      </c>
      <c r="H688" s="175"/>
      <c r="I688" s="178" t="s">
        <v>503</v>
      </c>
      <c r="J688" s="27" t="s">
        <v>255</v>
      </c>
      <c r="K688" s="27">
        <v>2603</v>
      </c>
      <c r="L688" s="179">
        <v>2407</v>
      </c>
      <c r="M688" s="180" t="s">
        <v>504</v>
      </c>
      <c r="N688" s="181" t="s">
        <v>255</v>
      </c>
      <c r="O688" s="182" t="s">
        <v>505</v>
      </c>
    </row>
    <row r="689" spans="2:15">
      <c r="B689" s="174" t="s">
        <v>1273</v>
      </c>
      <c r="C689" s="175" t="s">
        <v>500</v>
      </c>
      <c r="D689" s="176" t="s">
        <v>501</v>
      </c>
      <c r="E689" s="177" t="s">
        <v>1274</v>
      </c>
      <c r="F689" s="175">
        <f t="shared" si="21"/>
        <v>9</v>
      </c>
      <c r="G689" s="175" t="str">
        <f t="shared" si="22"/>
        <v>Shawnee</v>
      </c>
      <c r="H689" s="175"/>
      <c r="I689" s="178" t="s">
        <v>2099</v>
      </c>
      <c r="J689" s="27" t="s">
        <v>255</v>
      </c>
      <c r="K689" s="27">
        <v>2340</v>
      </c>
      <c r="L689" s="179">
        <v>3042</v>
      </c>
      <c r="M689" s="180" t="s">
        <v>2100</v>
      </c>
      <c r="N689" s="181" t="s">
        <v>255</v>
      </c>
      <c r="O689" s="182" t="s">
        <v>2101</v>
      </c>
    </row>
    <row r="690" spans="2:15">
      <c r="B690" s="174" t="s">
        <v>2460</v>
      </c>
      <c r="C690" s="175" t="s">
        <v>500</v>
      </c>
      <c r="D690" s="176" t="s">
        <v>501</v>
      </c>
      <c r="E690" s="177" t="s">
        <v>2461</v>
      </c>
      <c r="F690" s="175">
        <f t="shared" si="21"/>
        <v>8</v>
      </c>
      <c r="G690" s="175" t="str">
        <f t="shared" si="22"/>
        <v>Poteau</v>
      </c>
      <c r="H690" s="175"/>
      <c r="I690" s="178" t="s">
        <v>1955</v>
      </c>
      <c r="J690" s="27" t="s">
        <v>1579</v>
      </c>
      <c r="K690" s="27">
        <v>1894</v>
      </c>
      <c r="L690" s="179">
        <v>3478</v>
      </c>
      <c r="M690" s="178" t="s">
        <v>1956</v>
      </c>
      <c r="N690" s="27" t="s">
        <v>1579</v>
      </c>
      <c r="O690" s="182" t="s">
        <v>1957</v>
      </c>
    </row>
    <row r="691" spans="2:15">
      <c r="B691" s="174" t="s">
        <v>1668</v>
      </c>
      <c r="C691" s="175" t="s">
        <v>254</v>
      </c>
      <c r="D691" s="176" t="s">
        <v>255</v>
      </c>
      <c r="E691" s="177" t="s">
        <v>1669</v>
      </c>
      <c r="F691" s="175">
        <f t="shared" si="21"/>
        <v>8</v>
      </c>
      <c r="G691" s="175" t="str">
        <f t="shared" si="22"/>
        <v>Dallas</v>
      </c>
      <c r="H691" s="175"/>
      <c r="I691" s="178" t="s">
        <v>503</v>
      </c>
      <c r="J691" s="27" t="s">
        <v>255</v>
      </c>
      <c r="K691" s="27">
        <v>2603</v>
      </c>
      <c r="L691" s="179">
        <v>2407</v>
      </c>
      <c r="M691" s="180" t="s">
        <v>504</v>
      </c>
      <c r="N691" s="181" t="s">
        <v>255</v>
      </c>
      <c r="O691" s="182" t="s">
        <v>505</v>
      </c>
    </row>
    <row r="692" spans="2:15">
      <c r="B692" s="174" t="s">
        <v>1670</v>
      </c>
      <c r="C692" s="175" t="s">
        <v>254</v>
      </c>
      <c r="D692" s="176" t="s">
        <v>255</v>
      </c>
      <c r="E692" s="177" t="s">
        <v>1669</v>
      </c>
      <c r="F692" s="175">
        <f t="shared" si="21"/>
        <v>8</v>
      </c>
      <c r="G692" s="175" t="str">
        <f t="shared" si="22"/>
        <v>Dallas</v>
      </c>
      <c r="H692" s="175"/>
      <c r="I692" s="178" t="s">
        <v>503</v>
      </c>
      <c r="J692" s="27" t="s">
        <v>255</v>
      </c>
      <c r="K692" s="27">
        <v>2603</v>
      </c>
      <c r="L692" s="179">
        <v>2407</v>
      </c>
      <c r="M692" s="180" t="s">
        <v>504</v>
      </c>
      <c r="N692" s="181" t="s">
        <v>255</v>
      </c>
      <c r="O692" s="182" t="s">
        <v>505</v>
      </c>
    </row>
    <row r="693" spans="2:15">
      <c r="B693" s="174" t="s">
        <v>1671</v>
      </c>
      <c r="C693" s="175" t="s">
        <v>254</v>
      </c>
      <c r="D693" s="176" t="s">
        <v>255</v>
      </c>
      <c r="E693" s="177" t="s">
        <v>1669</v>
      </c>
      <c r="F693" s="175">
        <f t="shared" si="21"/>
        <v>8</v>
      </c>
      <c r="G693" s="175" t="str">
        <f t="shared" si="22"/>
        <v>Dallas</v>
      </c>
      <c r="H693" s="175"/>
      <c r="I693" s="178" t="s">
        <v>503</v>
      </c>
      <c r="J693" s="27" t="s">
        <v>255</v>
      </c>
      <c r="K693" s="27">
        <v>2603</v>
      </c>
      <c r="L693" s="179">
        <v>2407</v>
      </c>
      <c r="M693" s="180" t="s">
        <v>504</v>
      </c>
      <c r="N693" s="181" t="s">
        <v>255</v>
      </c>
      <c r="O693" s="182" t="s">
        <v>505</v>
      </c>
    </row>
    <row r="694" spans="2:15">
      <c r="B694" s="174" t="s">
        <v>1672</v>
      </c>
      <c r="C694" s="175" t="s">
        <v>254</v>
      </c>
      <c r="D694" s="176" t="s">
        <v>255</v>
      </c>
      <c r="E694" s="177" t="s">
        <v>1669</v>
      </c>
      <c r="F694" s="175">
        <f t="shared" si="21"/>
        <v>8</v>
      </c>
      <c r="G694" s="175" t="str">
        <f t="shared" si="22"/>
        <v>Dallas</v>
      </c>
      <c r="H694" s="175"/>
      <c r="I694" s="178" t="s">
        <v>503</v>
      </c>
      <c r="J694" s="27" t="s">
        <v>255</v>
      </c>
      <c r="K694" s="27">
        <v>2603</v>
      </c>
      <c r="L694" s="179">
        <v>2407</v>
      </c>
      <c r="M694" s="180" t="s">
        <v>504</v>
      </c>
      <c r="N694" s="181" t="s">
        <v>255</v>
      </c>
      <c r="O694" s="182" t="s">
        <v>505</v>
      </c>
    </row>
    <row r="695" spans="2:15">
      <c r="B695" s="174" t="s">
        <v>2065</v>
      </c>
      <c r="C695" s="175" t="s">
        <v>254</v>
      </c>
      <c r="D695" s="176" t="s">
        <v>255</v>
      </c>
      <c r="E695" s="177" t="s">
        <v>2062</v>
      </c>
      <c r="F695" s="175">
        <f t="shared" si="21"/>
        <v>12</v>
      </c>
      <c r="G695" s="175" t="str">
        <f t="shared" si="22"/>
        <v>Greenville</v>
      </c>
      <c r="H695" s="175"/>
      <c r="I695" s="178" t="s">
        <v>503</v>
      </c>
      <c r="J695" s="27" t="s">
        <v>255</v>
      </c>
      <c r="K695" s="27">
        <v>2603</v>
      </c>
      <c r="L695" s="179">
        <v>2407</v>
      </c>
      <c r="M695" s="180" t="s">
        <v>504</v>
      </c>
      <c r="N695" s="181" t="s">
        <v>255</v>
      </c>
      <c r="O695" s="182" t="s">
        <v>505</v>
      </c>
    </row>
    <row r="696" spans="2:15">
      <c r="B696" s="174" t="s">
        <v>851</v>
      </c>
      <c r="C696" s="175" t="s">
        <v>254</v>
      </c>
      <c r="D696" s="176" t="s">
        <v>255</v>
      </c>
      <c r="E696" s="177" t="s">
        <v>852</v>
      </c>
      <c r="F696" s="175">
        <f t="shared" si="21"/>
        <v>11</v>
      </c>
      <c r="G696" s="175" t="str">
        <f t="shared" si="22"/>
        <v>Texarkana</v>
      </c>
      <c r="H696" s="175"/>
      <c r="I696" s="178" t="s">
        <v>381</v>
      </c>
      <c r="J696" s="27" t="s">
        <v>282</v>
      </c>
      <c r="K696" s="27">
        <v>2368</v>
      </c>
      <c r="L696" s="179">
        <v>2264</v>
      </c>
      <c r="M696" s="180" t="s">
        <v>382</v>
      </c>
      <c r="N696" s="181" t="s">
        <v>282</v>
      </c>
      <c r="O696" s="182" t="s">
        <v>383</v>
      </c>
    </row>
    <row r="697" spans="2:15">
      <c r="B697" s="174" t="s">
        <v>2134</v>
      </c>
      <c r="C697" s="175" t="s">
        <v>254</v>
      </c>
      <c r="D697" s="176" t="s">
        <v>255</v>
      </c>
      <c r="E697" s="177" t="s">
        <v>2135</v>
      </c>
      <c r="F697" s="175">
        <f t="shared" si="21"/>
        <v>10</v>
      </c>
      <c r="G697" s="175" t="str">
        <f t="shared" si="22"/>
        <v>Longview</v>
      </c>
      <c r="H697" s="175"/>
      <c r="I697" s="178" t="s">
        <v>381</v>
      </c>
      <c r="J697" s="27" t="s">
        <v>282</v>
      </c>
      <c r="K697" s="27">
        <v>2368</v>
      </c>
      <c r="L697" s="179">
        <v>2264</v>
      </c>
      <c r="M697" s="180" t="s">
        <v>382</v>
      </c>
      <c r="N697" s="181" t="s">
        <v>282</v>
      </c>
      <c r="O697" s="182" t="s">
        <v>383</v>
      </c>
    </row>
    <row r="698" spans="2:15">
      <c r="B698" s="174" t="s">
        <v>1769</v>
      </c>
      <c r="C698" s="175" t="s">
        <v>254</v>
      </c>
      <c r="D698" s="176" t="s">
        <v>255</v>
      </c>
      <c r="E698" s="177" t="s">
        <v>1770</v>
      </c>
      <c r="F698" s="175">
        <f t="shared" si="21"/>
        <v>7</v>
      </c>
      <c r="G698" s="175" t="str">
        <f t="shared" si="22"/>
        <v>Tyler</v>
      </c>
      <c r="H698" s="175"/>
      <c r="I698" s="178" t="s">
        <v>503</v>
      </c>
      <c r="J698" s="27" t="s">
        <v>255</v>
      </c>
      <c r="K698" s="27">
        <v>2603</v>
      </c>
      <c r="L698" s="179">
        <v>2407</v>
      </c>
      <c r="M698" s="180" t="s">
        <v>504</v>
      </c>
      <c r="N698" s="181" t="s">
        <v>255</v>
      </c>
      <c r="O698" s="182" t="s">
        <v>505</v>
      </c>
    </row>
    <row r="699" spans="2:15">
      <c r="B699" s="174" t="s">
        <v>2292</v>
      </c>
      <c r="C699" s="175" t="s">
        <v>254</v>
      </c>
      <c r="D699" s="176" t="s">
        <v>255</v>
      </c>
      <c r="E699" s="177" t="s">
        <v>2293</v>
      </c>
      <c r="F699" s="175">
        <f t="shared" si="21"/>
        <v>11</v>
      </c>
      <c r="G699" s="175" t="str">
        <f t="shared" si="22"/>
        <v>Palestine</v>
      </c>
      <c r="H699" s="175"/>
      <c r="I699" s="178" t="s">
        <v>2149</v>
      </c>
      <c r="J699" s="27" t="s">
        <v>255</v>
      </c>
      <c r="K699" s="27">
        <v>2816</v>
      </c>
      <c r="L699" s="179">
        <v>2179</v>
      </c>
      <c r="M699" s="180" t="s">
        <v>2150</v>
      </c>
      <c r="N699" s="181" t="s">
        <v>255</v>
      </c>
      <c r="O699" s="182" t="s">
        <v>2151</v>
      </c>
    </row>
    <row r="700" spans="2:15">
      <c r="B700" s="174" t="s">
        <v>2147</v>
      </c>
      <c r="C700" s="175" t="s">
        <v>254</v>
      </c>
      <c r="D700" s="176" t="s">
        <v>255</v>
      </c>
      <c r="E700" s="177" t="s">
        <v>2148</v>
      </c>
      <c r="F700" s="175">
        <f t="shared" si="21"/>
        <v>8</v>
      </c>
      <c r="G700" s="175" t="str">
        <f t="shared" si="22"/>
        <v>Lufkin</v>
      </c>
      <c r="H700" s="175"/>
      <c r="I700" s="178" t="s">
        <v>2149</v>
      </c>
      <c r="J700" s="27" t="s">
        <v>255</v>
      </c>
      <c r="K700" s="27">
        <v>2816</v>
      </c>
      <c r="L700" s="179">
        <v>2179</v>
      </c>
      <c r="M700" s="180" t="s">
        <v>2150</v>
      </c>
      <c r="N700" s="181" t="s">
        <v>255</v>
      </c>
      <c r="O700" s="182" t="s">
        <v>2151</v>
      </c>
    </row>
    <row r="701" spans="2:15">
      <c r="B701" s="174" t="s">
        <v>1965</v>
      </c>
      <c r="C701" s="175" t="s">
        <v>254</v>
      </c>
      <c r="D701" s="176" t="s">
        <v>255</v>
      </c>
      <c r="E701" s="177" t="s">
        <v>1966</v>
      </c>
      <c r="F701" s="175">
        <f t="shared" si="21"/>
        <v>12</v>
      </c>
      <c r="G701" s="175" t="str">
        <f t="shared" si="22"/>
        <v>Fort Worth</v>
      </c>
      <c r="H701" s="175"/>
      <c r="I701" s="178" t="s">
        <v>503</v>
      </c>
      <c r="J701" s="27" t="s">
        <v>255</v>
      </c>
      <c r="K701" s="27">
        <v>2603</v>
      </c>
      <c r="L701" s="179">
        <v>2407</v>
      </c>
      <c r="M701" s="180" t="s">
        <v>504</v>
      </c>
      <c r="N701" s="181" t="s">
        <v>255</v>
      </c>
      <c r="O701" s="182" t="s">
        <v>505</v>
      </c>
    </row>
    <row r="702" spans="2:15">
      <c r="B702" s="174" t="s">
        <v>1967</v>
      </c>
      <c r="C702" s="175" t="s">
        <v>254</v>
      </c>
      <c r="D702" s="176" t="s">
        <v>255</v>
      </c>
      <c r="E702" s="177" t="s">
        <v>1966</v>
      </c>
      <c r="F702" s="175">
        <f t="shared" si="21"/>
        <v>12</v>
      </c>
      <c r="G702" s="175" t="str">
        <f t="shared" si="22"/>
        <v>Fort Worth</v>
      </c>
      <c r="H702" s="175"/>
      <c r="I702" s="178" t="s">
        <v>503</v>
      </c>
      <c r="J702" s="27" t="s">
        <v>255</v>
      </c>
      <c r="K702" s="27">
        <v>2603</v>
      </c>
      <c r="L702" s="179">
        <v>2407</v>
      </c>
      <c r="M702" s="180" t="s">
        <v>504</v>
      </c>
      <c r="N702" s="181" t="s">
        <v>255</v>
      </c>
      <c r="O702" s="182" t="s">
        <v>505</v>
      </c>
    </row>
    <row r="703" spans="2:15">
      <c r="B703" s="174" t="s">
        <v>1692</v>
      </c>
      <c r="C703" s="175" t="s">
        <v>254</v>
      </c>
      <c r="D703" s="176" t="s">
        <v>255</v>
      </c>
      <c r="E703" s="177" t="s">
        <v>1693</v>
      </c>
      <c r="F703" s="175">
        <f t="shared" si="21"/>
        <v>8</v>
      </c>
      <c r="G703" s="175" t="str">
        <f t="shared" si="22"/>
        <v>Denton</v>
      </c>
      <c r="H703" s="175"/>
      <c r="I703" s="178" t="s">
        <v>503</v>
      </c>
      <c r="J703" s="27" t="s">
        <v>255</v>
      </c>
      <c r="K703" s="27">
        <v>2603</v>
      </c>
      <c r="L703" s="179">
        <v>2407</v>
      </c>
      <c r="M703" s="180" t="s">
        <v>504</v>
      </c>
      <c r="N703" s="181" t="s">
        <v>255</v>
      </c>
      <c r="O703" s="182" t="s">
        <v>505</v>
      </c>
    </row>
    <row r="704" spans="2:15">
      <c r="B704" s="174" t="s">
        <v>703</v>
      </c>
      <c r="C704" s="175" t="s">
        <v>254</v>
      </c>
      <c r="D704" s="176" t="s">
        <v>255</v>
      </c>
      <c r="E704" s="177" t="s">
        <v>704</v>
      </c>
      <c r="F704" s="175">
        <f t="shared" si="21"/>
        <v>15</v>
      </c>
      <c r="G704" s="175" t="str">
        <f t="shared" si="22"/>
        <v>Wichita Falls</v>
      </c>
      <c r="H704" s="175"/>
      <c r="I704" s="178" t="s">
        <v>2099</v>
      </c>
      <c r="J704" s="27" t="s">
        <v>255</v>
      </c>
      <c r="K704" s="27">
        <v>2340</v>
      </c>
      <c r="L704" s="179">
        <v>3042</v>
      </c>
      <c r="M704" s="180" t="s">
        <v>2100</v>
      </c>
      <c r="N704" s="181" t="s">
        <v>255</v>
      </c>
      <c r="O704" s="182" t="s">
        <v>2101</v>
      </c>
    </row>
    <row r="705" spans="2:15">
      <c r="B705" s="174" t="s">
        <v>1252</v>
      </c>
      <c r="C705" s="175" t="s">
        <v>254</v>
      </c>
      <c r="D705" s="176" t="s">
        <v>255</v>
      </c>
      <c r="E705" s="177" t="s">
        <v>1253</v>
      </c>
      <c r="F705" s="175">
        <f t="shared" si="21"/>
        <v>14</v>
      </c>
      <c r="G705" s="175" t="str">
        <f t="shared" si="22"/>
        <v>Stephenville</v>
      </c>
      <c r="H705" s="175"/>
      <c r="I705" s="178" t="s">
        <v>257</v>
      </c>
      <c r="J705" s="27" t="s">
        <v>255</v>
      </c>
      <c r="K705" s="27">
        <v>2451</v>
      </c>
      <c r="L705" s="179">
        <v>2584</v>
      </c>
      <c r="M705" s="180" t="s">
        <v>258</v>
      </c>
      <c r="N705" s="181" t="s">
        <v>255</v>
      </c>
      <c r="O705" s="182" t="s">
        <v>259</v>
      </c>
    </row>
    <row r="706" spans="2:15">
      <c r="B706" s="174" t="s">
        <v>847</v>
      </c>
      <c r="C706" s="175" t="s">
        <v>254</v>
      </c>
      <c r="D706" s="176" t="s">
        <v>255</v>
      </c>
      <c r="E706" s="177" t="s">
        <v>848</v>
      </c>
      <c r="F706" s="175">
        <f t="shared" si="21"/>
        <v>8</v>
      </c>
      <c r="G706" s="175" t="str">
        <f t="shared" si="22"/>
        <v>Temple</v>
      </c>
      <c r="H706" s="175"/>
      <c r="I706" s="178" t="s">
        <v>2149</v>
      </c>
      <c r="J706" s="27" t="s">
        <v>255</v>
      </c>
      <c r="K706" s="27">
        <v>2816</v>
      </c>
      <c r="L706" s="179">
        <v>2179</v>
      </c>
      <c r="M706" s="180" t="s">
        <v>2150</v>
      </c>
      <c r="N706" s="181" t="s">
        <v>255</v>
      </c>
      <c r="O706" s="182" t="s">
        <v>2151</v>
      </c>
    </row>
    <row r="707" spans="2:15">
      <c r="B707" s="174" t="s">
        <v>1796</v>
      </c>
      <c r="C707" s="175" t="s">
        <v>254</v>
      </c>
      <c r="D707" s="176" t="s">
        <v>255</v>
      </c>
      <c r="E707" s="177" t="s">
        <v>1797</v>
      </c>
      <c r="F707" s="175">
        <f t="shared" si="21"/>
        <v>6</v>
      </c>
      <c r="G707" s="175" t="str">
        <f t="shared" si="22"/>
        <v>Waco</v>
      </c>
      <c r="H707" s="175"/>
      <c r="I707" s="178" t="s">
        <v>2149</v>
      </c>
      <c r="J707" s="27" t="s">
        <v>255</v>
      </c>
      <c r="K707" s="27">
        <v>2816</v>
      </c>
      <c r="L707" s="179">
        <v>2179</v>
      </c>
      <c r="M707" s="180" t="s">
        <v>2150</v>
      </c>
      <c r="N707" s="181" t="s">
        <v>255</v>
      </c>
      <c r="O707" s="182" t="s">
        <v>2151</v>
      </c>
    </row>
    <row r="708" spans="2:15">
      <c r="B708" s="174" t="s">
        <v>1798</v>
      </c>
      <c r="C708" s="175" t="s">
        <v>254</v>
      </c>
      <c r="D708" s="176" t="s">
        <v>255</v>
      </c>
      <c r="E708" s="177" t="s">
        <v>1797</v>
      </c>
      <c r="F708" s="175">
        <f t="shared" si="21"/>
        <v>6</v>
      </c>
      <c r="G708" s="175" t="str">
        <f t="shared" si="22"/>
        <v>Waco</v>
      </c>
      <c r="H708" s="175"/>
      <c r="I708" s="178" t="s">
        <v>2149</v>
      </c>
      <c r="J708" s="27" t="s">
        <v>255</v>
      </c>
      <c r="K708" s="27">
        <v>2816</v>
      </c>
      <c r="L708" s="179">
        <v>2179</v>
      </c>
      <c r="M708" s="180" t="s">
        <v>2150</v>
      </c>
      <c r="N708" s="181" t="s">
        <v>255</v>
      </c>
      <c r="O708" s="182" t="s">
        <v>2151</v>
      </c>
    </row>
    <row r="709" spans="2:15">
      <c r="B709" s="174" t="s">
        <v>1295</v>
      </c>
      <c r="C709" s="175" t="s">
        <v>254</v>
      </c>
      <c r="D709" s="176" t="s">
        <v>255</v>
      </c>
      <c r="E709" s="177" t="s">
        <v>1296</v>
      </c>
      <c r="F709" s="175">
        <f t="shared" si="21"/>
        <v>11</v>
      </c>
      <c r="G709" s="175" t="str">
        <f t="shared" si="22"/>
        <v>Brownwood</v>
      </c>
      <c r="H709" s="175"/>
      <c r="I709" s="178" t="s">
        <v>257</v>
      </c>
      <c r="J709" s="27" t="s">
        <v>255</v>
      </c>
      <c r="K709" s="27">
        <v>2451</v>
      </c>
      <c r="L709" s="179">
        <v>2584</v>
      </c>
      <c r="M709" s="180" t="s">
        <v>258</v>
      </c>
      <c r="N709" s="181" t="s">
        <v>255</v>
      </c>
      <c r="O709" s="182" t="s">
        <v>259</v>
      </c>
    </row>
    <row r="710" spans="2:15">
      <c r="B710" s="174" t="s">
        <v>362</v>
      </c>
      <c r="C710" s="175" t="s">
        <v>254</v>
      </c>
      <c r="D710" s="176" t="s">
        <v>255</v>
      </c>
      <c r="E710" s="177" t="s">
        <v>363</v>
      </c>
      <c r="F710" s="175">
        <f t="shared" si="21"/>
        <v>12</v>
      </c>
      <c r="G710" s="175" t="str">
        <f t="shared" si="22"/>
        <v>San Angelo</v>
      </c>
      <c r="H710" s="175"/>
      <c r="I710" s="178" t="s">
        <v>364</v>
      </c>
      <c r="J710" s="27" t="s">
        <v>255</v>
      </c>
      <c r="K710" s="27">
        <v>2400</v>
      </c>
      <c r="L710" s="179">
        <v>2414</v>
      </c>
      <c r="M710" s="180" t="s">
        <v>365</v>
      </c>
      <c r="N710" s="181" t="s">
        <v>255</v>
      </c>
      <c r="O710" s="182" t="s">
        <v>366</v>
      </c>
    </row>
    <row r="711" spans="2:15">
      <c r="B711" s="174" t="s">
        <v>798</v>
      </c>
      <c r="C711" s="175" t="s">
        <v>254</v>
      </c>
      <c r="D711" s="176" t="s">
        <v>255</v>
      </c>
      <c r="E711" s="177" t="s">
        <v>799</v>
      </c>
      <c r="F711" s="175">
        <f t="shared" si="21"/>
        <v>9</v>
      </c>
      <c r="G711" s="175" t="str">
        <f t="shared" si="22"/>
        <v>Houston</v>
      </c>
      <c r="H711" s="175"/>
      <c r="I711" s="178" t="s">
        <v>1643</v>
      </c>
      <c r="J711" s="27" t="s">
        <v>255</v>
      </c>
      <c r="K711" s="27">
        <v>2700</v>
      </c>
      <c r="L711" s="179">
        <v>1599</v>
      </c>
      <c r="M711" s="180" t="s">
        <v>1602</v>
      </c>
      <c r="N711" s="181" t="s">
        <v>255</v>
      </c>
      <c r="O711" s="182" t="s">
        <v>1603</v>
      </c>
    </row>
    <row r="712" spans="2:15">
      <c r="B712" s="174" t="s">
        <v>800</v>
      </c>
      <c r="C712" s="175" t="s">
        <v>254</v>
      </c>
      <c r="D712" s="176" t="s">
        <v>255</v>
      </c>
      <c r="E712" s="177" t="s">
        <v>799</v>
      </c>
      <c r="F712" s="175">
        <f t="shared" si="21"/>
        <v>9</v>
      </c>
      <c r="G712" s="175" t="str">
        <f t="shared" si="22"/>
        <v>Houston</v>
      </c>
      <c r="H712" s="175"/>
      <c r="I712" s="178" t="s">
        <v>1643</v>
      </c>
      <c r="J712" s="27" t="s">
        <v>255</v>
      </c>
      <c r="K712" s="27">
        <v>2700</v>
      </c>
      <c r="L712" s="179">
        <v>1599</v>
      </c>
      <c r="M712" s="180" t="s">
        <v>1602</v>
      </c>
      <c r="N712" s="181" t="s">
        <v>255</v>
      </c>
      <c r="O712" s="182" t="s">
        <v>1603</v>
      </c>
    </row>
    <row r="713" spans="2:15">
      <c r="B713" s="174" t="s">
        <v>801</v>
      </c>
      <c r="C713" s="175" t="s">
        <v>254</v>
      </c>
      <c r="D713" s="176" t="s">
        <v>255</v>
      </c>
      <c r="E713" s="177" t="s">
        <v>799</v>
      </c>
      <c r="F713" s="175">
        <f t="shared" si="21"/>
        <v>9</v>
      </c>
      <c r="G713" s="175" t="str">
        <f t="shared" si="22"/>
        <v>Houston</v>
      </c>
      <c r="H713" s="175"/>
      <c r="I713" s="178" t="s">
        <v>1643</v>
      </c>
      <c r="J713" s="27" t="s">
        <v>255</v>
      </c>
      <c r="K713" s="27">
        <v>2700</v>
      </c>
      <c r="L713" s="179">
        <v>1599</v>
      </c>
      <c r="M713" s="180" t="s">
        <v>1602</v>
      </c>
      <c r="N713" s="181" t="s">
        <v>255</v>
      </c>
      <c r="O713" s="182" t="s">
        <v>1603</v>
      </c>
    </row>
    <row r="714" spans="2:15">
      <c r="B714" s="174" t="s">
        <v>1641</v>
      </c>
      <c r="C714" s="175" t="s">
        <v>254</v>
      </c>
      <c r="D714" s="176" t="s">
        <v>255</v>
      </c>
      <c r="E714" s="177" t="s">
        <v>1642</v>
      </c>
      <c r="F714" s="175">
        <f t="shared" ref="F714:F777" si="23">LEN(E714)</f>
        <v>8</v>
      </c>
      <c r="G714" s="175" t="str">
        <f t="shared" ref="G714:G777" si="24">MID(E714,2,F714-2)</f>
        <v>Conroe</v>
      </c>
      <c r="H714" s="175"/>
      <c r="I714" s="178" t="s">
        <v>1643</v>
      </c>
      <c r="J714" s="27" t="s">
        <v>255</v>
      </c>
      <c r="K714" s="27">
        <v>2700</v>
      </c>
      <c r="L714" s="179">
        <v>1599</v>
      </c>
      <c r="M714" s="180" t="s">
        <v>1602</v>
      </c>
      <c r="N714" s="181" t="s">
        <v>255</v>
      </c>
      <c r="O714" s="182" t="s">
        <v>1603</v>
      </c>
    </row>
    <row r="715" spans="2:15">
      <c r="B715" s="174" t="s">
        <v>802</v>
      </c>
      <c r="C715" s="175" t="s">
        <v>254</v>
      </c>
      <c r="D715" s="176" t="s">
        <v>255</v>
      </c>
      <c r="E715" s="177" t="s">
        <v>799</v>
      </c>
      <c r="F715" s="175">
        <f t="shared" si="23"/>
        <v>9</v>
      </c>
      <c r="G715" s="175" t="str">
        <f t="shared" si="24"/>
        <v>Houston</v>
      </c>
      <c r="H715" s="175"/>
      <c r="I715" s="178" t="s">
        <v>1643</v>
      </c>
      <c r="J715" s="27" t="s">
        <v>255</v>
      </c>
      <c r="K715" s="27">
        <v>2700</v>
      </c>
      <c r="L715" s="179">
        <v>1599</v>
      </c>
      <c r="M715" s="180" t="s">
        <v>1602</v>
      </c>
      <c r="N715" s="181" t="s">
        <v>255</v>
      </c>
      <c r="O715" s="182" t="s">
        <v>1603</v>
      </c>
    </row>
    <row r="716" spans="2:15">
      <c r="B716" s="174" t="s">
        <v>1994</v>
      </c>
      <c r="C716" s="175" t="s">
        <v>254</v>
      </c>
      <c r="D716" s="176" t="s">
        <v>255</v>
      </c>
      <c r="E716" s="177" t="s">
        <v>1995</v>
      </c>
      <c r="F716" s="175">
        <f t="shared" si="23"/>
        <v>11</v>
      </c>
      <c r="G716" s="175" t="str">
        <f t="shared" si="24"/>
        <v>Galveston</v>
      </c>
      <c r="H716" s="175"/>
      <c r="I716" s="178" t="s">
        <v>1996</v>
      </c>
      <c r="J716" s="27" t="s">
        <v>255</v>
      </c>
      <c r="K716" s="27">
        <v>2994</v>
      </c>
      <c r="L716" s="179">
        <v>1263</v>
      </c>
      <c r="M716" s="180" t="s">
        <v>1602</v>
      </c>
      <c r="N716" s="181" t="s">
        <v>255</v>
      </c>
      <c r="O716" s="182" t="s">
        <v>1603</v>
      </c>
    </row>
    <row r="717" spans="2:15">
      <c r="B717" s="174" t="s">
        <v>1599</v>
      </c>
      <c r="C717" s="175" t="s">
        <v>254</v>
      </c>
      <c r="D717" s="176" t="s">
        <v>255</v>
      </c>
      <c r="E717" s="177" t="s">
        <v>1600</v>
      </c>
      <c r="F717" s="175">
        <f t="shared" si="23"/>
        <v>10</v>
      </c>
      <c r="G717" s="175" t="str">
        <f t="shared" si="24"/>
        <v>Beaumont</v>
      </c>
      <c r="H717" s="175"/>
      <c r="I717" s="178" t="s">
        <v>1601</v>
      </c>
      <c r="J717" s="27" t="s">
        <v>255</v>
      </c>
      <c r="K717" s="27">
        <v>2764</v>
      </c>
      <c r="L717" s="179">
        <v>1499</v>
      </c>
      <c r="M717" s="180" t="s">
        <v>1602</v>
      </c>
      <c r="N717" s="181" t="s">
        <v>255</v>
      </c>
      <c r="O717" s="182" t="s">
        <v>1603</v>
      </c>
    </row>
    <row r="718" spans="2:15">
      <c r="B718" s="174" t="s">
        <v>1604</v>
      </c>
      <c r="C718" s="175" t="s">
        <v>254</v>
      </c>
      <c r="D718" s="176" t="s">
        <v>255</v>
      </c>
      <c r="E718" s="177" t="s">
        <v>1600</v>
      </c>
      <c r="F718" s="175">
        <f t="shared" si="23"/>
        <v>10</v>
      </c>
      <c r="G718" s="175" t="str">
        <f t="shared" si="24"/>
        <v>Beaumont</v>
      </c>
      <c r="H718" s="175"/>
      <c r="I718" s="178" t="s">
        <v>1601</v>
      </c>
      <c r="J718" s="27" t="s">
        <v>255</v>
      </c>
      <c r="K718" s="27">
        <v>2764</v>
      </c>
      <c r="L718" s="179">
        <v>1499</v>
      </c>
      <c r="M718" s="180" t="s">
        <v>1602</v>
      </c>
      <c r="N718" s="181" t="s">
        <v>255</v>
      </c>
      <c r="O718" s="182" t="s">
        <v>1603</v>
      </c>
    </row>
    <row r="719" spans="2:15">
      <c r="B719" s="174" t="s">
        <v>1297</v>
      </c>
      <c r="C719" s="175" t="s">
        <v>254</v>
      </c>
      <c r="D719" s="176" t="s">
        <v>255</v>
      </c>
      <c r="E719" s="177" t="s">
        <v>1298</v>
      </c>
      <c r="F719" s="175">
        <f t="shared" si="23"/>
        <v>7</v>
      </c>
      <c r="G719" s="175" t="str">
        <f t="shared" si="24"/>
        <v>Bryan</v>
      </c>
      <c r="H719" s="175"/>
      <c r="I719" s="178" t="s">
        <v>1561</v>
      </c>
      <c r="J719" s="27" t="s">
        <v>255</v>
      </c>
      <c r="K719" s="27">
        <v>3016</v>
      </c>
      <c r="L719" s="179">
        <v>1688</v>
      </c>
      <c r="M719" s="180" t="s">
        <v>1558</v>
      </c>
      <c r="N719" s="181" t="s">
        <v>255</v>
      </c>
      <c r="O719" s="182" t="s">
        <v>1559</v>
      </c>
    </row>
    <row r="720" spans="2:15">
      <c r="B720" s="174" t="s">
        <v>1792</v>
      </c>
      <c r="C720" s="175" t="s">
        <v>254</v>
      </c>
      <c r="D720" s="176" t="s">
        <v>255</v>
      </c>
      <c r="E720" s="177" t="s">
        <v>1793</v>
      </c>
      <c r="F720" s="175">
        <f t="shared" si="23"/>
        <v>10</v>
      </c>
      <c r="G720" s="175" t="str">
        <f t="shared" si="24"/>
        <v>Victoria</v>
      </c>
      <c r="H720" s="175"/>
      <c r="I720" s="178" t="s">
        <v>964</v>
      </c>
      <c r="J720" s="27" t="s">
        <v>255</v>
      </c>
      <c r="K720" s="27">
        <v>3118</v>
      </c>
      <c r="L720" s="179">
        <v>1296</v>
      </c>
      <c r="M720" s="180" t="s">
        <v>1651</v>
      </c>
      <c r="N720" s="181" t="s">
        <v>255</v>
      </c>
      <c r="O720" s="182" t="s">
        <v>1652</v>
      </c>
    </row>
    <row r="721" spans="2:15">
      <c r="B721" s="174" t="s">
        <v>962</v>
      </c>
      <c r="C721" s="175" t="s">
        <v>254</v>
      </c>
      <c r="D721" s="176" t="s">
        <v>255</v>
      </c>
      <c r="E721" s="177" t="s">
        <v>963</v>
      </c>
      <c r="F721" s="175">
        <f t="shared" si="23"/>
        <v>17</v>
      </c>
      <c r="G721" s="175" t="str">
        <f t="shared" si="24"/>
        <v>Laredo/Pearsall</v>
      </c>
      <c r="H721" s="175"/>
      <c r="I721" s="178" t="s">
        <v>964</v>
      </c>
      <c r="J721" s="27" t="s">
        <v>255</v>
      </c>
      <c r="K721" s="27">
        <v>3118</v>
      </c>
      <c r="L721" s="179">
        <v>1296</v>
      </c>
      <c r="M721" s="180" t="s">
        <v>965</v>
      </c>
      <c r="N721" s="181" t="s">
        <v>255</v>
      </c>
      <c r="O721" s="182" t="s">
        <v>966</v>
      </c>
    </row>
    <row r="722" spans="2:15">
      <c r="B722" s="174" t="s">
        <v>367</v>
      </c>
      <c r="C722" s="175" t="s">
        <v>254</v>
      </c>
      <c r="D722" s="176" t="s">
        <v>255</v>
      </c>
      <c r="E722" s="177" t="s">
        <v>368</v>
      </c>
      <c r="F722" s="175">
        <f t="shared" si="23"/>
        <v>13</v>
      </c>
      <c r="G722" s="175" t="str">
        <f t="shared" si="24"/>
        <v>San Antonio</v>
      </c>
      <c r="H722" s="175"/>
      <c r="I722" s="178" t="s">
        <v>1561</v>
      </c>
      <c r="J722" s="27" t="s">
        <v>255</v>
      </c>
      <c r="K722" s="27">
        <v>3016</v>
      </c>
      <c r="L722" s="179">
        <v>1688</v>
      </c>
      <c r="M722" s="180" t="s">
        <v>965</v>
      </c>
      <c r="N722" s="181" t="s">
        <v>255</v>
      </c>
      <c r="O722" s="182" t="s">
        <v>966</v>
      </c>
    </row>
    <row r="723" spans="2:15">
      <c r="B723" s="174" t="s">
        <v>369</v>
      </c>
      <c r="C723" s="175" t="s">
        <v>254</v>
      </c>
      <c r="D723" s="176" t="s">
        <v>255</v>
      </c>
      <c r="E723" s="177" t="s">
        <v>368</v>
      </c>
      <c r="F723" s="175">
        <f t="shared" si="23"/>
        <v>13</v>
      </c>
      <c r="G723" s="175" t="str">
        <f t="shared" si="24"/>
        <v>San Antonio</v>
      </c>
      <c r="H723" s="175"/>
      <c r="I723" s="178" t="s">
        <v>1557</v>
      </c>
      <c r="J723" s="27" t="s">
        <v>255</v>
      </c>
      <c r="K723" s="27">
        <v>2996</v>
      </c>
      <c r="L723" s="179">
        <v>1644</v>
      </c>
      <c r="M723" s="180" t="s">
        <v>965</v>
      </c>
      <c r="N723" s="181" t="s">
        <v>255</v>
      </c>
      <c r="O723" s="182" t="s">
        <v>966</v>
      </c>
    </row>
    <row r="724" spans="2:15">
      <c r="B724" s="174" t="s">
        <v>1648</v>
      </c>
      <c r="C724" s="175" t="s">
        <v>254</v>
      </c>
      <c r="D724" s="176" t="s">
        <v>255</v>
      </c>
      <c r="E724" s="177" t="s">
        <v>1649</v>
      </c>
      <c r="F724" s="175">
        <f t="shared" si="23"/>
        <v>16</v>
      </c>
      <c r="G724" s="175" t="str">
        <f t="shared" si="24"/>
        <v>Corpus Christi</v>
      </c>
      <c r="H724" s="175"/>
      <c r="I724" s="178" t="s">
        <v>1650</v>
      </c>
      <c r="J724" s="27" t="s">
        <v>255</v>
      </c>
      <c r="K724" s="27">
        <v>3439</v>
      </c>
      <c r="L724" s="179">
        <v>1016</v>
      </c>
      <c r="M724" s="180" t="s">
        <v>1651</v>
      </c>
      <c r="N724" s="181" t="s">
        <v>255</v>
      </c>
      <c r="O724" s="182" t="s">
        <v>1652</v>
      </c>
    </row>
    <row r="725" spans="2:15">
      <c r="B725" s="174" t="s">
        <v>1653</v>
      </c>
      <c r="C725" s="175" t="s">
        <v>254</v>
      </c>
      <c r="D725" s="176" t="s">
        <v>255</v>
      </c>
      <c r="E725" s="177" t="s">
        <v>1649</v>
      </c>
      <c r="F725" s="175">
        <f t="shared" si="23"/>
        <v>16</v>
      </c>
      <c r="G725" s="175" t="str">
        <f t="shared" si="24"/>
        <v>Corpus Christi</v>
      </c>
      <c r="H725" s="175"/>
      <c r="I725" s="178" t="s">
        <v>1650</v>
      </c>
      <c r="J725" s="27" t="s">
        <v>255</v>
      </c>
      <c r="K725" s="27">
        <v>3439</v>
      </c>
      <c r="L725" s="179">
        <v>1016</v>
      </c>
      <c r="M725" s="180" t="s">
        <v>1651</v>
      </c>
      <c r="N725" s="181" t="s">
        <v>255</v>
      </c>
      <c r="O725" s="182" t="s">
        <v>1652</v>
      </c>
    </row>
    <row r="726" spans="2:15">
      <c r="B726" s="174" t="s">
        <v>1290</v>
      </c>
      <c r="C726" s="175" t="s">
        <v>254</v>
      </c>
      <c r="D726" s="176" t="s">
        <v>255</v>
      </c>
      <c r="E726" s="177" t="s">
        <v>1291</v>
      </c>
      <c r="F726" s="175">
        <f t="shared" si="23"/>
        <v>13</v>
      </c>
      <c r="G726" s="175" t="str">
        <f t="shared" si="24"/>
        <v>Brownsville</v>
      </c>
      <c r="H726" s="175"/>
      <c r="I726" s="178" t="s">
        <v>1292</v>
      </c>
      <c r="J726" s="27" t="s">
        <v>255</v>
      </c>
      <c r="K726" s="27">
        <v>3888</v>
      </c>
      <c r="L726" s="179">
        <v>635</v>
      </c>
      <c r="M726" s="180" t="s">
        <v>1293</v>
      </c>
      <c r="N726" s="181" t="s">
        <v>255</v>
      </c>
      <c r="O726" s="182" t="s">
        <v>1294</v>
      </c>
    </row>
    <row r="727" spans="2:15">
      <c r="B727" s="174" t="s">
        <v>1555</v>
      </c>
      <c r="C727" s="175" t="s">
        <v>254</v>
      </c>
      <c r="D727" s="176" t="s">
        <v>255</v>
      </c>
      <c r="E727" s="177" t="s">
        <v>1556</v>
      </c>
      <c r="F727" s="175">
        <f t="shared" si="23"/>
        <v>8</v>
      </c>
      <c r="G727" s="175" t="str">
        <f t="shared" si="24"/>
        <v>Austin</v>
      </c>
      <c r="H727" s="175"/>
      <c r="I727" s="178" t="s">
        <v>1557</v>
      </c>
      <c r="J727" s="27" t="s">
        <v>255</v>
      </c>
      <c r="K727" s="27">
        <v>2996</v>
      </c>
      <c r="L727" s="179">
        <v>1644</v>
      </c>
      <c r="M727" s="180" t="s">
        <v>1558</v>
      </c>
      <c r="N727" s="181" t="s">
        <v>255</v>
      </c>
      <c r="O727" s="182" t="s">
        <v>1559</v>
      </c>
    </row>
    <row r="728" spans="2:15">
      <c r="B728" s="174" t="s">
        <v>1560</v>
      </c>
      <c r="C728" s="175" t="s">
        <v>254</v>
      </c>
      <c r="D728" s="176" t="s">
        <v>255</v>
      </c>
      <c r="E728" s="177" t="s">
        <v>1556</v>
      </c>
      <c r="F728" s="175">
        <f t="shared" si="23"/>
        <v>8</v>
      </c>
      <c r="G728" s="175" t="str">
        <f t="shared" si="24"/>
        <v>Austin</v>
      </c>
      <c r="H728" s="175"/>
      <c r="I728" s="178" t="s">
        <v>1561</v>
      </c>
      <c r="J728" s="27" t="s">
        <v>255</v>
      </c>
      <c r="K728" s="27">
        <v>3016</v>
      </c>
      <c r="L728" s="179">
        <v>1688</v>
      </c>
      <c r="M728" s="180" t="s">
        <v>1558</v>
      </c>
      <c r="N728" s="181" t="s">
        <v>255</v>
      </c>
      <c r="O728" s="182" t="s">
        <v>1559</v>
      </c>
    </row>
    <row r="729" spans="2:15">
      <c r="B729" s="174" t="s">
        <v>1777</v>
      </c>
      <c r="C729" s="175" t="s">
        <v>254</v>
      </c>
      <c r="D729" s="176" t="s">
        <v>255</v>
      </c>
      <c r="E729" s="177" t="s">
        <v>1778</v>
      </c>
      <c r="F729" s="175">
        <f t="shared" si="23"/>
        <v>8</v>
      </c>
      <c r="G729" s="175" t="str">
        <f t="shared" si="24"/>
        <v>Uvalde</v>
      </c>
      <c r="H729" s="175"/>
      <c r="I729" s="178" t="s">
        <v>1779</v>
      </c>
      <c r="J729" s="27" t="s">
        <v>255</v>
      </c>
      <c r="K729" s="27">
        <v>3142</v>
      </c>
      <c r="L729" s="179">
        <v>1506</v>
      </c>
      <c r="M729" s="180" t="s">
        <v>965</v>
      </c>
      <c r="N729" s="181" t="s">
        <v>255</v>
      </c>
      <c r="O729" s="182" t="s">
        <v>966</v>
      </c>
    </row>
    <row r="730" spans="2:15">
      <c r="B730" s="174" t="s">
        <v>2004</v>
      </c>
      <c r="C730" s="175" t="s">
        <v>254</v>
      </c>
      <c r="D730" s="176" t="s">
        <v>255</v>
      </c>
      <c r="E730" s="177" t="s">
        <v>2005</v>
      </c>
      <c r="F730" s="175">
        <f t="shared" si="23"/>
        <v>10</v>
      </c>
      <c r="G730" s="175" t="str">
        <f t="shared" si="24"/>
        <v>Giddings</v>
      </c>
      <c r="H730" s="175"/>
      <c r="I730" s="178" t="s">
        <v>1561</v>
      </c>
      <c r="J730" s="27" t="s">
        <v>255</v>
      </c>
      <c r="K730" s="27">
        <v>3016</v>
      </c>
      <c r="L730" s="179">
        <v>1688</v>
      </c>
      <c r="M730" s="180" t="s">
        <v>1558</v>
      </c>
      <c r="N730" s="181" t="s">
        <v>255</v>
      </c>
      <c r="O730" s="182" t="s">
        <v>1559</v>
      </c>
    </row>
    <row r="731" spans="2:15">
      <c r="B731" s="174" t="s">
        <v>268</v>
      </c>
      <c r="C731" s="175" t="s">
        <v>254</v>
      </c>
      <c r="D731" s="176" t="s">
        <v>255</v>
      </c>
      <c r="E731" s="177" t="s">
        <v>269</v>
      </c>
      <c r="F731" s="175">
        <f t="shared" si="23"/>
        <v>8</v>
      </c>
      <c r="G731" s="175" t="str">
        <f t="shared" si="24"/>
        <v>Adrian</v>
      </c>
      <c r="H731" s="175"/>
      <c r="I731" s="178" t="s">
        <v>270</v>
      </c>
      <c r="J731" s="27" t="s">
        <v>255</v>
      </c>
      <c r="K731" s="27">
        <v>1354</v>
      </c>
      <c r="L731" s="179">
        <v>4258</v>
      </c>
      <c r="M731" s="180" t="s">
        <v>271</v>
      </c>
      <c r="N731" s="181" t="s">
        <v>255</v>
      </c>
      <c r="O731" s="182" t="s">
        <v>272</v>
      </c>
    </row>
    <row r="732" spans="2:15">
      <c r="B732" s="174" t="s">
        <v>458</v>
      </c>
      <c r="C732" s="175" t="s">
        <v>254</v>
      </c>
      <c r="D732" s="176" t="s">
        <v>255</v>
      </c>
      <c r="E732" s="177" t="s">
        <v>459</v>
      </c>
      <c r="F732" s="175">
        <f t="shared" si="23"/>
        <v>10</v>
      </c>
      <c r="G732" s="175" t="str">
        <f t="shared" si="24"/>
        <v>Amarillo</v>
      </c>
      <c r="H732" s="175"/>
      <c r="I732" s="178" t="s">
        <v>270</v>
      </c>
      <c r="J732" s="27" t="s">
        <v>255</v>
      </c>
      <c r="K732" s="27">
        <v>1354</v>
      </c>
      <c r="L732" s="179">
        <v>4258</v>
      </c>
      <c r="M732" s="180" t="s">
        <v>271</v>
      </c>
      <c r="N732" s="181" t="s">
        <v>255</v>
      </c>
      <c r="O732" s="182" t="s">
        <v>272</v>
      </c>
    </row>
    <row r="733" spans="2:15">
      <c r="B733" s="174" t="s">
        <v>2363</v>
      </c>
      <c r="C733" s="175" t="s">
        <v>254</v>
      </c>
      <c r="D733" s="176" t="s">
        <v>255</v>
      </c>
      <c r="E733" s="177" t="s">
        <v>2364</v>
      </c>
      <c r="F733" s="175">
        <f t="shared" si="23"/>
        <v>11</v>
      </c>
      <c r="G733" s="175" t="str">
        <f t="shared" si="24"/>
        <v>Childress</v>
      </c>
      <c r="H733" s="175"/>
      <c r="I733" s="178" t="s">
        <v>2365</v>
      </c>
      <c r="J733" s="27" t="s">
        <v>255</v>
      </c>
      <c r="K733" s="27">
        <v>1689</v>
      </c>
      <c r="L733" s="179">
        <v>3431</v>
      </c>
      <c r="M733" s="180" t="s">
        <v>2366</v>
      </c>
      <c r="N733" s="181" t="s">
        <v>255</v>
      </c>
      <c r="O733" s="182" t="s">
        <v>2367</v>
      </c>
    </row>
    <row r="734" spans="2:15">
      <c r="B734" s="174" t="s">
        <v>2144</v>
      </c>
      <c r="C734" s="175" t="s">
        <v>254</v>
      </c>
      <c r="D734" s="176" t="s">
        <v>255</v>
      </c>
      <c r="E734" s="177" t="s">
        <v>2145</v>
      </c>
      <c r="F734" s="175">
        <f t="shared" si="23"/>
        <v>9</v>
      </c>
      <c r="G734" s="175" t="str">
        <f t="shared" si="24"/>
        <v>Lubbock</v>
      </c>
      <c r="H734" s="175"/>
      <c r="I734" s="178" t="s">
        <v>2365</v>
      </c>
      <c r="J734" s="27" t="s">
        <v>255</v>
      </c>
      <c r="K734" s="27">
        <v>1689</v>
      </c>
      <c r="L734" s="179">
        <v>3431</v>
      </c>
      <c r="M734" s="180" t="s">
        <v>2366</v>
      </c>
      <c r="N734" s="181" t="s">
        <v>255</v>
      </c>
      <c r="O734" s="182" t="s">
        <v>2367</v>
      </c>
    </row>
    <row r="735" spans="2:15">
      <c r="B735" s="174" t="s">
        <v>2146</v>
      </c>
      <c r="C735" s="175" t="s">
        <v>254</v>
      </c>
      <c r="D735" s="176" t="s">
        <v>255</v>
      </c>
      <c r="E735" s="177" t="s">
        <v>2145</v>
      </c>
      <c r="F735" s="175">
        <f t="shared" si="23"/>
        <v>9</v>
      </c>
      <c r="G735" s="175" t="str">
        <f t="shared" si="24"/>
        <v>Lubbock</v>
      </c>
      <c r="H735" s="175"/>
      <c r="I735" s="178" t="s">
        <v>2365</v>
      </c>
      <c r="J735" s="27" t="s">
        <v>255</v>
      </c>
      <c r="K735" s="27">
        <v>1689</v>
      </c>
      <c r="L735" s="179">
        <v>3431</v>
      </c>
      <c r="M735" s="180" t="s">
        <v>2366</v>
      </c>
      <c r="N735" s="181" t="s">
        <v>255</v>
      </c>
      <c r="O735" s="182" t="s">
        <v>2367</v>
      </c>
    </row>
    <row r="736" spans="2:15">
      <c r="B736" s="174" t="s">
        <v>253</v>
      </c>
      <c r="C736" s="175" t="s">
        <v>254</v>
      </c>
      <c r="D736" s="176" t="s">
        <v>255</v>
      </c>
      <c r="E736" s="177" t="s">
        <v>256</v>
      </c>
      <c r="F736" s="175">
        <f t="shared" si="23"/>
        <v>9</v>
      </c>
      <c r="G736" s="175" t="str">
        <f t="shared" si="24"/>
        <v>Abilene</v>
      </c>
      <c r="H736" s="175"/>
      <c r="I736" s="178" t="s">
        <v>257</v>
      </c>
      <c r="J736" s="27" t="s">
        <v>255</v>
      </c>
      <c r="K736" s="27">
        <v>2451</v>
      </c>
      <c r="L736" s="179">
        <v>2584</v>
      </c>
      <c r="M736" s="180" t="s">
        <v>258</v>
      </c>
      <c r="N736" s="181" t="s">
        <v>255</v>
      </c>
      <c r="O736" s="182" t="s">
        <v>259</v>
      </c>
    </row>
    <row r="737" spans="2:15">
      <c r="B737" s="174" t="s">
        <v>260</v>
      </c>
      <c r="C737" s="175" t="s">
        <v>254</v>
      </c>
      <c r="D737" s="176" t="s">
        <v>255</v>
      </c>
      <c r="E737" s="177" t="s">
        <v>256</v>
      </c>
      <c r="F737" s="175">
        <f t="shared" si="23"/>
        <v>9</v>
      </c>
      <c r="G737" s="175" t="str">
        <f t="shared" si="24"/>
        <v>Abilene</v>
      </c>
      <c r="H737" s="175"/>
      <c r="I737" s="178" t="s">
        <v>257</v>
      </c>
      <c r="J737" s="27" t="s">
        <v>255</v>
      </c>
      <c r="K737" s="27">
        <v>2451</v>
      </c>
      <c r="L737" s="179">
        <v>2584</v>
      </c>
      <c r="M737" s="180" t="s">
        <v>258</v>
      </c>
      <c r="N737" s="181" t="s">
        <v>255</v>
      </c>
      <c r="O737" s="182" t="s">
        <v>259</v>
      </c>
    </row>
    <row r="738" spans="2:15">
      <c r="B738" s="174" t="s">
        <v>155</v>
      </c>
      <c r="C738" s="175" t="s">
        <v>254</v>
      </c>
      <c r="D738" s="176" t="s">
        <v>255</v>
      </c>
      <c r="E738" s="177" t="s">
        <v>156</v>
      </c>
      <c r="F738" s="175">
        <f t="shared" si="23"/>
        <v>9</v>
      </c>
      <c r="G738" s="175" t="str">
        <f t="shared" si="24"/>
        <v>Midland</v>
      </c>
      <c r="H738" s="175"/>
      <c r="I738" s="178" t="s">
        <v>53</v>
      </c>
      <c r="J738" s="27" t="s">
        <v>255</v>
      </c>
      <c r="K738" s="27">
        <v>2094</v>
      </c>
      <c r="L738" s="179">
        <v>2708</v>
      </c>
      <c r="M738" s="180" t="s">
        <v>157</v>
      </c>
      <c r="N738" s="181" t="s">
        <v>255</v>
      </c>
      <c r="O738" s="182" t="s">
        <v>158</v>
      </c>
    </row>
    <row r="739" spans="2:15">
      <c r="B739" s="174" t="s">
        <v>47</v>
      </c>
      <c r="C739" s="175" t="s">
        <v>254</v>
      </c>
      <c r="D739" s="176" t="s">
        <v>255</v>
      </c>
      <c r="E739" s="177" t="s">
        <v>48</v>
      </c>
      <c r="F739" s="175">
        <f t="shared" si="23"/>
        <v>9</v>
      </c>
      <c r="G739" s="175" t="str">
        <f t="shared" si="24"/>
        <v>El Paso</v>
      </c>
      <c r="H739" s="175"/>
      <c r="I739" s="178" t="s">
        <v>49</v>
      </c>
      <c r="J739" s="27" t="s">
        <v>255</v>
      </c>
      <c r="K739" s="27">
        <v>2163</v>
      </c>
      <c r="L739" s="179">
        <v>2751</v>
      </c>
      <c r="M739" s="180" t="s">
        <v>50</v>
      </c>
      <c r="N739" s="181" t="s">
        <v>255</v>
      </c>
      <c r="O739" s="182" t="s">
        <v>51</v>
      </c>
    </row>
    <row r="740" spans="2:15">
      <c r="B740" s="174" t="s">
        <v>52</v>
      </c>
      <c r="C740" s="175" t="s">
        <v>254</v>
      </c>
      <c r="D740" s="176" t="s">
        <v>255</v>
      </c>
      <c r="E740" s="177" t="s">
        <v>48</v>
      </c>
      <c r="F740" s="175">
        <f t="shared" si="23"/>
        <v>9</v>
      </c>
      <c r="G740" s="175" t="str">
        <f t="shared" si="24"/>
        <v>El Paso</v>
      </c>
      <c r="H740" s="175"/>
      <c r="I740" s="178" t="s">
        <v>53</v>
      </c>
      <c r="J740" s="27" t="s">
        <v>255</v>
      </c>
      <c r="K740" s="27">
        <v>2094</v>
      </c>
      <c r="L740" s="179">
        <v>2708</v>
      </c>
      <c r="M740" s="180" t="s">
        <v>50</v>
      </c>
      <c r="N740" s="181" t="s">
        <v>255</v>
      </c>
      <c r="O740" s="182" t="s">
        <v>51</v>
      </c>
    </row>
    <row r="741" spans="2:15">
      <c r="B741" s="174" t="s">
        <v>1694</v>
      </c>
      <c r="C741" s="175" t="s">
        <v>393</v>
      </c>
      <c r="D741" s="176" t="s">
        <v>394</v>
      </c>
      <c r="E741" s="177" t="s">
        <v>1695</v>
      </c>
      <c r="F741" s="175">
        <f t="shared" si="23"/>
        <v>8</v>
      </c>
      <c r="G741" s="175" t="str">
        <f t="shared" si="24"/>
        <v>Denver</v>
      </c>
      <c r="H741" s="175"/>
      <c r="I741" s="178" t="s">
        <v>648</v>
      </c>
      <c r="J741" s="27" t="s">
        <v>394</v>
      </c>
      <c r="K741" s="27">
        <v>679</v>
      </c>
      <c r="L741" s="179">
        <v>6020</v>
      </c>
      <c r="M741" s="180" t="s">
        <v>649</v>
      </c>
      <c r="N741" s="181" t="s">
        <v>394</v>
      </c>
      <c r="O741" s="182" t="s">
        <v>650</v>
      </c>
    </row>
    <row r="742" spans="2:15">
      <c r="B742" s="174" t="s">
        <v>1696</v>
      </c>
      <c r="C742" s="175" t="s">
        <v>393</v>
      </c>
      <c r="D742" s="176" t="s">
        <v>394</v>
      </c>
      <c r="E742" s="177" t="s">
        <v>1695</v>
      </c>
      <c r="F742" s="175">
        <f t="shared" si="23"/>
        <v>8</v>
      </c>
      <c r="G742" s="175" t="str">
        <f t="shared" si="24"/>
        <v>Denver</v>
      </c>
      <c r="H742" s="175"/>
      <c r="I742" s="178" t="s">
        <v>648</v>
      </c>
      <c r="J742" s="27" t="s">
        <v>394</v>
      </c>
      <c r="K742" s="27">
        <v>679</v>
      </c>
      <c r="L742" s="179">
        <v>6020</v>
      </c>
      <c r="M742" s="180" t="s">
        <v>649</v>
      </c>
      <c r="N742" s="181" t="s">
        <v>394</v>
      </c>
      <c r="O742" s="182" t="s">
        <v>650</v>
      </c>
    </row>
    <row r="743" spans="2:15">
      <c r="B743" s="174" t="s">
        <v>1697</v>
      </c>
      <c r="C743" s="175" t="s">
        <v>393</v>
      </c>
      <c r="D743" s="176" t="s">
        <v>394</v>
      </c>
      <c r="E743" s="177" t="s">
        <v>1695</v>
      </c>
      <c r="F743" s="175">
        <f t="shared" si="23"/>
        <v>8</v>
      </c>
      <c r="G743" s="175" t="str">
        <f t="shared" si="24"/>
        <v>Denver</v>
      </c>
      <c r="H743" s="175"/>
      <c r="I743" s="178" t="s">
        <v>648</v>
      </c>
      <c r="J743" s="27" t="s">
        <v>394</v>
      </c>
      <c r="K743" s="27">
        <v>679</v>
      </c>
      <c r="L743" s="179">
        <v>6020</v>
      </c>
      <c r="M743" s="180" t="s">
        <v>649</v>
      </c>
      <c r="N743" s="181" t="s">
        <v>394</v>
      </c>
      <c r="O743" s="182" t="s">
        <v>650</v>
      </c>
    </row>
    <row r="744" spans="2:15">
      <c r="B744" s="174" t="s">
        <v>646</v>
      </c>
      <c r="C744" s="175" t="s">
        <v>393</v>
      </c>
      <c r="D744" s="176" t="s">
        <v>394</v>
      </c>
      <c r="E744" s="177" t="s">
        <v>647</v>
      </c>
      <c r="F744" s="175">
        <f t="shared" si="23"/>
        <v>9</v>
      </c>
      <c r="G744" s="175" t="str">
        <f t="shared" si="24"/>
        <v>Boulder</v>
      </c>
      <c r="H744" s="175"/>
      <c r="I744" s="178" t="s">
        <v>648</v>
      </c>
      <c r="J744" s="27" t="s">
        <v>394</v>
      </c>
      <c r="K744" s="27">
        <v>679</v>
      </c>
      <c r="L744" s="179">
        <v>6020</v>
      </c>
      <c r="M744" s="180" t="s">
        <v>649</v>
      </c>
      <c r="N744" s="181" t="s">
        <v>394</v>
      </c>
      <c r="O744" s="182" t="s">
        <v>650</v>
      </c>
    </row>
    <row r="745" spans="2:15">
      <c r="B745" s="174" t="s">
        <v>2019</v>
      </c>
      <c r="C745" s="175" t="s">
        <v>393</v>
      </c>
      <c r="D745" s="176" t="s">
        <v>394</v>
      </c>
      <c r="E745" s="177" t="s">
        <v>2020</v>
      </c>
      <c r="F745" s="175">
        <f t="shared" si="23"/>
        <v>15</v>
      </c>
      <c r="G745" s="175" t="str">
        <f t="shared" si="24"/>
        <v>Golden/Dillon</v>
      </c>
      <c r="H745" s="175"/>
      <c r="I745" s="178" t="s">
        <v>648</v>
      </c>
      <c r="J745" s="27" t="s">
        <v>394</v>
      </c>
      <c r="K745" s="27">
        <v>679</v>
      </c>
      <c r="L745" s="179">
        <v>6020</v>
      </c>
      <c r="M745" s="180" t="s">
        <v>649</v>
      </c>
      <c r="N745" s="181" t="s">
        <v>394</v>
      </c>
      <c r="O745" s="182" t="s">
        <v>650</v>
      </c>
    </row>
    <row r="746" spans="2:15">
      <c r="B746" s="174" t="s">
        <v>2132</v>
      </c>
      <c r="C746" s="175" t="s">
        <v>393</v>
      </c>
      <c r="D746" s="176" t="s">
        <v>394</v>
      </c>
      <c r="E746" s="177" t="s">
        <v>2133</v>
      </c>
      <c r="F746" s="175">
        <f t="shared" si="23"/>
        <v>10</v>
      </c>
      <c r="G746" s="175" t="str">
        <f t="shared" si="24"/>
        <v>Longmont</v>
      </c>
      <c r="H746" s="175"/>
      <c r="I746" s="178" t="s">
        <v>648</v>
      </c>
      <c r="J746" s="27" t="s">
        <v>394</v>
      </c>
      <c r="K746" s="27">
        <v>679</v>
      </c>
      <c r="L746" s="179">
        <v>6020</v>
      </c>
      <c r="M746" s="180" t="s">
        <v>649</v>
      </c>
      <c r="N746" s="181" t="s">
        <v>394</v>
      </c>
      <c r="O746" s="182" t="s">
        <v>650</v>
      </c>
    </row>
    <row r="747" spans="2:15">
      <c r="B747" s="174" t="s">
        <v>2041</v>
      </c>
      <c r="C747" s="175" t="s">
        <v>393</v>
      </c>
      <c r="D747" s="176" t="s">
        <v>394</v>
      </c>
      <c r="E747" s="177" t="s">
        <v>2042</v>
      </c>
      <c r="F747" s="175">
        <f t="shared" si="23"/>
        <v>9</v>
      </c>
      <c r="G747" s="175" t="str">
        <f t="shared" si="24"/>
        <v>Greeley</v>
      </c>
      <c r="H747" s="175"/>
      <c r="I747" s="178" t="s">
        <v>648</v>
      </c>
      <c r="J747" s="27" t="s">
        <v>394</v>
      </c>
      <c r="K747" s="27">
        <v>679</v>
      </c>
      <c r="L747" s="179">
        <v>6020</v>
      </c>
      <c r="M747" s="180" t="s">
        <v>649</v>
      </c>
      <c r="N747" s="181" t="s">
        <v>394</v>
      </c>
      <c r="O747" s="182" t="s">
        <v>650</v>
      </c>
    </row>
    <row r="748" spans="2:15">
      <c r="B748" s="174" t="s">
        <v>1944</v>
      </c>
      <c r="C748" s="175" t="s">
        <v>393</v>
      </c>
      <c r="D748" s="176" t="s">
        <v>394</v>
      </c>
      <c r="E748" s="177" t="s">
        <v>1945</v>
      </c>
      <c r="F748" s="175">
        <f t="shared" si="23"/>
        <v>13</v>
      </c>
      <c r="G748" s="175" t="str">
        <f t="shared" si="24"/>
        <v>Fort Morgan</v>
      </c>
      <c r="H748" s="175"/>
      <c r="I748" s="178" t="s">
        <v>1503</v>
      </c>
      <c r="J748" s="27" t="s">
        <v>394</v>
      </c>
      <c r="K748" s="27">
        <v>419</v>
      </c>
      <c r="L748" s="179">
        <v>6415</v>
      </c>
      <c r="M748" s="178" t="s">
        <v>397</v>
      </c>
      <c r="N748" s="27" t="s">
        <v>394</v>
      </c>
      <c r="O748" s="182" t="s">
        <v>398</v>
      </c>
    </row>
    <row r="749" spans="2:15">
      <c r="B749" s="174" t="s">
        <v>1501</v>
      </c>
      <c r="C749" s="175" t="s">
        <v>393</v>
      </c>
      <c r="D749" s="176" t="s">
        <v>394</v>
      </c>
      <c r="E749" s="177" t="s">
        <v>1502</v>
      </c>
      <c r="F749" s="175">
        <f t="shared" si="23"/>
        <v>18</v>
      </c>
      <c r="G749" s="175" t="str">
        <f t="shared" si="24"/>
        <v>Colorado Springs</v>
      </c>
      <c r="H749" s="175"/>
      <c r="I749" s="178" t="s">
        <v>1503</v>
      </c>
      <c r="J749" s="27" t="s">
        <v>394</v>
      </c>
      <c r="K749" s="27">
        <v>419</v>
      </c>
      <c r="L749" s="179">
        <v>6415</v>
      </c>
      <c r="M749" s="178" t="s">
        <v>397</v>
      </c>
      <c r="N749" s="27" t="s">
        <v>394</v>
      </c>
      <c r="O749" s="182" t="s">
        <v>398</v>
      </c>
    </row>
    <row r="750" spans="2:15">
      <c r="B750" s="174" t="s">
        <v>1504</v>
      </c>
      <c r="C750" s="175" t="s">
        <v>393</v>
      </c>
      <c r="D750" s="176" t="s">
        <v>394</v>
      </c>
      <c r="E750" s="177" t="s">
        <v>1502</v>
      </c>
      <c r="F750" s="175">
        <f t="shared" si="23"/>
        <v>18</v>
      </c>
      <c r="G750" s="175" t="str">
        <f t="shared" si="24"/>
        <v>Colorado Springs</v>
      </c>
      <c r="H750" s="175"/>
      <c r="I750" s="178" t="s">
        <v>1503</v>
      </c>
      <c r="J750" s="27" t="s">
        <v>394</v>
      </c>
      <c r="K750" s="27">
        <v>419</v>
      </c>
      <c r="L750" s="179">
        <v>6415</v>
      </c>
      <c r="M750" s="178" t="s">
        <v>397</v>
      </c>
      <c r="N750" s="27" t="s">
        <v>394</v>
      </c>
      <c r="O750" s="182" t="s">
        <v>398</v>
      </c>
    </row>
    <row r="751" spans="2:15">
      <c r="B751" s="174" t="s">
        <v>2475</v>
      </c>
      <c r="C751" s="175" t="s">
        <v>393</v>
      </c>
      <c r="D751" s="176" t="s">
        <v>394</v>
      </c>
      <c r="E751" s="177" t="s">
        <v>2476</v>
      </c>
      <c r="F751" s="175">
        <f t="shared" si="23"/>
        <v>8</v>
      </c>
      <c r="G751" s="175" t="str">
        <f t="shared" si="24"/>
        <v>Pueblo</v>
      </c>
      <c r="H751" s="175"/>
      <c r="I751" s="178" t="s">
        <v>2089</v>
      </c>
      <c r="J751" s="27" t="s">
        <v>394</v>
      </c>
      <c r="K751" s="27">
        <v>973</v>
      </c>
      <c r="L751" s="179">
        <v>5413</v>
      </c>
      <c r="M751" s="180" t="s">
        <v>2090</v>
      </c>
      <c r="N751" s="181" t="s">
        <v>394</v>
      </c>
      <c r="O751" s="182" t="s">
        <v>2091</v>
      </c>
    </row>
    <row r="752" spans="2:15">
      <c r="B752" s="174" t="s">
        <v>392</v>
      </c>
      <c r="C752" s="175" t="s">
        <v>393</v>
      </c>
      <c r="D752" s="176" t="s">
        <v>394</v>
      </c>
      <c r="E752" s="177" t="s">
        <v>395</v>
      </c>
      <c r="F752" s="175">
        <f t="shared" si="23"/>
        <v>9</v>
      </c>
      <c r="G752" s="175" t="str">
        <f t="shared" si="24"/>
        <v>Alamosa</v>
      </c>
      <c r="H752" s="175"/>
      <c r="I752" s="178" t="s">
        <v>396</v>
      </c>
      <c r="J752" s="27" t="s">
        <v>394</v>
      </c>
      <c r="K752" s="27">
        <v>62</v>
      </c>
      <c r="L752" s="179">
        <v>8749</v>
      </c>
      <c r="M752" s="178" t="s">
        <v>397</v>
      </c>
      <c r="N752" s="27" t="s">
        <v>394</v>
      </c>
      <c r="O752" s="182" t="s">
        <v>398</v>
      </c>
    </row>
    <row r="753" spans="2:15">
      <c r="B753" s="174" t="s">
        <v>351</v>
      </c>
      <c r="C753" s="175" t="s">
        <v>393</v>
      </c>
      <c r="D753" s="176" t="s">
        <v>394</v>
      </c>
      <c r="E753" s="177" t="s">
        <v>352</v>
      </c>
      <c r="F753" s="175">
        <f t="shared" si="23"/>
        <v>8</v>
      </c>
      <c r="G753" s="175" t="str">
        <f t="shared" si="24"/>
        <v>Salida</v>
      </c>
      <c r="H753" s="175"/>
      <c r="I753" s="178" t="s">
        <v>396</v>
      </c>
      <c r="J753" s="27" t="s">
        <v>394</v>
      </c>
      <c r="K753" s="27">
        <v>62</v>
      </c>
      <c r="L753" s="179">
        <v>8749</v>
      </c>
      <c r="M753" s="180" t="s">
        <v>2090</v>
      </c>
      <c r="N753" s="181" t="s">
        <v>394</v>
      </c>
      <c r="O753" s="182" t="s">
        <v>2091</v>
      </c>
    </row>
    <row r="754" spans="2:15">
      <c r="B754" s="174" t="s">
        <v>1741</v>
      </c>
      <c r="C754" s="175" t="s">
        <v>393</v>
      </c>
      <c r="D754" s="176" t="s">
        <v>394</v>
      </c>
      <c r="E754" s="177" t="s">
        <v>1742</v>
      </c>
      <c r="F754" s="175">
        <f t="shared" si="23"/>
        <v>9</v>
      </c>
      <c r="G754" s="175" t="str">
        <f t="shared" si="24"/>
        <v>Durango</v>
      </c>
      <c r="H754" s="175"/>
      <c r="I754" s="178" t="s">
        <v>1743</v>
      </c>
      <c r="J754" s="27" t="s">
        <v>394</v>
      </c>
      <c r="K754" s="27">
        <v>1183</v>
      </c>
      <c r="L754" s="179">
        <v>5548</v>
      </c>
      <c r="M754" s="178" t="s">
        <v>1744</v>
      </c>
      <c r="N754" s="27" t="s">
        <v>394</v>
      </c>
      <c r="O754" s="182" t="s">
        <v>1745</v>
      </c>
    </row>
    <row r="755" spans="2:15">
      <c r="B755" s="174" t="s">
        <v>1073</v>
      </c>
      <c r="C755" s="175" t="s">
        <v>393</v>
      </c>
      <c r="D755" s="176" t="s">
        <v>394</v>
      </c>
      <c r="E755" s="177" t="s">
        <v>1074</v>
      </c>
      <c r="F755" s="175">
        <f t="shared" si="23"/>
        <v>10</v>
      </c>
      <c r="G755" s="175" t="str">
        <f t="shared" si="24"/>
        <v>Montrose</v>
      </c>
      <c r="H755" s="175"/>
      <c r="I755" s="178" t="s">
        <v>1743</v>
      </c>
      <c r="J755" s="27" t="s">
        <v>394</v>
      </c>
      <c r="K755" s="27">
        <v>1183</v>
      </c>
      <c r="L755" s="179">
        <v>5548</v>
      </c>
      <c r="M755" s="178" t="s">
        <v>1744</v>
      </c>
      <c r="N755" s="27" t="s">
        <v>394</v>
      </c>
      <c r="O755" s="182" t="s">
        <v>1745</v>
      </c>
    </row>
    <row r="756" spans="2:15">
      <c r="B756" s="174" t="s">
        <v>2025</v>
      </c>
      <c r="C756" s="175" t="s">
        <v>393</v>
      </c>
      <c r="D756" s="176" t="s">
        <v>394</v>
      </c>
      <c r="E756" s="177" t="s">
        <v>2026</v>
      </c>
      <c r="F756" s="175">
        <f t="shared" si="23"/>
        <v>16</v>
      </c>
      <c r="G756" s="175" t="str">
        <f t="shared" si="24"/>
        <v>Grand Junction</v>
      </c>
      <c r="H756" s="175"/>
      <c r="I756" s="178" t="s">
        <v>1743</v>
      </c>
      <c r="J756" s="27" t="s">
        <v>394</v>
      </c>
      <c r="K756" s="27">
        <v>1183</v>
      </c>
      <c r="L756" s="179">
        <v>5548</v>
      </c>
      <c r="M756" s="178" t="s">
        <v>1744</v>
      </c>
      <c r="N756" s="27" t="s">
        <v>394</v>
      </c>
      <c r="O756" s="182" t="s">
        <v>1745</v>
      </c>
    </row>
    <row r="757" spans="2:15">
      <c r="B757" s="174" t="s">
        <v>2015</v>
      </c>
      <c r="C757" s="175" t="s">
        <v>393</v>
      </c>
      <c r="D757" s="176" t="s">
        <v>394</v>
      </c>
      <c r="E757" s="177" t="s">
        <v>2016</v>
      </c>
      <c r="F757" s="175">
        <f t="shared" si="23"/>
        <v>18</v>
      </c>
      <c r="G757" s="175" t="str">
        <f t="shared" si="24"/>
        <v>Glenwood Springs</v>
      </c>
      <c r="H757" s="175"/>
      <c r="I757" s="178" t="s">
        <v>1743</v>
      </c>
      <c r="J757" s="27" t="s">
        <v>394</v>
      </c>
      <c r="K757" s="27">
        <v>1183</v>
      </c>
      <c r="L757" s="179">
        <v>5548</v>
      </c>
      <c r="M757" s="178" t="s">
        <v>1744</v>
      </c>
      <c r="N757" s="27" t="s">
        <v>394</v>
      </c>
      <c r="O757" s="182" t="s">
        <v>1745</v>
      </c>
    </row>
    <row r="758" spans="2:15">
      <c r="B758" s="174" t="s">
        <v>2352</v>
      </c>
      <c r="C758" s="175" t="s">
        <v>1402</v>
      </c>
      <c r="D758" s="176" t="s">
        <v>1403</v>
      </c>
      <c r="E758" s="177" t="s">
        <v>2353</v>
      </c>
      <c r="F758" s="175">
        <f t="shared" si="23"/>
        <v>10</v>
      </c>
      <c r="G758" s="175" t="str">
        <f t="shared" si="24"/>
        <v>Cheyenne</v>
      </c>
      <c r="H758" s="175"/>
      <c r="I758" s="178" t="s">
        <v>2354</v>
      </c>
      <c r="J758" s="27" t="s">
        <v>1403</v>
      </c>
      <c r="K758" s="27">
        <v>285</v>
      </c>
      <c r="L758" s="179">
        <v>7326</v>
      </c>
      <c r="M758" s="180" t="s">
        <v>2355</v>
      </c>
      <c r="N758" s="181" t="s">
        <v>1403</v>
      </c>
      <c r="O758" s="182" t="s">
        <v>2356</v>
      </c>
    </row>
    <row r="759" spans="2:15">
      <c r="B759" s="174" t="s">
        <v>1854</v>
      </c>
      <c r="C759" s="175" t="s">
        <v>1402</v>
      </c>
      <c r="D759" s="176" t="s">
        <v>1403</v>
      </c>
      <c r="E759" s="177" t="s">
        <v>1855</v>
      </c>
      <c r="F759" s="175">
        <f t="shared" si="23"/>
        <v>20</v>
      </c>
      <c r="G759" s="175" t="str">
        <f t="shared" si="24"/>
        <v>Yellowstone Nat Pk</v>
      </c>
      <c r="H759" s="175"/>
      <c r="I759" s="178" t="s">
        <v>767</v>
      </c>
      <c r="J759" s="27" t="s">
        <v>1416</v>
      </c>
      <c r="K759" s="27">
        <v>386</v>
      </c>
      <c r="L759" s="179">
        <v>8031</v>
      </c>
      <c r="M759" s="180" t="s">
        <v>1345</v>
      </c>
      <c r="N759" s="181" t="s">
        <v>1416</v>
      </c>
      <c r="O759" s="182" t="s">
        <v>1346</v>
      </c>
    </row>
    <row r="760" spans="2:15">
      <c r="B760" s="174" t="s">
        <v>1840</v>
      </c>
      <c r="C760" s="175" t="s">
        <v>1402</v>
      </c>
      <c r="D760" s="176" t="s">
        <v>1403</v>
      </c>
      <c r="E760" s="177" t="s">
        <v>1841</v>
      </c>
      <c r="F760" s="175">
        <f t="shared" si="23"/>
        <v>11</v>
      </c>
      <c r="G760" s="175" t="str">
        <f t="shared" si="24"/>
        <v>Wheatland</v>
      </c>
      <c r="H760" s="175"/>
      <c r="I760" s="178" t="s">
        <v>1842</v>
      </c>
      <c r="J760" s="27" t="s">
        <v>448</v>
      </c>
      <c r="K760" s="27">
        <v>713</v>
      </c>
      <c r="L760" s="179">
        <v>6729</v>
      </c>
      <c r="M760" s="180" t="s">
        <v>2355</v>
      </c>
      <c r="N760" s="181" t="s">
        <v>1403</v>
      </c>
      <c r="O760" s="182" t="s">
        <v>2356</v>
      </c>
    </row>
    <row r="761" spans="2:15">
      <c r="B761" s="174" t="s">
        <v>2490</v>
      </c>
      <c r="C761" s="175" t="s">
        <v>1402</v>
      </c>
      <c r="D761" s="176" t="s">
        <v>1403</v>
      </c>
      <c r="E761" s="177" t="s">
        <v>2491</v>
      </c>
      <c r="F761" s="175">
        <f t="shared" si="23"/>
        <v>9</v>
      </c>
      <c r="G761" s="175" t="str">
        <f t="shared" si="24"/>
        <v>Rawlins</v>
      </c>
      <c r="H761" s="175"/>
      <c r="I761" s="178" t="s">
        <v>2354</v>
      </c>
      <c r="J761" s="27" t="s">
        <v>1403</v>
      </c>
      <c r="K761" s="27">
        <v>285</v>
      </c>
      <c r="L761" s="179">
        <v>7326</v>
      </c>
      <c r="M761" s="180" t="s">
        <v>2355</v>
      </c>
      <c r="N761" s="181" t="s">
        <v>1403</v>
      </c>
      <c r="O761" s="182" t="s">
        <v>2356</v>
      </c>
    </row>
    <row r="762" spans="2:15">
      <c r="B762" s="174" t="s">
        <v>1850</v>
      </c>
      <c r="C762" s="175" t="s">
        <v>1402</v>
      </c>
      <c r="D762" s="176" t="s">
        <v>1403</v>
      </c>
      <c r="E762" s="177" t="s">
        <v>1851</v>
      </c>
      <c r="F762" s="175">
        <f t="shared" si="23"/>
        <v>9</v>
      </c>
      <c r="G762" s="175" t="str">
        <f t="shared" si="24"/>
        <v>Worland</v>
      </c>
      <c r="H762" s="175"/>
      <c r="I762" s="178" t="s">
        <v>103</v>
      </c>
      <c r="J762" s="27" t="s">
        <v>1403</v>
      </c>
      <c r="K762" s="27">
        <v>479</v>
      </c>
      <c r="L762" s="179">
        <v>7889</v>
      </c>
      <c r="M762" s="180" t="s">
        <v>1406</v>
      </c>
      <c r="N762" s="181" t="s">
        <v>1403</v>
      </c>
      <c r="O762" s="182" t="s">
        <v>2304</v>
      </c>
    </row>
    <row r="763" spans="2:15">
      <c r="B763" s="174" t="s">
        <v>289</v>
      </c>
      <c r="C763" s="175" t="s">
        <v>1402</v>
      </c>
      <c r="D763" s="176" t="s">
        <v>1403</v>
      </c>
      <c r="E763" s="177" t="s">
        <v>290</v>
      </c>
      <c r="F763" s="175">
        <f t="shared" si="23"/>
        <v>10</v>
      </c>
      <c r="G763" s="175" t="str">
        <f t="shared" si="24"/>
        <v>Riverton</v>
      </c>
      <c r="H763" s="175"/>
      <c r="I763" s="178" t="s">
        <v>103</v>
      </c>
      <c r="J763" s="27" t="s">
        <v>1403</v>
      </c>
      <c r="K763" s="27">
        <v>479</v>
      </c>
      <c r="L763" s="179">
        <v>7889</v>
      </c>
      <c r="M763" s="180" t="s">
        <v>1406</v>
      </c>
      <c r="N763" s="181" t="s">
        <v>1403</v>
      </c>
      <c r="O763" s="182" t="s">
        <v>2304</v>
      </c>
    </row>
    <row r="764" spans="2:15">
      <c r="B764" s="174" t="s">
        <v>1401</v>
      </c>
      <c r="C764" s="175" t="s">
        <v>1402</v>
      </c>
      <c r="D764" s="176" t="s">
        <v>1403</v>
      </c>
      <c r="E764" s="177" t="s">
        <v>1404</v>
      </c>
      <c r="F764" s="175">
        <f t="shared" si="23"/>
        <v>8</v>
      </c>
      <c r="G764" s="175" t="str">
        <f t="shared" si="24"/>
        <v>Casper</v>
      </c>
      <c r="H764" s="175"/>
      <c r="I764" s="178" t="s">
        <v>1405</v>
      </c>
      <c r="J764" s="27" t="s">
        <v>1403</v>
      </c>
      <c r="K764" s="27">
        <v>439</v>
      </c>
      <c r="L764" s="179">
        <v>7804</v>
      </c>
      <c r="M764" s="180" t="s">
        <v>1406</v>
      </c>
      <c r="N764" s="181" t="s">
        <v>1403</v>
      </c>
      <c r="O764" s="182" t="s">
        <v>2304</v>
      </c>
    </row>
    <row r="765" spans="2:15">
      <c r="B765" s="174" t="s">
        <v>2006</v>
      </c>
      <c r="C765" s="175" t="s">
        <v>1402</v>
      </c>
      <c r="D765" s="176" t="s">
        <v>1403</v>
      </c>
      <c r="E765" s="177" t="s">
        <v>2007</v>
      </c>
      <c r="F765" s="175">
        <f t="shared" si="23"/>
        <v>10</v>
      </c>
      <c r="G765" s="175" t="str">
        <f t="shared" si="24"/>
        <v>Gillette</v>
      </c>
      <c r="H765" s="175"/>
      <c r="I765" s="178" t="s">
        <v>2008</v>
      </c>
      <c r="J765" s="27" t="s">
        <v>1403</v>
      </c>
      <c r="K765" s="27">
        <v>445</v>
      </c>
      <c r="L765" s="179">
        <v>7682</v>
      </c>
      <c r="M765" s="180" t="s">
        <v>1406</v>
      </c>
      <c r="N765" s="181" t="s">
        <v>1403</v>
      </c>
      <c r="O765" s="182" t="s">
        <v>2304</v>
      </c>
    </row>
    <row r="766" spans="2:15">
      <c r="B766" s="174" t="s">
        <v>1284</v>
      </c>
      <c r="C766" s="175" t="s">
        <v>1402</v>
      </c>
      <c r="D766" s="176" t="s">
        <v>1403</v>
      </c>
      <c r="E766" s="177" t="s">
        <v>1285</v>
      </c>
      <c r="F766" s="175">
        <f t="shared" si="23"/>
        <v>10</v>
      </c>
      <c r="G766" s="175" t="str">
        <f t="shared" si="24"/>
        <v>Sheridan</v>
      </c>
      <c r="H766" s="175"/>
      <c r="I766" s="178" t="s">
        <v>1405</v>
      </c>
      <c r="J766" s="27" t="s">
        <v>1403</v>
      </c>
      <c r="K766" s="27">
        <v>439</v>
      </c>
      <c r="L766" s="179">
        <v>7804</v>
      </c>
      <c r="M766" s="180" t="s">
        <v>1406</v>
      </c>
      <c r="N766" s="181" t="s">
        <v>1403</v>
      </c>
      <c r="O766" s="182" t="s">
        <v>2304</v>
      </c>
    </row>
    <row r="767" spans="2:15">
      <c r="B767" s="174" t="s">
        <v>301</v>
      </c>
      <c r="C767" s="175" t="s">
        <v>1402</v>
      </c>
      <c r="D767" s="176" t="s">
        <v>1403</v>
      </c>
      <c r="E767" s="177" t="s">
        <v>302</v>
      </c>
      <c r="F767" s="175">
        <f t="shared" si="23"/>
        <v>14</v>
      </c>
      <c r="G767" s="175" t="str">
        <f t="shared" si="24"/>
        <v>Rock Springs</v>
      </c>
      <c r="H767" s="175"/>
      <c r="I767" s="178" t="s">
        <v>103</v>
      </c>
      <c r="J767" s="27" t="s">
        <v>1403</v>
      </c>
      <c r="K767" s="27">
        <v>479</v>
      </c>
      <c r="L767" s="179">
        <v>7889</v>
      </c>
      <c r="M767" s="180" t="s">
        <v>1406</v>
      </c>
      <c r="N767" s="181" t="s">
        <v>1403</v>
      </c>
      <c r="O767" s="182" t="s">
        <v>2304</v>
      </c>
    </row>
    <row r="768" spans="2:15">
      <c r="B768" s="174" t="s">
        <v>102</v>
      </c>
      <c r="C768" s="175" t="s">
        <v>1402</v>
      </c>
      <c r="D768" s="176" t="s">
        <v>1403</v>
      </c>
      <c r="E768" s="177" t="s">
        <v>97</v>
      </c>
      <c r="F768" s="175">
        <f t="shared" si="23"/>
        <v>9</v>
      </c>
      <c r="G768" s="175" t="str">
        <f t="shared" si="24"/>
        <v>Jackson</v>
      </c>
      <c r="H768" s="175"/>
      <c r="I768" s="178" t="s">
        <v>103</v>
      </c>
      <c r="J768" s="27" t="s">
        <v>1403</v>
      </c>
      <c r="K768" s="27">
        <v>479</v>
      </c>
      <c r="L768" s="179">
        <v>7889</v>
      </c>
      <c r="M768" s="180" t="s">
        <v>1406</v>
      </c>
      <c r="N768" s="181" t="s">
        <v>1403</v>
      </c>
      <c r="O768" s="182" t="s">
        <v>2304</v>
      </c>
    </row>
    <row r="769" spans="2:15">
      <c r="B769" s="174" t="s">
        <v>902</v>
      </c>
      <c r="C769" s="175" t="s">
        <v>1402</v>
      </c>
      <c r="D769" s="176" t="s">
        <v>1403</v>
      </c>
      <c r="E769" s="177" t="s">
        <v>903</v>
      </c>
      <c r="F769" s="175">
        <f t="shared" si="23"/>
        <v>10</v>
      </c>
      <c r="G769" s="175" t="str">
        <f t="shared" si="24"/>
        <v>Kemmerer</v>
      </c>
      <c r="H769" s="175"/>
      <c r="I769" s="178" t="s">
        <v>103</v>
      </c>
      <c r="J769" s="27" t="s">
        <v>1403</v>
      </c>
      <c r="K769" s="27">
        <v>479</v>
      </c>
      <c r="L769" s="179">
        <v>7889</v>
      </c>
      <c r="M769" s="180" t="s">
        <v>1406</v>
      </c>
      <c r="N769" s="181" t="s">
        <v>1403</v>
      </c>
      <c r="O769" s="182" t="s">
        <v>2304</v>
      </c>
    </row>
    <row r="770" spans="2:15">
      <c r="B770" s="174" t="s">
        <v>2437</v>
      </c>
      <c r="C770" s="175" t="s">
        <v>2280</v>
      </c>
      <c r="D770" s="176" t="s">
        <v>2281</v>
      </c>
      <c r="E770" s="177" t="s">
        <v>2438</v>
      </c>
      <c r="F770" s="175">
        <f t="shared" si="23"/>
        <v>11</v>
      </c>
      <c r="G770" s="175" t="str">
        <f t="shared" si="24"/>
        <v>Pocatello</v>
      </c>
      <c r="H770" s="175"/>
      <c r="I770" s="178" t="s">
        <v>77</v>
      </c>
      <c r="J770" s="27" t="s">
        <v>2281</v>
      </c>
      <c r="K770" s="27">
        <v>421</v>
      </c>
      <c r="L770" s="179">
        <v>7180</v>
      </c>
      <c r="M770" s="180" t="s">
        <v>78</v>
      </c>
      <c r="N770" s="181" t="s">
        <v>2281</v>
      </c>
      <c r="O770" s="182" t="s">
        <v>79</v>
      </c>
    </row>
    <row r="771" spans="2:15">
      <c r="B771" s="174" t="s">
        <v>1767</v>
      </c>
      <c r="C771" s="175" t="s">
        <v>2280</v>
      </c>
      <c r="D771" s="176" t="s">
        <v>2281</v>
      </c>
      <c r="E771" s="177" t="s">
        <v>1768</v>
      </c>
      <c r="F771" s="175">
        <f t="shared" si="23"/>
        <v>12</v>
      </c>
      <c r="G771" s="175" t="str">
        <f t="shared" si="24"/>
        <v>Twin Falls</v>
      </c>
      <c r="H771" s="175"/>
      <c r="I771" s="178" t="s">
        <v>77</v>
      </c>
      <c r="J771" s="27" t="s">
        <v>2281</v>
      </c>
      <c r="K771" s="27">
        <v>421</v>
      </c>
      <c r="L771" s="179">
        <v>7180</v>
      </c>
      <c r="M771" s="180" t="s">
        <v>78</v>
      </c>
      <c r="N771" s="181" t="s">
        <v>2281</v>
      </c>
      <c r="O771" s="182" t="s">
        <v>79</v>
      </c>
    </row>
    <row r="772" spans="2:15">
      <c r="B772" s="174" t="s">
        <v>75</v>
      </c>
      <c r="C772" s="175" t="s">
        <v>2280</v>
      </c>
      <c r="D772" s="176" t="s">
        <v>2281</v>
      </c>
      <c r="E772" s="177" t="s">
        <v>76</v>
      </c>
      <c r="F772" s="175">
        <f t="shared" si="23"/>
        <v>13</v>
      </c>
      <c r="G772" s="175" t="str">
        <f t="shared" si="24"/>
        <v>Idaho Falls</v>
      </c>
      <c r="H772" s="175"/>
      <c r="I772" s="178" t="s">
        <v>77</v>
      </c>
      <c r="J772" s="27" t="s">
        <v>2281</v>
      </c>
      <c r="K772" s="27">
        <v>421</v>
      </c>
      <c r="L772" s="179">
        <v>7180</v>
      </c>
      <c r="M772" s="180" t="s">
        <v>78</v>
      </c>
      <c r="N772" s="181" t="s">
        <v>2281</v>
      </c>
      <c r="O772" s="182" t="s">
        <v>79</v>
      </c>
    </row>
    <row r="773" spans="2:15">
      <c r="B773" s="174" t="s">
        <v>2106</v>
      </c>
      <c r="C773" s="175" t="s">
        <v>2280</v>
      </c>
      <c r="D773" s="176" t="s">
        <v>2281</v>
      </c>
      <c r="E773" s="177" t="s">
        <v>2107</v>
      </c>
      <c r="F773" s="175">
        <f t="shared" si="23"/>
        <v>10</v>
      </c>
      <c r="G773" s="175" t="str">
        <f t="shared" si="24"/>
        <v>Lewiston</v>
      </c>
      <c r="H773" s="175"/>
      <c r="I773" s="178" t="s">
        <v>2108</v>
      </c>
      <c r="J773" s="27" t="s">
        <v>2281</v>
      </c>
      <c r="K773" s="27">
        <v>814</v>
      </c>
      <c r="L773" s="179">
        <v>5270</v>
      </c>
      <c r="M773" s="180" t="s">
        <v>1492</v>
      </c>
      <c r="N773" s="181" t="s">
        <v>1627</v>
      </c>
      <c r="O773" s="182" t="s">
        <v>1493</v>
      </c>
    </row>
    <row r="774" spans="2:15">
      <c r="B774" s="174" t="s">
        <v>2279</v>
      </c>
      <c r="C774" s="175" t="s">
        <v>2280</v>
      </c>
      <c r="D774" s="176" t="s">
        <v>2281</v>
      </c>
      <c r="E774" s="177" t="s">
        <v>2282</v>
      </c>
      <c r="F774" s="175">
        <f t="shared" si="23"/>
        <v>7</v>
      </c>
      <c r="G774" s="175" t="str">
        <f t="shared" si="24"/>
        <v>Boise</v>
      </c>
      <c r="H774" s="175"/>
      <c r="I774" s="178" t="s">
        <v>2283</v>
      </c>
      <c r="J774" s="27" t="s">
        <v>2281</v>
      </c>
      <c r="K774" s="27">
        <v>754</v>
      </c>
      <c r="L774" s="179">
        <v>5861</v>
      </c>
      <c r="M774" s="180" t="s">
        <v>2284</v>
      </c>
      <c r="N774" s="181" t="s">
        <v>2281</v>
      </c>
      <c r="O774" s="182" t="s">
        <v>2285</v>
      </c>
    </row>
    <row r="775" spans="2:15">
      <c r="B775" s="174" t="s">
        <v>2286</v>
      </c>
      <c r="C775" s="175" t="s">
        <v>2280</v>
      </c>
      <c r="D775" s="176" t="s">
        <v>2281</v>
      </c>
      <c r="E775" s="177" t="s">
        <v>2282</v>
      </c>
      <c r="F775" s="175">
        <f t="shared" si="23"/>
        <v>7</v>
      </c>
      <c r="G775" s="175" t="str">
        <f t="shared" si="24"/>
        <v>Boise</v>
      </c>
      <c r="H775" s="175"/>
      <c r="I775" s="178" t="s">
        <v>2283</v>
      </c>
      <c r="J775" s="27" t="s">
        <v>2281</v>
      </c>
      <c r="K775" s="27">
        <v>754</v>
      </c>
      <c r="L775" s="179">
        <v>5861</v>
      </c>
      <c r="M775" s="180" t="s">
        <v>2284</v>
      </c>
      <c r="N775" s="181" t="s">
        <v>2281</v>
      </c>
      <c r="O775" s="182" t="s">
        <v>2285</v>
      </c>
    </row>
    <row r="776" spans="2:15">
      <c r="B776" s="174" t="s">
        <v>694</v>
      </c>
      <c r="C776" s="175" t="s">
        <v>2280</v>
      </c>
      <c r="D776" s="176" t="s">
        <v>2281</v>
      </c>
      <c r="E776" s="177" t="s">
        <v>695</v>
      </c>
      <c r="F776" s="175">
        <f t="shared" si="23"/>
        <v>15</v>
      </c>
      <c r="G776" s="175" t="str">
        <f t="shared" si="24"/>
        <v>Coeur D'Alene</v>
      </c>
      <c r="H776" s="175"/>
      <c r="I776" s="178" t="s">
        <v>1491</v>
      </c>
      <c r="J776" s="27" t="s">
        <v>1627</v>
      </c>
      <c r="K776" s="27">
        <v>398</v>
      </c>
      <c r="L776" s="179">
        <v>6842</v>
      </c>
      <c r="M776" s="180" t="s">
        <v>1492</v>
      </c>
      <c r="N776" s="181" t="s">
        <v>1627</v>
      </c>
      <c r="O776" s="182" t="s">
        <v>1493</v>
      </c>
    </row>
    <row r="777" spans="2:15">
      <c r="B777" s="174" t="s">
        <v>360</v>
      </c>
      <c r="C777" s="175" t="s">
        <v>1187</v>
      </c>
      <c r="D777" s="176" t="s">
        <v>1188</v>
      </c>
      <c r="E777" s="177" t="s">
        <v>361</v>
      </c>
      <c r="F777" s="175">
        <f t="shared" si="23"/>
        <v>27</v>
      </c>
      <c r="G777" s="175" t="str">
        <f t="shared" si="24"/>
        <v>Salt Lake City/Heber City</v>
      </c>
      <c r="H777" s="175"/>
      <c r="I777" s="178" t="s">
        <v>1190</v>
      </c>
      <c r="J777" s="27" t="s">
        <v>1188</v>
      </c>
      <c r="K777" s="27">
        <v>1047</v>
      </c>
      <c r="L777" s="179">
        <v>5765</v>
      </c>
      <c r="M777" s="180" t="s">
        <v>1191</v>
      </c>
      <c r="N777" s="181" t="s">
        <v>1188</v>
      </c>
      <c r="O777" s="182" t="s">
        <v>1192</v>
      </c>
    </row>
    <row r="778" spans="2:15">
      <c r="B778" s="174" t="s">
        <v>358</v>
      </c>
      <c r="C778" s="175" t="s">
        <v>1187</v>
      </c>
      <c r="D778" s="176" t="s">
        <v>1188</v>
      </c>
      <c r="E778" s="177" t="s">
        <v>359</v>
      </c>
      <c r="F778" s="175">
        <f t="shared" ref="F778:F841" si="25">LEN(E778)</f>
        <v>16</v>
      </c>
      <c r="G778" s="175" t="str">
        <f t="shared" ref="G778:G841" si="26">MID(E778,2,F778-2)</f>
        <v>Salt Lake City</v>
      </c>
      <c r="H778" s="175"/>
      <c r="I778" s="178" t="s">
        <v>1190</v>
      </c>
      <c r="J778" s="27" t="s">
        <v>1188</v>
      </c>
      <c r="K778" s="27">
        <v>1047</v>
      </c>
      <c r="L778" s="179">
        <v>5765</v>
      </c>
      <c r="M778" s="180" t="s">
        <v>1191</v>
      </c>
      <c r="N778" s="181" t="s">
        <v>1188</v>
      </c>
      <c r="O778" s="182" t="s">
        <v>1192</v>
      </c>
    </row>
    <row r="779" spans="2:15">
      <c r="B779" s="174" t="s">
        <v>1193</v>
      </c>
      <c r="C779" s="175" t="s">
        <v>1187</v>
      </c>
      <c r="D779" s="176" t="s">
        <v>1188</v>
      </c>
      <c r="E779" s="177" t="s">
        <v>1436</v>
      </c>
      <c r="F779" s="175">
        <f t="shared" si="25"/>
        <v>13</v>
      </c>
      <c r="G779" s="175" t="str">
        <f t="shared" si="26"/>
        <v>Ogden/Logan</v>
      </c>
      <c r="H779" s="175"/>
      <c r="I779" s="178" t="s">
        <v>1190</v>
      </c>
      <c r="J779" s="27" t="s">
        <v>1188</v>
      </c>
      <c r="K779" s="27">
        <v>1047</v>
      </c>
      <c r="L779" s="179">
        <v>5765</v>
      </c>
      <c r="M779" s="180" t="s">
        <v>1191</v>
      </c>
      <c r="N779" s="181" t="s">
        <v>1188</v>
      </c>
      <c r="O779" s="182" t="s">
        <v>1192</v>
      </c>
    </row>
    <row r="780" spans="2:15">
      <c r="B780" s="174" t="s">
        <v>1186</v>
      </c>
      <c r="C780" s="175" t="s">
        <v>1187</v>
      </c>
      <c r="D780" s="176" t="s">
        <v>1188</v>
      </c>
      <c r="E780" s="177" t="s">
        <v>1189</v>
      </c>
      <c r="F780" s="175">
        <f t="shared" si="25"/>
        <v>7</v>
      </c>
      <c r="G780" s="175" t="str">
        <f t="shared" si="26"/>
        <v>Ogden</v>
      </c>
      <c r="H780" s="175"/>
      <c r="I780" s="178" t="s">
        <v>1190</v>
      </c>
      <c r="J780" s="27" t="s">
        <v>1188</v>
      </c>
      <c r="K780" s="27">
        <v>1047</v>
      </c>
      <c r="L780" s="179">
        <v>5765</v>
      </c>
      <c r="M780" s="180" t="s">
        <v>1191</v>
      </c>
      <c r="N780" s="181" t="s">
        <v>1188</v>
      </c>
      <c r="O780" s="182" t="s">
        <v>1192</v>
      </c>
    </row>
    <row r="781" spans="2:15">
      <c r="B781" s="174" t="s">
        <v>1211</v>
      </c>
      <c r="C781" s="175" t="s">
        <v>1187</v>
      </c>
      <c r="D781" s="176" t="s">
        <v>1188</v>
      </c>
      <c r="E781" s="177" t="s">
        <v>1212</v>
      </c>
      <c r="F781" s="175">
        <f t="shared" si="25"/>
        <v>28</v>
      </c>
      <c r="G781" s="175" t="str">
        <f t="shared" si="26"/>
        <v>Southeast Utah/Green River</v>
      </c>
      <c r="H781" s="175"/>
      <c r="I781" s="178" t="s">
        <v>1743</v>
      </c>
      <c r="J781" s="27" t="s">
        <v>394</v>
      </c>
      <c r="K781" s="27">
        <v>1183</v>
      </c>
      <c r="L781" s="179">
        <v>5548</v>
      </c>
      <c r="M781" s="178" t="s">
        <v>1744</v>
      </c>
      <c r="N781" s="27" t="s">
        <v>394</v>
      </c>
      <c r="O781" s="182" t="s">
        <v>1745</v>
      </c>
    </row>
    <row r="782" spans="2:15">
      <c r="B782" s="174" t="s">
        <v>2473</v>
      </c>
      <c r="C782" s="175" t="s">
        <v>1187</v>
      </c>
      <c r="D782" s="176" t="s">
        <v>1188</v>
      </c>
      <c r="E782" s="177" t="s">
        <v>2474</v>
      </c>
      <c r="F782" s="175">
        <f t="shared" si="25"/>
        <v>7</v>
      </c>
      <c r="G782" s="175" t="str">
        <f t="shared" si="26"/>
        <v>Provo</v>
      </c>
      <c r="H782" s="175"/>
      <c r="I782" s="178" t="s">
        <v>1190</v>
      </c>
      <c r="J782" s="27" t="s">
        <v>1188</v>
      </c>
      <c r="K782" s="27">
        <v>1047</v>
      </c>
      <c r="L782" s="179">
        <v>5765</v>
      </c>
      <c r="M782" s="180" t="s">
        <v>1191</v>
      </c>
      <c r="N782" s="181" t="s">
        <v>1188</v>
      </c>
      <c r="O782" s="182" t="s">
        <v>1192</v>
      </c>
    </row>
    <row r="783" spans="2:15">
      <c r="B783" s="174" t="s">
        <v>1216</v>
      </c>
      <c r="C783" s="175" t="s">
        <v>1187</v>
      </c>
      <c r="D783" s="176" t="s">
        <v>1188</v>
      </c>
      <c r="E783" s="177" t="s">
        <v>1217</v>
      </c>
      <c r="F783" s="175">
        <f t="shared" si="25"/>
        <v>27</v>
      </c>
      <c r="G783" s="175" t="str">
        <f t="shared" si="26"/>
        <v>Southwest Utah/Cedar City</v>
      </c>
      <c r="H783" s="175"/>
      <c r="I783" s="178" t="s">
        <v>1218</v>
      </c>
      <c r="J783" s="27" t="s">
        <v>1188</v>
      </c>
      <c r="K783" s="27">
        <v>647</v>
      </c>
      <c r="L783" s="179">
        <v>6511</v>
      </c>
      <c r="M783" s="178" t="s">
        <v>1744</v>
      </c>
      <c r="N783" s="27" t="s">
        <v>394</v>
      </c>
      <c r="O783" s="182" t="s">
        <v>1745</v>
      </c>
    </row>
    <row r="784" spans="2:15">
      <c r="B784" s="174" t="s">
        <v>2413</v>
      </c>
      <c r="C784" s="175" t="s">
        <v>1300</v>
      </c>
      <c r="D784" s="176" t="s">
        <v>1301</v>
      </c>
      <c r="E784" s="177" t="s">
        <v>2414</v>
      </c>
      <c r="F784" s="175">
        <f t="shared" si="25"/>
        <v>9</v>
      </c>
      <c r="G784" s="175" t="str">
        <f t="shared" si="26"/>
        <v>Phoenix</v>
      </c>
      <c r="H784" s="175"/>
      <c r="I784" s="178" t="s">
        <v>2415</v>
      </c>
      <c r="J784" s="27" t="s">
        <v>1301</v>
      </c>
      <c r="K784" s="27">
        <v>4162</v>
      </c>
      <c r="L784" s="179">
        <v>1350</v>
      </c>
      <c r="M784" s="178" t="s">
        <v>2416</v>
      </c>
      <c r="N784" s="27" t="s">
        <v>1301</v>
      </c>
      <c r="O784" s="182" t="s">
        <v>2417</v>
      </c>
    </row>
    <row r="785" spans="2:15">
      <c r="B785" s="174" t="s">
        <v>2418</v>
      </c>
      <c r="C785" s="175" t="s">
        <v>1300</v>
      </c>
      <c r="D785" s="176" t="s">
        <v>1301</v>
      </c>
      <c r="E785" s="177" t="s">
        <v>2414</v>
      </c>
      <c r="F785" s="175">
        <f t="shared" si="25"/>
        <v>9</v>
      </c>
      <c r="G785" s="175" t="str">
        <f t="shared" si="26"/>
        <v>Phoenix</v>
      </c>
      <c r="H785" s="175"/>
      <c r="I785" s="178" t="s">
        <v>2415</v>
      </c>
      <c r="J785" s="27" t="s">
        <v>1301</v>
      </c>
      <c r="K785" s="27">
        <v>4162</v>
      </c>
      <c r="L785" s="179">
        <v>1350</v>
      </c>
      <c r="M785" s="178" t="s">
        <v>2416</v>
      </c>
      <c r="N785" s="27" t="s">
        <v>1301</v>
      </c>
      <c r="O785" s="182" t="s">
        <v>2417</v>
      </c>
    </row>
    <row r="786" spans="2:15">
      <c r="B786" s="174" t="s">
        <v>1396</v>
      </c>
      <c r="C786" s="175" t="s">
        <v>1300</v>
      </c>
      <c r="D786" s="176" t="s">
        <v>1301</v>
      </c>
      <c r="E786" s="177" t="s">
        <v>1397</v>
      </c>
      <c r="F786" s="175">
        <f t="shared" si="25"/>
        <v>13</v>
      </c>
      <c r="G786" s="175" t="str">
        <f t="shared" si="26"/>
        <v>Casa Grande</v>
      </c>
      <c r="H786" s="175"/>
      <c r="I786" s="178" t="s">
        <v>1398</v>
      </c>
      <c r="J786" s="27" t="s">
        <v>1301</v>
      </c>
      <c r="K786" s="27">
        <v>2954</v>
      </c>
      <c r="L786" s="179">
        <v>1678</v>
      </c>
      <c r="M786" s="178" t="s">
        <v>1399</v>
      </c>
      <c r="N786" s="27" t="s">
        <v>1301</v>
      </c>
      <c r="O786" s="182" t="s">
        <v>1400</v>
      </c>
    </row>
    <row r="787" spans="2:15">
      <c r="B787" s="174" t="s">
        <v>1299</v>
      </c>
      <c r="C787" s="175" t="s">
        <v>1300</v>
      </c>
      <c r="D787" s="176" t="s">
        <v>1301</v>
      </c>
      <c r="E787" s="177" t="s">
        <v>1302</v>
      </c>
      <c r="F787" s="175">
        <f t="shared" si="25"/>
        <v>14</v>
      </c>
      <c r="G787" s="175" t="str">
        <f t="shared" si="26"/>
        <v>Buckeye/Yuma</v>
      </c>
      <c r="H787" s="175"/>
      <c r="I787" s="178" t="s">
        <v>1303</v>
      </c>
      <c r="J787" s="27" t="s">
        <v>1301</v>
      </c>
      <c r="K787" s="27">
        <v>4305</v>
      </c>
      <c r="L787" s="179">
        <v>927</v>
      </c>
      <c r="M787" s="178" t="s">
        <v>1304</v>
      </c>
      <c r="N787" s="27" t="s">
        <v>1301</v>
      </c>
      <c r="O787" s="182" t="s">
        <v>1305</v>
      </c>
    </row>
    <row r="788" spans="2:15">
      <c r="B788" s="174" t="s">
        <v>2017</v>
      </c>
      <c r="C788" s="175" t="s">
        <v>1300</v>
      </c>
      <c r="D788" s="176" t="s">
        <v>1301</v>
      </c>
      <c r="E788" s="177" t="s">
        <v>2018</v>
      </c>
      <c r="F788" s="175">
        <f t="shared" si="25"/>
        <v>7</v>
      </c>
      <c r="G788" s="175" t="str">
        <f t="shared" si="26"/>
        <v>Globe</v>
      </c>
      <c r="H788" s="175"/>
      <c r="I788" s="178" t="s">
        <v>1398</v>
      </c>
      <c r="J788" s="27" t="s">
        <v>1301</v>
      </c>
      <c r="K788" s="27">
        <v>2954</v>
      </c>
      <c r="L788" s="179">
        <v>1678</v>
      </c>
      <c r="M788" s="178" t="s">
        <v>1399</v>
      </c>
      <c r="N788" s="27" t="s">
        <v>1301</v>
      </c>
      <c r="O788" s="182" t="s">
        <v>1400</v>
      </c>
    </row>
    <row r="789" spans="2:15">
      <c r="B789" s="174" t="s">
        <v>2229</v>
      </c>
      <c r="C789" s="175" t="s">
        <v>1300</v>
      </c>
      <c r="D789" s="176" t="s">
        <v>1301</v>
      </c>
      <c r="E789" s="177" t="s">
        <v>2230</v>
      </c>
      <c r="F789" s="175">
        <f t="shared" si="25"/>
        <v>22</v>
      </c>
      <c r="G789" s="175" t="str">
        <f t="shared" si="26"/>
        <v>Sierra Vista/Nogales</v>
      </c>
      <c r="H789" s="175"/>
      <c r="I789" s="178" t="s">
        <v>1398</v>
      </c>
      <c r="J789" s="27" t="s">
        <v>1301</v>
      </c>
      <c r="K789" s="27">
        <v>2954</v>
      </c>
      <c r="L789" s="179">
        <v>1678</v>
      </c>
      <c r="M789" s="178" t="s">
        <v>1399</v>
      </c>
      <c r="N789" s="27" t="s">
        <v>1301</v>
      </c>
      <c r="O789" s="182" t="s">
        <v>1400</v>
      </c>
    </row>
    <row r="790" spans="2:15">
      <c r="B790" s="174" t="s">
        <v>1755</v>
      </c>
      <c r="C790" s="175" t="s">
        <v>1300</v>
      </c>
      <c r="D790" s="176" t="s">
        <v>1301</v>
      </c>
      <c r="E790" s="177" t="s">
        <v>1756</v>
      </c>
      <c r="F790" s="175">
        <f t="shared" si="25"/>
        <v>8</v>
      </c>
      <c r="G790" s="175" t="str">
        <f t="shared" si="26"/>
        <v>Tucson</v>
      </c>
      <c r="H790" s="175"/>
      <c r="I790" s="178" t="s">
        <v>1398</v>
      </c>
      <c r="J790" s="27" t="s">
        <v>1301</v>
      </c>
      <c r="K790" s="27">
        <v>2954</v>
      </c>
      <c r="L790" s="179">
        <v>1678</v>
      </c>
      <c r="M790" s="178" t="s">
        <v>1399</v>
      </c>
      <c r="N790" s="27" t="s">
        <v>1301</v>
      </c>
      <c r="O790" s="182" t="s">
        <v>1400</v>
      </c>
    </row>
    <row r="791" spans="2:15">
      <c r="B791" s="174" t="s">
        <v>1286</v>
      </c>
      <c r="C791" s="175" t="s">
        <v>1300</v>
      </c>
      <c r="D791" s="176" t="s">
        <v>1301</v>
      </c>
      <c r="E791" s="177" t="s">
        <v>2225</v>
      </c>
      <c r="F791" s="175">
        <f t="shared" si="25"/>
        <v>10</v>
      </c>
      <c r="G791" s="175" t="str">
        <f t="shared" si="26"/>
        <v>Show Low</v>
      </c>
      <c r="H791" s="175"/>
      <c r="I791" s="178" t="s">
        <v>418</v>
      </c>
      <c r="J791" s="27" t="s">
        <v>416</v>
      </c>
      <c r="K791" s="27">
        <v>1244</v>
      </c>
      <c r="L791" s="179">
        <v>4425</v>
      </c>
      <c r="M791" s="180" t="s">
        <v>419</v>
      </c>
      <c r="N791" s="181" t="s">
        <v>416</v>
      </c>
      <c r="O791" s="182" t="s">
        <v>420</v>
      </c>
    </row>
    <row r="792" spans="2:15">
      <c r="B792" s="174" t="s">
        <v>1917</v>
      </c>
      <c r="C792" s="175" t="s">
        <v>1300</v>
      </c>
      <c r="D792" s="176" t="s">
        <v>1301</v>
      </c>
      <c r="E792" s="177" t="s">
        <v>1918</v>
      </c>
      <c r="F792" s="175">
        <f t="shared" si="25"/>
        <v>11</v>
      </c>
      <c r="G792" s="175" t="str">
        <f t="shared" si="26"/>
        <v>Flagstaff</v>
      </c>
      <c r="H792" s="175"/>
      <c r="I792" s="178" t="s">
        <v>1919</v>
      </c>
      <c r="J792" s="27" t="s">
        <v>1301</v>
      </c>
      <c r="K792" s="27">
        <v>145</v>
      </c>
      <c r="L792" s="179">
        <v>7131</v>
      </c>
      <c r="M792" s="178" t="s">
        <v>1920</v>
      </c>
      <c r="N792" s="27" t="s">
        <v>1301</v>
      </c>
      <c r="O792" s="182" t="s">
        <v>1921</v>
      </c>
    </row>
    <row r="793" spans="2:15">
      <c r="B793" s="174" t="s">
        <v>2467</v>
      </c>
      <c r="C793" s="175" t="s">
        <v>1300</v>
      </c>
      <c r="D793" s="176" t="s">
        <v>1301</v>
      </c>
      <c r="E793" s="177" t="s">
        <v>2468</v>
      </c>
      <c r="F793" s="175">
        <f t="shared" si="25"/>
        <v>10</v>
      </c>
      <c r="G793" s="175" t="str">
        <f t="shared" si="26"/>
        <v>Prescott</v>
      </c>
      <c r="H793" s="175"/>
      <c r="I793" s="178" t="s">
        <v>1919</v>
      </c>
      <c r="J793" s="27" t="s">
        <v>1301</v>
      </c>
      <c r="K793" s="27">
        <v>145</v>
      </c>
      <c r="L793" s="179">
        <v>7131</v>
      </c>
      <c r="M793" s="178" t="s">
        <v>1920</v>
      </c>
      <c r="N793" s="27" t="s">
        <v>1301</v>
      </c>
      <c r="O793" s="182" t="s">
        <v>1921</v>
      </c>
    </row>
    <row r="794" spans="2:15">
      <c r="B794" s="174" t="s">
        <v>909</v>
      </c>
      <c r="C794" s="175" t="s">
        <v>1300</v>
      </c>
      <c r="D794" s="176" t="s">
        <v>1301</v>
      </c>
      <c r="E794" s="177" t="s">
        <v>910</v>
      </c>
      <c r="F794" s="175">
        <f t="shared" si="25"/>
        <v>9</v>
      </c>
      <c r="G794" s="175" t="str">
        <f t="shared" si="26"/>
        <v>Kingman</v>
      </c>
      <c r="H794" s="175"/>
      <c r="I794" s="178" t="s">
        <v>911</v>
      </c>
      <c r="J794" s="27" t="s">
        <v>1391</v>
      </c>
      <c r="K794" s="27">
        <v>3201</v>
      </c>
      <c r="L794" s="179">
        <v>2407</v>
      </c>
      <c r="M794" s="180" t="s">
        <v>912</v>
      </c>
      <c r="N794" s="181" t="s">
        <v>1391</v>
      </c>
      <c r="O794" s="182" t="s">
        <v>913</v>
      </c>
    </row>
    <row r="795" spans="2:15">
      <c r="B795" s="174" t="s">
        <v>729</v>
      </c>
      <c r="C795" s="175" t="s">
        <v>1300</v>
      </c>
      <c r="D795" s="176" t="s">
        <v>1301</v>
      </c>
      <c r="E795" s="177" t="s">
        <v>730</v>
      </c>
      <c r="F795" s="175">
        <f t="shared" si="25"/>
        <v>13</v>
      </c>
      <c r="G795" s="175" t="str">
        <f t="shared" si="26"/>
        <v>Window Rock</v>
      </c>
      <c r="H795" s="175"/>
      <c r="I795" s="178" t="s">
        <v>1919</v>
      </c>
      <c r="J795" s="27" t="s">
        <v>1301</v>
      </c>
      <c r="K795" s="27">
        <v>145</v>
      </c>
      <c r="L795" s="179">
        <v>7131</v>
      </c>
      <c r="M795" s="178" t="s">
        <v>1920</v>
      </c>
      <c r="N795" s="27" t="s">
        <v>1301</v>
      </c>
      <c r="O795" s="182" t="s">
        <v>1921</v>
      </c>
    </row>
    <row r="796" spans="2:15">
      <c r="B796" s="174" t="s">
        <v>1412</v>
      </c>
      <c r="C796" s="175" t="s">
        <v>415</v>
      </c>
      <c r="D796" s="176" t="s">
        <v>416</v>
      </c>
      <c r="E796" s="177" t="s">
        <v>1413</v>
      </c>
      <c r="F796" s="175">
        <f t="shared" si="25"/>
        <v>12</v>
      </c>
      <c r="G796" s="175" t="str">
        <f t="shared" si="26"/>
        <v>Bernalillo</v>
      </c>
      <c r="H796" s="175"/>
      <c r="I796" s="178" t="s">
        <v>418</v>
      </c>
      <c r="J796" s="27" t="s">
        <v>416</v>
      </c>
      <c r="K796" s="27">
        <v>1244</v>
      </c>
      <c r="L796" s="179">
        <v>4425</v>
      </c>
      <c r="M796" s="180" t="s">
        <v>419</v>
      </c>
      <c r="N796" s="181" t="s">
        <v>416</v>
      </c>
      <c r="O796" s="182" t="s">
        <v>420</v>
      </c>
    </row>
    <row r="797" spans="2:15">
      <c r="B797" s="174" t="s">
        <v>414</v>
      </c>
      <c r="C797" s="175" t="s">
        <v>415</v>
      </c>
      <c r="D797" s="176" t="s">
        <v>416</v>
      </c>
      <c r="E797" s="177" t="s">
        <v>417</v>
      </c>
      <c r="F797" s="175">
        <f t="shared" si="25"/>
        <v>13</v>
      </c>
      <c r="G797" s="175" t="str">
        <f t="shared" si="26"/>
        <v>Albuquerque</v>
      </c>
      <c r="H797" s="175"/>
      <c r="I797" s="178" t="s">
        <v>418</v>
      </c>
      <c r="J797" s="27" t="s">
        <v>416</v>
      </c>
      <c r="K797" s="27">
        <v>1244</v>
      </c>
      <c r="L797" s="179">
        <v>4425</v>
      </c>
      <c r="M797" s="180" t="s">
        <v>419</v>
      </c>
      <c r="N797" s="181" t="s">
        <v>416</v>
      </c>
      <c r="O797" s="182" t="s">
        <v>420</v>
      </c>
    </row>
    <row r="798" spans="2:15">
      <c r="B798" s="174" t="s">
        <v>421</v>
      </c>
      <c r="C798" s="175" t="s">
        <v>415</v>
      </c>
      <c r="D798" s="176" t="s">
        <v>416</v>
      </c>
      <c r="E798" s="177" t="s">
        <v>417</v>
      </c>
      <c r="F798" s="175">
        <f t="shared" si="25"/>
        <v>13</v>
      </c>
      <c r="G798" s="175" t="str">
        <f t="shared" si="26"/>
        <v>Albuquerque</v>
      </c>
      <c r="H798" s="175"/>
      <c r="I798" s="178" t="s">
        <v>418</v>
      </c>
      <c r="J798" s="27" t="s">
        <v>416</v>
      </c>
      <c r="K798" s="27">
        <v>1244</v>
      </c>
      <c r="L798" s="179">
        <v>4425</v>
      </c>
      <c r="M798" s="180" t="s">
        <v>419</v>
      </c>
      <c r="N798" s="181" t="s">
        <v>416</v>
      </c>
      <c r="O798" s="182" t="s">
        <v>420</v>
      </c>
    </row>
    <row r="799" spans="2:15">
      <c r="B799" s="174" t="s">
        <v>1992</v>
      </c>
      <c r="C799" s="175" t="s">
        <v>415</v>
      </c>
      <c r="D799" s="176" t="s">
        <v>416</v>
      </c>
      <c r="E799" s="177" t="s">
        <v>1993</v>
      </c>
      <c r="F799" s="175">
        <f t="shared" si="25"/>
        <v>8</v>
      </c>
      <c r="G799" s="175" t="str">
        <f t="shared" si="26"/>
        <v>Gallup</v>
      </c>
      <c r="H799" s="175"/>
      <c r="I799" s="178" t="s">
        <v>418</v>
      </c>
      <c r="J799" s="27" t="s">
        <v>416</v>
      </c>
      <c r="K799" s="27">
        <v>1244</v>
      </c>
      <c r="L799" s="179">
        <v>4425</v>
      </c>
      <c r="M799" s="180" t="s">
        <v>419</v>
      </c>
      <c r="N799" s="181" t="s">
        <v>416</v>
      </c>
      <c r="O799" s="182" t="s">
        <v>420</v>
      </c>
    </row>
    <row r="800" spans="2:15">
      <c r="B800" s="174" t="s">
        <v>1908</v>
      </c>
      <c r="C800" s="175" t="s">
        <v>415</v>
      </c>
      <c r="D800" s="176" t="s">
        <v>416</v>
      </c>
      <c r="E800" s="177" t="s">
        <v>1909</v>
      </c>
      <c r="F800" s="175">
        <f t="shared" si="25"/>
        <v>12</v>
      </c>
      <c r="G800" s="175" t="str">
        <f t="shared" si="26"/>
        <v>Farmington</v>
      </c>
      <c r="H800" s="175"/>
      <c r="I800" s="178" t="s">
        <v>1743</v>
      </c>
      <c r="J800" s="27" t="s">
        <v>394</v>
      </c>
      <c r="K800" s="27">
        <v>1183</v>
      </c>
      <c r="L800" s="179">
        <v>5548</v>
      </c>
      <c r="M800" s="178" t="s">
        <v>1744</v>
      </c>
      <c r="N800" s="27" t="s">
        <v>394</v>
      </c>
      <c r="O800" s="182" t="s">
        <v>1745</v>
      </c>
    </row>
    <row r="801" spans="2:15">
      <c r="B801" s="174" t="s">
        <v>1006</v>
      </c>
      <c r="C801" s="175" t="s">
        <v>415</v>
      </c>
      <c r="D801" s="176" t="s">
        <v>416</v>
      </c>
      <c r="E801" s="177" t="s">
        <v>1007</v>
      </c>
      <c r="F801" s="175">
        <f t="shared" si="25"/>
        <v>10</v>
      </c>
      <c r="G801" s="175" t="str">
        <f t="shared" si="26"/>
        <v>Santa Fe</v>
      </c>
      <c r="H801" s="175"/>
      <c r="I801" s="178" t="s">
        <v>418</v>
      </c>
      <c r="J801" s="27" t="s">
        <v>416</v>
      </c>
      <c r="K801" s="27">
        <v>1244</v>
      </c>
      <c r="L801" s="179">
        <v>4425</v>
      </c>
      <c r="M801" s="180" t="s">
        <v>1008</v>
      </c>
      <c r="N801" s="181" t="s">
        <v>416</v>
      </c>
      <c r="O801" s="182" t="s">
        <v>1009</v>
      </c>
    </row>
    <row r="802" spans="2:15">
      <c r="B802" s="174" t="s">
        <v>969</v>
      </c>
      <c r="C802" s="175" t="s">
        <v>415</v>
      </c>
      <c r="D802" s="176" t="s">
        <v>416</v>
      </c>
      <c r="E802" s="177" t="s">
        <v>970</v>
      </c>
      <c r="F802" s="175">
        <f t="shared" si="25"/>
        <v>11</v>
      </c>
      <c r="G802" s="175" t="str">
        <f t="shared" si="26"/>
        <v>Las Vegas</v>
      </c>
      <c r="H802" s="175"/>
      <c r="I802" s="178" t="s">
        <v>2089</v>
      </c>
      <c r="J802" s="27" t="s">
        <v>394</v>
      </c>
      <c r="K802" s="27">
        <v>973</v>
      </c>
      <c r="L802" s="179">
        <v>5413</v>
      </c>
      <c r="M802" s="180" t="s">
        <v>2090</v>
      </c>
      <c r="N802" s="181" t="s">
        <v>394</v>
      </c>
      <c r="O802" s="182" t="s">
        <v>2091</v>
      </c>
    </row>
    <row r="803" spans="2:15">
      <c r="B803" s="174" t="s">
        <v>2243</v>
      </c>
      <c r="C803" s="175" t="s">
        <v>415</v>
      </c>
      <c r="D803" s="176" t="s">
        <v>416</v>
      </c>
      <c r="E803" s="177" t="s">
        <v>2244</v>
      </c>
      <c r="F803" s="175">
        <f t="shared" si="25"/>
        <v>9</v>
      </c>
      <c r="G803" s="175" t="str">
        <f t="shared" si="26"/>
        <v>Socorro</v>
      </c>
      <c r="H803" s="175"/>
      <c r="I803" s="178" t="s">
        <v>418</v>
      </c>
      <c r="J803" s="27" t="s">
        <v>416</v>
      </c>
      <c r="K803" s="27">
        <v>1244</v>
      </c>
      <c r="L803" s="179">
        <v>4425</v>
      </c>
      <c r="M803" s="180" t="s">
        <v>419</v>
      </c>
      <c r="N803" s="181" t="s">
        <v>416</v>
      </c>
      <c r="O803" s="182" t="s">
        <v>420</v>
      </c>
    </row>
    <row r="804" spans="2:15">
      <c r="B804" s="174" t="s">
        <v>1753</v>
      </c>
      <c r="C804" s="175" t="s">
        <v>415</v>
      </c>
      <c r="D804" s="176" t="s">
        <v>416</v>
      </c>
      <c r="E804" s="177" t="s">
        <v>1754</v>
      </c>
      <c r="F804" s="175">
        <f t="shared" si="25"/>
        <v>18</v>
      </c>
      <c r="G804" s="175" t="str">
        <f t="shared" si="26"/>
        <v>Truth or Conseq.</v>
      </c>
      <c r="H804" s="175"/>
      <c r="I804" s="178" t="s">
        <v>53</v>
      </c>
      <c r="J804" s="27" t="s">
        <v>255</v>
      </c>
      <c r="K804" s="27">
        <v>2094</v>
      </c>
      <c r="L804" s="179">
        <v>2708</v>
      </c>
      <c r="M804" s="180" t="s">
        <v>50</v>
      </c>
      <c r="N804" s="181" t="s">
        <v>255</v>
      </c>
      <c r="O804" s="182" t="s">
        <v>51</v>
      </c>
    </row>
    <row r="805" spans="2:15">
      <c r="B805" s="174" t="s">
        <v>967</v>
      </c>
      <c r="C805" s="175" t="s">
        <v>415</v>
      </c>
      <c r="D805" s="176" t="s">
        <v>416</v>
      </c>
      <c r="E805" s="177" t="s">
        <v>968</v>
      </c>
      <c r="F805" s="175">
        <f t="shared" si="25"/>
        <v>12</v>
      </c>
      <c r="G805" s="175" t="str">
        <f t="shared" si="26"/>
        <v>Las Cruces</v>
      </c>
      <c r="H805" s="175"/>
      <c r="I805" s="178" t="s">
        <v>53</v>
      </c>
      <c r="J805" s="27" t="s">
        <v>255</v>
      </c>
      <c r="K805" s="27">
        <v>2094</v>
      </c>
      <c r="L805" s="179">
        <v>2708</v>
      </c>
      <c r="M805" s="180" t="s">
        <v>50</v>
      </c>
      <c r="N805" s="181" t="s">
        <v>255</v>
      </c>
      <c r="O805" s="182" t="s">
        <v>51</v>
      </c>
    </row>
    <row r="806" spans="2:15">
      <c r="B806" s="174" t="s">
        <v>691</v>
      </c>
      <c r="C806" s="175" t="s">
        <v>415</v>
      </c>
      <c r="D806" s="176" t="s">
        <v>416</v>
      </c>
      <c r="E806" s="177" t="s">
        <v>692</v>
      </c>
      <c r="F806" s="175">
        <f t="shared" si="25"/>
        <v>8</v>
      </c>
      <c r="G806" s="175" t="str">
        <f t="shared" si="26"/>
        <v>Clovis</v>
      </c>
      <c r="H806" s="175"/>
      <c r="I806" s="178" t="s">
        <v>693</v>
      </c>
      <c r="J806" s="27" t="s">
        <v>416</v>
      </c>
      <c r="K806" s="27">
        <v>772</v>
      </c>
      <c r="L806" s="179">
        <v>5064</v>
      </c>
      <c r="M806" s="180" t="s">
        <v>271</v>
      </c>
      <c r="N806" s="181" t="s">
        <v>255</v>
      </c>
      <c r="O806" s="182" t="s">
        <v>272</v>
      </c>
    </row>
    <row r="807" spans="2:15">
      <c r="B807" s="174" t="s">
        <v>317</v>
      </c>
      <c r="C807" s="175" t="s">
        <v>415</v>
      </c>
      <c r="D807" s="176" t="s">
        <v>416</v>
      </c>
      <c r="E807" s="177" t="s">
        <v>318</v>
      </c>
      <c r="F807" s="175">
        <f t="shared" si="25"/>
        <v>9</v>
      </c>
      <c r="G807" s="175" t="str">
        <f t="shared" si="26"/>
        <v>Roswell</v>
      </c>
      <c r="H807" s="175"/>
      <c r="I807" s="178" t="s">
        <v>319</v>
      </c>
      <c r="J807" s="27" t="s">
        <v>416</v>
      </c>
      <c r="K807" s="27">
        <v>1776</v>
      </c>
      <c r="L807" s="179">
        <v>3267</v>
      </c>
      <c r="M807" s="180" t="s">
        <v>2366</v>
      </c>
      <c r="N807" s="181" t="s">
        <v>255</v>
      </c>
      <c r="O807" s="182" t="s">
        <v>2367</v>
      </c>
    </row>
    <row r="808" spans="2:15">
      <c r="B808" s="174" t="s">
        <v>1382</v>
      </c>
      <c r="C808" s="175" t="s">
        <v>415</v>
      </c>
      <c r="D808" s="176" t="s">
        <v>416</v>
      </c>
      <c r="E808" s="177" t="s">
        <v>1383</v>
      </c>
      <c r="F808" s="175">
        <f t="shared" si="25"/>
        <v>11</v>
      </c>
      <c r="G808" s="175" t="str">
        <f t="shared" si="26"/>
        <v>Carrizozo</v>
      </c>
      <c r="H808" s="175"/>
      <c r="I808" s="178" t="s">
        <v>418</v>
      </c>
      <c r="J808" s="27" t="s">
        <v>416</v>
      </c>
      <c r="K808" s="27">
        <v>1244</v>
      </c>
      <c r="L808" s="179">
        <v>4425</v>
      </c>
      <c r="M808" s="180" t="s">
        <v>419</v>
      </c>
      <c r="N808" s="181" t="s">
        <v>416</v>
      </c>
      <c r="O808" s="182" t="s">
        <v>420</v>
      </c>
    </row>
    <row r="809" spans="2:15">
      <c r="B809" s="174" t="s">
        <v>1757</v>
      </c>
      <c r="C809" s="175" t="s">
        <v>415</v>
      </c>
      <c r="D809" s="176" t="s">
        <v>416</v>
      </c>
      <c r="E809" s="177" t="s">
        <v>1758</v>
      </c>
      <c r="F809" s="175">
        <f t="shared" si="25"/>
        <v>11</v>
      </c>
      <c r="G809" s="175" t="str">
        <f t="shared" si="26"/>
        <v>Tucumcari</v>
      </c>
      <c r="H809" s="175"/>
      <c r="I809" s="178" t="s">
        <v>693</v>
      </c>
      <c r="J809" s="27" t="s">
        <v>416</v>
      </c>
      <c r="K809" s="27">
        <v>772</v>
      </c>
      <c r="L809" s="179">
        <v>5064</v>
      </c>
      <c r="M809" s="180" t="s">
        <v>271</v>
      </c>
      <c r="N809" s="181" t="s">
        <v>255</v>
      </c>
      <c r="O809" s="182" t="s">
        <v>272</v>
      </c>
    </row>
    <row r="810" spans="2:15">
      <c r="B810" s="174" t="s">
        <v>861</v>
      </c>
      <c r="C810" s="175" t="s">
        <v>1390</v>
      </c>
      <c r="D810" s="176" t="s">
        <v>1391</v>
      </c>
      <c r="E810" s="177" t="s">
        <v>862</v>
      </c>
      <c r="F810" s="175">
        <f t="shared" si="25"/>
        <v>9</v>
      </c>
      <c r="G810" s="175" t="str">
        <f t="shared" si="26"/>
        <v>Tonopah</v>
      </c>
      <c r="H810" s="175"/>
      <c r="I810" s="178" t="s">
        <v>1218</v>
      </c>
      <c r="J810" s="27" t="s">
        <v>1188</v>
      </c>
      <c r="K810" s="27">
        <v>647</v>
      </c>
      <c r="L810" s="179">
        <v>6511</v>
      </c>
      <c r="M810" s="180" t="s">
        <v>912</v>
      </c>
      <c r="N810" s="181" t="s">
        <v>1391</v>
      </c>
      <c r="O810" s="182" t="s">
        <v>913</v>
      </c>
    </row>
    <row r="811" spans="2:15">
      <c r="B811" s="174" t="s">
        <v>2092</v>
      </c>
      <c r="C811" s="175" t="s">
        <v>1390</v>
      </c>
      <c r="D811" s="176" t="s">
        <v>1391</v>
      </c>
      <c r="E811" s="177" t="s">
        <v>970</v>
      </c>
      <c r="F811" s="175">
        <f t="shared" si="25"/>
        <v>11</v>
      </c>
      <c r="G811" s="175" t="str">
        <f t="shared" si="26"/>
        <v>Las Vegas</v>
      </c>
      <c r="H811" s="175"/>
      <c r="I811" s="178" t="s">
        <v>911</v>
      </c>
      <c r="J811" s="27" t="s">
        <v>1391</v>
      </c>
      <c r="K811" s="27">
        <v>3201</v>
      </c>
      <c r="L811" s="179">
        <v>2407</v>
      </c>
      <c r="M811" s="180" t="s">
        <v>912</v>
      </c>
      <c r="N811" s="181" t="s">
        <v>1391</v>
      </c>
      <c r="O811" s="182" t="s">
        <v>913</v>
      </c>
    </row>
    <row r="812" spans="2:15">
      <c r="B812" s="174" t="s">
        <v>1037</v>
      </c>
      <c r="C812" s="175" t="s">
        <v>1390</v>
      </c>
      <c r="D812" s="176" t="s">
        <v>1391</v>
      </c>
      <c r="E812" s="177" t="s">
        <v>1038</v>
      </c>
      <c r="F812" s="175">
        <f t="shared" si="25"/>
        <v>5</v>
      </c>
      <c r="G812" s="175" t="str">
        <f t="shared" si="26"/>
        <v>Ely</v>
      </c>
      <c r="H812" s="175"/>
      <c r="I812" s="178" t="s">
        <v>1039</v>
      </c>
      <c r="J812" s="27" t="s">
        <v>1391</v>
      </c>
      <c r="K812" s="27">
        <v>208</v>
      </c>
      <c r="L812" s="179">
        <v>7621</v>
      </c>
      <c r="M812" s="180" t="s">
        <v>1394</v>
      </c>
      <c r="N812" s="181" t="s">
        <v>1391</v>
      </c>
      <c r="O812" s="182" t="s">
        <v>1395</v>
      </c>
    </row>
    <row r="813" spans="2:15">
      <c r="B813" s="174" t="s">
        <v>2500</v>
      </c>
      <c r="C813" s="175" t="s">
        <v>1390</v>
      </c>
      <c r="D813" s="176" t="s">
        <v>1391</v>
      </c>
      <c r="E813" s="177" t="s">
        <v>2501</v>
      </c>
      <c r="F813" s="175">
        <f t="shared" si="25"/>
        <v>6</v>
      </c>
      <c r="G813" s="175" t="str">
        <f t="shared" si="26"/>
        <v>Reno</v>
      </c>
      <c r="H813" s="175"/>
      <c r="I813" s="178" t="s">
        <v>1393</v>
      </c>
      <c r="J813" s="27" t="s">
        <v>1391</v>
      </c>
      <c r="K813" s="27">
        <v>508</v>
      </c>
      <c r="L813" s="179">
        <v>5674</v>
      </c>
      <c r="M813" s="180" t="s">
        <v>1394</v>
      </c>
      <c r="N813" s="181" t="s">
        <v>1391</v>
      </c>
      <c r="O813" s="182" t="s">
        <v>1395</v>
      </c>
    </row>
    <row r="814" spans="2:15">
      <c r="B814" s="174" t="s">
        <v>2502</v>
      </c>
      <c r="C814" s="175" t="s">
        <v>1390</v>
      </c>
      <c r="D814" s="176" t="s">
        <v>1391</v>
      </c>
      <c r="E814" s="177" t="s">
        <v>2501</v>
      </c>
      <c r="F814" s="175">
        <f t="shared" si="25"/>
        <v>6</v>
      </c>
      <c r="G814" s="175" t="str">
        <f t="shared" si="26"/>
        <v>Reno</v>
      </c>
      <c r="H814" s="175"/>
      <c r="I814" s="178" t="s">
        <v>1393</v>
      </c>
      <c r="J814" s="27" t="s">
        <v>1391</v>
      </c>
      <c r="K814" s="27">
        <v>508</v>
      </c>
      <c r="L814" s="179">
        <v>5674</v>
      </c>
      <c r="M814" s="180" t="s">
        <v>1394</v>
      </c>
      <c r="N814" s="181" t="s">
        <v>1391</v>
      </c>
      <c r="O814" s="182" t="s">
        <v>1395</v>
      </c>
    </row>
    <row r="815" spans="2:15">
      <c r="B815" s="174" t="s">
        <v>2503</v>
      </c>
      <c r="C815" s="175" t="s">
        <v>1390</v>
      </c>
      <c r="D815" s="176" t="s">
        <v>1391</v>
      </c>
      <c r="E815" s="177" t="s">
        <v>2501</v>
      </c>
      <c r="F815" s="175">
        <f t="shared" si="25"/>
        <v>6</v>
      </c>
      <c r="G815" s="175" t="str">
        <f t="shared" si="26"/>
        <v>Reno</v>
      </c>
      <c r="H815" s="175"/>
      <c r="I815" s="178" t="s">
        <v>1393</v>
      </c>
      <c r="J815" s="27" t="s">
        <v>1391</v>
      </c>
      <c r="K815" s="27">
        <v>508</v>
      </c>
      <c r="L815" s="179">
        <v>5674</v>
      </c>
      <c r="M815" s="180" t="s">
        <v>1394</v>
      </c>
      <c r="N815" s="181" t="s">
        <v>1391</v>
      </c>
      <c r="O815" s="182" t="s">
        <v>1395</v>
      </c>
    </row>
    <row r="816" spans="2:15">
      <c r="B816" s="174" t="s">
        <v>1389</v>
      </c>
      <c r="C816" s="175" t="s">
        <v>1390</v>
      </c>
      <c r="D816" s="176" t="s">
        <v>1391</v>
      </c>
      <c r="E816" s="177" t="s">
        <v>1392</v>
      </c>
      <c r="F816" s="175">
        <f t="shared" si="25"/>
        <v>13</v>
      </c>
      <c r="G816" s="175" t="str">
        <f t="shared" si="26"/>
        <v>Carson City</v>
      </c>
      <c r="H816" s="175"/>
      <c r="I816" s="178" t="s">
        <v>1393</v>
      </c>
      <c r="J816" s="27" t="s">
        <v>1391</v>
      </c>
      <c r="K816" s="27">
        <v>508</v>
      </c>
      <c r="L816" s="179">
        <v>5674</v>
      </c>
      <c r="M816" s="180" t="s">
        <v>1394</v>
      </c>
      <c r="N816" s="181" t="s">
        <v>1391</v>
      </c>
      <c r="O816" s="182" t="s">
        <v>1395</v>
      </c>
    </row>
    <row r="817" spans="2:15">
      <c r="B817" s="174" t="s">
        <v>66</v>
      </c>
      <c r="C817" s="175" t="s">
        <v>1390</v>
      </c>
      <c r="D817" s="176" t="s">
        <v>1391</v>
      </c>
      <c r="E817" s="177" t="s">
        <v>67</v>
      </c>
      <c r="F817" s="175">
        <f t="shared" si="25"/>
        <v>6</v>
      </c>
      <c r="G817" s="175" t="str">
        <f t="shared" si="26"/>
        <v>Elko</v>
      </c>
      <c r="H817" s="175"/>
      <c r="I817" s="178" t="s">
        <v>1025</v>
      </c>
      <c r="J817" s="27" t="s">
        <v>1391</v>
      </c>
      <c r="K817" s="27">
        <v>457</v>
      </c>
      <c r="L817" s="179">
        <v>7077</v>
      </c>
      <c r="M817" s="180" t="s">
        <v>1394</v>
      </c>
      <c r="N817" s="181" t="s">
        <v>1391</v>
      </c>
      <c r="O817" s="182" t="s">
        <v>1395</v>
      </c>
    </row>
    <row r="818" spans="2:15">
      <c r="B818" s="174" t="s">
        <v>2136</v>
      </c>
      <c r="C818" s="175" t="s">
        <v>433</v>
      </c>
      <c r="D818" s="176" t="s">
        <v>434</v>
      </c>
      <c r="E818" s="177" t="s">
        <v>2137</v>
      </c>
      <c r="F818" s="175">
        <f t="shared" si="25"/>
        <v>13</v>
      </c>
      <c r="G818" s="175" t="str">
        <f t="shared" si="26"/>
        <v>Los Angeles</v>
      </c>
      <c r="H818" s="175"/>
      <c r="I818" s="178" t="s">
        <v>89</v>
      </c>
      <c r="J818" s="27" t="s">
        <v>434</v>
      </c>
      <c r="K818" s="27">
        <v>727</v>
      </c>
      <c r="L818" s="179">
        <v>1458</v>
      </c>
      <c r="M818" s="178" t="s">
        <v>437</v>
      </c>
      <c r="N818" s="27" t="s">
        <v>434</v>
      </c>
      <c r="O818" s="182" t="s">
        <v>438</v>
      </c>
    </row>
    <row r="819" spans="2:15">
      <c r="B819" s="174" t="s">
        <v>2138</v>
      </c>
      <c r="C819" s="175" t="s">
        <v>433</v>
      </c>
      <c r="D819" s="176" t="s">
        <v>434</v>
      </c>
      <c r="E819" s="177" t="s">
        <v>2137</v>
      </c>
      <c r="F819" s="175">
        <f t="shared" si="25"/>
        <v>13</v>
      </c>
      <c r="G819" s="175" t="str">
        <f t="shared" si="26"/>
        <v>Los Angeles</v>
      </c>
      <c r="H819" s="175"/>
      <c r="I819" s="178" t="s">
        <v>89</v>
      </c>
      <c r="J819" s="27" t="s">
        <v>434</v>
      </c>
      <c r="K819" s="27">
        <v>727</v>
      </c>
      <c r="L819" s="179">
        <v>1458</v>
      </c>
      <c r="M819" s="178" t="s">
        <v>437</v>
      </c>
      <c r="N819" s="27" t="s">
        <v>434</v>
      </c>
      <c r="O819" s="182" t="s">
        <v>438</v>
      </c>
    </row>
    <row r="820" spans="2:15">
      <c r="B820" s="174" t="s">
        <v>2139</v>
      </c>
      <c r="C820" s="175" t="s">
        <v>433</v>
      </c>
      <c r="D820" s="176" t="s">
        <v>434</v>
      </c>
      <c r="E820" s="177" t="s">
        <v>2137</v>
      </c>
      <c r="F820" s="175">
        <f t="shared" si="25"/>
        <v>13</v>
      </c>
      <c r="G820" s="175" t="str">
        <f t="shared" si="26"/>
        <v>Los Angeles</v>
      </c>
      <c r="H820" s="175"/>
      <c r="I820" s="178" t="s">
        <v>89</v>
      </c>
      <c r="J820" s="27" t="s">
        <v>434</v>
      </c>
      <c r="K820" s="27">
        <v>727</v>
      </c>
      <c r="L820" s="179">
        <v>1458</v>
      </c>
      <c r="M820" s="178" t="s">
        <v>437</v>
      </c>
      <c r="N820" s="27" t="s">
        <v>434</v>
      </c>
      <c r="O820" s="182" t="s">
        <v>438</v>
      </c>
    </row>
    <row r="821" spans="2:15">
      <c r="B821" s="174" t="s">
        <v>87</v>
      </c>
      <c r="C821" s="175" t="s">
        <v>433</v>
      </c>
      <c r="D821" s="176" t="s">
        <v>434</v>
      </c>
      <c r="E821" s="177" t="s">
        <v>88</v>
      </c>
      <c r="F821" s="175">
        <f t="shared" si="25"/>
        <v>11</v>
      </c>
      <c r="G821" s="175" t="str">
        <f t="shared" si="26"/>
        <v>Inglewood</v>
      </c>
      <c r="H821" s="175"/>
      <c r="I821" s="178" t="s">
        <v>89</v>
      </c>
      <c r="J821" s="27" t="s">
        <v>434</v>
      </c>
      <c r="K821" s="27">
        <v>727</v>
      </c>
      <c r="L821" s="179">
        <v>1458</v>
      </c>
      <c r="M821" s="178" t="s">
        <v>437</v>
      </c>
      <c r="N821" s="27" t="s">
        <v>434</v>
      </c>
      <c r="O821" s="182" t="s">
        <v>438</v>
      </c>
    </row>
    <row r="822" spans="2:15">
      <c r="B822" s="174" t="s">
        <v>1010</v>
      </c>
      <c r="C822" s="175" t="s">
        <v>433</v>
      </c>
      <c r="D822" s="176" t="s">
        <v>434</v>
      </c>
      <c r="E822" s="177" t="s">
        <v>1011</v>
      </c>
      <c r="F822" s="175">
        <f t="shared" si="25"/>
        <v>14</v>
      </c>
      <c r="G822" s="175" t="str">
        <f t="shared" si="26"/>
        <v>Santa Monica</v>
      </c>
      <c r="H822" s="175"/>
      <c r="I822" s="178" t="s">
        <v>89</v>
      </c>
      <c r="J822" s="27" t="s">
        <v>434</v>
      </c>
      <c r="K822" s="27">
        <v>727</v>
      </c>
      <c r="L822" s="179">
        <v>1458</v>
      </c>
      <c r="M822" s="178" t="s">
        <v>437</v>
      </c>
      <c r="N822" s="27" t="s">
        <v>434</v>
      </c>
      <c r="O822" s="182" t="s">
        <v>438</v>
      </c>
    </row>
    <row r="823" spans="2:15">
      <c r="B823" s="174" t="s">
        <v>867</v>
      </c>
      <c r="C823" s="175" t="s">
        <v>433</v>
      </c>
      <c r="D823" s="176" t="s">
        <v>434</v>
      </c>
      <c r="E823" s="177" t="s">
        <v>868</v>
      </c>
      <c r="F823" s="175">
        <f t="shared" si="25"/>
        <v>10</v>
      </c>
      <c r="G823" s="175" t="str">
        <f t="shared" si="26"/>
        <v>Torrance</v>
      </c>
      <c r="H823" s="175"/>
      <c r="I823" s="178" t="s">
        <v>462</v>
      </c>
      <c r="J823" s="27" t="s">
        <v>434</v>
      </c>
      <c r="K823" s="27">
        <v>1201</v>
      </c>
      <c r="L823" s="179">
        <v>1430</v>
      </c>
      <c r="M823" s="178" t="s">
        <v>437</v>
      </c>
      <c r="N823" s="27" t="s">
        <v>434</v>
      </c>
      <c r="O823" s="182" t="s">
        <v>438</v>
      </c>
    </row>
    <row r="824" spans="2:15">
      <c r="B824" s="174" t="s">
        <v>1849</v>
      </c>
      <c r="C824" s="175" t="s">
        <v>433</v>
      </c>
      <c r="D824" s="176" t="s">
        <v>434</v>
      </c>
      <c r="E824" s="177" t="s">
        <v>702</v>
      </c>
      <c r="F824" s="175">
        <f t="shared" si="25"/>
        <v>10</v>
      </c>
      <c r="G824" s="175" t="str">
        <f t="shared" si="26"/>
        <v>Whittier</v>
      </c>
      <c r="H824" s="175"/>
      <c r="I824" s="178" t="s">
        <v>462</v>
      </c>
      <c r="J824" s="27" t="s">
        <v>434</v>
      </c>
      <c r="K824" s="27">
        <v>1201</v>
      </c>
      <c r="L824" s="179">
        <v>1430</v>
      </c>
      <c r="M824" s="178" t="s">
        <v>437</v>
      </c>
      <c r="N824" s="27" t="s">
        <v>434</v>
      </c>
      <c r="O824" s="182" t="s">
        <v>438</v>
      </c>
    </row>
    <row r="825" spans="2:15">
      <c r="B825" s="174" t="s">
        <v>996</v>
      </c>
      <c r="C825" s="175" t="s">
        <v>433</v>
      </c>
      <c r="D825" s="176" t="s">
        <v>434</v>
      </c>
      <c r="E825" s="177" t="s">
        <v>997</v>
      </c>
      <c r="F825" s="175">
        <f t="shared" si="25"/>
        <v>11</v>
      </c>
      <c r="G825" s="175" t="str">
        <f t="shared" si="26"/>
        <v>San Pedro</v>
      </c>
      <c r="H825" s="175"/>
      <c r="I825" s="178" t="s">
        <v>462</v>
      </c>
      <c r="J825" s="27" t="s">
        <v>434</v>
      </c>
      <c r="K825" s="27">
        <v>1201</v>
      </c>
      <c r="L825" s="179">
        <v>1430</v>
      </c>
      <c r="M825" s="178" t="s">
        <v>437</v>
      </c>
      <c r="N825" s="27" t="s">
        <v>434</v>
      </c>
      <c r="O825" s="182" t="s">
        <v>438</v>
      </c>
    </row>
    <row r="826" spans="2:15">
      <c r="B826" s="174" t="s">
        <v>2130</v>
      </c>
      <c r="C826" s="175" t="s">
        <v>433</v>
      </c>
      <c r="D826" s="176" t="s">
        <v>434</v>
      </c>
      <c r="E826" s="177" t="s">
        <v>2131</v>
      </c>
      <c r="F826" s="175">
        <f t="shared" si="25"/>
        <v>12</v>
      </c>
      <c r="G826" s="175" t="str">
        <f t="shared" si="26"/>
        <v>Long Beach</v>
      </c>
      <c r="H826" s="175"/>
      <c r="I826" s="178" t="s">
        <v>462</v>
      </c>
      <c r="J826" s="27" t="s">
        <v>434</v>
      </c>
      <c r="K826" s="27">
        <v>1201</v>
      </c>
      <c r="L826" s="179">
        <v>1430</v>
      </c>
      <c r="M826" s="178" t="s">
        <v>437</v>
      </c>
      <c r="N826" s="27" t="s">
        <v>434</v>
      </c>
      <c r="O826" s="182" t="s">
        <v>438</v>
      </c>
    </row>
    <row r="827" spans="2:15">
      <c r="B827" s="174" t="s">
        <v>606</v>
      </c>
      <c r="C827" s="175" t="s">
        <v>433</v>
      </c>
      <c r="D827" s="176" t="s">
        <v>434</v>
      </c>
      <c r="E827" s="177" t="s">
        <v>607</v>
      </c>
      <c r="F827" s="175">
        <f t="shared" si="25"/>
        <v>10</v>
      </c>
      <c r="G827" s="175" t="str">
        <f t="shared" si="26"/>
        <v>Pasadena</v>
      </c>
      <c r="H827" s="175"/>
      <c r="I827" s="178" t="s">
        <v>436</v>
      </c>
      <c r="J827" s="27" t="s">
        <v>434</v>
      </c>
      <c r="K827" s="27">
        <v>1537</v>
      </c>
      <c r="L827" s="179">
        <v>1154</v>
      </c>
      <c r="M827" s="178" t="s">
        <v>437</v>
      </c>
      <c r="N827" s="27" t="s">
        <v>434</v>
      </c>
      <c r="O827" s="182" t="s">
        <v>438</v>
      </c>
    </row>
    <row r="828" spans="2:15">
      <c r="B828" s="174" t="s">
        <v>608</v>
      </c>
      <c r="C828" s="175" t="s">
        <v>433</v>
      </c>
      <c r="D828" s="176" t="s">
        <v>434</v>
      </c>
      <c r="E828" s="177" t="s">
        <v>607</v>
      </c>
      <c r="F828" s="175">
        <f t="shared" si="25"/>
        <v>10</v>
      </c>
      <c r="G828" s="175" t="str">
        <f t="shared" si="26"/>
        <v>Pasadena</v>
      </c>
      <c r="H828" s="175"/>
      <c r="I828" s="178" t="s">
        <v>436</v>
      </c>
      <c r="J828" s="27" t="s">
        <v>434</v>
      </c>
      <c r="K828" s="27">
        <v>1537</v>
      </c>
      <c r="L828" s="179">
        <v>1154</v>
      </c>
      <c r="M828" s="178" t="s">
        <v>437</v>
      </c>
      <c r="N828" s="27" t="s">
        <v>434</v>
      </c>
      <c r="O828" s="182" t="s">
        <v>438</v>
      </c>
    </row>
    <row r="829" spans="2:15">
      <c r="B829" s="174" t="s">
        <v>2011</v>
      </c>
      <c r="C829" s="175" t="s">
        <v>433</v>
      </c>
      <c r="D829" s="176" t="s">
        <v>434</v>
      </c>
      <c r="E829" s="177" t="s">
        <v>2012</v>
      </c>
      <c r="F829" s="175">
        <f t="shared" si="25"/>
        <v>10</v>
      </c>
      <c r="G829" s="175" t="str">
        <f t="shared" si="26"/>
        <v>Glendale</v>
      </c>
      <c r="H829" s="175"/>
      <c r="I829" s="178" t="s">
        <v>436</v>
      </c>
      <c r="J829" s="27" t="s">
        <v>434</v>
      </c>
      <c r="K829" s="27">
        <v>1537</v>
      </c>
      <c r="L829" s="179">
        <v>1154</v>
      </c>
      <c r="M829" s="178" t="s">
        <v>437</v>
      </c>
      <c r="N829" s="27" t="s">
        <v>434</v>
      </c>
      <c r="O829" s="182" t="s">
        <v>438</v>
      </c>
    </row>
    <row r="830" spans="2:15">
      <c r="B830" s="174" t="s">
        <v>1785</v>
      </c>
      <c r="C830" s="175" t="s">
        <v>433</v>
      </c>
      <c r="D830" s="176" t="s">
        <v>434</v>
      </c>
      <c r="E830" s="177" t="s">
        <v>1786</v>
      </c>
      <c r="F830" s="175">
        <f t="shared" si="25"/>
        <v>10</v>
      </c>
      <c r="G830" s="175" t="str">
        <f t="shared" si="26"/>
        <v>Van Nuys</v>
      </c>
      <c r="H830" s="175"/>
      <c r="I830" s="178" t="s">
        <v>1564</v>
      </c>
      <c r="J830" s="27" t="s">
        <v>434</v>
      </c>
      <c r="K830" s="27">
        <v>2365</v>
      </c>
      <c r="L830" s="179">
        <v>2182</v>
      </c>
      <c r="M830" s="178" t="s">
        <v>437</v>
      </c>
      <c r="N830" s="27" t="s">
        <v>434</v>
      </c>
      <c r="O830" s="182" t="s">
        <v>438</v>
      </c>
    </row>
    <row r="831" spans="2:15">
      <c r="B831" s="174" t="s">
        <v>1787</v>
      </c>
      <c r="C831" s="175" t="s">
        <v>433</v>
      </c>
      <c r="D831" s="176" t="s">
        <v>434</v>
      </c>
      <c r="E831" s="177" t="s">
        <v>1786</v>
      </c>
      <c r="F831" s="175">
        <f t="shared" si="25"/>
        <v>10</v>
      </c>
      <c r="G831" s="175" t="str">
        <f t="shared" si="26"/>
        <v>Van Nuys</v>
      </c>
      <c r="H831" s="175"/>
      <c r="I831" s="178" t="s">
        <v>436</v>
      </c>
      <c r="J831" s="27" t="s">
        <v>434</v>
      </c>
      <c r="K831" s="27">
        <v>1537</v>
      </c>
      <c r="L831" s="179">
        <v>1154</v>
      </c>
      <c r="M831" s="178" t="s">
        <v>437</v>
      </c>
      <c r="N831" s="27" t="s">
        <v>434</v>
      </c>
      <c r="O831" s="182" t="s">
        <v>438</v>
      </c>
    </row>
    <row r="832" spans="2:15">
      <c r="B832" s="174" t="s">
        <v>1319</v>
      </c>
      <c r="C832" s="175" t="s">
        <v>433</v>
      </c>
      <c r="D832" s="176" t="s">
        <v>434</v>
      </c>
      <c r="E832" s="177" t="s">
        <v>1320</v>
      </c>
      <c r="F832" s="175">
        <f t="shared" si="25"/>
        <v>9</v>
      </c>
      <c r="G832" s="175" t="str">
        <f t="shared" si="26"/>
        <v>Burbank</v>
      </c>
      <c r="H832" s="175"/>
      <c r="I832" s="178" t="s">
        <v>436</v>
      </c>
      <c r="J832" s="27" t="s">
        <v>434</v>
      </c>
      <c r="K832" s="27">
        <v>1537</v>
      </c>
      <c r="L832" s="179">
        <v>1154</v>
      </c>
      <c r="M832" s="178" t="s">
        <v>437</v>
      </c>
      <c r="N832" s="27" t="s">
        <v>434</v>
      </c>
      <c r="O832" s="182" t="s">
        <v>438</v>
      </c>
    </row>
    <row r="833" spans="2:15">
      <c r="B833" s="174" t="s">
        <v>1167</v>
      </c>
      <c r="C833" s="175" t="s">
        <v>433</v>
      </c>
      <c r="D833" s="176" t="s">
        <v>434</v>
      </c>
      <c r="E833" s="177" t="s">
        <v>1168</v>
      </c>
      <c r="F833" s="175">
        <f t="shared" si="25"/>
        <v>17</v>
      </c>
      <c r="G833" s="175" t="str">
        <f t="shared" si="26"/>
        <v>North Hollywood</v>
      </c>
      <c r="H833" s="175"/>
      <c r="I833" s="178" t="s">
        <v>436</v>
      </c>
      <c r="J833" s="27" t="s">
        <v>434</v>
      </c>
      <c r="K833" s="27">
        <v>1537</v>
      </c>
      <c r="L833" s="179">
        <v>1154</v>
      </c>
      <c r="M833" s="178" t="s">
        <v>437</v>
      </c>
      <c r="N833" s="27" t="s">
        <v>434</v>
      </c>
      <c r="O833" s="182" t="s">
        <v>438</v>
      </c>
    </row>
    <row r="834" spans="2:15">
      <c r="B834" s="174" t="s">
        <v>1659</v>
      </c>
      <c r="C834" s="175" t="s">
        <v>433</v>
      </c>
      <c r="D834" s="176" t="s">
        <v>434</v>
      </c>
      <c r="E834" s="177" t="s">
        <v>1660</v>
      </c>
      <c r="F834" s="175">
        <f t="shared" si="25"/>
        <v>8</v>
      </c>
      <c r="G834" s="175" t="str">
        <f t="shared" si="26"/>
        <v>Covina</v>
      </c>
      <c r="H834" s="175"/>
      <c r="I834" s="178" t="s">
        <v>462</v>
      </c>
      <c r="J834" s="27" t="s">
        <v>434</v>
      </c>
      <c r="K834" s="27">
        <v>1201</v>
      </c>
      <c r="L834" s="179">
        <v>1430</v>
      </c>
      <c r="M834" s="178" t="s">
        <v>437</v>
      </c>
      <c r="N834" s="27" t="s">
        <v>434</v>
      </c>
      <c r="O834" s="182" t="s">
        <v>438</v>
      </c>
    </row>
    <row r="835" spans="2:15">
      <c r="B835" s="174" t="s">
        <v>432</v>
      </c>
      <c r="C835" s="175" t="s">
        <v>433</v>
      </c>
      <c r="D835" s="176" t="s">
        <v>434</v>
      </c>
      <c r="E835" s="177" t="s">
        <v>435</v>
      </c>
      <c r="F835" s="175">
        <f t="shared" si="25"/>
        <v>10</v>
      </c>
      <c r="G835" s="175" t="str">
        <f t="shared" si="26"/>
        <v>Alhambra</v>
      </c>
      <c r="H835" s="175"/>
      <c r="I835" s="178" t="s">
        <v>436</v>
      </c>
      <c r="J835" s="27" t="s">
        <v>434</v>
      </c>
      <c r="K835" s="27">
        <v>1537</v>
      </c>
      <c r="L835" s="179">
        <v>1154</v>
      </c>
      <c r="M835" s="178" t="s">
        <v>437</v>
      </c>
      <c r="N835" s="27" t="s">
        <v>434</v>
      </c>
      <c r="O835" s="182" t="s">
        <v>438</v>
      </c>
    </row>
    <row r="836" spans="2:15">
      <c r="B836" s="174" t="s">
        <v>374</v>
      </c>
      <c r="C836" s="175" t="s">
        <v>433</v>
      </c>
      <c r="D836" s="176" t="s">
        <v>434</v>
      </c>
      <c r="E836" s="177" t="s">
        <v>375</v>
      </c>
      <c r="F836" s="175">
        <f t="shared" si="25"/>
        <v>11</v>
      </c>
      <c r="G836" s="175" t="str">
        <f t="shared" si="26"/>
        <v>San Diego</v>
      </c>
      <c r="H836" s="175"/>
      <c r="I836" s="178" t="s">
        <v>2296</v>
      </c>
      <c r="J836" s="27" t="s">
        <v>434</v>
      </c>
      <c r="K836" s="27">
        <v>984</v>
      </c>
      <c r="L836" s="179">
        <v>1256</v>
      </c>
      <c r="M836" s="178" t="s">
        <v>2297</v>
      </c>
      <c r="N836" s="27" t="s">
        <v>434</v>
      </c>
      <c r="O836" s="182" t="s">
        <v>2298</v>
      </c>
    </row>
    <row r="837" spans="2:15">
      <c r="B837" s="174" t="s">
        <v>376</v>
      </c>
      <c r="C837" s="175" t="s">
        <v>433</v>
      </c>
      <c r="D837" s="176" t="s">
        <v>434</v>
      </c>
      <c r="E837" s="177" t="s">
        <v>375</v>
      </c>
      <c r="F837" s="175">
        <f t="shared" si="25"/>
        <v>11</v>
      </c>
      <c r="G837" s="175" t="str">
        <f t="shared" si="26"/>
        <v>San Diego</v>
      </c>
      <c r="H837" s="175"/>
      <c r="I837" s="178" t="s">
        <v>462</v>
      </c>
      <c r="J837" s="27" t="s">
        <v>434</v>
      </c>
      <c r="K837" s="27">
        <v>1201</v>
      </c>
      <c r="L837" s="179">
        <v>1430</v>
      </c>
      <c r="M837" s="178" t="s">
        <v>2297</v>
      </c>
      <c r="N837" s="27" t="s">
        <v>434</v>
      </c>
      <c r="O837" s="182" t="s">
        <v>2298</v>
      </c>
    </row>
    <row r="838" spans="2:15">
      <c r="B838" s="174" t="s">
        <v>377</v>
      </c>
      <c r="C838" s="175" t="s">
        <v>433</v>
      </c>
      <c r="D838" s="176" t="s">
        <v>434</v>
      </c>
      <c r="E838" s="177" t="s">
        <v>375</v>
      </c>
      <c r="F838" s="175">
        <f t="shared" si="25"/>
        <v>11</v>
      </c>
      <c r="G838" s="175" t="str">
        <f t="shared" si="26"/>
        <v>San Diego</v>
      </c>
      <c r="H838" s="175"/>
      <c r="I838" s="178" t="s">
        <v>2296</v>
      </c>
      <c r="J838" s="27" t="s">
        <v>434</v>
      </c>
      <c r="K838" s="27">
        <v>984</v>
      </c>
      <c r="L838" s="179">
        <v>1256</v>
      </c>
      <c r="M838" s="178" t="s">
        <v>2297</v>
      </c>
      <c r="N838" s="27" t="s">
        <v>434</v>
      </c>
      <c r="O838" s="182" t="s">
        <v>2298</v>
      </c>
    </row>
    <row r="839" spans="2:15">
      <c r="B839" s="174" t="s">
        <v>2294</v>
      </c>
      <c r="C839" s="175" t="s">
        <v>433</v>
      </c>
      <c r="D839" s="176" t="s">
        <v>434</v>
      </c>
      <c r="E839" s="177" t="s">
        <v>2295</v>
      </c>
      <c r="F839" s="175">
        <f t="shared" si="25"/>
        <v>14</v>
      </c>
      <c r="G839" s="175" t="str">
        <f t="shared" si="26"/>
        <v>Palm Springs</v>
      </c>
      <c r="H839" s="175"/>
      <c r="I839" s="178" t="s">
        <v>2296</v>
      </c>
      <c r="J839" s="27" t="s">
        <v>434</v>
      </c>
      <c r="K839" s="27">
        <v>984</v>
      </c>
      <c r="L839" s="179">
        <v>1256</v>
      </c>
      <c r="M839" s="178" t="s">
        <v>2297</v>
      </c>
      <c r="N839" s="27" t="s">
        <v>434</v>
      </c>
      <c r="O839" s="182" t="s">
        <v>2298</v>
      </c>
    </row>
    <row r="840" spans="2:15">
      <c r="B840" s="174" t="s">
        <v>370</v>
      </c>
      <c r="C840" s="175" t="s">
        <v>433</v>
      </c>
      <c r="D840" s="176" t="s">
        <v>434</v>
      </c>
      <c r="E840" s="177" t="s">
        <v>371</v>
      </c>
      <c r="F840" s="175">
        <f t="shared" si="25"/>
        <v>32</v>
      </c>
      <c r="G840" s="175" t="str">
        <f t="shared" si="26"/>
        <v>San Bern./Victorville/Redlands</v>
      </c>
      <c r="H840" s="175"/>
      <c r="I840" s="178" t="s">
        <v>911</v>
      </c>
      <c r="J840" s="27" t="s">
        <v>1391</v>
      </c>
      <c r="K840" s="27">
        <v>3201</v>
      </c>
      <c r="L840" s="179">
        <v>2407</v>
      </c>
      <c r="M840" s="180" t="s">
        <v>912</v>
      </c>
      <c r="N840" s="181" t="s">
        <v>1391</v>
      </c>
      <c r="O840" s="182" t="s">
        <v>913</v>
      </c>
    </row>
    <row r="841" spans="2:15">
      <c r="B841" s="174" t="s">
        <v>372</v>
      </c>
      <c r="C841" s="175" t="s">
        <v>433</v>
      </c>
      <c r="D841" s="176" t="s">
        <v>434</v>
      </c>
      <c r="E841" s="177" t="s">
        <v>373</v>
      </c>
      <c r="F841" s="175">
        <f t="shared" si="25"/>
        <v>16</v>
      </c>
      <c r="G841" s="175" t="str">
        <f t="shared" si="26"/>
        <v>San Bernardino</v>
      </c>
      <c r="H841" s="175"/>
      <c r="I841" s="178" t="s">
        <v>436</v>
      </c>
      <c r="J841" s="27" t="s">
        <v>434</v>
      </c>
      <c r="K841" s="27">
        <v>1537</v>
      </c>
      <c r="L841" s="179">
        <v>1154</v>
      </c>
      <c r="M841" s="178" t="s">
        <v>437</v>
      </c>
      <c r="N841" s="27" t="s">
        <v>434</v>
      </c>
      <c r="O841" s="182" t="s">
        <v>438</v>
      </c>
    </row>
    <row r="842" spans="2:15">
      <c r="B842" s="174" t="s">
        <v>287</v>
      </c>
      <c r="C842" s="175" t="s">
        <v>433</v>
      </c>
      <c r="D842" s="176" t="s">
        <v>434</v>
      </c>
      <c r="E842" s="177" t="s">
        <v>288</v>
      </c>
      <c r="F842" s="175">
        <f t="shared" ref="F842:F905" si="27">LEN(E842)</f>
        <v>11</v>
      </c>
      <c r="G842" s="175" t="str">
        <f t="shared" ref="G842:G905" si="28">MID(E842,2,F842-2)</f>
        <v>Riverside</v>
      </c>
      <c r="H842" s="175"/>
      <c r="I842" s="178" t="s">
        <v>436</v>
      </c>
      <c r="J842" s="27" t="s">
        <v>434</v>
      </c>
      <c r="K842" s="27">
        <v>1537</v>
      </c>
      <c r="L842" s="179">
        <v>1154</v>
      </c>
      <c r="M842" s="178" t="s">
        <v>437</v>
      </c>
      <c r="N842" s="27" t="s">
        <v>434</v>
      </c>
      <c r="O842" s="182" t="s">
        <v>438</v>
      </c>
    </row>
    <row r="843" spans="2:15">
      <c r="B843" s="174" t="s">
        <v>1000</v>
      </c>
      <c r="C843" s="175" t="s">
        <v>433</v>
      </c>
      <c r="D843" s="176" t="s">
        <v>434</v>
      </c>
      <c r="E843" s="177" t="s">
        <v>1001</v>
      </c>
      <c r="F843" s="175">
        <f t="shared" si="27"/>
        <v>11</v>
      </c>
      <c r="G843" s="175" t="str">
        <f t="shared" si="28"/>
        <v>Santa Ana</v>
      </c>
      <c r="H843" s="175"/>
      <c r="I843" s="178" t="s">
        <v>462</v>
      </c>
      <c r="J843" s="27" t="s">
        <v>434</v>
      </c>
      <c r="K843" s="27">
        <v>1201</v>
      </c>
      <c r="L843" s="179">
        <v>1430</v>
      </c>
      <c r="M843" s="178" t="s">
        <v>437</v>
      </c>
      <c r="N843" s="27" t="s">
        <v>434</v>
      </c>
      <c r="O843" s="182" t="s">
        <v>438</v>
      </c>
    </row>
    <row r="844" spans="2:15">
      <c r="B844" s="174" t="s">
        <v>1002</v>
      </c>
      <c r="C844" s="175" t="s">
        <v>433</v>
      </c>
      <c r="D844" s="176" t="s">
        <v>434</v>
      </c>
      <c r="E844" s="177" t="s">
        <v>1001</v>
      </c>
      <c r="F844" s="175">
        <f t="shared" si="27"/>
        <v>11</v>
      </c>
      <c r="G844" s="175" t="str">
        <f t="shared" si="28"/>
        <v>Santa Ana</v>
      </c>
      <c r="H844" s="175"/>
      <c r="I844" s="178" t="s">
        <v>462</v>
      </c>
      <c r="J844" s="27" t="s">
        <v>434</v>
      </c>
      <c r="K844" s="27">
        <v>1201</v>
      </c>
      <c r="L844" s="179">
        <v>1430</v>
      </c>
      <c r="M844" s="178" t="s">
        <v>437</v>
      </c>
      <c r="N844" s="27" t="s">
        <v>434</v>
      </c>
      <c r="O844" s="182" t="s">
        <v>438</v>
      </c>
    </row>
    <row r="845" spans="2:15">
      <c r="B845" s="174" t="s">
        <v>460</v>
      </c>
      <c r="C845" s="175" t="s">
        <v>433</v>
      </c>
      <c r="D845" s="176" t="s">
        <v>434</v>
      </c>
      <c r="E845" s="177" t="s">
        <v>461</v>
      </c>
      <c r="F845" s="175">
        <f t="shared" si="27"/>
        <v>9</v>
      </c>
      <c r="G845" s="175" t="str">
        <f t="shared" si="28"/>
        <v>Anaheim</v>
      </c>
      <c r="H845" s="175"/>
      <c r="I845" s="178" t="s">
        <v>462</v>
      </c>
      <c r="J845" s="27" t="s">
        <v>434</v>
      </c>
      <c r="K845" s="27">
        <v>1201</v>
      </c>
      <c r="L845" s="179">
        <v>1430</v>
      </c>
      <c r="M845" s="178" t="s">
        <v>437</v>
      </c>
      <c r="N845" s="27" t="s">
        <v>434</v>
      </c>
      <c r="O845" s="182" t="s">
        <v>438</v>
      </c>
    </row>
    <row r="846" spans="2:15">
      <c r="B846" s="174" t="s">
        <v>1790</v>
      </c>
      <c r="C846" s="175" t="s">
        <v>433</v>
      </c>
      <c r="D846" s="176" t="s">
        <v>434</v>
      </c>
      <c r="E846" s="177" t="s">
        <v>1791</v>
      </c>
      <c r="F846" s="175">
        <f t="shared" si="27"/>
        <v>16</v>
      </c>
      <c r="G846" s="175" t="str">
        <f t="shared" si="28"/>
        <v>Ventura/Oxnard</v>
      </c>
      <c r="H846" s="175"/>
      <c r="I846" s="178" t="s">
        <v>1564</v>
      </c>
      <c r="J846" s="27" t="s">
        <v>434</v>
      </c>
      <c r="K846" s="27">
        <v>2365</v>
      </c>
      <c r="L846" s="179">
        <v>2182</v>
      </c>
      <c r="M846" s="178" t="s">
        <v>437</v>
      </c>
      <c r="N846" s="27" t="s">
        <v>434</v>
      </c>
      <c r="O846" s="182" t="s">
        <v>438</v>
      </c>
    </row>
    <row r="847" spans="2:15">
      <c r="B847" s="174" t="s">
        <v>1003</v>
      </c>
      <c r="C847" s="175" t="s">
        <v>433</v>
      </c>
      <c r="D847" s="176" t="s">
        <v>434</v>
      </c>
      <c r="E847" s="177" t="s">
        <v>1004</v>
      </c>
      <c r="F847" s="175">
        <f t="shared" si="27"/>
        <v>15</v>
      </c>
      <c r="G847" s="175" t="str">
        <f t="shared" si="28"/>
        <v>Santa Barbara</v>
      </c>
      <c r="H847" s="175"/>
      <c r="I847" s="178" t="s">
        <v>1005</v>
      </c>
      <c r="J847" s="27" t="s">
        <v>434</v>
      </c>
      <c r="K847" s="27">
        <v>289</v>
      </c>
      <c r="L847" s="179">
        <v>2438</v>
      </c>
      <c r="M847" s="178" t="s">
        <v>437</v>
      </c>
      <c r="N847" s="27" t="s">
        <v>434</v>
      </c>
      <c r="O847" s="182" t="s">
        <v>438</v>
      </c>
    </row>
    <row r="848" spans="2:15">
      <c r="B848" s="174" t="s">
        <v>1567</v>
      </c>
      <c r="C848" s="175" t="s">
        <v>433</v>
      </c>
      <c r="D848" s="176" t="s">
        <v>434</v>
      </c>
      <c r="E848" s="177" t="s">
        <v>1568</v>
      </c>
      <c r="F848" s="175">
        <f t="shared" si="27"/>
        <v>21</v>
      </c>
      <c r="G848" s="175" t="str">
        <f t="shared" si="28"/>
        <v>Bakersfield/Visalia</v>
      </c>
      <c r="H848" s="175"/>
      <c r="I848" s="178" t="s">
        <v>1569</v>
      </c>
      <c r="J848" s="27" t="s">
        <v>434</v>
      </c>
      <c r="K848" s="27">
        <v>1967</v>
      </c>
      <c r="L848" s="179">
        <v>2556</v>
      </c>
      <c r="M848" s="178" t="s">
        <v>1565</v>
      </c>
      <c r="N848" s="27" t="s">
        <v>434</v>
      </c>
      <c r="O848" s="182" t="s">
        <v>1566</v>
      </c>
    </row>
    <row r="849" spans="2:15">
      <c r="B849" s="174" t="s">
        <v>1562</v>
      </c>
      <c r="C849" s="175" t="s">
        <v>433</v>
      </c>
      <c r="D849" s="176" t="s">
        <v>434</v>
      </c>
      <c r="E849" s="177" t="s">
        <v>1563</v>
      </c>
      <c r="F849" s="175">
        <f t="shared" si="27"/>
        <v>13</v>
      </c>
      <c r="G849" s="175" t="str">
        <f t="shared" si="28"/>
        <v>Bakersfield</v>
      </c>
      <c r="H849" s="175"/>
      <c r="I849" s="178" t="s">
        <v>1564</v>
      </c>
      <c r="J849" s="27" t="s">
        <v>434</v>
      </c>
      <c r="K849" s="27">
        <v>2365</v>
      </c>
      <c r="L849" s="179">
        <v>2182</v>
      </c>
      <c r="M849" s="178" t="s">
        <v>1565</v>
      </c>
      <c r="N849" s="27" t="s">
        <v>434</v>
      </c>
      <c r="O849" s="182" t="s">
        <v>1566</v>
      </c>
    </row>
    <row r="850" spans="2:15">
      <c r="B850" s="174" t="s">
        <v>991</v>
      </c>
      <c r="C850" s="175" t="s">
        <v>433</v>
      </c>
      <c r="D850" s="176" t="s">
        <v>434</v>
      </c>
      <c r="E850" s="177" t="s">
        <v>992</v>
      </c>
      <c r="F850" s="175">
        <f t="shared" si="27"/>
        <v>17</v>
      </c>
      <c r="G850" s="175" t="str">
        <f t="shared" si="28"/>
        <v>San Luis Obispo</v>
      </c>
      <c r="H850" s="175"/>
      <c r="I850" s="178" t="s">
        <v>993</v>
      </c>
      <c r="J850" s="27" t="s">
        <v>434</v>
      </c>
      <c r="K850" s="27">
        <v>169</v>
      </c>
      <c r="L850" s="179">
        <v>2984</v>
      </c>
      <c r="M850" s="178" t="s">
        <v>1565</v>
      </c>
      <c r="N850" s="27" t="s">
        <v>434</v>
      </c>
      <c r="O850" s="182" t="s">
        <v>1566</v>
      </c>
    </row>
    <row r="851" spans="2:15">
      <c r="B851" s="174" t="s">
        <v>952</v>
      </c>
      <c r="C851" s="175" t="s">
        <v>433</v>
      </c>
      <c r="D851" s="176" t="s">
        <v>434</v>
      </c>
      <c r="E851" s="177" t="s">
        <v>953</v>
      </c>
      <c r="F851" s="175">
        <f t="shared" si="27"/>
        <v>11</v>
      </c>
      <c r="G851" s="175" t="str">
        <f t="shared" si="28"/>
        <v>Lancaster</v>
      </c>
      <c r="H851" s="175"/>
      <c r="I851" s="178" t="s">
        <v>954</v>
      </c>
      <c r="J851" s="27" t="s">
        <v>434</v>
      </c>
      <c r="K851" s="27">
        <v>1039</v>
      </c>
      <c r="L851" s="179">
        <v>4310</v>
      </c>
      <c r="M851" s="180" t="s">
        <v>1394</v>
      </c>
      <c r="N851" s="181" t="s">
        <v>1391</v>
      </c>
      <c r="O851" s="182" t="s">
        <v>1395</v>
      </c>
    </row>
    <row r="852" spans="2:15">
      <c r="B852" s="174" t="s">
        <v>1977</v>
      </c>
      <c r="C852" s="175" t="s">
        <v>433</v>
      </c>
      <c r="D852" s="176" t="s">
        <v>434</v>
      </c>
      <c r="E852" s="177" t="s">
        <v>1978</v>
      </c>
      <c r="F852" s="175">
        <f t="shared" si="27"/>
        <v>8</v>
      </c>
      <c r="G852" s="175" t="str">
        <f t="shared" si="28"/>
        <v>Fresno</v>
      </c>
      <c r="H852" s="175"/>
      <c r="I852" s="178" t="s">
        <v>1569</v>
      </c>
      <c r="J852" s="27" t="s">
        <v>434</v>
      </c>
      <c r="K852" s="27">
        <v>1967</v>
      </c>
      <c r="L852" s="179">
        <v>2556</v>
      </c>
      <c r="M852" s="178" t="s">
        <v>1565</v>
      </c>
      <c r="N852" s="27" t="s">
        <v>434</v>
      </c>
      <c r="O852" s="182" t="s">
        <v>1566</v>
      </c>
    </row>
    <row r="853" spans="2:15">
      <c r="B853" s="174" t="s">
        <v>1979</v>
      </c>
      <c r="C853" s="175" t="s">
        <v>433</v>
      </c>
      <c r="D853" s="176" t="s">
        <v>434</v>
      </c>
      <c r="E853" s="177" t="s">
        <v>1978</v>
      </c>
      <c r="F853" s="175">
        <f t="shared" si="27"/>
        <v>8</v>
      </c>
      <c r="G853" s="175" t="str">
        <f t="shared" si="28"/>
        <v>Fresno</v>
      </c>
      <c r="H853" s="175"/>
      <c r="I853" s="178" t="s">
        <v>1569</v>
      </c>
      <c r="J853" s="27" t="s">
        <v>434</v>
      </c>
      <c r="K853" s="27">
        <v>1967</v>
      </c>
      <c r="L853" s="179">
        <v>2556</v>
      </c>
      <c r="M853" s="178" t="s">
        <v>1565</v>
      </c>
      <c r="N853" s="27" t="s">
        <v>434</v>
      </c>
      <c r="O853" s="182" t="s">
        <v>1566</v>
      </c>
    </row>
    <row r="854" spans="2:15">
      <c r="B854" s="174" t="s">
        <v>189</v>
      </c>
      <c r="C854" s="175" t="s">
        <v>433</v>
      </c>
      <c r="D854" s="176" t="s">
        <v>434</v>
      </c>
      <c r="E854" s="177" t="s">
        <v>190</v>
      </c>
      <c r="F854" s="175">
        <f t="shared" si="27"/>
        <v>10</v>
      </c>
      <c r="G854" s="175" t="str">
        <f t="shared" si="28"/>
        <v>Monterey</v>
      </c>
      <c r="H854" s="175"/>
      <c r="I854" s="178" t="s">
        <v>191</v>
      </c>
      <c r="J854" s="27" t="s">
        <v>434</v>
      </c>
      <c r="K854" s="27">
        <v>65</v>
      </c>
      <c r="L854" s="179">
        <v>3005</v>
      </c>
      <c r="M854" s="178" t="s">
        <v>192</v>
      </c>
      <c r="N854" s="27" t="s">
        <v>434</v>
      </c>
      <c r="O854" s="182" t="s">
        <v>193</v>
      </c>
    </row>
    <row r="855" spans="2:15">
      <c r="B855" s="174" t="s">
        <v>2241</v>
      </c>
      <c r="C855" s="175" t="s">
        <v>433</v>
      </c>
      <c r="D855" s="176" t="s">
        <v>434</v>
      </c>
      <c r="E855" s="177" t="s">
        <v>2242</v>
      </c>
      <c r="F855" s="175">
        <f t="shared" si="27"/>
        <v>19</v>
      </c>
      <c r="G855" s="175" t="str">
        <f t="shared" si="28"/>
        <v>So. San Francisco</v>
      </c>
      <c r="H855" s="175"/>
      <c r="I855" s="178" t="s">
        <v>191</v>
      </c>
      <c r="J855" s="27" t="s">
        <v>434</v>
      </c>
      <c r="K855" s="27">
        <v>65</v>
      </c>
      <c r="L855" s="179">
        <v>3005</v>
      </c>
      <c r="M855" s="178" t="s">
        <v>192</v>
      </c>
      <c r="N855" s="27" t="s">
        <v>434</v>
      </c>
      <c r="O855" s="182" t="s">
        <v>193</v>
      </c>
    </row>
    <row r="856" spans="2:15">
      <c r="B856" s="174" t="s">
        <v>378</v>
      </c>
      <c r="C856" s="175" t="s">
        <v>433</v>
      </c>
      <c r="D856" s="176" t="s">
        <v>434</v>
      </c>
      <c r="E856" s="177" t="s">
        <v>379</v>
      </c>
      <c r="F856" s="175">
        <f t="shared" si="27"/>
        <v>15</v>
      </c>
      <c r="G856" s="175" t="str">
        <f t="shared" si="28"/>
        <v>San Francisco</v>
      </c>
      <c r="H856" s="175"/>
      <c r="I856" s="178" t="s">
        <v>191</v>
      </c>
      <c r="J856" s="27" t="s">
        <v>434</v>
      </c>
      <c r="K856" s="27">
        <v>65</v>
      </c>
      <c r="L856" s="179">
        <v>3005</v>
      </c>
      <c r="M856" s="178" t="s">
        <v>192</v>
      </c>
      <c r="N856" s="27" t="s">
        <v>434</v>
      </c>
      <c r="O856" s="182" t="s">
        <v>193</v>
      </c>
    </row>
    <row r="857" spans="2:15">
      <c r="B857" s="174" t="s">
        <v>329</v>
      </c>
      <c r="C857" s="175" t="s">
        <v>433</v>
      </c>
      <c r="D857" s="176" t="s">
        <v>434</v>
      </c>
      <c r="E857" s="177" t="s">
        <v>330</v>
      </c>
      <c r="F857" s="175">
        <f t="shared" si="27"/>
        <v>24</v>
      </c>
      <c r="G857" s="175" t="str">
        <f t="shared" si="28"/>
        <v>Sacramento/Placerville</v>
      </c>
      <c r="H857" s="175"/>
      <c r="I857" s="178" t="s">
        <v>1409</v>
      </c>
      <c r="J857" s="27" t="s">
        <v>434</v>
      </c>
      <c r="K857" s="27">
        <v>145</v>
      </c>
      <c r="L857" s="179">
        <v>3016</v>
      </c>
      <c r="M857" s="178" t="s">
        <v>632</v>
      </c>
      <c r="N857" s="27" t="s">
        <v>434</v>
      </c>
      <c r="O857" s="182" t="s">
        <v>633</v>
      </c>
    </row>
    <row r="858" spans="2:15">
      <c r="B858" s="174" t="s">
        <v>2299</v>
      </c>
      <c r="C858" s="175" t="s">
        <v>433</v>
      </c>
      <c r="D858" s="176" t="s">
        <v>434</v>
      </c>
      <c r="E858" s="177" t="s">
        <v>598</v>
      </c>
      <c r="F858" s="175">
        <f t="shared" si="27"/>
        <v>11</v>
      </c>
      <c r="G858" s="175" t="str">
        <f t="shared" si="28"/>
        <v>Palo Alto</v>
      </c>
      <c r="H858" s="175"/>
      <c r="I858" s="178" t="s">
        <v>1409</v>
      </c>
      <c r="J858" s="27" t="s">
        <v>434</v>
      </c>
      <c r="K858" s="27">
        <v>145</v>
      </c>
      <c r="L858" s="179">
        <v>3016</v>
      </c>
      <c r="M858" s="178" t="s">
        <v>1410</v>
      </c>
      <c r="N858" s="27" t="s">
        <v>434</v>
      </c>
      <c r="O858" s="182" t="s">
        <v>1411</v>
      </c>
    </row>
    <row r="859" spans="2:15">
      <c r="B859" s="174" t="s">
        <v>994</v>
      </c>
      <c r="C859" s="175" t="s">
        <v>433</v>
      </c>
      <c r="D859" s="176" t="s">
        <v>434</v>
      </c>
      <c r="E859" s="177" t="s">
        <v>995</v>
      </c>
      <c r="F859" s="175">
        <f t="shared" si="27"/>
        <v>11</v>
      </c>
      <c r="G859" s="175" t="str">
        <f t="shared" si="28"/>
        <v>San Mateo</v>
      </c>
      <c r="H859" s="175"/>
      <c r="I859" s="178" t="s">
        <v>1409</v>
      </c>
      <c r="J859" s="27" t="s">
        <v>434</v>
      </c>
      <c r="K859" s="27">
        <v>145</v>
      </c>
      <c r="L859" s="179">
        <v>3016</v>
      </c>
      <c r="M859" s="178" t="s">
        <v>1410</v>
      </c>
      <c r="N859" s="27" t="s">
        <v>434</v>
      </c>
      <c r="O859" s="182" t="s">
        <v>1411</v>
      </c>
    </row>
    <row r="860" spans="2:15">
      <c r="B860" s="174" t="s">
        <v>629</v>
      </c>
      <c r="C860" s="175" t="s">
        <v>433</v>
      </c>
      <c r="D860" s="176" t="s">
        <v>434</v>
      </c>
      <c r="E860" s="177" t="s">
        <v>630</v>
      </c>
      <c r="F860" s="175">
        <f t="shared" si="27"/>
        <v>9</v>
      </c>
      <c r="G860" s="175" t="str">
        <f t="shared" si="28"/>
        <v>Concord</v>
      </c>
      <c r="H860" s="175"/>
      <c r="I860" s="178" t="s">
        <v>631</v>
      </c>
      <c r="J860" s="27" t="s">
        <v>434</v>
      </c>
      <c r="K860" s="27">
        <v>1237</v>
      </c>
      <c r="L860" s="179">
        <v>2749</v>
      </c>
      <c r="M860" s="178" t="s">
        <v>632</v>
      </c>
      <c r="N860" s="27" t="s">
        <v>434</v>
      </c>
      <c r="O860" s="182" t="s">
        <v>633</v>
      </c>
    </row>
    <row r="861" spans="2:15">
      <c r="B861" s="174" t="s">
        <v>1179</v>
      </c>
      <c r="C861" s="175" t="s">
        <v>433</v>
      </c>
      <c r="D861" s="176" t="s">
        <v>434</v>
      </c>
      <c r="E861" s="177" t="s">
        <v>1180</v>
      </c>
      <c r="F861" s="175">
        <f t="shared" si="27"/>
        <v>9</v>
      </c>
      <c r="G861" s="175" t="str">
        <f t="shared" si="28"/>
        <v>Oakland</v>
      </c>
      <c r="H861" s="175"/>
      <c r="I861" s="178" t="s">
        <v>1409</v>
      </c>
      <c r="J861" s="27" t="s">
        <v>434</v>
      </c>
      <c r="K861" s="27">
        <v>145</v>
      </c>
      <c r="L861" s="179">
        <v>3016</v>
      </c>
      <c r="M861" s="178" t="s">
        <v>1410</v>
      </c>
      <c r="N861" s="27" t="s">
        <v>434</v>
      </c>
      <c r="O861" s="182" t="s">
        <v>1411</v>
      </c>
    </row>
    <row r="862" spans="2:15">
      <c r="B862" s="174" t="s">
        <v>1407</v>
      </c>
      <c r="C862" s="175" t="s">
        <v>433</v>
      </c>
      <c r="D862" s="176" t="s">
        <v>434</v>
      </c>
      <c r="E862" s="177" t="s">
        <v>1408</v>
      </c>
      <c r="F862" s="175">
        <f t="shared" si="27"/>
        <v>10</v>
      </c>
      <c r="G862" s="175" t="str">
        <f t="shared" si="28"/>
        <v>Berkeley</v>
      </c>
      <c r="H862" s="175"/>
      <c r="I862" s="178" t="s">
        <v>1409</v>
      </c>
      <c r="J862" s="27" t="s">
        <v>434</v>
      </c>
      <c r="K862" s="27">
        <v>145</v>
      </c>
      <c r="L862" s="179">
        <v>3016</v>
      </c>
      <c r="M862" s="178" t="s">
        <v>1410</v>
      </c>
      <c r="N862" s="27" t="s">
        <v>434</v>
      </c>
      <c r="O862" s="182" t="s">
        <v>1411</v>
      </c>
    </row>
    <row r="863" spans="2:15">
      <c r="B863" s="174" t="s">
        <v>34</v>
      </c>
      <c r="C863" s="175" t="s">
        <v>433</v>
      </c>
      <c r="D863" s="176" t="s">
        <v>434</v>
      </c>
      <c r="E863" s="177" t="s">
        <v>35</v>
      </c>
      <c r="F863" s="175">
        <f t="shared" si="27"/>
        <v>10</v>
      </c>
      <c r="G863" s="175" t="str">
        <f t="shared" si="28"/>
        <v>Richmond</v>
      </c>
      <c r="H863" s="175"/>
      <c r="I863" s="178" t="s">
        <v>1409</v>
      </c>
      <c r="J863" s="27" t="s">
        <v>434</v>
      </c>
      <c r="K863" s="27">
        <v>145</v>
      </c>
      <c r="L863" s="179">
        <v>3016</v>
      </c>
      <c r="M863" s="178" t="s">
        <v>1410</v>
      </c>
      <c r="N863" s="27" t="s">
        <v>434</v>
      </c>
      <c r="O863" s="182" t="s">
        <v>1411</v>
      </c>
    </row>
    <row r="864" spans="2:15">
      <c r="B864" s="174" t="s">
        <v>998</v>
      </c>
      <c r="C864" s="175" t="s">
        <v>433</v>
      </c>
      <c r="D864" s="176" t="s">
        <v>434</v>
      </c>
      <c r="E864" s="177" t="s">
        <v>999</v>
      </c>
      <c r="F864" s="175">
        <f t="shared" si="27"/>
        <v>12</v>
      </c>
      <c r="G864" s="175" t="str">
        <f t="shared" si="28"/>
        <v>San Rafael</v>
      </c>
      <c r="H864" s="175"/>
      <c r="I864" s="178" t="s">
        <v>1409</v>
      </c>
      <c r="J864" s="27" t="s">
        <v>434</v>
      </c>
      <c r="K864" s="27">
        <v>145</v>
      </c>
      <c r="L864" s="179">
        <v>3016</v>
      </c>
      <c r="M864" s="178" t="s">
        <v>1410</v>
      </c>
      <c r="N864" s="27" t="s">
        <v>434</v>
      </c>
      <c r="O864" s="182" t="s">
        <v>1411</v>
      </c>
    </row>
    <row r="865" spans="2:15">
      <c r="B865" s="174" t="s">
        <v>2009</v>
      </c>
      <c r="C865" s="175" t="s">
        <v>433</v>
      </c>
      <c r="D865" s="176" t="s">
        <v>434</v>
      </c>
      <c r="E865" s="177" t="s">
        <v>2010</v>
      </c>
      <c r="F865" s="175">
        <f t="shared" si="27"/>
        <v>8</v>
      </c>
      <c r="G865" s="175" t="str">
        <f t="shared" si="28"/>
        <v>Gilroy</v>
      </c>
      <c r="H865" s="175"/>
      <c r="I865" s="178" t="s">
        <v>1409</v>
      </c>
      <c r="J865" s="27" t="s">
        <v>434</v>
      </c>
      <c r="K865" s="27">
        <v>145</v>
      </c>
      <c r="L865" s="179">
        <v>3016</v>
      </c>
      <c r="M865" s="178" t="s">
        <v>1410</v>
      </c>
      <c r="N865" s="27" t="s">
        <v>434</v>
      </c>
      <c r="O865" s="182" t="s">
        <v>1411</v>
      </c>
    </row>
    <row r="866" spans="2:15">
      <c r="B866" s="174" t="s">
        <v>982</v>
      </c>
      <c r="C866" s="175" t="s">
        <v>433</v>
      </c>
      <c r="D866" s="176" t="s">
        <v>434</v>
      </c>
      <c r="E866" s="177" t="s">
        <v>983</v>
      </c>
      <c r="F866" s="175">
        <f t="shared" si="27"/>
        <v>10</v>
      </c>
      <c r="G866" s="175" t="str">
        <f t="shared" si="28"/>
        <v>San Jose</v>
      </c>
      <c r="H866" s="175"/>
      <c r="I866" s="178" t="s">
        <v>1409</v>
      </c>
      <c r="J866" s="27" t="s">
        <v>434</v>
      </c>
      <c r="K866" s="27">
        <v>145</v>
      </c>
      <c r="L866" s="179">
        <v>3016</v>
      </c>
      <c r="M866" s="178" t="s">
        <v>1410</v>
      </c>
      <c r="N866" s="27" t="s">
        <v>434</v>
      </c>
      <c r="O866" s="182" t="s">
        <v>1411</v>
      </c>
    </row>
    <row r="867" spans="2:15">
      <c r="B867" s="174" t="s">
        <v>813</v>
      </c>
      <c r="C867" s="175" t="s">
        <v>433</v>
      </c>
      <c r="D867" s="176" t="s">
        <v>434</v>
      </c>
      <c r="E867" s="177" t="s">
        <v>814</v>
      </c>
      <c r="F867" s="175">
        <f t="shared" si="27"/>
        <v>10</v>
      </c>
      <c r="G867" s="175" t="str">
        <f t="shared" si="28"/>
        <v>Stockton</v>
      </c>
      <c r="H867" s="175"/>
      <c r="I867" s="178" t="s">
        <v>815</v>
      </c>
      <c r="J867" s="27" t="s">
        <v>434</v>
      </c>
      <c r="K867" s="27">
        <v>1470</v>
      </c>
      <c r="L867" s="179">
        <v>2707</v>
      </c>
      <c r="M867" s="178" t="s">
        <v>632</v>
      </c>
      <c r="N867" s="27" t="s">
        <v>434</v>
      </c>
      <c r="O867" s="182" t="s">
        <v>633</v>
      </c>
    </row>
    <row r="868" spans="2:15">
      <c r="B868" s="174" t="s">
        <v>1201</v>
      </c>
      <c r="C868" s="175" t="s">
        <v>433</v>
      </c>
      <c r="D868" s="176" t="s">
        <v>434</v>
      </c>
      <c r="E868" s="177" t="s">
        <v>1202</v>
      </c>
      <c r="F868" s="175">
        <f t="shared" si="27"/>
        <v>8</v>
      </c>
      <c r="G868" s="175" t="str">
        <f t="shared" si="28"/>
        <v>Merced</v>
      </c>
      <c r="H868" s="175"/>
      <c r="I868" s="178" t="s">
        <v>631</v>
      </c>
      <c r="J868" s="27" t="s">
        <v>434</v>
      </c>
      <c r="K868" s="27">
        <v>1237</v>
      </c>
      <c r="L868" s="179">
        <v>2749</v>
      </c>
      <c r="M868" s="178" t="s">
        <v>632</v>
      </c>
      <c r="N868" s="27" t="s">
        <v>434</v>
      </c>
      <c r="O868" s="182" t="s">
        <v>633</v>
      </c>
    </row>
    <row r="869" spans="2:15">
      <c r="B869" s="174" t="s">
        <v>1012</v>
      </c>
      <c r="C869" s="175" t="s">
        <v>433</v>
      </c>
      <c r="D869" s="176" t="s">
        <v>434</v>
      </c>
      <c r="E869" s="177" t="s">
        <v>1013</v>
      </c>
      <c r="F869" s="175">
        <f t="shared" si="27"/>
        <v>12</v>
      </c>
      <c r="G869" s="175" t="str">
        <f t="shared" si="28"/>
        <v>Santa Rosa</v>
      </c>
      <c r="H869" s="175"/>
      <c r="I869" s="178" t="s">
        <v>631</v>
      </c>
      <c r="J869" s="27" t="s">
        <v>434</v>
      </c>
      <c r="K869" s="27">
        <v>1237</v>
      </c>
      <c r="L869" s="179">
        <v>2749</v>
      </c>
      <c r="M869" s="178" t="s">
        <v>632</v>
      </c>
      <c r="N869" s="27" t="s">
        <v>434</v>
      </c>
      <c r="O869" s="182" t="s">
        <v>633</v>
      </c>
    </row>
    <row r="870" spans="2:15">
      <c r="B870" s="174" t="s">
        <v>536</v>
      </c>
      <c r="C870" s="175" t="s">
        <v>433</v>
      </c>
      <c r="D870" s="176" t="s">
        <v>434</v>
      </c>
      <c r="E870" s="177" t="s">
        <v>537</v>
      </c>
      <c r="F870" s="175">
        <f t="shared" si="27"/>
        <v>8</v>
      </c>
      <c r="G870" s="175" t="str">
        <f t="shared" si="28"/>
        <v>Eureka</v>
      </c>
      <c r="H870" s="175"/>
      <c r="I870" s="178" t="s">
        <v>538</v>
      </c>
      <c r="J870" s="27" t="s">
        <v>434</v>
      </c>
      <c r="K870" s="188">
        <v>725</v>
      </c>
      <c r="L870" s="179">
        <v>4496</v>
      </c>
      <c r="M870" s="180" t="s">
        <v>539</v>
      </c>
      <c r="N870" s="181" t="s">
        <v>1623</v>
      </c>
      <c r="O870" s="182" t="s">
        <v>540</v>
      </c>
    </row>
    <row r="871" spans="2:15">
      <c r="B871" s="174" t="s">
        <v>331</v>
      </c>
      <c r="C871" s="175" t="s">
        <v>433</v>
      </c>
      <c r="D871" s="176" t="s">
        <v>434</v>
      </c>
      <c r="E871" s="177" t="s">
        <v>330</v>
      </c>
      <c r="F871" s="175">
        <f t="shared" si="27"/>
        <v>24</v>
      </c>
      <c r="G871" s="175" t="str">
        <f t="shared" si="28"/>
        <v>Sacramento/Placerville</v>
      </c>
      <c r="H871" s="175"/>
      <c r="I871" s="178" t="s">
        <v>631</v>
      </c>
      <c r="J871" s="27" t="s">
        <v>434</v>
      </c>
      <c r="K871" s="27">
        <v>1237</v>
      </c>
      <c r="L871" s="179">
        <v>2749</v>
      </c>
      <c r="M871" s="178" t="s">
        <v>632</v>
      </c>
      <c r="N871" s="27" t="s">
        <v>434</v>
      </c>
      <c r="O871" s="182" t="s">
        <v>633</v>
      </c>
    </row>
    <row r="872" spans="2:15">
      <c r="B872" s="174" t="s">
        <v>2439</v>
      </c>
      <c r="C872" s="175" t="s">
        <v>433</v>
      </c>
      <c r="D872" s="176" t="s">
        <v>434</v>
      </c>
      <c r="E872" s="177" t="s">
        <v>2440</v>
      </c>
      <c r="F872" s="175">
        <f t="shared" si="27"/>
        <v>15</v>
      </c>
      <c r="G872" s="175" t="str">
        <f t="shared" si="28"/>
        <v>Pollock Pines</v>
      </c>
      <c r="H872" s="175"/>
      <c r="I872" s="178" t="s">
        <v>1393</v>
      </c>
      <c r="J872" s="27" t="s">
        <v>1391</v>
      </c>
      <c r="K872" s="27">
        <v>508</v>
      </c>
      <c r="L872" s="179">
        <v>5674</v>
      </c>
      <c r="M872" s="180" t="s">
        <v>1394</v>
      </c>
      <c r="N872" s="181" t="s">
        <v>1391</v>
      </c>
      <c r="O872" s="182" t="s">
        <v>1395</v>
      </c>
    </row>
    <row r="873" spans="2:15">
      <c r="B873" s="174" t="s">
        <v>327</v>
      </c>
      <c r="C873" s="175" t="s">
        <v>433</v>
      </c>
      <c r="D873" s="176" t="s">
        <v>434</v>
      </c>
      <c r="E873" s="177" t="s">
        <v>328</v>
      </c>
      <c r="F873" s="175">
        <f t="shared" si="27"/>
        <v>12</v>
      </c>
      <c r="G873" s="175" t="str">
        <f t="shared" si="28"/>
        <v>Sacramento</v>
      </c>
      <c r="H873" s="175"/>
      <c r="I873" s="178" t="s">
        <v>631</v>
      </c>
      <c r="J873" s="27" t="s">
        <v>434</v>
      </c>
      <c r="K873" s="27">
        <v>1237</v>
      </c>
      <c r="L873" s="179">
        <v>2749</v>
      </c>
      <c r="M873" s="178" t="s">
        <v>632</v>
      </c>
      <c r="N873" s="27" t="s">
        <v>434</v>
      </c>
      <c r="O873" s="182" t="s">
        <v>633</v>
      </c>
    </row>
    <row r="874" spans="2:15">
      <c r="B874" s="174" t="s">
        <v>1147</v>
      </c>
      <c r="C874" s="175" t="s">
        <v>433</v>
      </c>
      <c r="D874" s="176" t="s">
        <v>434</v>
      </c>
      <c r="E874" s="177" t="s">
        <v>1148</v>
      </c>
      <c r="F874" s="175">
        <f t="shared" si="27"/>
        <v>12</v>
      </c>
      <c r="G874" s="175" t="str">
        <f t="shared" si="28"/>
        <v>Marysville</v>
      </c>
      <c r="H874" s="175"/>
      <c r="I874" s="178" t="s">
        <v>631</v>
      </c>
      <c r="J874" s="27" t="s">
        <v>434</v>
      </c>
      <c r="K874" s="27">
        <v>1237</v>
      </c>
      <c r="L874" s="179">
        <v>2749</v>
      </c>
      <c r="M874" s="178" t="s">
        <v>632</v>
      </c>
      <c r="N874" s="27" t="s">
        <v>434</v>
      </c>
      <c r="O874" s="182" t="s">
        <v>633</v>
      </c>
    </row>
    <row r="875" spans="2:15">
      <c r="B875" s="174" t="s">
        <v>2497</v>
      </c>
      <c r="C875" s="175" t="s">
        <v>433</v>
      </c>
      <c r="D875" s="176" t="s">
        <v>434</v>
      </c>
      <c r="E875" s="177" t="s">
        <v>2498</v>
      </c>
      <c r="F875" s="175">
        <f t="shared" si="27"/>
        <v>9</v>
      </c>
      <c r="G875" s="175" t="str">
        <f t="shared" si="28"/>
        <v>Redding</v>
      </c>
      <c r="H875" s="175"/>
      <c r="I875" s="178" t="s">
        <v>2499</v>
      </c>
      <c r="J875" s="27" t="s">
        <v>434</v>
      </c>
      <c r="K875" s="27">
        <v>1797</v>
      </c>
      <c r="L875" s="179">
        <v>2855</v>
      </c>
      <c r="M875" s="178" t="s">
        <v>632</v>
      </c>
      <c r="N875" s="27" t="s">
        <v>434</v>
      </c>
      <c r="O875" s="182" t="s">
        <v>633</v>
      </c>
    </row>
    <row r="876" spans="2:15">
      <c r="B876" s="174" t="s">
        <v>826</v>
      </c>
      <c r="C876" s="175" t="s">
        <v>433</v>
      </c>
      <c r="D876" s="176" t="s">
        <v>434</v>
      </c>
      <c r="E876" s="177" t="s">
        <v>827</v>
      </c>
      <c r="F876" s="175">
        <f t="shared" si="27"/>
        <v>12</v>
      </c>
      <c r="G876" s="175" t="str">
        <f t="shared" si="28"/>
        <v>Susanville</v>
      </c>
      <c r="H876" s="175"/>
      <c r="I876" s="178" t="s">
        <v>828</v>
      </c>
      <c r="J876" s="27" t="s">
        <v>1391</v>
      </c>
      <c r="K876" s="27">
        <v>538</v>
      </c>
      <c r="L876" s="179">
        <v>6315</v>
      </c>
      <c r="M876" s="178" t="s">
        <v>632</v>
      </c>
      <c r="N876" s="27" t="s">
        <v>434</v>
      </c>
      <c r="O876" s="182" t="s">
        <v>633</v>
      </c>
    </row>
    <row r="877" spans="2:15">
      <c r="B877" s="174" t="s">
        <v>775</v>
      </c>
      <c r="C877" s="175" t="s">
        <v>776</v>
      </c>
      <c r="D877" s="176" t="s">
        <v>777</v>
      </c>
      <c r="E877" s="177" t="s">
        <v>778</v>
      </c>
      <c r="F877" s="175">
        <f t="shared" si="27"/>
        <v>10</v>
      </c>
      <c r="G877" s="175" t="str">
        <f t="shared" si="28"/>
        <v>Honolulu</v>
      </c>
      <c r="H877" s="175"/>
      <c r="I877" s="178" t="s">
        <v>779</v>
      </c>
      <c r="J877" s="27" t="s">
        <v>777</v>
      </c>
      <c r="K877" s="27">
        <v>3284</v>
      </c>
      <c r="L877" s="179">
        <v>0</v>
      </c>
      <c r="M877" s="178" t="s">
        <v>780</v>
      </c>
      <c r="N877" s="27" t="s">
        <v>777</v>
      </c>
      <c r="O877" s="182" t="s">
        <v>781</v>
      </c>
    </row>
    <row r="878" spans="2:15">
      <c r="B878" s="174" t="s">
        <v>782</v>
      </c>
      <c r="C878" s="175" t="s">
        <v>776</v>
      </c>
      <c r="D878" s="176" t="s">
        <v>777</v>
      </c>
      <c r="E878" s="177" t="s">
        <v>778</v>
      </c>
      <c r="F878" s="175">
        <f t="shared" si="27"/>
        <v>10</v>
      </c>
      <c r="G878" s="175" t="str">
        <f t="shared" si="28"/>
        <v>Honolulu</v>
      </c>
      <c r="H878" s="175"/>
      <c r="I878" s="178" t="s">
        <v>783</v>
      </c>
      <c r="J878" s="27" t="s">
        <v>777</v>
      </c>
      <c r="K878" s="27">
        <v>4474</v>
      </c>
      <c r="L878" s="179">
        <v>0</v>
      </c>
      <c r="M878" s="178" t="s">
        <v>780</v>
      </c>
      <c r="N878" s="27" t="s">
        <v>777</v>
      </c>
      <c r="O878" s="182" t="s">
        <v>781</v>
      </c>
    </row>
    <row r="879" spans="2:15">
      <c r="B879" s="174">
        <v>969</v>
      </c>
      <c r="C879" s="175" t="s">
        <v>2173</v>
      </c>
      <c r="D879" s="176" t="s">
        <v>2174</v>
      </c>
      <c r="E879" s="177" t="s">
        <v>2175</v>
      </c>
      <c r="F879" s="175">
        <f t="shared" si="27"/>
        <v>10</v>
      </c>
      <c r="G879" s="175" t="str">
        <f t="shared" si="28"/>
        <v>Mangilao</v>
      </c>
      <c r="H879" s="175"/>
      <c r="I879" s="178" t="s">
        <v>1134</v>
      </c>
      <c r="J879" s="27" t="s">
        <v>1135</v>
      </c>
      <c r="K879" s="27">
        <v>5034</v>
      </c>
      <c r="L879" s="179">
        <v>0</v>
      </c>
      <c r="M879" s="178" t="s">
        <v>780</v>
      </c>
      <c r="N879" s="27" t="s">
        <v>777</v>
      </c>
      <c r="O879" s="182" t="s">
        <v>781</v>
      </c>
    </row>
    <row r="880" spans="2:15">
      <c r="B880" s="174" t="s">
        <v>784</v>
      </c>
      <c r="C880" s="175" t="s">
        <v>1622</v>
      </c>
      <c r="D880" s="176" t="s">
        <v>1623</v>
      </c>
      <c r="E880" s="177" t="s">
        <v>785</v>
      </c>
      <c r="F880" s="175">
        <f t="shared" si="27"/>
        <v>12</v>
      </c>
      <c r="G880" s="175" t="str">
        <f t="shared" si="28"/>
        <v>Hood River</v>
      </c>
      <c r="H880" s="175"/>
      <c r="I880" s="178" t="s">
        <v>786</v>
      </c>
      <c r="J880" s="27" t="s">
        <v>1623</v>
      </c>
      <c r="K880" s="27">
        <v>247</v>
      </c>
      <c r="L880" s="179">
        <v>4927</v>
      </c>
      <c r="M880" s="178" t="s">
        <v>787</v>
      </c>
      <c r="N880" s="27" t="s">
        <v>1623</v>
      </c>
      <c r="O880" s="182" t="s">
        <v>788</v>
      </c>
    </row>
    <row r="881" spans="2:15">
      <c r="B881" s="174" t="s">
        <v>2453</v>
      </c>
      <c r="C881" s="175" t="s">
        <v>1622</v>
      </c>
      <c r="D881" s="176" t="s">
        <v>1623</v>
      </c>
      <c r="E881" s="177" t="s">
        <v>2451</v>
      </c>
      <c r="F881" s="175">
        <f t="shared" si="27"/>
        <v>10</v>
      </c>
      <c r="G881" s="175" t="str">
        <f t="shared" si="28"/>
        <v>Portland</v>
      </c>
      <c r="H881" s="175"/>
      <c r="I881" s="178" t="s">
        <v>2454</v>
      </c>
      <c r="J881" s="27" t="s">
        <v>1623</v>
      </c>
      <c r="K881" s="27">
        <v>371</v>
      </c>
      <c r="L881" s="179">
        <v>4522</v>
      </c>
      <c r="M881" s="180" t="s">
        <v>1548</v>
      </c>
      <c r="N881" s="181" t="s">
        <v>1623</v>
      </c>
      <c r="O881" s="182" t="s">
        <v>2455</v>
      </c>
    </row>
    <row r="882" spans="2:15">
      <c r="B882" s="174" t="s">
        <v>2456</v>
      </c>
      <c r="C882" s="175" t="s">
        <v>1622</v>
      </c>
      <c r="D882" s="176" t="s">
        <v>1623</v>
      </c>
      <c r="E882" s="177" t="s">
        <v>2451</v>
      </c>
      <c r="F882" s="175">
        <f t="shared" si="27"/>
        <v>10</v>
      </c>
      <c r="G882" s="175" t="str">
        <f t="shared" si="28"/>
        <v>Portland</v>
      </c>
      <c r="H882" s="175"/>
      <c r="I882" s="178" t="s">
        <v>2454</v>
      </c>
      <c r="J882" s="27" t="s">
        <v>1623</v>
      </c>
      <c r="K882" s="27">
        <v>371</v>
      </c>
      <c r="L882" s="179">
        <v>4522</v>
      </c>
      <c r="M882" s="180" t="s">
        <v>1548</v>
      </c>
      <c r="N882" s="181" t="s">
        <v>1623</v>
      </c>
      <c r="O882" s="182" t="s">
        <v>2455</v>
      </c>
    </row>
    <row r="883" spans="2:15">
      <c r="B883" s="174" t="s">
        <v>349</v>
      </c>
      <c r="C883" s="175" t="s">
        <v>1622</v>
      </c>
      <c r="D883" s="176" t="s">
        <v>1623</v>
      </c>
      <c r="E883" s="177" t="s">
        <v>350</v>
      </c>
      <c r="F883" s="175">
        <f t="shared" si="27"/>
        <v>7</v>
      </c>
      <c r="G883" s="175" t="str">
        <f t="shared" si="28"/>
        <v>Salem</v>
      </c>
      <c r="H883" s="175"/>
      <c r="I883" s="178" t="s">
        <v>786</v>
      </c>
      <c r="J883" s="27" t="s">
        <v>1623</v>
      </c>
      <c r="K883" s="27">
        <v>247</v>
      </c>
      <c r="L883" s="179">
        <v>4927</v>
      </c>
      <c r="M883" s="178" t="s">
        <v>787</v>
      </c>
      <c r="N883" s="27" t="s">
        <v>1623</v>
      </c>
      <c r="O883" s="182" t="s">
        <v>788</v>
      </c>
    </row>
    <row r="884" spans="2:15">
      <c r="B884" s="174" t="s">
        <v>531</v>
      </c>
      <c r="C884" s="175" t="s">
        <v>1622</v>
      </c>
      <c r="D884" s="176" t="s">
        <v>1623</v>
      </c>
      <c r="E884" s="177" t="s">
        <v>532</v>
      </c>
      <c r="F884" s="175">
        <f t="shared" si="27"/>
        <v>8</v>
      </c>
      <c r="G884" s="175" t="str">
        <f t="shared" si="28"/>
        <v>Eugene</v>
      </c>
      <c r="H884" s="175"/>
      <c r="I884" s="178" t="s">
        <v>533</v>
      </c>
      <c r="J884" s="27" t="s">
        <v>1623</v>
      </c>
      <c r="K884" s="27">
        <v>300</v>
      </c>
      <c r="L884" s="179">
        <v>4546</v>
      </c>
      <c r="M884" s="180" t="s">
        <v>534</v>
      </c>
      <c r="N884" s="181" t="s">
        <v>1623</v>
      </c>
      <c r="O884" s="182" t="s">
        <v>535</v>
      </c>
    </row>
    <row r="885" spans="2:15">
      <c r="B885" s="174" t="s">
        <v>1123</v>
      </c>
      <c r="C885" s="175" t="s">
        <v>1622</v>
      </c>
      <c r="D885" s="176" t="s">
        <v>1623</v>
      </c>
      <c r="E885" s="177" t="s">
        <v>1124</v>
      </c>
      <c r="F885" s="175">
        <f t="shared" si="27"/>
        <v>9</v>
      </c>
      <c r="G885" s="175" t="str">
        <f t="shared" si="28"/>
        <v>Medford</v>
      </c>
      <c r="H885" s="175"/>
      <c r="I885" s="178" t="s">
        <v>926</v>
      </c>
      <c r="J885" s="27" t="s">
        <v>1623</v>
      </c>
      <c r="K885" s="27">
        <v>725</v>
      </c>
      <c r="L885" s="179">
        <v>4611</v>
      </c>
      <c r="M885" s="180" t="s">
        <v>539</v>
      </c>
      <c r="N885" s="181" t="s">
        <v>1623</v>
      </c>
      <c r="O885" s="182" t="s">
        <v>540</v>
      </c>
    </row>
    <row r="886" spans="2:15">
      <c r="B886" s="174" t="s">
        <v>924</v>
      </c>
      <c r="C886" s="175" t="s">
        <v>1622</v>
      </c>
      <c r="D886" s="176" t="s">
        <v>1623</v>
      </c>
      <c r="E886" s="177" t="s">
        <v>925</v>
      </c>
      <c r="F886" s="175">
        <f t="shared" si="27"/>
        <v>15</v>
      </c>
      <c r="G886" s="175" t="str">
        <f t="shared" si="28"/>
        <v>Klamath Falls</v>
      </c>
      <c r="H886" s="175"/>
      <c r="I886" s="178" t="s">
        <v>926</v>
      </c>
      <c r="J886" s="27" t="s">
        <v>1623</v>
      </c>
      <c r="K886" s="27">
        <v>725</v>
      </c>
      <c r="L886" s="179">
        <v>4611</v>
      </c>
      <c r="M886" s="180" t="s">
        <v>539</v>
      </c>
      <c r="N886" s="181" t="s">
        <v>1623</v>
      </c>
      <c r="O886" s="182" t="s">
        <v>540</v>
      </c>
    </row>
    <row r="887" spans="2:15">
      <c r="B887" s="174" t="s">
        <v>1621</v>
      </c>
      <c r="C887" s="175" t="s">
        <v>1622</v>
      </c>
      <c r="D887" s="176" t="s">
        <v>1623</v>
      </c>
      <c r="E887" s="177" t="s">
        <v>1624</v>
      </c>
      <c r="F887" s="175">
        <f t="shared" si="27"/>
        <v>6</v>
      </c>
      <c r="G887" s="175" t="str">
        <f t="shared" si="28"/>
        <v>Bend</v>
      </c>
      <c r="H887" s="175"/>
      <c r="I887" s="178" t="s">
        <v>1625</v>
      </c>
      <c r="J887" s="27" t="s">
        <v>1623</v>
      </c>
      <c r="K887" s="27">
        <v>202</v>
      </c>
      <c r="L887" s="179">
        <v>7785</v>
      </c>
      <c r="M887" s="180" t="s">
        <v>1626</v>
      </c>
      <c r="N887" s="181" t="s">
        <v>1627</v>
      </c>
      <c r="O887" s="182" t="s">
        <v>1628</v>
      </c>
    </row>
    <row r="888" spans="2:15">
      <c r="B888" s="174" t="s">
        <v>612</v>
      </c>
      <c r="C888" s="175" t="s">
        <v>1622</v>
      </c>
      <c r="D888" s="176" t="s">
        <v>1623</v>
      </c>
      <c r="E888" s="177" t="s">
        <v>613</v>
      </c>
      <c r="F888" s="175">
        <f t="shared" si="27"/>
        <v>11</v>
      </c>
      <c r="G888" s="175" t="str">
        <f t="shared" si="28"/>
        <v>Pendleton</v>
      </c>
      <c r="H888" s="175"/>
      <c r="I888" s="178" t="s">
        <v>586</v>
      </c>
      <c r="J888" s="27" t="s">
        <v>1623</v>
      </c>
      <c r="K888" s="27">
        <v>701</v>
      </c>
      <c r="L888" s="179">
        <v>5294</v>
      </c>
      <c r="M888" s="180" t="s">
        <v>1626</v>
      </c>
      <c r="N888" s="181" t="s">
        <v>1627</v>
      </c>
      <c r="O888" s="182" t="s">
        <v>1628</v>
      </c>
    </row>
    <row r="889" spans="2:15">
      <c r="B889" s="174" t="s">
        <v>1449</v>
      </c>
      <c r="C889" s="175" t="s">
        <v>1622</v>
      </c>
      <c r="D889" s="176" t="s">
        <v>1623</v>
      </c>
      <c r="E889" s="177" t="s">
        <v>1450</v>
      </c>
      <c r="F889" s="175">
        <f t="shared" si="27"/>
        <v>9</v>
      </c>
      <c r="G889" s="175" t="str">
        <f t="shared" si="28"/>
        <v>Ontario</v>
      </c>
      <c r="H889" s="175"/>
      <c r="I889" s="178" t="s">
        <v>2283</v>
      </c>
      <c r="J889" s="27" t="s">
        <v>2281</v>
      </c>
      <c r="K889" s="27">
        <v>754</v>
      </c>
      <c r="L889" s="179">
        <v>5861</v>
      </c>
      <c r="M889" s="180" t="s">
        <v>2284</v>
      </c>
      <c r="N889" s="181" t="s">
        <v>2281</v>
      </c>
      <c r="O889" s="182" t="s">
        <v>2285</v>
      </c>
    </row>
    <row r="890" spans="2:15">
      <c r="B890" s="174" t="s">
        <v>1022</v>
      </c>
      <c r="C890" s="175" t="s">
        <v>584</v>
      </c>
      <c r="D890" s="176" t="s">
        <v>1627</v>
      </c>
      <c r="E890" s="177" t="s">
        <v>1266</v>
      </c>
      <c r="F890" s="175">
        <f t="shared" si="27"/>
        <v>9</v>
      </c>
      <c r="G890" s="175" t="str">
        <f t="shared" si="28"/>
        <v>Seattle</v>
      </c>
      <c r="H890" s="175"/>
      <c r="I890" s="178" t="s">
        <v>1267</v>
      </c>
      <c r="J890" s="27" t="s">
        <v>1627</v>
      </c>
      <c r="K890" s="27">
        <v>167</v>
      </c>
      <c r="L890" s="179">
        <v>4611</v>
      </c>
      <c r="M890" s="180" t="s">
        <v>2392</v>
      </c>
      <c r="N890" s="181" t="s">
        <v>1627</v>
      </c>
      <c r="O890" s="182" t="s">
        <v>2393</v>
      </c>
    </row>
    <row r="891" spans="2:15">
      <c r="B891" s="174" t="s">
        <v>1268</v>
      </c>
      <c r="C891" s="175" t="s">
        <v>584</v>
      </c>
      <c r="D891" s="176" t="s">
        <v>1627</v>
      </c>
      <c r="E891" s="177" t="s">
        <v>1266</v>
      </c>
      <c r="F891" s="175">
        <f t="shared" si="27"/>
        <v>9</v>
      </c>
      <c r="G891" s="175" t="str">
        <f t="shared" si="28"/>
        <v>Seattle</v>
      </c>
      <c r="H891" s="175"/>
      <c r="I891" s="178" t="s">
        <v>1267</v>
      </c>
      <c r="J891" s="27" t="s">
        <v>1627</v>
      </c>
      <c r="K891" s="27">
        <v>167</v>
      </c>
      <c r="L891" s="179">
        <v>4611</v>
      </c>
      <c r="M891" s="180" t="s">
        <v>2392</v>
      </c>
      <c r="N891" s="181" t="s">
        <v>1627</v>
      </c>
      <c r="O891" s="182" t="s">
        <v>2393</v>
      </c>
    </row>
    <row r="892" spans="2:15">
      <c r="B892" s="174" t="s">
        <v>2389</v>
      </c>
      <c r="C892" s="175" t="s">
        <v>584</v>
      </c>
      <c r="D892" s="176" t="s">
        <v>1627</v>
      </c>
      <c r="E892" s="177" t="s">
        <v>2390</v>
      </c>
      <c r="F892" s="175">
        <f t="shared" si="27"/>
        <v>9</v>
      </c>
      <c r="G892" s="175" t="str">
        <f t="shared" si="28"/>
        <v>Everett</v>
      </c>
      <c r="H892" s="175"/>
      <c r="I892" s="178" t="s">
        <v>2391</v>
      </c>
      <c r="J892" s="27" t="s">
        <v>1627</v>
      </c>
      <c r="K892" s="27">
        <v>6</v>
      </c>
      <c r="L892" s="179">
        <v>5858</v>
      </c>
      <c r="M892" s="180" t="s">
        <v>2392</v>
      </c>
      <c r="N892" s="181" t="s">
        <v>1627</v>
      </c>
      <c r="O892" s="182" t="s">
        <v>2393</v>
      </c>
    </row>
    <row r="893" spans="2:15">
      <c r="B893" s="174" t="s">
        <v>835</v>
      </c>
      <c r="C893" s="175" t="s">
        <v>584</v>
      </c>
      <c r="D893" s="176" t="s">
        <v>1627</v>
      </c>
      <c r="E893" s="177" t="s">
        <v>836</v>
      </c>
      <c r="F893" s="175">
        <f t="shared" si="27"/>
        <v>8</v>
      </c>
      <c r="G893" s="175" t="str">
        <f t="shared" si="28"/>
        <v>Tacoma</v>
      </c>
      <c r="H893" s="175"/>
      <c r="I893" s="178" t="s">
        <v>837</v>
      </c>
      <c r="J893" s="27" t="s">
        <v>1627</v>
      </c>
      <c r="K893" s="27">
        <v>190</v>
      </c>
      <c r="L893" s="179">
        <v>4908</v>
      </c>
      <c r="M893" s="180" t="s">
        <v>2392</v>
      </c>
      <c r="N893" s="181" t="s">
        <v>1627</v>
      </c>
      <c r="O893" s="182" t="s">
        <v>2393</v>
      </c>
    </row>
    <row r="894" spans="2:15">
      <c r="B894" s="174" t="s">
        <v>838</v>
      </c>
      <c r="C894" s="175" t="s">
        <v>584</v>
      </c>
      <c r="D894" s="176" t="s">
        <v>1627</v>
      </c>
      <c r="E894" s="177" t="s">
        <v>836</v>
      </c>
      <c r="F894" s="175">
        <f t="shared" si="27"/>
        <v>8</v>
      </c>
      <c r="G894" s="175" t="str">
        <f t="shared" si="28"/>
        <v>Tacoma</v>
      </c>
      <c r="H894" s="175"/>
      <c r="I894" s="178" t="s">
        <v>837</v>
      </c>
      <c r="J894" s="27" t="s">
        <v>1627</v>
      </c>
      <c r="K894" s="27">
        <v>190</v>
      </c>
      <c r="L894" s="179">
        <v>4908</v>
      </c>
      <c r="M894" s="180" t="s">
        <v>2392</v>
      </c>
      <c r="N894" s="181" t="s">
        <v>1627</v>
      </c>
      <c r="O894" s="182" t="s">
        <v>2393</v>
      </c>
    </row>
    <row r="895" spans="2:15">
      <c r="B895" s="174" t="s">
        <v>1442</v>
      </c>
      <c r="C895" s="175" t="s">
        <v>584</v>
      </c>
      <c r="D895" s="176" t="s">
        <v>1627</v>
      </c>
      <c r="E895" s="177" t="s">
        <v>1443</v>
      </c>
      <c r="F895" s="175">
        <f t="shared" si="27"/>
        <v>9</v>
      </c>
      <c r="G895" s="175" t="str">
        <f t="shared" si="28"/>
        <v>Olympia</v>
      </c>
      <c r="H895" s="175"/>
      <c r="I895" s="178" t="s">
        <v>1444</v>
      </c>
      <c r="J895" s="27" t="s">
        <v>1627</v>
      </c>
      <c r="K895" s="27">
        <v>101</v>
      </c>
      <c r="L895" s="179">
        <v>5655</v>
      </c>
      <c r="M895" s="180" t="s">
        <v>2392</v>
      </c>
      <c r="N895" s="181" t="s">
        <v>1627</v>
      </c>
      <c r="O895" s="182" t="s">
        <v>2393</v>
      </c>
    </row>
    <row r="896" spans="2:15">
      <c r="B896" s="174" t="s">
        <v>1788</v>
      </c>
      <c r="C896" s="175" t="s">
        <v>584</v>
      </c>
      <c r="D896" s="176" t="s">
        <v>1627</v>
      </c>
      <c r="E896" s="177" t="s">
        <v>1789</v>
      </c>
      <c r="F896" s="175">
        <f t="shared" si="27"/>
        <v>11</v>
      </c>
      <c r="G896" s="175" t="str">
        <f t="shared" si="28"/>
        <v>Vancouver</v>
      </c>
      <c r="H896" s="175"/>
      <c r="I896" s="178" t="s">
        <v>2454</v>
      </c>
      <c r="J896" s="27" t="s">
        <v>1623</v>
      </c>
      <c r="K896" s="27">
        <v>371</v>
      </c>
      <c r="L896" s="179">
        <v>4522</v>
      </c>
      <c r="M896" s="180" t="s">
        <v>1548</v>
      </c>
      <c r="N896" s="181" t="s">
        <v>1623</v>
      </c>
      <c r="O896" s="182" t="s">
        <v>2455</v>
      </c>
    </row>
    <row r="897" spans="2:15">
      <c r="B897" s="174" t="s">
        <v>1828</v>
      </c>
      <c r="C897" s="175" t="s">
        <v>584</v>
      </c>
      <c r="D897" s="176" t="s">
        <v>1627</v>
      </c>
      <c r="E897" s="177" t="s">
        <v>1829</v>
      </c>
      <c r="F897" s="175">
        <f t="shared" si="27"/>
        <v>11</v>
      </c>
      <c r="G897" s="175" t="str">
        <f t="shared" si="28"/>
        <v>Wenatchee</v>
      </c>
      <c r="H897" s="175"/>
      <c r="I897" s="178" t="s">
        <v>1830</v>
      </c>
      <c r="J897" s="27" t="s">
        <v>1627</v>
      </c>
      <c r="K897" s="27">
        <v>458</v>
      </c>
      <c r="L897" s="179">
        <v>5967</v>
      </c>
      <c r="M897" s="180" t="s">
        <v>1626</v>
      </c>
      <c r="N897" s="181" t="s">
        <v>1627</v>
      </c>
      <c r="O897" s="182" t="s">
        <v>1628</v>
      </c>
    </row>
    <row r="898" spans="2:15">
      <c r="B898" s="174" t="s">
        <v>1852</v>
      </c>
      <c r="C898" s="175" t="s">
        <v>584</v>
      </c>
      <c r="D898" s="176" t="s">
        <v>1627</v>
      </c>
      <c r="E898" s="177" t="s">
        <v>1853</v>
      </c>
      <c r="F898" s="175">
        <f t="shared" si="27"/>
        <v>8</v>
      </c>
      <c r="G898" s="175" t="str">
        <f t="shared" si="28"/>
        <v>Yakima</v>
      </c>
      <c r="H898" s="175"/>
      <c r="I898" s="178" t="s">
        <v>1830</v>
      </c>
      <c r="J898" s="27" t="s">
        <v>1627</v>
      </c>
      <c r="K898" s="27">
        <v>458</v>
      </c>
      <c r="L898" s="179">
        <v>5967</v>
      </c>
      <c r="M898" s="180" t="s">
        <v>1626</v>
      </c>
      <c r="N898" s="181" t="s">
        <v>1627</v>
      </c>
      <c r="O898" s="182" t="s">
        <v>1628</v>
      </c>
    </row>
    <row r="899" spans="2:15">
      <c r="B899" s="174" t="s">
        <v>1223</v>
      </c>
      <c r="C899" s="175" t="s">
        <v>584</v>
      </c>
      <c r="D899" s="176" t="s">
        <v>1627</v>
      </c>
      <c r="E899" s="177" t="s">
        <v>1224</v>
      </c>
      <c r="F899" s="175">
        <f t="shared" si="27"/>
        <v>9</v>
      </c>
      <c r="G899" s="175" t="str">
        <f t="shared" si="28"/>
        <v>Spokane</v>
      </c>
      <c r="H899" s="175"/>
      <c r="I899" s="178" t="s">
        <v>1491</v>
      </c>
      <c r="J899" s="27" t="s">
        <v>1627</v>
      </c>
      <c r="K899" s="27">
        <v>398</v>
      </c>
      <c r="L899" s="179">
        <v>6842</v>
      </c>
      <c r="M899" s="180" t="s">
        <v>1492</v>
      </c>
      <c r="N899" s="181" t="s">
        <v>1627</v>
      </c>
      <c r="O899" s="182" t="s">
        <v>1493</v>
      </c>
    </row>
    <row r="900" spans="2:15">
      <c r="B900" s="174" t="s">
        <v>1225</v>
      </c>
      <c r="C900" s="175" t="s">
        <v>584</v>
      </c>
      <c r="D900" s="176" t="s">
        <v>1627</v>
      </c>
      <c r="E900" s="177" t="s">
        <v>1224</v>
      </c>
      <c r="F900" s="175">
        <f t="shared" si="27"/>
        <v>9</v>
      </c>
      <c r="G900" s="175" t="str">
        <f t="shared" si="28"/>
        <v>Spokane</v>
      </c>
      <c r="H900" s="175"/>
      <c r="I900" s="178" t="s">
        <v>1491</v>
      </c>
      <c r="J900" s="27" t="s">
        <v>1627</v>
      </c>
      <c r="K900" s="27">
        <v>398</v>
      </c>
      <c r="L900" s="179">
        <v>6842</v>
      </c>
      <c r="M900" s="180" t="s">
        <v>1492</v>
      </c>
      <c r="N900" s="181" t="s">
        <v>1627</v>
      </c>
      <c r="O900" s="182" t="s">
        <v>1493</v>
      </c>
    </row>
    <row r="901" spans="2:15">
      <c r="B901" s="174" t="s">
        <v>1226</v>
      </c>
      <c r="C901" s="175" t="s">
        <v>584</v>
      </c>
      <c r="D901" s="176" t="s">
        <v>1627</v>
      </c>
      <c r="E901" s="177" t="s">
        <v>1224</v>
      </c>
      <c r="F901" s="175">
        <f t="shared" si="27"/>
        <v>9</v>
      </c>
      <c r="G901" s="175" t="str">
        <f t="shared" si="28"/>
        <v>Spokane</v>
      </c>
      <c r="H901" s="175"/>
      <c r="I901" s="178" t="s">
        <v>1491</v>
      </c>
      <c r="J901" s="27" t="s">
        <v>1627</v>
      </c>
      <c r="K901" s="27">
        <v>398</v>
      </c>
      <c r="L901" s="179">
        <v>6842</v>
      </c>
      <c r="M901" s="180" t="s">
        <v>1492</v>
      </c>
      <c r="N901" s="181" t="s">
        <v>1627</v>
      </c>
      <c r="O901" s="182" t="s">
        <v>1493</v>
      </c>
    </row>
    <row r="902" spans="2:15">
      <c r="B902" s="174" t="s">
        <v>32</v>
      </c>
      <c r="C902" s="175" t="s">
        <v>584</v>
      </c>
      <c r="D902" s="176" t="s">
        <v>1627</v>
      </c>
      <c r="E902" s="177" t="s">
        <v>33</v>
      </c>
      <c r="F902" s="175">
        <f t="shared" si="27"/>
        <v>10</v>
      </c>
      <c r="G902" s="175" t="str">
        <f t="shared" si="28"/>
        <v>Richland</v>
      </c>
      <c r="H902" s="175"/>
      <c r="I902" s="178" t="s">
        <v>586</v>
      </c>
      <c r="J902" s="27" t="s">
        <v>1623</v>
      </c>
      <c r="K902" s="27">
        <v>701</v>
      </c>
      <c r="L902" s="179">
        <v>5294</v>
      </c>
      <c r="M902" s="180" t="s">
        <v>1626</v>
      </c>
      <c r="N902" s="181" t="s">
        <v>1627</v>
      </c>
      <c r="O902" s="182" t="s">
        <v>1628</v>
      </c>
    </row>
    <row r="903" spans="2:15">
      <c r="B903" s="174" t="s">
        <v>583</v>
      </c>
      <c r="C903" s="175" t="s">
        <v>584</v>
      </c>
      <c r="D903" s="176" t="s">
        <v>1627</v>
      </c>
      <c r="E903" s="177" t="s">
        <v>585</v>
      </c>
      <c r="F903" s="175">
        <f t="shared" si="27"/>
        <v>11</v>
      </c>
      <c r="G903" s="175" t="str">
        <f t="shared" si="28"/>
        <v>Clarkston</v>
      </c>
      <c r="H903" s="175"/>
      <c r="I903" s="178" t="s">
        <v>586</v>
      </c>
      <c r="J903" s="27" t="s">
        <v>1623</v>
      </c>
      <c r="K903" s="27">
        <v>701</v>
      </c>
      <c r="L903" s="179">
        <v>5294</v>
      </c>
      <c r="M903" s="180" t="s">
        <v>1626</v>
      </c>
      <c r="N903" s="181" t="s">
        <v>1627</v>
      </c>
      <c r="O903" s="182" t="s">
        <v>1628</v>
      </c>
    </row>
    <row r="904" spans="2:15">
      <c r="B904" s="174" t="s">
        <v>463</v>
      </c>
      <c r="C904" s="175" t="s">
        <v>464</v>
      </c>
      <c r="D904" s="176" t="s">
        <v>465</v>
      </c>
      <c r="E904" s="177" t="s">
        <v>466</v>
      </c>
      <c r="F904" s="175">
        <f t="shared" si="27"/>
        <v>11</v>
      </c>
      <c r="G904" s="175" t="str">
        <f t="shared" si="28"/>
        <v>Anchorage</v>
      </c>
      <c r="H904" s="175"/>
      <c r="I904" s="178" t="s">
        <v>467</v>
      </c>
      <c r="J904" s="27" t="s">
        <v>465</v>
      </c>
      <c r="K904" s="27">
        <v>0</v>
      </c>
      <c r="L904" s="179">
        <v>10570</v>
      </c>
      <c r="M904" s="178" t="s">
        <v>468</v>
      </c>
      <c r="N904" s="27" t="s">
        <v>465</v>
      </c>
      <c r="O904" s="187" t="s">
        <v>469</v>
      </c>
    </row>
    <row r="905" spans="2:15">
      <c r="B905" s="174" t="s">
        <v>470</v>
      </c>
      <c r="C905" s="175" t="s">
        <v>464</v>
      </c>
      <c r="D905" s="176" t="s">
        <v>465</v>
      </c>
      <c r="E905" s="177" t="s">
        <v>466</v>
      </c>
      <c r="F905" s="175">
        <f t="shared" si="27"/>
        <v>11</v>
      </c>
      <c r="G905" s="175" t="str">
        <f t="shared" si="28"/>
        <v>Anchorage</v>
      </c>
      <c r="H905" s="175"/>
      <c r="I905" s="178" t="s">
        <v>467</v>
      </c>
      <c r="J905" s="27" t="s">
        <v>465</v>
      </c>
      <c r="K905" s="27">
        <v>0</v>
      </c>
      <c r="L905" s="179">
        <v>10570</v>
      </c>
      <c r="M905" s="178" t="s">
        <v>468</v>
      </c>
      <c r="N905" s="27" t="s">
        <v>465</v>
      </c>
      <c r="O905" s="187" t="s">
        <v>469</v>
      </c>
    </row>
    <row r="906" spans="2:15">
      <c r="B906" s="174" t="s">
        <v>2396</v>
      </c>
      <c r="C906" s="175" t="s">
        <v>464</v>
      </c>
      <c r="D906" s="176" t="s">
        <v>465</v>
      </c>
      <c r="E906" s="177" t="s">
        <v>2397</v>
      </c>
      <c r="F906" s="175">
        <f>LEN(E906)</f>
        <v>11</v>
      </c>
      <c r="G906" s="175" t="str">
        <f>MID(E906,2,F906-2)</f>
        <v>Fairbanks</v>
      </c>
      <c r="H906" s="175"/>
      <c r="I906" s="178" t="s">
        <v>2398</v>
      </c>
      <c r="J906" s="27" t="s">
        <v>465</v>
      </c>
      <c r="K906" s="27">
        <v>84</v>
      </c>
      <c r="L906" s="179">
        <v>13940</v>
      </c>
      <c r="M906" s="178" t="s">
        <v>2399</v>
      </c>
      <c r="N906" s="27" t="s">
        <v>465</v>
      </c>
      <c r="O906" s="187" t="s">
        <v>2400</v>
      </c>
    </row>
    <row r="907" spans="2:15">
      <c r="B907" s="174" t="s">
        <v>129</v>
      </c>
      <c r="C907" s="175" t="s">
        <v>464</v>
      </c>
      <c r="D907" s="176" t="s">
        <v>465</v>
      </c>
      <c r="E907" s="177" t="s">
        <v>130</v>
      </c>
      <c r="F907" s="175">
        <f>LEN(E907)</f>
        <v>8</v>
      </c>
      <c r="G907" s="175" t="str">
        <f>MID(E907,2,F907-2)</f>
        <v>Juneau</v>
      </c>
      <c r="H907" s="175"/>
      <c r="I907" s="178" t="s">
        <v>131</v>
      </c>
      <c r="J907" s="27" t="s">
        <v>465</v>
      </c>
      <c r="K907" s="27">
        <v>0</v>
      </c>
      <c r="L907" s="179">
        <v>8897</v>
      </c>
      <c r="M907" s="178" t="s">
        <v>132</v>
      </c>
      <c r="N907" s="27" t="s">
        <v>465</v>
      </c>
      <c r="O907" s="182" t="s">
        <v>133</v>
      </c>
    </row>
    <row r="908" spans="2:15">
      <c r="B908" s="174" t="s">
        <v>904</v>
      </c>
      <c r="C908" s="175" t="s">
        <v>464</v>
      </c>
      <c r="D908" s="176" t="s">
        <v>465</v>
      </c>
      <c r="E908" s="177" t="s">
        <v>905</v>
      </c>
      <c r="F908" s="175">
        <f>LEN(E908)</f>
        <v>11</v>
      </c>
      <c r="G908" s="175" t="str">
        <f>MID(E908,2,F908-2)</f>
        <v>Ketchikan</v>
      </c>
      <c r="H908" s="175"/>
      <c r="I908" s="178" t="s">
        <v>906</v>
      </c>
      <c r="J908" s="27" t="s">
        <v>465</v>
      </c>
      <c r="K908" s="27">
        <v>0</v>
      </c>
      <c r="L908" s="179">
        <v>11456</v>
      </c>
      <c r="M908" s="178" t="s">
        <v>132</v>
      </c>
      <c r="N908" s="27" t="s">
        <v>465</v>
      </c>
      <c r="O908" s="182" t="s">
        <v>133</v>
      </c>
    </row>
    <row r="909" spans="2:15">
      <c r="B909" s="189"/>
      <c r="C909" s="190"/>
      <c r="D909" s="181"/>
      <c r="E909" s="191"/>
      <c r="F909" s="190"/>
      <c r="G909" s="190"/>
      <c r="H909" s="190"/>
      <c r="I909" s="192"/>
      <c r="J909" s="190"/>
      <c r="K909" s="190"/>
      <c r="L909" s="191"/>
      <c r="M909" s="192"/>
      <c r="N909" s="190"/>
      <c r="O909" s="191"/>
    </row>
    <row r="910" spans="2:15">
      <c r="B910" s="189"/>
      <c r="C910" s="190"/>
      <c r="D910" s="181"/>
      <c r="E910" s="191"/>
      <c r="F910" s="190"/>
      <c r="G910" s="190"/>
      <c r="H910" s="190"/>
      <c r="I910" s="192"/>
      <c r="J910" s="190"/>
      <c r="K910" s="190"/>
      <c r="L910" s="191"/>
      <c r="M910" s="192"/>
      <c r="N910" s="190"/>
      <c r="O910" s="191"/>
    </row>
    <row r="911" spans="2:15" ht="12.75" thickBot="1">
      <c r="B911" s="193"/>
      <c r="C911" s="194"/>
      <c r="D911" s="195"/>
      <c r="E911" s="196"/>
      <c r="F911" s="194"/>
      <c r="G911" s="194"/>
      <c r="H911" s="194"/>
      <c r="I911" s="197"/>
      <c r="J911" s="194"/>
      <c r="K911" s="194"/>
      <c r="L911" s="196"/>
      <c r="M911" s="197"/>
      <c r="N911" s="194"/>
      <c r="O911" s="196"/>
    </row>
    <row r="912" spans="2:15" ht="21" thickBot="1">
      <c r="B912" s="2324" t="s">
        <v>1867</v>
      </c>
      <c r="C912" s="2325"/>
      <c r="D912" s="2325"/>
      <c r="E912" s="2326"/>
      <c r="F912" s="198"/>
      <c r="G912" s="198"/>
      <c r="H912" s="198"/>
      <c r="I912" s="2324" t="s">
        <v>1868</v>
      </c>
      <c r="J912" s="2325"/>
      <c r="K912" s="2325"/>
      <c r="L912" s="2326"/>
      <c r="M912" s="2324" t="s">
        <v>1869</v>
      </c>
      <c r="N912" s="2325"/>
      <c r="O912" s="2326"/>
    </row>
  </sheetData>
  <mergeCells count="6">
    <mergeCell ref="I1:L1"/>
    <mergeCell ref="P1:R1"/>
    <mergeCell ref="M1:O1"/>
    <mergeCell ref="B912:E912"/>
    <mergeCell ref="I912:L912"/>
    <mergeCell ref="M912:O912"/>
  </mergeCells>
  <phoneticPr fontId="0" type="noConversion"/>
  <pageMargins left="0.75" right="0.75" top="1" bottom="1" header="0.5" footer="0.5"/>
  <pageSetup scale="35" fitToHeight="16" orientation="portrait" horizontalDpi="300" verticalDpi="3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C320"/>
  <sheetViews>
    <sheetView topLeftCell="A3" zoomScale="75" workbookViewId="0">
      <selection activeCell="U45" sqref="U45"/>
    </sheetView>
  </sheetViews>
  <sheetFormatPr defaultRowHeight="12.75"/>
  <cols>
    <col min="1" max="1" width="21.28515625" customWidth="1"/>
    <col min="2" max="2" width="18.28515625" bestFit="1" customWidth="1"/>
    <col min="3" max="3" width="15.42578125" customWidth="1"/>
    <col min="4" max="4" width="18.28515625" customWidth="1"/>
    <col min="5" max="5" width="12.7109375" bestFit="1" customWidth="1"/>
    <col min="6" max="6" width="13.7109375" customWidth="1"/>
    <col min="7" max="7" width="11.28515625" bestFit="1" customWidth="1"/>
    <col min="9" max="9" width="11.85546875" customWidth="1"/>
    <col min="11" max="11" width="7.5703125" customWidth="1"/>
    <col min="13" max="13" width="20" customWidth="1"/>
    <col min="14" max="14" width="7.85546875" customWidth="1"/>
    <col min="15" max="15" width="5.42578125" customWidth="1"/>
    <col min="16" max="16" width="6" customWidth="1"/>
    <col min="17" max="17" width="6.42578125" customWidth="1"/>
    <col min="18" max="18" width="6.28515625" customWidth="1"/>
    <col min="19" max="19" width="10" customWidth="1"/>
    <col min="20" max="20" width="7.7109375" customWidth="1"/>
  </cols>
  <sheetData>
    <row r="1" spans="1:25" ht="18">
      <c r="A1" s="29" t="s">
        <v>1893</v>
      </c>
      <c r="B1" s="3"/>
      <c r="C1" s="3"/>
    </row>
    <row r="2" spans="1:25" ht="18">
      <c r="A2" s="2" t="s">
        <v>1894</v>
      </c>
    </row>
    <row r="4" spans="1:25" ht="13.5" thickBot="1"/>
    <row r="5" spans="1:25" ht="18">
      <c r="A5" s="30" t="s">
        <v>1894</v>
      </c>
      <c r="B5" s="31"/>
      <c r="C5" s="31"/>
      <c r="D5" s="31"/>
      <c r="E5" s="31"/>
      <c r="F5" s="31"/>
      <c r="G5" s="31"/>
      <c r="H5" s="31"/>
      <c r="I5" s="31"/>
      <c r="J5" s="31"/>
      <c r="K5" s="32"/>
    </row>
    <row r="6" spans="1:25" ht="13.5" thickBot="1">
      <c r="A6" s="33"/>
      <c r="B6" s="34"/>
      <c r="C6" s="34"/>
      <c r="D6" s="34"/>
      <c r="E6" s="34"/>
      <c r="F6" s="34"/>
      <c r="G6" s="34"/>
      <c r="H6" s="34"/>
      <c r="I6" s="34"/>
      <c r="J6" s="34"/>
      <c r="K6" s="35"/>
    </row>
    <row r="7" spans="1:25" ht="15.75" thickBot="1">
      <c r="A7" s="255"/>
      <c r="B7" s="256" t="s">
        <v>1895</v>
      </c>
      <c r="C7" s="257" t="s">
        <v>1896</v>
      </c>
      <c r="D7" s="2330" t="s">
        <v>1897</v>
      </c>
      <c r="E7" s="2331"/>
      <c r="F7" s="2331"/>
      <c r="G7" s="2332"/>
      <c r="H7" s="2330" t="s">
        <v>1898</v>
      </c>
      <c r="I7" s="2331"/>
      <c r="J7" s="2331"/>
      <c r="K7" s="2332"/>
      <c r="M7" s="10" t="s">
        <v>39</v>
      </c>
    </row>
    <row r="8" spans="1:25" ht="20.25" customHeight="1">
      <c r="A8" s="36" t="s">
        <v>1899</v>
      </c>
      <c r="B8" s="37" t="e">
        <f>C8/N10</f>
        <v>#DIV/0!</v>
      </c>
      <c r="C8" s="37">
        <f>N14</f>
        <v>0</v>
      </c>
      <c r="D8" s="38"/>
      <c r="E8" s="39" t="s">
        <v>1900</v>
      </c>
      <c r="F8" s="380" t="e">
        <f ca="1">+(F9*'Side Calcs - Baseline'!J16/(10.3/3.412))+(F9*'Side Calcs - Baseline'!K16/1.024)+(F9*'Side Calcs - Baseline'!L16)+(F9*'Side Calcs - Baseline'!M16/1.38)+(F9*'Side Calcs - Baseline'!N16)</f>
        <v>#DIV/0!</v>
      </c>
      <c r="G8" s="381" t="s">
        <v>233</v>
      </c>
      <c r="H8" s="40"/>
      <c r="I8" s="41" t="s">
        <v>1055</v>
      </c>
      <c r="J8" s="42">
        <f>+G39</f>
        <v>11.246855500000001</v>
      </c>
      <c r="K8" s="43" t="s">
        <v>1056</v>
      </c>
      <c r="P8" t="s">
        <v>1057</v>
      </c>
    </row>
    <row r="9" spans="1:25" ht="15.75">
      <c r="A9" s="36" t="s">
        <v>1058</v>
      </c>
      <c r="B9" s="44" t="e">
        <f>B12*B16</f>
        <v>#N/A</v>
      </c>
      <c r="C9" s="45"/>
      <c r="D9" s="40"/>
      <c r="E9" s="39" t="s">
        <v>1059</v>
      </c>
      <c r="F9" s="382" t="e">
        <f>+EXP('Worksheet - Design - Baseline'!C76)</f>
        <v>#DIV/0!</v>
      </c>
      <c r="G9" s="381" t="s">
        <v>233</v>
      </c>
      <c r="H9" s="46"/>
      <c r="I9" s="47"/>
      <c r="J9" s="7"/>
      <c r="K9" s="43"/>
      <c r="N9" t="s">
        <v>519</v>
      </c>
      <c r="O9" t="s">
        <v>1057</v>
      </c>
      <c r="P9" s="10" t="s">
        <v>1060</v>
      </c>
    </row>
    <row r="10" spans="1:25" ht="15.75">
      <c r="A10" s="36" t="s">
        <v>1061</v>
      </c>
      <c r="B10" s="48" t="e">
        <f>B17*B18</f>
        <v>#N/A</v>
      </c>
      <c r="C10" s="45"/>
      <c r="D10" s="46"/>
      <c r="E10" s="49"/>
      <c r="F10" s="50"/>
      <c r="G10" s="43"/>
      <c r="H10" s="46"/>
      <c r="I10" s="47"/>
      <c r="J10" s="51"/>
      <c r="K10" s="43"/>
      <c r="M10" s="83"/>
      <c r="N10" s="383">
        <f>'RECS - Baseline'!F19</f>
        <v>0</v>
      </c>
      <c r="O10" s="383">
        <f>'RECS - Baseline'!G19</f>
        <v>0</v>
      </c>
      <c r="P10" t="e">
        <f>O10/N10</f>
        <v>#DIV/0!</v>
      </c>
    </row>
    <row r="11" spans="1:25" ht="15.75">
      <c r="A11" s="36" t="s">
        <v>1062</v>
      </c>
      <c r="B11" s="48" t="e">
        <f>O10/N10</f>
        <v>#DIV/0!</v>
      </c>
      <c r="C11" s="45"/>
      <c r="D11" s="46"/>
      <c r="E11" s="49"/>
      <c r="F11" s="50"/>
      <c r="G11" s="43"/>
      <c r="H11" s="46"/>
      <c r="I11" s="47"/>
      <c r="J11" s="51"/>
      <c r="K11" s="43"/>
      <c r="M11" s="83"/>
      <c r="N11" s="383"/>
    </row>
    <row r="12" spans="1:25" ht="16.5" thickBot="1">
      <c r="A12" s="52" t="s">
        <v>40</v>
      </c>
      <c r="B12" s="53" t="e">
        <f>'ZipCode Map'!K5</f>
        <v>#N/A</v>
      </c>
      <c r="C12" s="45"/>
      <c r="D12" s="46"/>
      <c r="E12" s="54" t="s">
        <v>1063</v>
      </c>
      <c r="F12" s="55" t="e">
        <f ca="1">IF(B25&lt;'Worksheet - Design - Baseline'!C51,100,LOOKUP(B25,'Worksheet - Design - Baseline'!C51:C149,'Worksheet - Design - Baseline'!A51:A149)-1)</f>
        <v>#DIV/0!</v>
      </c>
      <c r="G12" s="43"/>
      <c r="H12" s="46"/>
      <c r="I12" s="56"/>
      <c r="J12" s="7"/>
      <c r="K12" s="43"/>
    </row>
    <row r="13" spans="1:25" ht="51.75">
      <c r="A13" s="52"/>
      <c r="B13" s="53"/>
      <c r="C13" s="45"/>
      <c r="D13" s="46"/>
      <c r="E13" s="7"/>
      <c r="F13" s="7"/>
      <c r="G13" s="43"/>
      <c r="H13" s="40"/>
      <c r="I13" s="41" t="s">
        <v>1064</v>
      </c>
      <c r="J13" s="57" t="e">
        <f>$D$40+$D$41*LN(B8)+$D$42*B9+$D$43*B10+D44*B11</f>
        <v>#DIV/0!</v>
      </c>
      <c r="K13" s="43" t="s">
        <v>1056</v>
      </c>
      <c r="M13" s="58" t="s">
        <v>1065</v>
      </c>
      <c r="N13" s="58" t="s">
        <v>1066</v>
      </c>
      <c r="O13" s="58" t="s">
        <v>1067</v>
      </c>
      <c r="P13" s="58" t="s">
        <v>1068</v>
      </c>
      <c r="Q13" s="58" t="s">
        <v>1194</v>
      </c>
      <c r="R13" s="58" t="s">
        <v>1195</v>
      </c>
      <c r="S13" s="58" t="s">
        <v>197</v>
      </c>
      <c r="T13" s="58" t="s">
        <v>198</v>
      </c>
      <c r="U13" s="58" t="s">
        <v>199</v>
      </c>
    </row>
    <row r="14" spans="1:25" ht="15.75">
      <c r="A14" s="52"/>
      <c r="B14" s="37"/>
      <c r="C14" s="45"/>
      <c r="D14" s="38"/>
      <c r="E14" s="39" t="s">
        <v>200</v>
      </c>
      <c r="F14" s="380" t="e">
        <f ca="1">+(F15*'Side Calcs - Baseline'!J16/(10.3/3.412))+(F15*'Side Calcs - Baseline'!K16/1.024)+(F15*'Side Calcs - Baseline'!L16)+(F15*'Side Calcs - Baseline'!M16/1.38)+(F15*'Side Calcs - Baseline'!N16)</f>
        <v>#DIV/0!</v>
      </c>
      <c r="G14" s="381" t="s">
        <v>233</v>
      </c>
      <c r="H14" s="46"/>
      <c r="I14" s="47"/>
      <c r="J14" s="59"/>
      <c r="K14" s="43"/>
      <c r="M14" s="60" t="str">
        <f>'RECS - Baseline'!B22</f>
        <v>Under Ground Garage</v>
      </c>
      <c r="N14" s="61">
        <f>'RECS - Baseline'!C19</f>
        <v>0</v>
      </c>
      <c r="O14" s="61"/>
      <c r="P14" s="61"/>
      <c r="Q14" s="61">
        <f>'RECS - Baseline'!E19</f>
        <v>0</v>
      </c>
      <c r="R14" s="61"/>
      <c r="S14" s="384" t="e">
        <f ca="1">S21-S15</f>
        <v>#DIV/0!</v>
      </c>
      <c r="T14" s="384" t="e">
        <f ca="1">S14/N10</f>
        <v>#DIV/0!</v>
      </c>
      <c r="U14" s="61"/>
    </row>
    <row r="15" spans="1:25" ht="15.75">
      <c r="A15" s="52"/>
      <c r="B15" s="37"/>
      <c r="C15" s="45"/>
      <c r="D15" s="40"/>
      <c r="E15" s="39" t="s">
        <v>201</v>
      </c>
      <c r="F15" s="382" t="e">
        <f ca="1">F9*N10+SUM(S15:S19)</f>
        <v>#DIV/0!</v>
      </c>
      <c r="G15" s="381" t="s">
        <v>233</v>
      </c>
      <c r="H15" s="46"/>
      <c r="I15" s="47"/>
      <c r="J15" s="59"/>
      <c r="K15" s="43"/>
      <c r="M15" s="60" t="str">
        <f>'RECS - Baseline'!B23</f>
        <v>Above Ground Garage</v>
      </c>
      <c r="N15" s="61">
        <f>'RECS - Baseline'!C20</f>
        <v>0</v>
      </c>
      <c r="O15" s="61"/>
      <c r="P15" s="61"/>
      <c r="Q15" s="61">
        <f>'RECS - Baseline'!F20</f>
        <v>0</v>
      </c>
      <c r="R15" s="61"/>
      <c r="S15" s="384" t="e">
        <f ca="1">0.75*S$21*N15/N$22</f>
        <v>#DIV/0!</v>
      </c>
      <c r="T15" s="384"/>
      <c r="U15" s="62" t="s">
        <v>202</v>
      </c>
      <c r="V15" s="63"/>
      <c r="W15" s="63"/>
      <c r="X15" s="63"/>
      <c r="Y15" s="63"/>
    </row>
    <row r="16" spans="1:25" ht="15.75">
      <c r="A16" s="36" t="s">
        <v>203</v>
      </c>
      <c r="B16" s="64" t="e">
        <f>('RECS - Baseline'!E19)/'RECS - Baseline'!C19</f>
        <v>#DIV/0!</v>
      </c>
      <c r="C16" s="45"/>
      <c r="D16" s="46"/>
      <c r="E16" s="56"/>
      <c r="F16" s="65"/>
      <c r="G16" s="66"/>
      <c r="H16" s="46"/>
      <c r="I16" s="47"/>
      <c r="J16" s="59"/>
      <c r="K16" s="43"/>
      <c r="M16" s="60" t="str">
        <f>'RECS - Baseline'!B24</f>
        <v>Parking Lot</v>
      </c>
      <c r="N16" s="61">
        <f>'RECS - Baseline'!C21</f>
        <v>0</v>
      </c>
      <c r="O16" s="61"/>
      <c r="P16" s="61"/>
      <c r="Q16" s="61">
        <f>'RECS - Baseline'!F21</f>
        <v>0</v>
      </c>
      <c r="R16" s="61"/>
      <c r="S16" s="384">
        <f>200*N16</f>
        <v>0</v>
      </c>
      <c r="T16" s="384"/>
      <c r="U16" s="62" t="s">
        <v>204</v>
      </c>
      <c r="V16" s="63"/>
      <c r="W16" s="63"/>
      <c r="X16" s="63"/>
      <c r="Y16" s="63"/>
    </row>
    <row r="17" spans="1:25" ht="15.75">
      <c r="A17" s="36" t="s">
        <v>41</v>
      </c>
      <c r="B17" s="48" t="e">
        <f>+'ZipCode Map'!L5</f>
        <v>#N/A</v>
      </c>
      <c r="C17" s="45"/>
      <c r="D17" s="46"/>
      <c r="E17" s="5"/>
      <c r="F17" s="67"/>
      <c r="G17" s="66"/>
      <c r="H17" s="46"/>
      <c r="I17" s="47" t="s">
        <v>205</v>
      </c>
      <c r="J17" s="68" t="e">
        <f>+J13/J8</f>
        <v>#DIV/0!</v>
      </c>
      <c r="K17" s="43"/>
      <c r="M17" s="60" t="str">
        <f>'RECS - Baseline'!B25</f>
        <v>Building Total</v>
      </c>
      <c r="N17" s="61">
        <f>'RECS - Baseline'!C22</f>
        <v>0</v>
      </c>
      <c r="O17" s="61">
        <v>168</v>
      </c>
      <c r="P17" s="61" t="s">
        <v>206</v>
      </c>
      <c r="Q17" s="61" t="s">
        <v>206</v>
      </c>
      <c r="R17" s="69">
        <v>1.46</v>
      </c>
      <c r="S17" s="384">
        <f>N17*O17*R17*10.3/1000</f>
        <v>0</v>
      </c>
      <c r="T17" s="384"/>
      <c r="U17" s="69"/>
    </row>
    <row r="18" spans="1:25" ht="15.75">
      <c r="A18" s="36" t="s">
        <v>207</v>
      </c>
      <c r="B18" s="64" t="e">
        <f>('RECS - Baseline'!D19)/'RECS - Baseline'!C19</f>
        <v>#DIV/0!</v>
      </c>
      <c r="C18" s="45"/>
      <c r="D18" s="46"/>
      <c r="E18" s="56"/>
      <c r="F18" s="65"/>
      <c r="G18" s="66"/>
      <c r="H18" s="46"/>
      <c r="I18" s="7"/>
      <c r="J18" s="7"/>
      <c r="K18" s="43"/>
      <c r="M18" s="60">
        <f>'RECS - Baseline'!B26</f>
        <v>0</v>
      </c>
      <c r="N18" s="61">
        <f>'RECS - Baseline'!C23</f>
        <v>0</v>
      </c>
      <c r="O18" s="61">
        <v>168</v>
      </c>
      <c r="P18" s="61" t="s">
        <v>206</v>
      </c>
      <c r="Q18" s="61" t="s">
        <v>206</v>
      </c>
      <c r="R18" s="69">
        <v>0.26</v>
      </c>
      <c r="S18" s="384">
        <f>N18*O18*R18*10.3/1000</f>
        <v>0</v>
      </c>
      <c r="T18" s="384"/>
      <c r="U18" s="69"/>
    </row>
    <row r="19" spans="1:25" ht="15" thickBot="1">
      <c r="B19" s="70"/>
      <c r="C19" s="45"/>
      <c r="D19" s="46"/>
      <c r="E19" s="56"/>
      <c r="F19" s="65"/>
      <c r="G19" s="66"/>
      <c r="H19" s="46"/>
      <c r="I19" s="7"/>
      <c r="J19" s="7"/>
      <c r="K19" s="43"/>
      <c r="M19" s="71">
        <f>'RECS - Baseline'!B27</f>
        <v>0</v>
      </c>
      <c r="N19" s="72">
        <f>'RECS - Baseline'!C24</f>
        <v>0</v>
      </c>
      <c r="O19" s="72">
        <v>84</v>
      </c>
      <c r="P19" s="72" t="s">
        <v>206</v>
      </c>
      <c r="Q19" s="72" t="s">
        <v>206</v>
      </c>
      <c r="R19" s="73">
        <v>0.12</v>
      </c>
      <c r="S19" s="385">
        <f>N19*O19*R19*10.3/1000</f>
        <v>0</v>
      </c>
      <c r="T19" s="385"/>
      <c r="U19" s="62" t="s">
        <v>208</v>
      </c>
      <c r="V19" s="63"/>
      <c r="W19" s="63"/>
      <c r="X19" s="63"/>
      <c r="Y19" s="63"/>
    </row>
    <row r="20" spans="1:25" ht="15.75">
      <c r="A20" s="52" t="s">
        <v>209</v>
      </c>
      <c r="B20" s="386" t="e">
        <f ca="1">+'RECS - Baseline'!C32*'Side Calcs - Baseline'!K4+'RECS - Baseline'!D32*'Side Calcs - Baseline'!O4+'RECS - Baseline'!E32*'Side Calcs - Baseline'!S4+'RECS - Baseline'!F32*'Side Calcs - Baseline'!W4+'RECS - Baseline'!G32*'Side Calcs - Baseline'!AA4</f>
        <v>#DIV/0!</v>
      </c>
      <c r="C20" s="45" t="s">
        <v>2191</v>
      </c>
      <c r="D20" s="46"/>
      <c r="E20" s="56"/>
      <c r="F20" s="7"/>
      <c r="G20" s="43"/>
      <c r="H20" s="46"/>
      <c r="I20" s="47"/>
      <c r="J20" s="387"/>
      <c r="K20" s="388"/>
      <c r="M20" s="74" t="s">
        <v>2192</v>
      </c>
      <c r="N20" s="49"/>
      <c r="S20" s="389" t="e">
        <f ca="1">B22</f>
        <v>#DIV/0!</v>
      </c>
      <c r="T20" s="389"/>
    </row>
    <row r="21" spans="1:25" ht="15.75">
      <c r="A21" s="52" t="s">
        <v>2193</v>
      </c>
      <c r="B21" s="386"/>
      <c r="C21" s="45"/>
      <c r="D21" s="46"/>
      <c r="E21" s="56"/>
      <c r="F21" s="7"/>
      <c r="G21" s="43"/>
      <c r="H21" s="46"/>
      <c r="I21" s="47"/>
      <c r="J21" s="387"/>
      <c r="K21" s="388"/>
      <c r="M21" t="s">
        <v>2194</v>
      </c>
      <c r="S21" s="389" t="e">
        <f ca="1">S20-S16-S17-S18-S19</f>
        <v>#DIV/0!</v>
      </c>
      <c r="T21" s="389"/>
    </row>
    <row r="22" spans="1:25" ht="15.75">
      <c r="A22" s="52" t="s">
        <v>2195</v>
      </c>
      <c r="B22" s="386" t="e">
        <f ca="1">+'RECS - Baseline'!C32*'Side Calcs - Baseline'!J4+'RECS - Baseline'!D32*'Side Calcs - Baseline'!N4+'RECS - Baseline'!E32*'Side Calcs - Baseline'!R4+'RECS - Baseline'!F32*'Side Calcs - Baseline'!V4+'RECS - Baseline'!G32*'Side Calcs - Baseline'!Z4</f>
        <v>#DIV/0!</v>
      </c>
      <c r="C22" s="45" t="s">
        <v>2191</v>
      </c>
      <c r="D22" s="46"/>
      <c r="E22" s="7"/>
      <c r="F22" s="59"/>
      <c r="G22" s="43"/>
      <c r="H22" s="46"/>
      <c r="I22" s="47"/>
      <c r="J22" s="7"/>
      <c r="K22" s="75"/>
      <c r="M22" t="s">
        <v>2196</v>
      </c>
      <c r="N22" s="76">
        <f>SUM(N14:N15)</f>
        <v>0</v>
      </c>
      <c r="S22" s="389" t="e">
        <f ca="1">SUM(S14:S15)</f>
        <v>#DIV/0!</v>
      </c>
      <c r="T22" s="389"/>
    </row>
    <row r="23" spans="1:25" ht="15.75">
      <c r="A23" s="52" t="s">
        <v>2197</v>
      </c>
      <c r="B23" s="77"/>
      <c r="C23" s="45"/>
      <c r="D23" s="40"/>
      <c r="E23" s="41" t="s">
        <v>2198</v>
      </c>
      <c r="F23" s="390" t="e">
        <f ca="1">+(F24*'Side Calcs - Baseline'!J16/(10.3/3.412))+(F24*'Side Calcs - Baseline'!K16/1.024)+(F24*'Side Calcs - Baseline'!L16)+(F24*'Side Calcs - Baseline'!M16/1.38)+(F24*'Side Calcs - Baseline'!N16)</f>
        <v>#DIV/0!</v>
      </c>
      <c r="G23" s="381" t="s">
        <v>233</v>
      </c>
      <c r="H23" s="46"/>
      <c r="I23" s="7"/>
      <c r="J23" s="7"/>
      <c r="K23" s="43"/>
      <c r="M23" t="s">
        <v>2199</v>
      </c>
      <c r="S23" s="78">
        <f>SUM(S16:S19)</f>
        <v>0</v>
      </c>
    </row>
    <row r="24" spans="1:25" ht="15.75">
      <c r="A24" s="52" t="s">
        <v>2200</v>
      </c>
      <c r="B24" s="77"/>
      <c r="C24" s="45"/>
      <c r="D24" s="40"/>
      <c r="E24" s="41" t="s">
        <v>2201</v>
      </c>
      <c r="F24" s="391" t="e">
        <f>EXP(C101)</f>
        <v>#DIV/0!</v>
      </c>
      <c r="G24" s="381" t="s">
        <v>233</v>
      </c>
      <c r="H24" s="46"/>
      <c r="I24" s="7"/>
      <c r="J24" s="7"/>
      <c r="K24" s="43"/>
    </row>
    <row r="25" spans="1:25" ht="16.5" thickBot="1">
      <c r="A25" s="36" t="s">
        <v>2202</v>
      </c>
      <c r="B25" s="79" t="e">
        <f ca="1">LN(T14)</f>
        <v>#DIV/0!</v>
      </c>
      <c r="C25" s="80"/>
      <c r="D25" s="40"/>
      <c r="E25" s="41" t="s">
        <v>2203</v>
      </c>
      <c r="F25" s="390" t="e">
        <f ca="1">+(F26*'Side Calcs - Baseline'!J18/(10.3/3.412))+(F26*'Side Calcs - Baseline'!K18/1.024)+(F26*'Side Calcs - Baseline'!L18)+(F26*'Side Calcs - Baseline'!M18/1.38)+(F26*'Side Calcs - Baseline'!N18)</f>
        <v>#DIV/0!</v>
      </c>
      <c r="G25" s="381" t="s">
        <v>233</v>
      </c>
      <c r="H25" s="11"/>
      <c r="I25" s="81"/>
      <c r="J25" s="81"/>
      <c r="K25" s="13"/>
      <c r="N25" t="s">
        <v>2204</v>
      </c>
    </row>
    <row r="26" spans="1:25" ht="14.25">
      <c r="D26" s="40"/>
      <c r="E26" s="41" t="s">
        <v>2205</v>
      </c>
      <c r="F26" s="391" t="e">
        <f ca="1">F24*N10+SUM(S15:S19)</f>
        <v>#DIV/0!</v>
      </c>
      <c r="G26" s="381" t="s">
        <v>233</v>
      </c>
      <c r="N26" t="s">
        <v>2206</v>
      </c>
    </row>
    <row r="27" spans="1:25" ht="14.25">
      <c r="I27" s="47"/>
      <c r="J27" s="82"/>
      <c r="M27" s="83"/>
      <c r="N27" s="83"/>
      <c r="P27" s="83"/>
      <c r="Q27" s="83"/>
    </row>
    <row r="28" spans="1:25" ht="14.25">
      <c r="A28" s="1" t="s">
        <v>2207</v>
      </c>
      <c r="I28" s="47"/>
      <c r="J28" s="82"/>
      <c r="M28" s="83"/>
      <c r="N28" s="83" t="s">
        <v>2208</v>
      </c>
      <c r="O28" s="83"/>
      <c r="P28" s="83"/>
      <c r="Q28" s="83"/>
    </row>
    <row r="29" spans="1:25" ht="12.75" hidden="1" customHeight="1"/>
    <row r="30" spans="1:25">
      <c r="A30" s="84" t="s">
        <v>2209</v>
      </c>
      <c r="B30" s="3"/>
      <c r="C30" s="3"/>
      <c r="D30" s="3"/>
    </row>
    <row r="31" spans="1:25">
      <c r="A31" s="9"/>
      <c r="N31" t="s">
        <v>2210</v>
      </c>
    </row>
    <row r="32" spans="1:25" ht="12.75" hidden="1" customHeight="1">
      <c r="A32" s="9"/>
    </row>
    <row r="33" spans="1:21" ht="12.75" hidden="1" customHeight="1"/>
    <row r="34" spans="1:21" ht="12.75" hidden="1" customHeight="1">
      <c r="A34" s="9"/>
    </row>
    <row r="35" spans="1:21" ht="12.75" hidden="1" customHeight="1"/>
    <row r="36" spans="1:21" ht="13.5" thickBot="1"/>
    <row r="37" spans="1:21" ht="18.75" thickBot="1">
      <c r="A37" s="85" t="s">
        <v>2211</v>
      </c>
      <c r="B37" s="86"/>
      <c r="C37" s="86"/>
      <c r="D37" s="12"/>
      <c r="K37" s="87"/>
      <c r="N37" t="s">
        <v>2212</v>
      </c>
    </row>
    <row r="38" spans="1:21" ht="14.25">
      <c r="A38" s="88"/>
      <c r="B38" s="89"/>
      <c r="C38" s="89"/>
      <c r="D38" s="90" t="s">
        <v>2213</v>
      </c>
      <c r="E38" s="7"/>
      <c r="F38" s="91" t="s">
        <v>2214</v>
      </c>
      <c r="G38" s="92" t="s">
        <v>2215</v>
      </c>
      <c r="H38" s="92" t="s">
        <v>2216</v>
      </c>
      <c r="I38" s="93" t="s">
        <v>2217</v>
      </c>
      <c r="K38" s="94"/>
      <c r="N38" t="s">
        <v>2218</v>
      </c>
    </row>
    <row r="39" spans="1:21" s="1" customFormat="1" ht="14.25">
      <c r="A39" s="95" t="s">
        <v>2214</v>
      </c>
      <c r="B39" s="96" t="s">
        <v>2219</v>
      </c>
      <c r="C39" s="97" t="s">
        <v>2213</v>
      </c>
      <c r="D39" s="98" t="s">
        <v>2220</v>
      </c>
      <c r="E39" s="97"/>
      <c r="F39" s="99" t="s">
        <v>2221</v>
      </c>
      <c r="G39" s="100">
        <v>11.246855500000001</v>
      </c>
      <c r="H39" s="101">
        <v>9.7327645</v>
      </c>
      <c r="I39" s="102">
        <v>12.207849100000001</v>
      </c>
      <c r="J39" s="103" t="s">
        <v>2222</v>
      </c>
      <c r="K39" s="104"/>
      <c r="L39"/>
      <c r="M39"/>
      <c r="N39"/>
      <c r="O39"/>
      <c r="P39"/>
      <c r="Q39"/>
      <c r="R39"/>
      <c r="S39"/>
      <c r="T39"/>
      <c r="U39"/>
    </row>
    <row r="40" spans="1:21" s="1" customFormat="1" ht="14.25">
      <c r="A40" s="105" t="s">
        <v>2223</v>
      </c>
      <c r="B40" s="106">
        <v>1</v>
      </c>
      <c r="C40" s="106" t="s">
        <v>212</v>
      </c>
      <c r="D40" s="107">
        <v>6.4144199999999998</v>
      </c>
      <c r="E40" s="97"/>
      <c r="F40" s="108"/>
      <c r="G40" s="109"/>
      <c r="H40" s="106"/>
      <c r="I40" s="110"/>
      <c r="K40" s="104"/>
      <c r="L40" s="111"/>
    </row>
    <row r="41" spans="1:21" ht="14.25">
      <c r="A41" s="112" t="s">
        <v>213</v>
      </c>
      <c r="B41" s="106">
        <v>1</v>
      </c>
      <c r="C41" s="106" t="s">
        <v>214</v>
      </c>
      <c r="D41" s="113">
        <v>0.69635999999999998</v>
      </c>
      <c r="E41" s="59"/>
      <c r="F41" s="99" t="s">
        <v>215</v>
      </c>
      <c r="G41" s="114">
        <v>6.5994793999999999</v>
      </c>
      <c r="H41" s="101">
        <v>5.7990927000000001</v>
      </c>
      <c r="I41" s="102">
        <v>7.4024514999999997</v>
      </c>
      <c r="J41" t="s">
        <v>216</v>
      </c>
      <c r="L41" s="115">
        <f>EXP(G41)</f>
        <v>734.71259828352083</v>
      </c>
    </row>
    <row r="42" spans="1:21" ht="14.25">
      <c r="A42" s="112" t="s">
        <v>217</v>
      </c>
      <c r="B42" s="106">
        <v>1</v>
      </c>
      <c r="C42" s="106" t="s">
        <v>218</v>
      </c>
      <c r="D42" s="116">
        <v>5.3000000000000001E-5</v>
      </c>
      <c r="E42" s="7"/>
      <c r="F42" s="99" t="s">
        <v>1058</v>
      </c>
      <c r="G42" s="117">
        <v>569.07824230000006</v>
      </c>
      <c r="H42" s="101">
        <v>0</v>
      </c>
      <c r="I42" s="102">
        <v>5736</v>
      </c>
      <c r="K42" s="104"/>
      <c r="L42" s="4"/>
      <c r="S42" s="118"/>
    </row>
    <row r="43" spans="1:21" ht="14.25">
      <c r="A43" s="112" t="s">
        <v>219</v>
      </c>
      <c r="B43" s="106">
        <v>1</v>
      </c>
      <c r="C43" s="106" t="s">
        <v>220</v>
      </c>
      <c r="D43" s="116">
        <v>2.779E-5</v>
      </c>
      <c r="E43" s="7"/>
      <c r="F43" s="99" t="s">
        <v>1061</v>
      </c>
      <c r="G43" s="117">
        <v>4484.58</v>
      </c>
      <c r="H43" s="101">
        <v>0</v>
      </c>
      <c r="I43" s="102">
        <v>8200</v>
      </c>
      <c r="K43" s="104"/>
      <c r="L43" s="4"/>
    </row>
    <row r="44" spans="1:21" ht="14.25">
      <c r="A44" s="112" t="s">
        <v>221</v>
      </c>
      <c r="B44" s="106">
        <v>1</v>
      </c>
      <c r="C44" s="106" t="s">
        <v>222</v>
      </c>
      <c r="D44" s="113">
        <v>6.2050000000000001E-2</v>
      </c>
      <c r="E44" s="7"/>
      <c r="F44" s="99" t="s">
        <v>223</v>
      </c>
      <c r="G44" s="119">
        <v>1.3225806</v>
      </c>
      <c r="H44" s="101">
        <v>0</v>
      </c>
      <c r="I44" s="102">
        <v>4</v>
      </c>
    </row>
    <row r="45" spans="1:21" ht="15" thickBot="1">
      <c r="A45" s="120"/>
      <c r="B45" s="121"/>
      <c r="C45" s="121"/>
      <c r="D45" s="122"/>
      <c r="E45" s="7"/>
      <c r="F45" s="99"/>
      <c r="G45" s="119"/>
      <c r="H45" s="101"/>
      <c r="I45" s="102"/>
    </row>
    <row r="46" spans="1:21" ht="13.5" thickBot="1">
      <c r="A46" s="108"/>
      <c r="B46" s="106"/>
      <c r="C46" s="106"/>
      <c r="D46" s="110"/>
      <c r="E46" s="123"/>
      <c r="F46" s="124"/>
      <c r="G46" s="125"/>
      <c r="H46" s="121"/>
      <c r="I46" s="126"/>
    </row>
    <row r="47" spans="1:21" ht="13.5" thickBot="1">
      <c r="A47" s="124"/>
      <c r="B47" s="121"/>
      <c r="C47" s="121"/>
      <c r="D47" s="126"/>
      <c r="E47" s="123"/>
      <c r="F47" s="7"/>
      <c r="G47" s="7"/>
      <c r="H47" s="7"/>
    </row>
    <row r="49" spans="1:13" ht="13.5" thickBot="1">
      <c r="F49" s="2333"/>
      <c r="G49" s="2333"/>
      <c r="H49" s="2333"/>
      <c r="I49" s="2333"/>
      <c r="K49" s="2333"/>
      <c r="L49" s="2333"/>
    </row>
    <row r="50" spans="1:13" s="1" customFormat="1" ht="26.25" thickBot="1">
      <c r="A50" s="6" t="s">
        <v>224</v>
      </c>
      <c r="B50" s="127" t="s">
        <v>225</v>
      </c>
      <c r="C50" s="128" t="s">
        <v>226</v>
      </c>
      <c r="D50" s="128" t="s">
        <v>227</v>
      </c>
      <c r="E50" s="128"/>
      <c r="F50" s="128"/>
      <c r="G50" s="20"/>
      <c r="H50" s="20"/>
      <c r="I50" s="20"/>
      <c r="K50" s="258"/>
      <c r="L50" s="20"/>
    </row>
    <row r="51" spans="1:13" s="1" customFormat="1">
      <c r="A51" s="254">
        <v>100</v>
      </c>
      <c r="B51" s="129">
        <v>10.294499999999999</v>
      </c>
      <c r="C51" s="19" t="e">
        <f>+(B51*$J$17)</f>
        <v>#DIV/0!</v>
      </c>
      <c r="E51" s="97"/>
      <c r="F51" s="258"/>
      <c r="G51"/>
      <c r="H51" s="20"/>
      <c r="I51" s="20"/>
      <c r="K51" s="130"/>
      <c r="L51" s="20"/>
      <c r="M51" s="131"/>
    </row>
    <row r="52" spans="1:13" ht="15">
      <c r="A52" s="254">
        <v>99</v>
      </c>
      <c r="B52" s="132">
        <v>10.511799999999999</v>
      </c>
      <c r="C52" s="19" t="e">
        <f>+(B52*$J$17)</f>
        <v>#DIV/0!</v>
      </c>
      <c r="E52" s="7"/>
      <c r="F52" s="17"/>
      <c r="H52" s="21"/>
      <c r="I52" s="21"/>
      <c r="K52" s="17"/>
      <c r="L52" s="18"/>
    </row>
    <row r="53" spans="1:13" ht="15">
      <c r="A53" s="254">
        <v>98</v>
      </c>
      <c r="B53" s="132">
        <v>10.541</v>
      </c>
      <c r="C53" s="19" t="e">
        <f>+(B53*$J$17)</f>
        <v>#DIV/0!</v>
      </c>
      <c r="E53" s="7"/>
      <c r="F53" s="22"/>
      <c r="H53" s="133" t="s">
        <v>228</v>
      </c>
      <c r="I53" s="134"/>
      <c r="J53" s="9" t="s">
        <v>2190</v>
      </c>
      <c r="K53" s="135" t="s">
        <v>229</v>
      </c>
      <c r="L53" s="136"/>
      <c r="M53" s="9" t="s">
        <v>230</v>
      </c>
    </row>
    <row r="54" spans="1:13">
      <c r="A54" s="254">
        <v>97</v>
      </c>
      <c r="B54" s="132">
        <v>10.557</v>
      </c>
      <c r="C54" s="19" t="e">
        <f t="shared" ref="C54:C117" si="0">+(B54*$J$17)</f>
        <v>#DIV/0!</v>
      </c>
      <c r="E54" s="137"/>
      <c r="F54" s="138"/>
      <c r="G54" s="139" t="s">
        <v>231</v>
      </c>
      <c r="H54" s="2292" t="e">
        <f ca="1">F15</f>
        <v>#DIV/0!</v>
      </c>
      <c r="I54" s="2293"/>
      <c r="J54" s="15" t="e">
        <f ca="1">F26</f>
        <v>#DIV/0!</v>
      </c>
      <c r="K54" s="2292" t="e">
        <f ca="1">(+'RECS - Baseline'!C32*'Side Calcs - Baseline'!J4+'RECS - Baseline'!D32*'Side Calcs - Baseline'!N4+'RECS - Baseline'!E32*'Side Calcs - Baseline'!R4+'RECS - Baseline'!F32*'Side Calcs - Baseline'!V4+'RECS - Baseline'!G32*'Side Calcs - Baseline'!Z4)</f>
        <v>#DIV/0!</v>
      </c>
      <c r="L54" s="2293"/>
      <c r="M54" s="16" t="e">
        <f ca="1">K54-H54</f>
        <v>#DIV/0!</v>
      </c>
    </row>
    <row r="55" spans="1:13">
      <c r="A55" s="254">
        <v>96</v>
      </c>
      <c r="B55" s="132">
        <v>10.5913</v>
      </c>
      <c r="C55" s="19" t="e">
        <f t="shared" si="0"/>
        <v>#DIV/0!</v>
      </c>
      <c r="E55" s="7"/>
      <c r="F55" s="25"/>
      <c r="H55" s="27"/>
      <c r="I55" s="27"/>
      <c r="K55" s="25"/>
      <c r="L55" s="26"/>
    </row>
    <row r="56" spans="1:13">
      <c r="A56" s="254">
        <v>95</v>
      </c>
      <c r="B56" s="132">
        <v>10.615600000000001</v>
      </c>
      <c r="C56" s="19" t="e">
        <f t="shared" si="0"/>
        <v>#DIV/0!</v>
      </c>
      <c r="E56" s="137"/>
      <c r="F56" s="138"/>
      <c r="G56" s="139" t="s">
        <v>232</v>
      </c>
      <c r="H56" s="2292" t="e">
        <f ca="1">H54/'RECS - Baseline'!C25</f>
        <v>#DIV/0!</v>
      </c>
      <c r="I56" s="2293"/>
      <c r="J56" s="15" t="e">
        <f ca="1">J54/'RECS - Baseline'!C25</f>
        <v>#DIV/0!</v>
      </c>
      <c r="K56" s="2292" t="e">
        <f ca="1">K54/'RECS - Baseline'!C25</f>
        <v>#DIV/0!</v>
      </c>
      <c r="L56" s="2293"/>
    </row>
    <row r="57" spans="1:13">
      <c r="A57" s="254">
        <v>94</v>
      </c>
      <c r="B57" s="132">
        <v>10.6668</v>
      </c>
      <c r="C57" s="19" t="e">
        <f t="shared" si="0"/>
        <v>#DIV/0!</v>
      </c>
      <c r="E57" s="7"/>
      <c r="F57" s="25"/>
      <c r="H57" s="27"/>
      <c r="I57" s="27"/>
      <c r="K57" s="25"/>
      <c r="L57" s="26"/>
    </row>
    <row r="58" spans="1:13">
      <c r="A58" s="254">
        <v>93</v>
      </c>
      <c r="B58" s="132">
        <v>10.696400000000001</v>
      </c>
      <c r="C58" s="19" t="e">
        <f t="shared" si="0"/>
        <v>#DIV/0!</v>
      </c>
      <c r="E58" s="7"/>
      <c r="F58" s="25"/>
      <c r="H58" s="27"/>
      <c r="I58" s="27"/>
      <c r="K58" s="25"/>
      <c r="L58" s="26"/>
    </row>
    <row r="59" spans="1:13">
      <c r="A59" s="254">
        <v>92</v>
      </c>
      <c r="B59" s="132">
        <v>10.710900000000001</v>
      </c>
      <c r="C59" s="19" t="e">
        <f t="shared" si="0"/>
        <v>#DIV/0!</v>
      </c>
      <c r="E59" s="7"/>
      <c r="F59" s="25"/>
      <c r="I59" s="27"/>
      <c r="K59" s="25"/>
      <c r="L59" s="26"/>
    </row>
    <row r="60" spans="1:13">
      <c r="A60" s="254">
        <v>91</v>
      </c>
      <c r="B60" s="132">
        <v>10.766500000000001</v>
      </c>
      <c r="C60" s="19" t="e">
        <f t="shared" si="0"/>
        <v>#DIV/0!</v>
      </c>
      <c r="F60" s="25"/>
      <c r="H60" s="27"/>
      <c r="I60" s="27"/>
      <c r="K60" s="25"/>
      <c r="L60" s="26"/>
    </row>
    <row r="61" spans="1:13">
      <c r="A61" s="254">
        <v>90</v>
      </c>
      <c r="B61" s="132">
        <v>10.7783</v>
      </c>
      <c r="C61" s="19" t="e">
        <f t="shared" si="0"/>
        <v>#DIV/0!</v>
      </c>
      <c r="F61" s="25"/>
      <c r="H61" s="27"/>
      <c r="I61" s="27"/>
      <c r="K61" s="25"/>
      <c r="L61" s="26"/>
    </row>
    <row r="62" spans="1:13">
      <c r="A62" s="254">
        <v>89</v>
      </c>
      <c r="B62" s="132">
        <v>10.807</v>
      </c>
      <c r="C62" s="19" t="e">
        <f t="shared" si="0"/>
        <v>#DIV/0!</v>
      </c>
      <c r="F62" s="25"/>
      <c r="H62" s="27"/>
      <c r="I62" s="27"/>
      <c r="K62" s="25"/>
      <c r="L62" s="26"/>
    </row>
    <row r="63" spans="1:13">
      <c r="A63" s="254">
        <v>88</v>
      </c>
      <c r="B63" s="132">
        <v>10.8187</v>
      </c>
      <c r="C63" s="19" t="e">
        <f t="shared" si="0"/>
        <v>#DIV/0!</v>
      </c>
      <c r="F63" s="25"/>
      <c r="H63" s="27"/>
      <c r="I63" s="27"/>
      <c r="K63" s="25"/>
      <c r="L63" s="26"/>
    </row>
    <row r="64" spans="1:13">
      <c r="A64" s="254">
        <v>87</v>
      </c>
      <c r="B64" s="132">
        <v>10.8301</v>
      </c>
      <c r="C64" s="19" t="e">
        <f t="shared" si="0"/>
        <v>#DIV/0!</v>
      </c>
      <c r="F64" s="25"/>
      <c r="H64" s="27"/>
      <c r="I64" s="27"/>
      <c r="K64" s="25"/>
      <c r="L64" s="26"/>
    </row>
    <row r="65" spans="1:12">
      <c r="A65" s="254">
        <v>86</v>
      </c>
      <c r="B65" s="132">
        <v>10.848599999999999</v>
      </c>
      <c r="C65" s="19" t="e">
        <f t="shared" si="0"/>
        <v>#DIV/0!</v>
      </c>
      <c r="F65" s="25"/>
      <c r="H65" s="27"/>
      <c r="I65" s="27"/>
      <c r="K65" s="25"/>
      <c r="L65" s="26"/>
    </row>
    <row r="66" spans="1:12">
      <c r="A66" s="254">
        <v>85</v>
      </c>
      <c r="B66" s="132">
        <v>10.8575</v>
      </c>
      <c r="C66" s="19" t="e">
        <f t="shared" si="0"/>
        <v>#DIV/0!</v>
      </c>
      <c r="F66" s="25"/>
      <c r="H66" s="27"/>
      <c r="I66" s="27"/>
      <c r="K66" s="25"/>
      <c r="L66" s="26"/>
    </row>
    <row r="67" spans="1:12">
      <c r="A67" s="254">
        <v>84</v>
      </c>
      <c r="B67" s="132">
        <v>10.861800000000001</v>
      </c>
      <c r="C67" s="19" t="e">
        <f t="shared" si="0"/>
        <v>#DIV/0!</v>
      </c>
      <c r="F67" s="25"/>
      <c r="H67" s="27"/>
      <c r="I67" s="27"/>
      <c r="K67" s="25"/>
      <c r="L67" s="26"/>
    </row>
    <row r="68" spans="1:12">
      <c r="A68" s="254">
        <v>83</v>
      </c>
      <c r="B68" s="132">
        <v>10.8934</v>
      </c>
      <c r="C68" s="19" t="e">
        <f t="shared" si="0"/>
        <v>#DIV/0!</v>
      </c>
      <c r="F68" s="25"/>
      <c r="H68" s="27"/>
      <c r="I68" s="27"/>
      <c r="K68" s="25"/>
      <c r="L68" s="26"/>
    </row>
    <row r="69" spans="1:12">
      <c r="A69" s="254">
        <v>82</v>
      </c>
      <c r="B69" s="132">
        <v>10.904400000000001</v>
      </c>
      <c r="C69" s="19" t="e">
        <f t="shared" si="0"/>
        <v>#DIV/0!</v>
      </c>
      <c r="F69" s="25"/>
      <c r="H69" s="27"/>
      <c r="I69" s="27"/>
      <c r="K69" s="25"/>
      <c r="L69" s="26"/>
    </row>
    <row r="70" spans="1:12">
      <c r="A70" s="254">
        <v>81</v>
      </c>
      <c r="B70" s="132">
        <v>10.9231</v>
      </c>
      <c r="C70" s="19" t="e">
        <f t="shared" si="0"/>
        <v>#DIV/0!</v>
      </c>
      <c r="F70" s="25"/>
      <c r="H70" s="27"/>
      <c r="I70" s="27"/>
      <c r="K70" s="25"/>
      <c r="L70" s="26"/>
    </row>
    <row r="71" spans="1:12">
      <c r="A71" s="254">
        <v>80</v>
      </c>
      <c r="B71" s="132">
        <v>10.943899999999999</v>
      </c>
      <c r="C71" s="19" t="e">
        <f t="shared" si="0"/>
        <v>#DIV/0!</v>
      </c>
      <c r="F71" s="25"/>
      <c r="H71" s="27"/>
      <c r="I71" s="27"/>
      <c r="K71" s="25"/>
      <c r="L71" s="26"/>
    </row>
    <row r="72" spans="1:12">
      <c r="A72" s="254">
        <v>79</v>
      </c>
      <c r="B72" s="132">
        <v>10.962400000000001</v>
      </c>
      <c r="C72" s="19" t="e">
        <f t="shared" si="0"/>
        <v>#DIV/0!</v>
      </c>
      <c r="F72" s="25"/>
      <c r="H72" s="27"/>
      <c r="I72" s="27"/>
      <c r="K72" s="25"/>
      <c r="L72" s="26"/>
    </row>
    <row r="73" spans="1:12">
      <c r="A73" s="254">
        <v>78</v>
      </c>
      <c r="B73" s="132">
        <v>10.972300000000001</v>
      </c>
      <c r="C73" s="19" t="e">
        <f t="shared" si="0"/>
        <v>#DIV/0!</v>
      </c>
      <c r="F73" s="25"/>
      <c r="H73" s="27"/>
      <c r="I73" s="27"/>
      <c r="K73" s="25"/>
      <c r="L73" s="26"/>
    </row>
    <row r="74" spans="1:12">
      <c r="A74" s="254">
        <v>77</v>
      </c>
      <c r="B74" s="132">
        <v>11.0154</v>
      </c>
      <c r="C74" s="19" t="e">
        <f t="shared" si="0"/>
        <v>#DIV/0!</v>
      </c>
      <c r="F74" s="25"/>
      <c r="H74" s="27"/>
      <c r="I74" s="27"/>
      <c r="K74" s="25"/>
      <c r="L74" s="26"/>
    </row>
    <row r="75" spans="1:12" ht="13.5" thickBot="1">
      <c r="A75" s="254">
        <v>76</v>
      </c>
      <c r="B75" s="132">
        <v>11.021599999999999</v>
      </c>
      <c r="C75" s="19" t="e">
        <f t="shared" si="0"/>
        <v>#DIV/0!</v>
      </c>
      <c r="F75" s="25"/>
      <c r="H75" s="27"/>
      <c r="I75" s="27"/>
      <c r="K75" s="25"/>
      <c r="L75" s="26"/>
    </row>
    <row r="76" spans="1:12" ht="13.5" thickBot="1">
      <c r="A76" s="28">
        <v>75</v>
      </c>
      <c r="B76" s="140">
        <v>11.0238</v>
      </c>
      <c r="C76" s="19" t="e">
        <f t="shared" si="0"/>
        <v>#DIV/0!</v>
      </c>
      <c r="F76" s="25"/>
      <c r="H76" s="27"/>
      <c r="I76" s="27"/>
      <c r="K76" s="25"/>
      <c r="L76" s="26"/>
    </row>
    <row r="77" spans="1:12">
      <c r="A77" s="254">
        <v>74</v>
      </c>
      <c r="B77" s="132">
        <v>11.043699999999999</v>
      </c>
      <c r="C77" s="19" t="e">
        <f t="shared" si="0"/>
        <v>#DIV/0!</v>
      </c>
      <c r="F77" s="25"/>
      <c r="H77" s="27"/>
      <c r="I77" s="27"/>
      <c r="K77" s="25"/>
      <c r="L77" s="26"/>
    </row>
    <row r="78" spans="1:12">
      <c r="A78" s="254">
        <v>73</v>
      </c>
      <c r="B78" s="132">
        <v>11.0555</v>
      </c>
      <c r="C78" s="19" t="e">
        <f t="shared" si="0"/>
        <v>#DIV/0!</v>
      </c>
      <c r="F78" s="25"/>
      <c r="H78" s="27"/>
      <c r="I78" s="27"/>
      <c r="K78" s="25"/>
      <c r="L78" s="26"/>
    </row>
    <row r="79" spans="1:12">
      <c r="A79" s="254">
        <v>72</v>
      </c>
      <c r="B79" s="132">
        <v>11.059200000000001</v>
      </c>
      <c r="C79" s="19" t="e">
        <f t="shared" si="0"/>
        <v>#DIV/0!</v>
      </c>
      <c r="F79" s="25"/>
      <c r="H79" s="27"/>
      <c r="I79" s="27"/>
      <c r="K79" s="25"/>
      <c r="L79" s="26"/>
    </row>
    <row r="80" spans="1:12">
      <c r="A80" s="254">
        <v>71</v>
      </c>
      <c r="B80" s="132">
        <v>11.068199999999999</v>
      </c>
      <c r="C80" s="19" t="e">
        <f t="shared" si="0"/>
        <v>#DIV/0!</v>
      </c>
      <c r="F80" s="25"/>
      <c r="H80" s="27"/>
      <c r="I80" s="27"/>
      <c r="K80" s="25"/>
      <c r="L80" s="26"/>
    </row>
    <row r="81" spans="1:12">
      <c r="A81" s="254">
        <v>70</v>
      </c>
      <c r="B81" s="132">
        <v>11.0939</v>
      </c>
      <c r="C81" s="19" t="e">
        <f t="shared" si="0"/>
        <v>#DIV/0!</v>
      </c>
      <c r="F81" s="25"/>
      <c r="H81" s="27"/>
      <c r="I81" s="27"/>
      <c r="K81" s="25"/>
      <c r="L81" s="26"/>
    </row>
    <row r="82" spans="1:12">
      <c r="A82" s="254">
        <v>69</v>
      </c>
      <c r="B82" s="132">
        <v>11.1029</v>
      </c>
      <c r="C82" s="19" t="e">
        <f t="shared" si="0"/>
        <v>#DIV/0!</v>
      </c>
      <c r="F82" s="25"/>
      <c r="H82" s="27"/>
      <c r="I82" s="27"/>
      <c r="K82" s="25"/>
      <c r="L82" s="26"/>
    </row>
    <row r="83" spans="1:12">
      <c r="A83" s="254">
        <v>68</v>
      </c>
      <c r="B83" s="132">
        <v>11.1143</v>
      </c>
      <c r="C83" s="19" t="e">
        <f t="shared" si="0"/>
        <v>#DIV/0!</v>
      </c>
      <c r="F83" s="25"/>
      <c r="H83" s="27"/>
      <c r="I83" s="27"/>
      <c r="K83" s="25"/>
      <c r="L83" s="26"/>
    </row>
    <row r="84" spans="1:12">
      <c r="A84" s="254">
        <v>67</v>
      </c>
      <c r="B84" s="132">
        <v>11.117100000000001</v>
      </c>
      <c r="C84" s="19" t="e">
        <f t="shared" si="0"/>
        <v>#DIV/0!</v>
      </c>
      <c r="F84" s="25"/>
      <c r="H84" s="27"/>
      <c r="I84" s="27"/>
      <c r="K84" s="25"/>
      <c r="L84" s="26"/>
    </row>
    <row r="85" spans="1:12">
      <c r="A85" s="254">
        <v>66</v>
      </c>
      <c r="B85" s="132">
        <v>11.1279</v>
      </c>
      <c r="C85" s="19" t="e">
        <f t="shared" si="0"/>
        <v>#DIV/0!</v>
      </c>
      <c r="F85" s="25"/>
      <c r="H85" s="27"/>
      <c r="I85" s="27"/>
      <c r="K85" s="25"/>
      <c r="L85" s="26"/>
    </row>
    <row r="86" spans="1:12">
      <c r="A86" s="254">
        <v>65</v>
      </c>
      <c r="B86" s="132">
        <v>11.139099999999999</v>
      </c>
      <c r="C86" s="19" t="e">
        <f t="shared" si="0"/>
        <v>#DIV/0!</v>
      </c>
      <c r="F86" s="25"/>
      <c r="H86" s="27"/>
      <c r="I86" s="27"/>
      <c r="K86" s="25"/>
      <c r="L86" s="26"/>
    </row>
    <row r="87" spans="1:12">
      <c r="A87" s="254">
        <v>64</v>
      </c>
      <c r="B87" s="132">
        <v>11.148</v>
      </c>
      <c r="C87" s="19" t="e">
        <f t="shared" si="0"/>
        <v>#DIV/0!</v>
      </c>
      <c r="F87" s="25"/>
      <c r="H87" s="27"/>
      <c r="I87" s="27"/>
      <c r="K87" s="25"/>
      <c r="L87" s="26"/>
    </row>
    <row r="88" spans="1:12">
      <c r="A88" s="254">
        <v>63</v>
      </c>
      <c r="B88" s="132">
        <v>11.1523</v>
      </c>
      <c r="C88" s="19" t="e">
        <f t="shared" si="0"/>
        <v>#DIV/0!</v>
      </c>
      <c r="F88" s="25"/>
      <c r="H88" s="27"/>
      <c r="I88" s="27"/>
      <c r="K88" s="25"/>
      <c r="L88" s="26"/>
    </row>
    <row r="89" spans="1:12">
      <c r="A89" s="254">
        <v>62</v>
      </c>
      <c r="B89" s="132">
        <v>11.155200000000001</v>
      </c>
      <c r="C89" s="19" t="e">
        <f t="shared" si="0"/>
        <v>#DIV/0!</v>
      </c>
      <c r="F89" s="25"/>
      <c r="H89" s="27"/>
      <c r="I89" s="27"/>
      <c r="K89" s="25"/>
      <c r="L89" s="26"/>
    </row>
    <row r="90" spans="1:12">
      <c r="A90" s="254">
        <v>61</v>
      </c>
      <c r="B90" s="132">
        <v>11.16</v>
      </c>
      <c r="C90" s="19" t="e">
        <f t="shared" si="0"/>
        <v>#DIV/0!</v>
      </c>
      <c r="F90" s="25"/>
      <c r="H90" s="27"/>
      <c r="I90" s="27"/>
      <c r="K90" s="25"/>
      <c r="L90" s="26"/>
    </row>
    <row r="91" spans="1:12">
      <c r="A91" s="254">
        <v>60</v>
      </c>
      <c r="B91" s="132">
        <v>11.1669</v>
      </c>
      <c r="C91" s="19" t="e">
        <f t="shared" si="0"/>
        <v>#DIV/0!</v>
      </c>
      <c r="F91" s="25"/>
      <c r="H91" s="27"/>
      <c r="I91" s="27"/>
      <c r="K91" s="25"/>
      <c r="L91" s="26"/>
    </row>
    <row r="92" spans="1:12">
      <c r="A92" s="254">
        <v>59</v>
      </c>
      <c r="B92" s="132">
        <v>11.175599999999999</v>
      </c>
      <c r="C92" s="19" t="e">
        <f t="shared" si="0"/>
        <v>#DIV/0!</v>
      </c>
      <c r="F92" s="25"/>
      <c r="H92" s="27"/>
      <c r="I92" s="27"/>
      <c r="K92" s="25"/>
      <c r="L92" s="26"/>
    </row>
    <row r="93" spans="1:12">
      <c r="A93" s="254">
        <v>58</v>
      </c>
      <c r="B93" s="132">
        <v>11.181800000000001</v>
      </c>
      <c r="C93" s="19" t="e">
        <f t="shared" si="0"/>
        <v>#DIV/0!</v>
      </c>
      <c r="F93" s="25"/>
      <c r="H93" s="27"/>
      <c r="I93" s="27"/>
      <c r="K93" s="25"/>
      <c r="L93" s="26"/>
    </row>
    <row r="94" spans="1:12">
      <c r="A94" s="254">
        <v>57</v>
      </c>
      <c r="B94" s="132">
        <v>11.195</v>
      </c>
      <c r="C94" s="19" t="e">
        <f t="shared" si="0"/>
        <v>#DIV/0!</v>
      </c>
      <c r="F94" s="25"/>
      <c r="H94" s="27"/>
      <c r="I94" s="27"/>
      <c r="K94" s="25"/>
      <c r="L94" s="26"/>
    </row>
    <row r="95" spans="1:12">
      <c r="A95" s="254">
        <v>56</v>
      </c>
      <c r="B95" s="132">
        <v>11.1976</v>
      </c>
      <c r="C95" s="19" t="e">
        <f t="shared" si="0"/>
        <v>#DIV/0!</v>
      </c>
      <c r="F95" s="25"/>
      <c r="H95" s="27"/>
      <c r="I95" s="27"/>
      <c r="K95" s="25"/>
      <c r="L95" s="26"/>
    </row>
    <row r="96" spans="1:12">
      <c r="A96" s="254">
        <v>55</v>
      </c>
      <c r="B96" s="132">
        <v>11.2301</v>
      </c>
      <c r="C96" s="19" t="e">
        <f t="shared" si="0"/>
        <v>#DIV/0!</v>
      </c>
      <c r="F96" s="25"/>
      <c r="H96" s="27"/>
      <c r="I96" s="27"/>
      <c r="K96" s="25"/>
      <c r="L96" s="26"/>
    </row>
    <row r="97" spans="1:12">
      <c r="A97" s="254">
        <v>54</v>
      </c>
      <c r="B97" s="132">
        <v>11.238099999999999</v>
      </c>
      <c r="C97" s="19" t="e">
        <f t="shared" si="0"/>
        <v>#DIV/0!</v>
      </c>
      <c r="F97" s="25"/>
      <c r="H97" s="27"/>
      <c r="I97" s="27"/>
      <c r="K97" s="25"/>
      <c r="L97" s="26"/>
    </row>
    <row r="98" spans="1:12">
      <c r="A98" s="254">
        <v>53</v>
      </c>
      <c r="B98" s="132">
        <v>11.261900000000001</v>
      </c>
      <c r="C98" s="19" t="e">
        <f t="shared" si="0"/>
        <v>#DIV/0!</v>
      </c>
      <c r="F98" s="25"/>
      <c r="H98" s="27"/>
      <c r="I98" s="27"/>
      <c r="K98" s="25"/>
      <c r="L98" s="26"/>
    </row>
    <row r="99" spans="1:12">
      <c r="A99" s="254">
        <v>52</v>
      </c>
      <c r="B99" s="132">
        <v>11.272399999999999</v>
      </c>
      <c r="C99" s="19" t="e">
        <f t="shared" si="0"/>
        <v>#DIV/0!</v>
      </c>
      <c r="F99" s="25"/>
      <c r="H99" s="27"/>
      <c r="I99" s="27"/>
      <c r="K99" s="25"/>
      <c r="L99" s="26"/>
    </row>
    <row r="100" spans="1:12">
      <c r="A100" s="254">
        <v>51</v>
      </c>
      <c r="B100" s="132">
        <v>11.297599999999999</v>
      </c>
      <c r="C100" s="19" t="e">
        <f t="shared" si="0"/>
        <v>#DIV/0!</v>
      </c>
      <c r="F100" s="25"/>
      <c r="H100" s="27"/>
      <c r="I100" s="27"/>
      <c r="K100" s="25"/>
      <c r="L100" s="26"/>
    </row>
    <row r="101" spans="1:12">
      <c r="A101" s="254">
        <v>50</v>
      </c>
      <c r="B101" s="132">
        <v>11.302</v>
      </c>
      <c r="C101" s="19" t="e">
        <f t="shared" si="0"/>
        <v>#DIV/0!</v>
      </c>
      <c r="F101" s="25"/>
      <c r="H101" s="27"/>
      <c r="I101" s="27"/>
      <c r="K101" s="25"/>
      <c r="L101" s="26"/>
    </row>
    <row r="102" spans="1:12">
      <c r="A102" s="254">
        <v>49</v>
      </c>
      <c r="B102" s="132">
        <v>11.3027</v>
      </c>
      <c r="C102" s="19" t="e">
        <f t="shared" si="0"/>
        <v>#DIV/0!</v>
      </c>
      <c r="F102" s="25"/>
      <c r="H102" s="27"/>
      <c r="I102" s="27"/>
      <c r="K102" s="25"/>
      <c r="L102" s="26"/>
    </row>
    <row r="103" spans="1:12">
      <c r="A103" s="254">
        <v>48</v>
      </c>
      <c r="B103" s="132">
        <v>11.3279</v>
      </c>
      <c r="C103" s="19" t="e">
        <f t="shared" si="0"/>
        <v>#DIV/0!</v>
      </c>
      <c r="F103" s="25"/>
      <c r="H103" s="27"/>
      <c r="I103" s="27"/>
      <c r="K103" s="25"/>
      <c r="L103" s="26"/>
    </row>
    <row r="104" spans="1:12">
      <c r="A104" s="254">
        <v>47</v>
      </c>
      <c r="B104" s="132">
        <v>11.332800000000001</v>
      </c>
      <c r="C104" s="19" t="e">
        <f t="shared" si="0"/>
        <v>#DIV/0!</v>
      </c>
      <c r="F104" s="25"/>
      <c r="H104" s="27"/>
      <c r="I104" s="27"/>
      <c r="K104" s="25"/>
      <c r="L104" s="26"/>
    </row>
    <row r="105" spans="1:12">
      <c r="A105" s="254">
        <v>46</v>
      </c>
      <c r="B105" s="132">
        <v>11.337</v>
      </c>
      <c r="C105" s="19" t="e">
        <f t="shared" si="0"/>
        <v>#DIV/0!</v>
      </c>
      <c r="F105" s="25"/>
      <c r="H105" s="14"/>
      <c r="I105" s="14"/>
      <c r="K105" s="25"/>
      <c r="L105" s="8"/>
    </row>
    <row r="106" spans="1:12">
      <c r="A106" s="254">
        <v>45</v>
      </c>
      <c r="B106" s="132">
        <v>11.343999999999999</v>
      </c>
      <c r="C106" s="19" t="e">
        <f t="shared" si="0"/>
        <v>#DIV/0!</v>
      </c>
    </row>
    <row r="107" spans="1:12">
      <c r="A107" s="254">
        <v>44</v>
      </c>
      <c r="B107" s="132">
        <v>11.349600000000001</v>
      </c>
      <c r="C107" s="19" t="e">
        <f t="shared" si="0"/>
        <v>#DIV/0!</v>
      </c>
    </row>
    <row r="108" spans="1:12">
      <c r="A108" s="254">
        <v>43</v>
      </c>
      <c r="B108" s="132">
        <v>11.3588</v>
      </c>
      <c r="C108" s="19" t="e">
        <f t="shared" si="0"/>
        <v>#DIV/0!</v>
      </c>
    </row>
    <row r="109" spans="1:12">
      <c r="A109" s="254">
        <v>42</v>
      </c>
      <c r="B109" s="132">
        <v>11.3714</v>
      </c>
      <c r="C109" s="19" t="e">
        <f t="shared" si="0"/>
        <v>#DIV/0!</v>
      </c>
    </row>
    <row r="110" spans="1:12">
      <c r="A110" s="254">
        <v>41</v>
      </c>
      <c r="B110" s="132">
        <v>11.379300000000001</v>
      </c>
      <c r="C110" s="19" t="e">
        <f t="shared" si="0"/>
        <v>#DIV/0!</v>
      </c>
    </row>
    <row r="111" spans="1:12">
      <c r="A111" s="254">
        <v>40</v>
      </c>
      <c r="B111" s="132">
        <v>11.386100000000001</v>
      </c>
      <c r="C111" s="19" t="e">
        <f t="shared" si="0"/>
        <v>#DIV/0!</v>
      </c>
    </row>
    <row r="112" spans="1:12">
      <c r="A112" s="254">
        <v>39</v>
      </c>
      <c r="B112" s="132">
        <v>11.391299999999999</v>
      </c>
      <c r="C112" s="19" t="e">
        <f t="shared" si="0"/>
        <v>#DIV/0!</v>
      </c>
    </row>
    <row r="113" spans="1:3">
      <c r="A113" s="254">
        <v>38</v>
      </c>
      <c r="B113" s="132">
        <v>11.3954</v>
      </c>
      <c r="C113" s="19" t="e">
        <f t="shared" si="0"/>
        <v>#DIV/0!</v>
      </c>
    </row>
    <row r="114" spans="1:3">
      <c r="A114" s="254">
        <v>37</v>
      </c>
      <c r="B114" s="132">
        <v>11.414199999999999</v>
      </c>
      <c r="C114" s="19" t="e">
        <f t="shared" si="0"/>
        <v>#DIV/0!</v>
      </c>
    </row>
    <row r="115" spans="1:3">
      <c r="A115" s="254">
        <v>36</v>
      </c>
      <c r="B115" s="132">
        <v>11.428000000000001</v>
      </c>
      <c r="C115" s="19" t="e">
        <f t="shared" si="0"/>
        <v>#DIV/0!</v>
      </c>
    </row>
    <row r="116" spans="1:3">
      <c r="A116" s="254">
        <v>35</v>
      </c>
      <c r="B116" s="132">
        <v>11.4427</v>
      </c>
      <c r="C116" s="19" t="e">
        <f t="shared" si="0"/>
        <v>#DIV/0!</v>
      </c>
    </row>
    <row r="117" spans="1:3">
      <c r="A117" s="254">
        <v>34</v>
      </c>
      <c r="B117" s="132">
        <v>11.4482</v>
      </c>
      <c r="C117" s="19" t="e">
        <f t="shared" si="0"/>
        <v>#DIV/0!</v>
      </c>
    </row>
    <row r="118" spans="1:3">
      <c r="A118" s="254">
        <v>33</v>
      </c>
      <c r="B118" s="132">
        <v>11.4499</v>
      </c>
      <c r="C118" s="19" t="e">
        <f t="shared" ref="C118:C150" si="1">+(B118*$J$17)</f>
        <v>#DIV/0!</v>
      </c>
    </row>
    <row r="119" spans="1:3">
      <c r="A119" s="254">
        <v>32</v>
      </c>
      <c r="B119" s="132">
        <v>11.454800000000001</v>
      </c>
      <c r="C119" s="19" t="e">
        <f t="shared" si="1"/>
        <v>#DIV/0!</v>
      </c>
    </row>
    <row r="120" spans="1:3">
      <c r="A120" s="254">
        <v>31</v>
      </c>
      <c r="B120" s="132">
        <v>11.469900000000001</v>
      </c>
      <c r="C120" s="19" t="e">
        <f t="shared" si="1"/>
        <v>#DIV/0!</v>
      </c>
    </row>
    <row r="121" spans="1:3">
      <c r="A121" s="254">
        <v>30</v>
      </c>
      <c r="B121" s="132">
        <v>11.4771</v>
      </c>
      <c r="C121" s="19" t="e">
        <f t="shared" si="1"/>
        <v>#DIV/0!</v>
      </c>
    </row>
    <row r="122" spans="1:3">
      <c r="A122" s="254">
        <v>29</v>
      </c>
      <c r="B122" s="132">
        <v>11.482100000000001</v>
      </c>
      <c r="C122" s="19" t="e">
        <f t="shared" si="1"/>
        <v>#DIV/0!</v>
      </c>
    </row>
    <row r="123" spans="1:3">
      <c r="A123" s="254">
        <v>28</v>
      </c>
      <c r="B123" s="132">
        <v>11.484</v>
      </c>
      <c r="C123" s="19" t="e">
        <f t="shared" si="1"/>
        <v>#DIV/0!</v>
      </c>
    </row>
    <row r="124" spans="1:3">
      <c r="A124" s="254">
        <v>27</v>
      </c>
      <c r="B124" s="132">
        <v>11.503399999999999</v>
      </c>
      <c r="C124" s="19" t="e">
        <f t="shared" si="1"/>
        <v>#DIV/0!</v>
      </c>
    </row>
    <row r="125" spans="1:3">
      <c r="A125" s="254">
        <v>26</v>
      </c>
      <c r="B125" s="132">
        <v>11.504899999999999</v>
      </c>
      <c r="C125" s="19" t="e">
        <f t="shared" si="1"/>
        <v>#DIV/0!</v>
      </c>
    </row>
    <row r="126" spans="1:3">
      <c r="A126" s="254">
        <v>25</v>
      </c>
      <c r="B126" s="132">
        <v>11.526300000000001</v>
      </c>
      <c r="C126" s="19" t="e">
        <f t="shared" si="1"/>
        <v>#DIV/0!</v>
      </c>
    </row>
    <row r="127" spans="1:3">
      <c r="A127" s="254">
        <v>24</v>
      </c>
      <c r="B127" s="132">
        <v>11.554399999999999</v>
      </c>
      <c r="C127" s="19" t="e">
        <f t="shared" si="1"/>
        <v>#DIV/0!</v>
      </c>
    </row>
    <row r="128" spans="1:3">
      <c r="A128" s="254">
        <v>23</v>
      </c>
      <c r="B128" s="132">
        <v>11.563599999999999</v>
      </c>
      <c r="C128" s="19" t="e">
        <f t="shared" si="1"/>
        <v>#DIV/0!</v>
      </c>
    </row>
    <row r="129" spans="1:3">
      <c r="A129" s="254">
        <v>22</v>
      </c>
      <c r="B129" s="132">
        <v>11.565200000000001</v>
      </c>
      <c r="C129" s="19" t="e">
        <f t="shared" si="1"/>
        <v>#DIV/0!</v>
      </c>
    </row>
    <row r="130" spans="1:3">
      <c r="A130" s="254">
        <v>21</v>
      </c>
      <c r="B130" s="132">
        <v>11.5938</v>
      </c>
      <c r="C130" s="19" t="e">
        <f t="shared" si="1"/>
        <v>#DIV/0!</v>
      </c>
    </row>
    <row r="131" spans="1:3">
      <c r="A131" s="254">
        <v>20</v>
      </c>
      <c r="B131" s="132">
        <v>11.599399999999999</v>
      </c>
      <c r="C131" s="19" t="e">
        <f t="shared" si="1"/>
        <v>#DIV/0!</v>
      </c>
    </row>
    <row r="132" spans="1:3">
      <c r="A132" s="254">
        <v>19</v>
      </c>
      <c r="B132" s="132">
        <v>11.609299999999999</v>
      </c>
      <c r="C132" s="19" t="e">
        <f t="shared" si="1"/>
        <v>#DIV/0!</v>
      </c>
    </row>
    <row r="133" spans="1:3">
      <c r="A133" s="254">
        <v>18</v>
      </c>
      <c r="B133" s="132">
        <v>11.6181</v>
      </c>
      <c r="C133" s="19" t="e">
        <f t="shared" si="1"/>
        <v>#DIV/0!</v>
      </c>
    </row>
    <row r="134" spans="1:3">
      <c r="A134" s="254">
        <v>17</v>
      </c>
      <c r="B134" s="132">
        <v>11.628500000000001</v>
      </c>
      <c r="C134" s="19" t="e">
        <f t="shared" si="1"/>
        <v>#DIV/0!</v>
      </c>
    </row>
    <row r="135" spans="1:3">
      <c r="A135" s="254">
        <v>16</v>
      </c>
      <c r="B135" s="132">
        <v>11.629799999999999</v>
      </c>
      <c r="C135" s="19" t="e">
        <f t="shared" si="1"/>
        <v>#DIV/0!</v>
      </c>
    </row>
    <row r="136" spans="1:3">
      <c r="A136" s="254">
        <v>15</v>
      </c>
      <c r="B136" s="132">
        <v>11.6335</v>
      </c>
      <c r="C136" s="19" t="e">
        <f t="shared" si="1"/>
        <v>#DIV/0!</v>
      </c>
    </row>
    <row r="137" spans="1:3">
      <c r="A137" s="254">
        <v>14</v>
      </c>
      <c r="B137" s="132">
        <v>11.6473</v>
      </c>
      <c r="C137" s="19" t="e">
        <f t="shared" si="1"/>
        <v>#DIV/0!</v>
      </c>
    </row>
    <row r="138" spans="1:3">
      <c r="A138" s="254">
        <v>13</v>
      </c>
      <c r="B138" s="132">
        <v>11.6615</v>
      </c>
      <c r="C138" s="19" t="e">
        <f t="shared" si="1"/>
        <v>#DIV/0!</v>
      </c>
    </row>
    <row r="139" spans="1:3">
      <c r="A139" s="254">
        <v>12</v>
      </c>
      <c r="B139" s="132">
        <v>11.685700000000001</v>
      </c>
      <c r="C139" s="19" t="e">
        <f t="shared" si="1"/>
        <v>#DIV/0!</v>
      </c>
    </row>
    <row r="140" spans="1:3">
      <c r="A140" s="254">
        <v>11</v>
      </c>
      <c r="B140" s="132">
        <v>11.6906</v>
      </c>
      <c r="C140" s="19" t="e">
        <f t="shared" si="1"/>
        <v>#DIV/0!</v>
      </c>
    </row>
    <row r="141" spans="1:3">
      <c r="A141" s="254">
        <v>10</v>
      </c>
      <c r="B141" s="132">
        <v>11.7051</v>
      </c>
      <c r="C141" s="19" t="e">
        <f t="shared" si="1"/>
        <v>#DIV/0!</v>
      </c>
    </row>
    <row r="142" spans="1:3">
      <c r="A142" s="254">
        <v>9</v>
      </c>
      <c r="B142" s="132">
        <v>11.721299999999999</v>
      </c>
      <c r="C142" s="19" t="e">
        <f t="shared" si="1"/>
        <v>#DIV/0!</v>
      </c>
    </row>
    <row r="143" spans="1:3">
      <c r="A143" s="254">
        <v>8</v>
      </c>
      <c r="B143" s="132">
        <v>11.747299999999999</v>
      </c>
      <c r="C143" s="19" t="e">
        <f t="shared" si="1"/>
        <v>#DIV/0!</v>
      </c>
    </row>
    <row r="144" spans="1:3">
      <c r="A144" s="254">
        <v>7</v>
      </c>
      <c r="B144" s="132">
        <v>11.766400000000001</v>
      </c>
      <c r="C144" s="19" t="e">
        <f t="shared" si="1"/>
        <v>#DIV/0!</v>
      </c>
    </row>
    <row r="145" spans="1:3">
      <c r="A145" s="254">
        <v>6</v>
      </c>
      <c r="B145" s="132">
        <v>11.794700000000001</v>
      </c>
      <c r="C145" s="19" t="e">
        <f t="shared" si="1"/>
        <v>#DIV/0!</v>
      </c>
    </row>
    <row r="146" spans="1:3">
      <c r="A146" s="254">
        <v>5</v>
      </c>
      <c r="B146" s="132">
        <v>11.801399999999999</v>
      </c>
      <c r="C146" s="19" t="e">
        <f t="shared" si="1"/>
        <v>#DIV/0!</v>
      </c>
    </row>
    <row r="147" spans="1:3">
      <c r="A147" s="254">
        <v>4</v>
      </c>
      <c r="B147" s="132">
        <v>11.809200000000001</v>
      </c>
      <c r="C147" s="19" t="e">
        <f t="shared" si="1"/>
        <v>#DIV/0!</v>
      </c>
    </row>
    <row r="148" spans="1:3">
      <c r="A148" s="254">
        <v>3</v>
      </c>
      <c r="B148" s="132">
        <v>11.8416</v>
      </c>
      <c r="C148" s="19" t="e">
        <f t="shared" si="1"/>
        <v>#DIV/0!</v>
      </c>
    </row>
    <row r="149" spans="1:3">
      <c r="A149" s="254">
        <v>2</v>
      </c>
      <c r="B149" s="132">
        <v>11.857200000000001</v>
      </c>
      <c r="C149" s="19" t="e">
        <f t="shared" si="1"/>
        <v>#DIV/0!</v>
      </c>
    </row>
    <row r="150" spans="1:3" ht="13.5" thickBot="1">
      <c r="A150" s="254">
        <v>1</v>
      </c>
      <c r="B150" s="141">
        <v>11.9504</v>
      </c>
      <c r="C150" s="19" t="e">
        <f t="shared" si="1"/>
        <v>#DIV/0!</v>
      </c>
    </row>
    <row r="214" spans="3:29">
      <c r="D214">
        <v>10.1785</v>
      </c>
      <c r="E214">
        <v>10.294499999999999</v>
      </c>
      <c r="F214">
        <v>10.511799999999999</v>
      </c>
      <c r="G214">
        <v>10.541</v>
      </c>
      <c r="H214">
        <v>10.557</v>
      </c>
      <c r="I214">
        <v>10.5913</v>
      </c>
      <c r="J214">
        <v>10.615600000000001</v>
      </c>
      <c r="K214">
        <v>10.6668</v>
      </c>
      <c r="L214">
        <v>10.696400000000001</v>
      </c>
      <c r="M214">
        <v>10.766500000000001</v>
      </c>
      <c r="N214">
        <v>10.7783</v>
      </c>
      <c r="O214">
        <v>10.807</v>
      </c>
      <c r="P214">
        <v>10.8187</v>
      </c>
      <c r="Q214">
        <v>10.8301</v>
      </c>
      <c r="R214">
        <v>10.848599999999999</v>
      </c>
      <c r="S214">
        <v>10.8575</v>
      </c>
      <c r="U214">
        <v>10.861800000000001</v>
      </c>
      <c r="V214">
        <v>10.8934</v>
      </c>
      <c r="W214">
        <v>10.904400000000001</v>
      </c>
      <c r="X214">
        <v>10.9231</v>
      </c>
      <c r="Y214">
        <v>10.943899999999999</v>
      </c>
      <c r="Z214">
        <v>10.962400000000001</v>
      </c>
      <c r="AA214">
        <v>10.972300000000001</v>
      </c>
      <c r="AB214">
        <v>11.0154</v>
      </c>
      <c r="AC214">
        <v>11.021599999999999</v>
      </c>
    </row>
    <row r="215" spans="3:29">
      <c r="D215">
        <v>11.0238</v>
      </c>
      <c r="E215">
        <v>11.043699999999999</v>
      </c>
      <c r="F215">
        <v>11.0555</v>
      </c>
      <c r="G215">
        <v>11.059200000000001</v>
      </c>
      <c r="H215">
        <v>11.068199999999999</v>
      </c>
      <c r="I215">
        <v>11.0939</v>
      </c>
      <c r="J215">
        <v>11.1029</v>
      </c>
      <c r="K215">
        <v>11.1143</v>
      </c>
      <c r="L215">
        <v>11.117100000000001</v>
      </c>
      <c r="M215">
        <v>11.139099999999999</v>
      </c>
      <c r="N215">
        <v>11.148</v>
      </c>
      <c r="O215">
        <v>11.1523</v>
      </c>
      <c r="P215">
        <v>11.155200000000001</v>
      </c>
      <c r="Q215">
        <v>11.16</v>
      </c>
      <c r="R215">
        <v>11.1669</v>
      </c>
      <c r="S215">
        <v>11.175599999999999</v>
      </c>
      <c r="U215">
        <v>11.181800000000001</v>
      </c>
      <c r="V215">
        <v>11.195</v>
      </c>
      <c r="W215">
        <v>11.1976</v>
      </c>
      <c r="X215">
        <v>11.2301</v>
      </c>
      <c r="Y215">
        <v>11.238099999999999</v>
      </c>
      <c r="Z215">
        <v>11.261900000000001</v>
      </c>
      <c r="AA215">
        <v>11.272399999999999</v>
      </c>
      <c r="AB215">
        <v>11.297599999999999</v>
      </c>
      <c r="AC215">
        <v>11.302</v>
      </c>
    </row>
    <row r="216" spans="3:29">
      <c r="D216">
        <v>11.3027</v>
      </c>
      <c r="E216">
        <v>11.3279</v>
      </c>
      <c r="F216">
        <v>11.332800000000001</v>
      </c>
      <c r="G216">
        <v>11.337</v>
      </c>
      <c r="H216">
        <v>11.343999999999999</v>
      </c>
      <c r="I216">
        <v>11.349600000000001</v>
      </c>
      <c r="J216">
        <v>11.3588</v>
      </c>
      <c r="K216">
        <v>11.3714</v>
      </c>
      <c r="L216">
        <v>11.379300000000001</v>
      </c>
      <c r="M216">
        <v>11.391299999999999</v>
      </c>
      <c r="N216">
        <v>11.3954</v>
      </c>
      <c r="O216">
        <v>11.414199999999999</v>
      </c>
      <c r="P216">
        <v>11.428000000000001</v>
      </c>
      <c r="Q216">
        <v>11.4427</v>
      </c>
      <c r="R216">
        <v>11.4482</v>
      </c>
      <c r="S216">
        <v>11.4499</v>
      </c>
      <c r="U216">
        <v>11.454800000000001</v>
      </c>
      <c r="V216">
        <v>11.469900000000001</v>
      </c>
      <c r="W216">
        <v>11.4771</v>
      </c>
      <c r="X216">
        <v>11.482100000000001</v>
      </c>
      <c r="Y216">
        <v>11.484</v>
      </c>
      <c r="Z216">
        <v>11.503399999999999</v>
      </c>
      <c r="AA216">
        <v>11.504899999999999</v>
      </c>
      <c r="AB216">
        <v>11.526300000000001</v>
      </c>
      <c r="AC216">
        <v>11.554399999999999</v>
      </c>
    </row>
    <row r="217" spans="3:29">
      <c r="D217">
        <v>11.563599999999999</v>
      </c>
      <c r="E217">
        <v>11.565200000000001</v>
      </c>
      <c r="F217">
        <v>11.5938</v>
      </c>
      <c r="G217">
        <v>11.599399999999999</v>
      </c>
      <c r="H217">
        <v>11.609299999999999</v>
      </c>
      <c r="I217">
        <v>11.6181</v>
      </c>
      <c r="J217">
        <v>11.628500000000001</v>
      </c>
      <c r="K217">
        <v>11.629799999999999</v>
      </c>
      <c r="L217">
        <v>11.6335</v>
      </c>
      <c r="M217">
        <v>11.6615</v>
      </c>
      <c r="N217">
        <v>11.685700000000001</v>
      </c>
      <c r="O217">
        <v>11.6906</v>
      </c>
      <c r="P217">
        <v>11.7051</v>
      </c>
      <c r="Q217">
        <v>11.721299999999999</v>
      </c>
      <c r="R217">
        <v>11.747299999999999</v>
      </c>
      <c r="S217">
        <v>11.766400000000001</v>
      </c>
      <c r="U217">
        <v>11.794700000000001</v>
      </c>
      <c r="V217">
        <v>11.801399999999999</v>
      </c>
      <c r="W217">
        <v>11.809200000000001</v>
      </c>
      <c r="X217">
        <v>11.8416</v>
      </c>
      <c r="Y217">
        <v>11.857200000000001</v>
      </c>
      <c r="Z217">
        <v>11.9504</v>
      </c>
    </row>
    <row r="221" spans="3:29">
      <c r="C221">
        <v>100</v>
      </c>
      <c r="D221">
        <v>10.294499999999999</v>
      </c>
    </row>
    <row r="222" spans="3:29">
      <c r="C222">
        <v>99</v>
      </c>
      <c r="D222">
        <v>10.511799999999999</v>
      </c>
    </row>
    <row r="223" spans="3:29">
      <c r="C223">
        <v>98</v>
      </c>
      <c r="D223">
        <v>10.541</v>
      </c>
    </row>
    <row r="224" spans="3:29">
      <c r="C224">
        <v>97</v>
      </c>
      <c r="D224">
        <v>10.557</v>
      </c>
    </row>
    <row r="225" spans="3:4">
      <c r="C225">
        <v>96</v>
      </c>
      <c r="D225">
        <v>10.5913</v>
      </c>
    </row>
    <row r="226" spans="3:4">
      <c r="C226">
        <v>95</v>
      </c>
      <c r="D226">
        <v>10.615600000000001</v>
      </c>
    </row>
    <row r="227" spans="3:4">
      <c r="C227">
        <v>94</v>
      </c>
      <c r="D227">
        <v>10.6668</v>
      </c>
    </row>
    <row r="228" spans="3:4">
      <c r="C228">
        <v>93</v>
      </c>
      <c r="D228">
        <v>10.696400000000001</v>
      </c>
    </row>
    <row r="229" spans="3:4">
      <c r="C229">
        <v>92</v>
      </c>
      <c r="D229">
        <v>10.710900000000001</v>
      </c>
    </row>
    <row r="230" spans="3:4">
      <c r="C230">
        <v>91</v>
      </c>
      <c r="D230">
        <v>10.766500000000001</v>
      </c>
    </row>
    <row r="231" spans="3:4">
      <c r="C231">
        <v>90</v>
      </c>
      <c r="D231">
        <v>10.7783</v>
      </c>
    </row>
    <row r="232" spans="3:4">
      <c r="C232">
        <v>89</v>
      </c>
      <c r="D232">
        <v>10.807</v>
      </c>
    </row>
    <row r="233" spans="3:4">
      <c r="C233">
        <v>88</v>
      </c>
      <c r="D233">
        <v>10.8187</v>
      </c>
    </row>
    <row r="234" spans="3:4">
      <c r="C234">
        <v>87</v>
      </c>
      <c r="D234">
        <v>10.8301</v>
      </c>
    </row>
    <row r="235" spans="3:4">
      <c r="C235">
        <v>86</v>
      </c>
      <c r="D235">
        <v>10.848599999999999</v>
      </c>
    </row>
    <row r="236" spans="3:4">
      <c r="C236">
        <v>85</v>
      </c>
      <c r="D236">
        <v>10.8575</v>
      </c>
    </row>
    <row r="237" spans="3:4">
      <c r="C237">
        <v>84</v>
      </c>
      <c r="D237">
        <v>10.861800000000001</v>
      </c>
    </row>
    <row r="238" spans="3:4">
      <c r="C238">
        <v>83</v>
      </c>
      <c r="D238">
        <v>10.8934</v>
      </c>
    </row>
    <row r="239" spans="3:4">
      <c r="C239">
        <v>82</v>
      </c>
      <c r="D239">
        <v>10.904400000000001</v>
      </c>
    </row>
    <row r="240" spans="3:4">
      <c r="C240">
        <v>81</v>
      </c>
      <c r="D240">
        <v>10.9231</v>
      </c>
    </row>
    <row r="241" spans="3:4">
      <c r="C241">
        <v>80</v>
      </c>
      <c r="D241">
        <v>10.943899999999999</v>
      </c>
    </row>
    <row r="242" spans="3:4">
      <c r="C242">
        <v>79</v>
      </c>
      <c r="D242">
        <v>10.962400000000001</v>
      </c>
    </row>
    <row r="243" spans="3:4">
      <c r="C243">
        <v>78</v>
      </c>
      <c r="D243">
        <v>10.972300000000001</v>
      </c>
    </row>
    <row r="244" spans="3:4">
      <c r="C244">
        <v>77</v>
      </c>
      <c r="D244">
        <v>11.0154</v>
      </c>
    </row>
    <row r="245" spans="3:4">
      <c r="C245">
        <v>76</v>
      </c>
      <c r="D245">
        <v>11.021599999999999</v>
      </c>
    </row>
    <row r="246" spans="3:4">
      <c r="C246">
        <v>75</v>
      </c>
      <c r="D246">
        <v>11.0238</v>
      </c>
    </row>
    <row r="247" spans="3:4">
      <c r="C247">
        <v>74</v>
      </c>
      <c r="D247">
        <v>11.043699999999999</v>
      </c>
    </row>
    <row r="248" spans="3:4">
      <c r="C248">
        <v>73</v>
      </c>
      <c r="D248">
        <v>11.0555</v>
      </c>
    </row>
    <row r="249" spans="3:4">
      <c r="C249">
        <v>72</v>
      </c>
      <c r="D249">
        <v>11.059200000000001</v>
      </c>
    </row>
    <row r="250" spans="3:4">
      <c r="C250">
        <v>71</v>
      </c>
      <c r="D250">
        <v>11.068199999999999</v>
      </c>
    </row>
    <row r="251" spans="3:4">
      <c r="C251">
        <v>70</v>
      </c>
      <c r="D251">
        <v>11.0939</v>
      </c>
    </row>
    <row r="252" spans="3:4">
      <c r="C252">
        <v>69</v>
      </c>
      <c r="D252">
        <v>11.1029</v>
      </c>
    </row>
    <row r="253" spans="3:4">
      <c r="C253">
        <v>68</v>
      </c>
      <c r="D253">
        <v>11.1143</v>
      </c>
    </row>
    <row r="254" spans="3:4">
      <c r="C254">
        <v>67</v>
      </c>
      <c r="D254">
        <v>11.117100000000001</v>
      </c>
    </row>
    <row r="255" spans="3:4">
      <c r="C255">
        <v>66</v>
      </c>
      <c r="D255">
        <v>11.1279</v>
      </c>
    </row>
    <row r="256" spans="3:4">
      <c r="C256">
        <v>65</v>
      </c>
      <c r="D256">
        <v>11.139099999999999</v>
      </c>
    </row>
    <row r="257" spans="3:4">
      <c r="C257">
        <v>64</v>
      </c>
      <c r="D257">
        <v>11.148</v>
      </c>
    </row>
    <row r="258" spans="3:4">
      <c r="C258">
        <v>63</v>
      </c>
      <c r="D258">
        <v>11.1523</v>
      </c>
    </row>
    <row r="259" spans="3:4">
      <c r="C259">
        <v>62</v>
      </c>
      <c r="D259">
        <v>11.155200000000001</v>
      </c>
    </row>
    <row r="260" spans="3:4">
      <c r="C260">
        <v>61</v>
      </c>
      <c r="D260">
        <v>11.16</v>
      </c>
    </row>
    <row r="261" spans="3:4">
      <c r="C261">
        <v>60</v>
      </c>
      <c r="D261">
        <v>11.1669</v>
      </c>
    </row>
    <row r="262" spans="3:4">
      <c r="C262">
        <v>59</v>
      </c>
      <c r="D262">
        <v>11.175599999999999</v>
      </c>
    </row>
    <row r="263" spans="3:4">
      <c r="C263">
        <v>58</v>
      </c>
      <c r="D263">
        <v>11.181800000000001</v>
      </c>
    </row>
    <row r="264" spans="3:4">
      <c r="C264">
        <v>57</v>
      </c>
      <c r="D264">
        <v>11.195</v>
      </c>
    </row>
    <row r="265" spans="3:4">
      <c r="C265">
        <v>56</v>
      </c>
      <c r="D265">
        <v>11.1976</v>
      </c>
    </row>
    <row r="266" spans="3:4">
      <c r="C266">
        <v>55</v>
      </c>
      <c r="D266">
        <v>11.2301</v>
      </c>
    </row>
    <row r="267" spans="3:4">
      <c r="C267">
        <v>54</v>
      </c>
      <c r="D267">
        <v>11.238099999999999</v>
      </c>
    </row>
    <row r="268" spans="3:4">
      <c r="C268">
        <v>53</v>
      </c>
      <c r="D268">
        <v>11.261900000000001</v>
      </c>
    </row>
    <row r="269" spans="3:4">
      <c r="C269">
        <v>52</v>
      </c>
      <c r="D269">
        <v>11.272399999999999</v>
      </c>
    </row>
    <row r="270" spans="3:4">
      <c r="C270">
        <v>51</v>
      </c>
      <c r="D270">
        <v>11.297599999999999</v>
      </c>
    </row>
    <row r="271" spans="3:4">
      <c r="C271">
        <v>50</v>
      </c>
      <c r="D271">
        <v>11.302</v>
      </c>
    </row>
    <row r="272" spans="3:4">
      <c r="C272">
        <v>49</v>
      </c>
      <c r="D272">
        <v>11.3027</v>
      </c>
    </row>
    <row r="273" spans="3:4">
      <c r="C273">
        <v>48</v>
      </c>
      <c r="D273">
        <v>11.3279</v>
      </c>
    </row>
    <row r="274" spans="3:4">
      <c r="C274">
        <v>47</v>
      </c>
      <c r="D274">
        <v>11.332800000000001</v>
      </c>
    </row>
    <row r="275" spans="3:4">
      <c r="C275">
        <v>46</v>
      </c>
      <c r="D275">
        <v>11.337</v>
      </c>
    </row>
    <row r="276" spans="3:4">
      <c r="C276">
        <v>45</v>
      </c>
      <c r="D276">
        <v>11.343999999999999</v>
      </c>
    </row>
    <row r="277" spans="3:4">
      <c r="C277">
        <v>44</v>
      </c>
      <c r="D277">
        <v>11.349600000000001</v>
      </c>
    </row>
    <row r="278" spans="3:4">
      <c r="C278">
        <v>43</v>
      </c>
      <c r="D278">
        <v>11.3588</v>
      </c>
    </row>
    <row r="279" spans="3:4">
      <c r="C279">
        <v>42</v>
      </c>
      <c r="D279">
        <v>11.3714</v>
      </c>
    </row>
    <row r="280" spans="3:4">
      <c r="C280">
        <v>41</v>
      </c>
      <c r="D280">
        <v>11.379300000000001</v>
      </c>
    </row>
    <row r="281" spans="3:4">
      <c r="C281">
        <v>40</v>
      </c>
      <c r="D281">
        <v>11.386100000000001</v>
      </c>
    </row>
    <row r="282" spans="3:4">
      <c r="C282">
        <v>39</v>
      </c>
      <c r="D282">
        <v>11.391299999999999</v>
      </c>
    </row>
    <row r="283" spans="3:4">
      <c r="C283">
        <v>38</v>
      </c>
      <c r="D283">
        <v>11.3954</v>
      </c>
    </row>
    <row r="284" spans="3:4">
      <c r="C284">
        <v>37</v>
      </c>
      <c r="D284">
        <v>11.414199999999999</v>
      </c>
    </row>
    <row r="285" spans="3:4">
      <c r="C285">
        <v>36</v>
      </c>
      <c r="D285">
        <v>11.428000000000001</v>
      </c>
    </row>
    <row r="286" spans="3:4">
      <c r="C286">
        <v>35</v>
      </c>
      <c r="D286">
        <v>11.4427</v>
      </c>
    </row>
    <row r="287" spans="3:4">
      <c r="C287">
        <v>34</v>
      </c>
      <c r="D287">
        <v>11.4482</v>
      </c>
    </row>
    <row r="288" spans="3:4">
      <c r="C288">
        <v>33</v>
      </c>
      <c r="D288">
        <v>11.4499</v>
      </c>
    </row>
    <row r="289" spans="3:4">
      <c r="C289">
        <v>32</v>
      </c>
      <c r="D289">
        <v>11.454800000000001</v>
      </c>
    </row>
    <row r="290" spans="3:4">
      <c r="C290">
        <v>31</v>
      </c>
      <c r="D290">
        <v>11.469900000000001</v>
      </c>
    </row>
    <row r="291" spans="3:4">
      <c r="C291">
        <v>30</v>
      </c>
      <c r="D291">
        <v>11.4771</v>
      </c>
    </row>
    <row r="292" spans="3:4">
      <c r="C292">
        <v>29</v>
      </c>
      <c r="D292">
        <v>11.482100000000001</v>
      </c>
    </row>
    <row r="293" spans="3:4">
      <c r="C293">
        <v>28</v>
      </c>
      <c r="D293">
        <v>11.484</v>
      </c>
    </row>
    <row r="294" spans="3:4">
      <c r="C294">
        <v>27</v>
      </c>
      <c r="D294">
        <v>11.503399999999999</v>
      </c>
    </row>
    <row r="295" spans="3:4">
      <c r="C295">
        <v>26</v>
      </c>
      <c r="D295">
        <v>11.504899999999999</v>
      </c>
    </row>
    <row r="296" spans="3:4">
      <c r="C296">
        <v>25</v>
      </c>
      <c r="D296">
        <v>11.526300000000001</v>
      </c>
    </row>
    <row r="297" spans="3:4">
      <c r="C297">
        <v>24</v>
      </c>
      <c r="D297">
        <v>11.554399999999999</v>
      </c>
    </row>
    <row r="298" spans="3:4">
      <c r="C298">
        <v>23</v>
      </c>
      <c r="D298">
        <v>11.563599999999999</v>
      </c>
    </row>
    <row r="299" spans="3:4">
      <c r="C299">
        <v>22</v>
      </c>
      <c r="D299">
        <v>11.565200000000001</v>
      </c>
    </row>
    <row r="300" spans="3:4">
      <c r="C300">
        <v>21</v>
      </c>
      <c r="D300">
        <v>11.5938</v>
      </c>
    </row>
    <row r="301" spans="3:4">
      <c r="C301">
        <v>20</v>
      </c>
      <c r="D301">
        <v>11.599399999999999</v>
      </c>
    </row>
    <row r="302" spans="3:4">
      <c r="C302">
        <v>19</v>
      </c>
      <c r="D302">
        <v>11.609299999999999</v>
      </c>
    </row>
    <row r="303" spans="3:4">
      <c r="C303">
        <v>18</v>
      </c>
      <c r="D303">
        <v>11.6181</v>
      </c>
    </row>
    <row r="304" spans="3:4">
      <c r="C304">
        <v>17</v>
      </c>
      <c r="D304">
        <v>11.628500000000001</v>
      </c>
    </row>
    <row r="305" spans="3:4">
      <c r="C305">
        <v>16</v>
      </c>
      <c r="D305">
        <v>11.629799999999999</v>
      </c>
    </row>
    <row r="306" spans="3:4">
      <c r="C306">
        <v>15</v>
      </c>
      <c r="D306">
        <v>11.6335</v>
      </c>
    </row>
    <row r="307" spans="3:4">
      <c r="C307">
        <v>14</v>
      </c>
      <c r="D307">
        <v>11.6473</v>
      </c>
    </row>
    <row r="308" spans="3:4">
      <c r="C308">
        <v>13</v>
      </c>
      <c r="D308">
        <v>11.6615</v>
      </c>
    </row>
    <row r="309" spans="3:4">
      <c r="C309">
        <v>12</v>
      </c>
      <c r="D309">
        <v>11.685700000000001</v>
      </c>
    </row>
    <row r="310" spans="3:4">
      <c r="C310">
        <v>11</v>
      </c>
      <c r="D310">
        <v>11.6906</v>
      </c>
    </row>
    <row r="311" spans="3:4">
      <c r="C311">
        <v>10</v>
      </c>
      <c r="D311">
        <v>11.7051</v>
      </c>
    </row>
    <row r="312" spans="3:4">
      <c r="C312">
        <v>9</v>
      </c>
      <c r="D312">
        <v>11.721299999999999</v>
      </c>
    </row>
    <row r="313" spans="3:4">
      <c r="C313">
        <v>8</v>
      </c>
      <c r="D313">
        <v>11.747299999999999</v>
      </c>
    </row>
    <row r="314" spans="3:4">
      <c r="C314">
        <v>7</v>
      </c>
      <c r="D314">
        <v>11.766400000000001</v>
      </c>
    </row>
    <row r="315" spans="3:4">
      <c r="C315">
        <v>6</v>
      </c>
      <c r="D315">
        <v>11.794700000000001</v>
      </c>
    </row>
    <row r="316" spans="3:4">
      <c r="C316">
        <v>5</v>
      </c>
      <c r="D316">
        <v>11.801399999999999</v>
      </c>
    </row>
    <row r="317" spans="3:4">
      <c r="C317">
        <v>4</v>
      </c>
      <c r="D317">
        <v>11.809200000000001</v>
      </c>
    </row>
    <row r="318" spans="3:4">
      <c r="C318">
        <v>3</v>
      </c>
      <c r="D318">
        <v>11.8416</v>
      </c>
    </row>
    <row r="319" spans="3:4">
      <c r="C319">
        <v>2</v>
      </c>
      <c r="D319">
        <v>11.857200000000001</v>
      </c>
    </row>
    <row r="320" spans="3:4">
      <c r="C320">
        <v>1</v>
      </c>
      <c r="D320">
        <v>11.9504</v>
      </c>
    </row>
  </sheetData>
  <mergeCells count="8">
    <mergeCell ref="H56:I56"/>
    <mergeCell ref="K56:L56"/>
    <mergeCell ref="D7:G7"/>
    <mergeCell ref="H7:K7"/>
    <mergeCell ref="H54:I54"/>
    <mergeCell ref="K54:L54"/>
    <mergeCell ref="F49:I49"/>
    <mergeCell ref="K49:L49"/>
  </mergeCells>
  <phoneticPr fontId="0" type="noConversion"/>
  <pageMargins left="0.75" right="0.75" top="1" bottom="1" header="0.5" footer="0.5"/>
  <pageSetup scale="1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C320"/>
  <sheetViews>
    <sheetView topLeftCell="A7" zoomScale="75" workbookViewId="0">
      <selection activeCell="K55" sqref="K55"/>
    </sheetView>
  </sheetViews>
  <sheetFormatPr defaultRowHeight="12.75"/>
  <cols>
    <col min="1" max="1" width="21.28515625" customWidth="1"/>
    <col min="2" max="2" width="18.28515625" bestFit="1" customWidth="1"/>
    <col min="3" max="3" width="15.42578125" customWidth="1"/>
    <col min="4" max="4" width="18.28515625" customWidth="1"/>
    <col min="5" max="5" width="12.7109375" bestFit="1" customWidth="1"/>
    <col min="6" max="6" width="13.7109375" customWidth="1"/>
    <col min="7" max="7" width="11.28515625" bestFit="1" customWidth="1"/>
    <col min="9" max="9" width="11.85546875" customWidth="1"/>
    <col min="11" max="11" width="7.5703125" customWidth="1"/>
    <col min="13" max="13" width="20" customWidth="1"/>
    <col min="14" max="14" width="7.85546875" customWidth="1"/>
    <col min="15" max="15" width="5.42578125" customWidth="1"/>
    <col min="16" max="16" width="6" customWidth="1"/>
    <col min="17" max="17" width="6.42578125" customWidth="1"/>
    <col min="18" max="18" width="6.28515625" customWidth="1"/>
    <col min="19" max="19" width="10" customWidth="1"/>
    <col min="20" max="20" width="7.7109375" customWidth="1"/>
  </cols>
  <sheetData>
    <row r="1" spans="1:25" ht="18">
      <c r="A1" s="29" t="s">
        <v>1893</v>
      </c>
      <c r="B1" s="3"/>
      <c r="C1" s="3"/>
    </row>
    <row r="2" spans="1:25" ht="18">
      <c r="A2" s="2" t="s">
        <v>1894</v>
      </c>
    </row>
    <row r="4" spans="1:25" ht="13.5" thickBot="1"/>
    <row r="5" spans="1:25" ht="18">
      <c r="A5" s="30" t="s">
        <v>1894</v>
      </c>
      <c r="B5" s="31"/>
      <c r="C5" s="31"/>
      <c r="D5" s="31"/>
      <c r="E5" s="31"/>
      <c r="F5" s="31"/>
      <c r="G5" s="31"/>
      <c r="H5" s="31"/>
      <c r="I5" s="31"/>
      <c r="J5" s="31"/>
      <c r="K5" s="32"/>
    </row>
    <row r="6" spans="1:25" ht="13.5" thickBot="1">
      <c r="A6" s="33"/>
      <c r="B6" s="34"/>
      <c r="C6" s="34"/>
      <c r="D6" s="34"/>
      <c r="E6" s="34"/>
      <c r="F6" s="34"/>
      <c r="G6" s="34"/>
      <c r="H6" s="34"/>
      <c r="I6" s="34"/>
      <c r="J6" s="34"/>
      <c r="K6" s="35"/>
    </row>
    <row r="7" spans="1:25" ht="15.75" thickBot="1">
      <c r="A7" s="255"/>
      <c r="B7" s="256" t="s">
        <v>1895</v>
      </c>
      <c r="C7" s="257" t="s">
        <v>1896</v>
      </c>
      <c r="D7" s="2330" t="s">
        <v>1897</v>
      </c>
      <c r="E7" s="2331"/>
      <c r="F7" s="2331"/>
      <c r="G7" s="2332"/>
      <c r="H7" s="2330" t="s">
        <v>1898</v>
      </c>
      <c r="I7" s="2331"/>
      <c r="J7" s="2331"/>
      <c r="K7" s="2332"/>
    </row>
    <row r="8" spans="1:25" ht="20.25" customHeight="1">
      <c r="A8" s="36" t="s">
        <v>1899</v>
      </c>
      <c r="B8" s="37" t="e">
        <f>C8/N10</f>
        <v>#DIV/0!</v>
      </c>
      <c r="C8" s="37">
        <f>N14</f>
        <v>0</v>
      </c>
      <c r="D8" s="38"/>
      <c r="E8" s="39" t="s">
        <v>1900</v>
      </c>
      <c r="F8" s="380" t="e">
        <f ca="1">+(F9*'Side Calcs - Proposed'!J16/(10.3/3.412))+(F9*'Side Calcs - Proposed'!K16/1.024)+(F9*'Side Calcs - Proposed'!L16)+(F9*'Side Calcs - Proposed'!M16/1.38)+(F9*'Side Calcs - Proposed'!N16)</f>
        <v>#DIV/0!</v>
      </c>
      <c r="G8" s="381" t="s">
        <v>233</v>
      </c>
      <c r="H8" s="40"/>
      <c r="I8" s="41" t="s">
        <v>1055</v>
      </c>
      <c r="J8" s="42">
        <f>+G39</f>
        <v>11.246855500000001</v>
      </c>
      <c r="K8" s="43" t="s">
        <v>1056</v>
      </c>
      <c r="P8" t="s">
        <v>1057</v>
      </c>
    </row>
    <row r="9" spans="1:25" ht="15.75">
      <c r="A9" s="36" t="s">
        <v>1058</v>
      </c>
      <c r="B9" s="44" t="e">
        <f>B12*B16</f>
        <v>#N/A</v>
      </c>
      <c r="C9" s="45"/>
      <c r="D9" s="40"/>
      <c r="E9" s="39" t="s">
        <v>1059</v>
      </c>
      <c r="F9" s="382" t="e">
        <f>+EXP('Worksheet - Design - Proposed'!C76)</f>
        <v>#DIV/0!</v>
      </c>
      <c r="G9" s="381" t="s">
        <v>233</v>
      </c>
      <c r="H9" s="46"/>
      <c r="I9" s="47"/>
      <c r="J9" s="7"/>
      <c r="K9" s="43"/>
      <c r="N9" t="s">
        <v>519</v>
      </c>
      <c r="O9" t="s">
        <v>1057</v>
      </c>
      <c r="P9" s="10" t="s">
        <v>1060</v>
      </c>
    </row>
    <row r="10" spans="1:25" ht="15.75">
      <c r="A10" s="36" t="s">
        <v>1061</v>
      </c>
      <c r="B10" s="48" t="e">
        <f>B17*B18</f>
        <v>#N/A</v>
      </c>
      <c r="C10" s="45"/>
      <c r="D10" s="46"/>
      <c r="E10" s="49"/>
      <c r="F10" s="50"/>
      <c r="G10" s="43"/>
      <c r="H10" s="46"/>
      <c r="I10" s="47"/>
      <c r="J10" s="51"/>
      <c r="K10" s="43"/>
      <c r="M10" s="83"/>
      <c r="N10" s="383">
        <f>'RECS - Proposed'!F19</f>
        <v>0</v>
      </c>
      <c r="O10" s="383">
        <f>'RECS - Proposed'!G19</f>
        <v>0</v>
      </c>
      <c r="P10" t="e">
        <f>O10/N10</f>
        <v>#DIV/0!</v>
      </c>
    </row>
    <row r="11" spans="1:25" ht="15.75">
      <c r="A11" s="36" t="s">
        <v>1062</v>
      </c>
      <c r="B11" s="48" t="e">
        <f>O10/N10</f>
        <v>#DIV/0!</v>
      </c>
      <c r="C11" s="45"/>
      <c r="D11" s="46"/>
      <c r="E11" s="49"/>
      <c r="F11" s="50"/>
      <c r="G11" s="43"/>
      <c r="H11" s="46"/>
      <c r="I11" s="47"/>
      <c r="J11" s="51"/>
      <c r="K11" s="43"/>
      <c r="M11" s="83"/>
      <c r="N11" s="383"/>
    </row>
    <row r="12" spans="1:25" ht="16.5" thickBot="1">
      <c r="A12" s="52" t="s">
        <v>40</v>
      </c>
      <c r="B12" s="53" t="e">
        <f>'ZipCode Map'!K5</f>
        <v>#N/A</v>
      </c>
      <c r="C12" s="45"/>
      <c r="D12" s="46"/>
      <c r="E12" s="54" t="s">
        <v>1063</v>
      </c>
      <c r="F12" s="55" t="e">
        <f ca="1">IF(B25&lt;'Worksheet - Design - Proposed'!C51,100,LOOKUP(B25,'Worksheet - Design - Proposed'!C51:C149,'Worksheet - Design - Proposed'!A51:A149)-1)</f>
        <v>#DIV/0!</v>
      </c>
      <c r="G12" s="43"/>
      <c r="H12" s="46"/>
      <c r="I12" s="56"/>
      <c r="J12" s="7"/>
      <c r="K12" s="43"/>
    </row>
    <row r="13" spans="1:25" ht="51.75">
      <c r="A13" s="52"/>
      <c r="B13" s="53"/>
      <c r="C13" s="45"/>
      <c r="D13" s="46"/>
      <c r="E13" s="7"/>
      <c r="F13" s="7"/>
      <c r="G13" s="43"/>
      <c r="H13" s="40"/>
      <c r="I13" s="41" t="s">
        <v>1064</v>
      </c>
      <c r="J13" s="57" t="e">
        <f>$D$40+$D$41*LN(B8)+$D$42*B9+$D$43*B10+D44*B11</f>
        <v>#DIV/0!</v>
      </c>
      <c r="K13" s="43" t="s">
        <v>1056</v>
      </c>
      <c r="M13" s="58" t="s">
        <v>1065</v>
      </c>
      <c r="N13" s="58" t="s">
        <v>1066</v>
      </c>
      <c r="O13" s="58" t="s">
        <v>1067</v>
      </c>
      <c r="P13" s="58" t="s">
        <v>1068</v>
      </c>
      <c r="Q13" s="58" t="s">
        <v>1194</v>
      </c>
      <c r="R13" s="58" t="s">
        <v>1195</v>
      </c>
      <c r="S13" s="58" t="s">
        <v>197</v>
      </c>
      <c r="T13" s="58" t="s">
        <v>198</v>
      </c>
      <c r="U13" s="58" t="s">
        <v>199</v>
      </c>
    </row>
    <row r="14" spans="1:25" ht="15.75">
      <c r="A14" s="52"/>
      <c r="B14" s="37"/>
      <c r="C14" s="45"/>
      <c r="D14" s="38"/>
      <c r="E14" s="39" t="s">
        <v>200</v>
      </c>
      <c r="F14" s="380" t="e">
        <f ca="1">+(F15*'Side Calcs - Proposed'!J16/(10.3/3.412))+(F15*'Side Calcs - Proposed'!K16/1.024)+(F15*'Side Calcs - Proposed'!L16)+(F15*'Side Calcs - Proposed'!M16/1.38)+(F15*'Side Calcs - Proposed'!N16)</f>
        <v>#DIV/0!</v>
      </c>
      <c r="G14" s="381" t="s">
        <v>233</v>
      </c>
      <c r="H14" s="46"/>
      <c r="I14" s="47"/>
      <c r="J14" s="59"/>
      <c r="K14" s="43"/>
      <c r="M14" s="60" t="str">
        <f>'RECS - Proposed'!B21</f>
        <v>Commercial Space</v>
      </c>
      <c r="N14" s="61">
        <f>'RECS - Proposed'!C19</f>
        <v>0</v>
      </c>
      <c r="O14" s="61"/>
      <c r="P14" s="61"/>
      <c r="Q14" s="61">
        <f>'RECS - Proposed'!E19</f>
        <v>0</v>
      </c>
      <c r="R14" s="61"/>
      <c r="S14" s="384" t="e">
        <f ca="1">S21-S15</f>
        <v>#DIV/0!</v>
      </c>
      <c r="T14" s="384" t="e">
        <f ca="1">S14/N10</f>
        <v>#DIV/0!</v>
      </c>
      <c r="U14" s="61"/>
    </row>
    <row r="15" spans="1:25" ht="15.75">
      <c r="A15" s="52"/>
      <c r="B15" s="37"/>
      <c r="C15" s="45"/>
      <c r="D15" s="40"/>
      <c r="E15" s="39" t="s">
        <v>201</v>
      </c>
      <c r="F15" s="382" t="e">
        <f ca="1">F9*N10+SUM(S15:S19)</f>
        <v>#DIV/0!</v>
      </c>
      <c r="G15" s="381" t="s">
        <v>233</v>
      </c>
      <c r="H15" s="46"/>
      <c r="I15" s="47"/>
      <c r="J15" s="59"/>
      <c r="K15" s="43"/>
      <c r="M15" s="60" t="str">
        <f>'RECS - Proposed'!B22</f>
        <v>Under Ground Garage</v>
      </c>
      <c r="N15" s="61">
        <f>'RECS - Proposed'!C20</f>
        <v>0</v>
      </c>
      <c r="O15" s="61"/>
      <c r="P15" s="61"/>
      <c r="Q15" s="61">
        <f>'RECS - Proposed'!F20</f>
        <v>0</v>
      </c>
      <c r="R15" s="61"/>
      <c r="S15" s="384" t="e">
        <f ca="1">0.75*S$21*N15/N$22</f>
        <v>#DIV/0!</v>
      </c>
      <c r="T15" s="384"/>
      <c r="U15" s="62" t="s">
        <v>202</v>
      </c>
      <c r="V15" s="63"/>
      <c r="W15" s="63"/>
      <c r="X15" s="63"/>
      <c r="Y15" s="63"/>
    </row>
    <row r="16" spans="1:25" ht="15.75">
      <c r="A16" s="36" t="s">
        <v>203</v>
      </c>
      <c r="B16" s="64" t="e">
        <f>('RECS - Proposed'!E19)/'RECS - Proposed'!C19</f>
        <v>#DIV/0!</v>
      </c>
      <c r="C16" s="45"/>
      <c r="D16" s="46"/>
      <c r="E16" s="56"/>
      <c r="F16" s="65"/>
      <c r="G16" s="66"/>
      <c r="H16" s="46"/>
      <c r="I16" s="47"/>
      <c r="J16" s="59"/>
      <c r="K16" s="43"/>
      <c r="M16" s="60" t="str">
        <f>'RECS - Proposed'!B23</f>
        <v>Above Ground Garage</v>
      </c>
      <c r="N16" s="61">
        <f>'RECS - Proposed'!C21</f>
        <v>0</v>
      </c>
      <c r="O16" s="61"/>
      <c r="P16" s="61"/>
      <c r="Q16" s="61">
        <f>'RECS - Proposed'!F21</f>
        <v>0</v>
      </c>
      <c r="R16" s="61"/>
      <c r="S16" s="384">
        <f>200*N16</f>
        <v>0</v>
      </c>
      <c r="T16" s="384"/>
      <c r="U16" s="62" t="s">
        <v>204</v>
      </c>
      <c r="V16" s="63"/>
      <c r="W16" s="63"/>
      <c r="X16" s="63"/>
      <c r="Y16" s="63"/>
    </row>
    <row r="17" spans="1:25" ht="15.75">
      <c r="A17" s="36" t="s">
        <v>41</v>
      </c>
      <c r="B17" s="48" t="e">
        <f>'ZipCode Map'!L5</f>
        <v>#N/A</v>
      </c>
      <c r="C17" s="45"/>
      <c r="D17" s="46"/>
      <c r="E17" s="5"/>
      <c r="F17" s="67"/>
      <c r="G17" s="66"/>
      <c r="H17" s="46"/>
      <c r="I17" s="47" t="s">
        <v>205</v>
      </c>
      <c r="J17" s="68" t="e">
        <f>+J13/J8</f>
        <v>#DIV/0!</v>
      </c>
      <c r="K17" s="43"/>
      <c r="M17" s="60" t="str">
        <f>'RECS - Proposed'!B24</f>
        <v>Parking Lot</v>
      </c>
      <c r="N17" s="61">
        <f>'RECS - Proposed'!C22</f>
        <v>0</v>
      </c>
      <c r="O17" s="61">
        <v>168</v>
      </c>
      <c r="P17" s="61" t="s">
        <v>206</v>
      </c>
      <c r="Q17" s="61" t="s">
        <v>206</v>
      </c>
      <c r="R17" s="69">
        <v>1.46</v>
      </c>
      <c r="S17" s="384">
        <f>N17*O17*R17*10.3/1000</f>
        <v>0</v>
      </c>
      <c r="T17" s="384"/>
      <c r="U17" s="69"/>
    </row>
    <row r="18" spans="1:25" ht="15.75">
      <c r="A18" s="36" t="s">
        <v>207</v>
      </c>
      <c r="B18" s="64" t="e">
        <f>('RECS - Proposed'!D19)/'RECS - Proposed'!C19</f>
        <v>#DIV/0!</v>
      </c>
      <c r="C18" s="45"/>
      <c r="D18" s="46"/>
      <c r="E18" s="56"/>
      <c r="F18" s="65"/>
      <c r="G18" s="66"/>
      <c r="H18" s="46"/>
      <c r="I18" s="7"/>
      <c r="J18" s="7"/>
      <c r="K18" s="43"/>
      <c r="M18" s="60" t="str">
        <f>'RECS - Proposed'!B25</f>
        <v>Building Total</v>
      </c>
      <c r="N18" s="61">
        <f>'RECS - Proposed'!C23</f>
        <v>0</v>
      </c>
      <c r="O18" s="61">
        <v>168</v>
      </c>
      <c r="P18" s="61" t="s">
        <v>206</v>
      </c>
      <c r="Q18" s="61" t="s">
        <v>206</v>
      </c>
      <c r="R18" s="69">
        <v>0.26</v>
      </c>
      <c r="S18" s="384">
        <f>N18*O18*R18*10.3/1000</f>
        <v>0</v>
      </c>
      <c r="T18" s="384"/>
      <c r="U18" s="69"/>
    </row>
    <row r="19" spans="1:25" ht="15" thickBot="1">
      <c r="B19" s="70"/>
      <c r="C19" s="45"/>
      <c r="D19" s="46"/>
      <c r="E19" s="56"/>
      <c r="F19" s="65"/>
      <c r="G19" s="66"/>
      <c r="H19" s="46"/>
      <c r="I19" s="7"/>
      <c r="J19" s="7"/>
      <c r="K19" s="43"/>
      <c r="M19" s="71">
        <f>'RECS - Proposed'!B26</f>
        <v>0</v>
      </c>
      <c r="N19" s="72">
        <f>'RECS - Proposed'!C24</f>
        <v>0</v>
      </c>
      <c r="O19" s="72">
        <v>84</v>
      </c>
      <c r="P19" s="72" t="s">
        <v>206</v>
      </c>
      <c r="Q19" s="72" t="s">
        <v>206</v>
      </c>
      <c r="R19" s="73">
        <v>0.12</v>
      </c>
      <c r="S19" s="385">
        <f>N19*O19*R19*10.3/1000</f>
        <v>0</v>
      </c>
      <c r="T19" s="385"/>
      <c r="U19" s="62" t="s">
        <v>208</v>
      </c>
      <c r="V19" s="63"/>
      <c r="W19" s="63"/>
      <c r="X19" s="63"/>
      <c r="Y19" s="63"/>
    </row>
    <row r="20" spans="1:25" ht="15.75">
      <c r="A20" s="52" t="s">
        <v>209</v>
      </c>
      <c r="B20" s="386">
        <f ca="1">+'RECS - Proposed'!C32*'Side Calcs - Proposed'!K4+'RECS - Proposed'!D32*'Side Calcs - Proposed'!O4+'RECS - Proposed'!E32*'Side Calcs - Proposed'!S4+'RECS - Proposed'!F32*'Side Calcs - Proposed'!W4+'RECS - Proposed'!G32*'Side Calcs - Proposed'!AA4</f>
        <v>0</v>
      </c>
      <c r="C20" s="45" t="s">
        <v>2191</v>
      </c>
      <c r="D20" s="46"/>
      <c r="E20" s="56"/>
      <c r="F20" s="7"/>
      <c r="G20" s="43"/>
      <c r="H20" s="46"/>
      <c r="I20" s="47"/>
      <c r="J20" s="387"/>
      <c r="K20" s="388"/>
      <c r="M20" s="74" t="s">
        <v>2192</v>
      </c>
      <c r="N20" s="49"/>
      <c r="S20" s="389">
        <f ca="1">B22</f>
        <v>0</v>
      </c>
      <c r="T20" s="389"/>
    </row>
    <row r="21" spans="1:25" ht="15.75">
      <c r="A21" s="52" t="s">
        <v>2193</v>
      </c>
      <c r="B21" s="386"/>
      <c r="C21" s="45"/>
      <c r="D21" s="46"/>
      <c r="E21" s="56"/>
      <c r="F21" s="7"/>
      <c r="G21" s="43"/>
      <c r="H21" s="46"/>
      <c r="I21" s="47"/>
      <c r="J21" s="387"/>
      <c r="K21" s="388"/>
      <c r="M21" t="s">
        <v>2194</v>
      </c>
      <c r="S21" s="389">
        <f ca="1">S20-S16-S17-S18-S19</f>
        <v>0</v>
      </c>
      <c r="T21" s="389"/>
    </row>
    <row r="22" spans="1:25" ht="15.75">
      <c r="A22" s="52" t="s">
        <v>2195</v>
      </c>
      <c r="B22" s="386">
        <f ca="1">+'RECS - Proposed'!C32*'Side Calcs - Proposed'!J4+'RECS - Proposed'!D32*'Side Calcs - Proposed'!N4+'RECS - Proposed'!E32*'Side Calcs - Proposed'!R4+'RECS - Proposed'!F32*'Side Calcs - Proposed'!V4+'RECS - Proposed'!G32*'Side Calcs - Proposed'!Z4</f>
        <v>0</v>
      </c>
      <c r="C22" s="45" t="s">
        <v>2191</v>
      </c>
      <c r="D22" s="46"/>
      <c r="E22" s="7"/>
      <c r="F22" s="59"/>
      <c r="G22" s="43"/>
      <c r="H22" s="46"/>
      <c r="I22" s="47"/>
      <c r="J22" s="7"/>
      <c r="K22" s="75"/>
      <c r="M22" t="s">
        <v>2196</v>
      </c>
      <c r="N22" s="76">
        <f>SUM(N14:N15)</f>
        <v>0</v>
      </c>
      <c r="S22" s="389" t="e">
        <f ca="1">SUM(S14:S15)</f>
        <v>#DIV/0!</v>
      </c>
      <c r="T22" s="389"/>
    </row>
    <row r="23" spans="1:25" ht="15.75">
      <c r="A23" s="52" t="s">
        <v>2197</v>
      </c>
      <c r="B23" s="77"/>
      <c r="C23" s="45"/>
      <c r="D23" s="40"/>
      <c r="E23" s="41" t="s">
        <v>2198</v>
      </c>
      <c r="F23" s="390" t="e">
        <f ca="1">+(F24*'Side Calcs - Proposed'!J16/(10.3/3.412))+(F24*'Side Calcs - Proposed'!K16/1.024)+(F24*'Side Calcs - Proposed'!L16)+(F24*'Side Calcs - Proposed'!M16/1.38)+(F24*'Side Calcs - Proposed'!N16)</f>
        <v>#DIV/0!</v>
      </c>
      <c r="G23" s="381" t="s">
        <v>233</v>
      </c>
      <c r="H23" s="46"/>
      <c r="I23" s="7"/>
      <c r="J23" s="7"/>
      <c r="K23" s="43"/>
      <c r="M23" t="s">
        <v>2199</v>
      </c>
      <c r="S23" s="78">
        <f>SUM(S16:S19)</f>
        <v>0</v>
      </c>
    </row>
    <row r="24" spans="1:25" ht="15.75">
      <c r="A24" s="52" t="s">
        <v>2200</v>
      </c>
      <c r="B24" s="77"/>
      <c r="C24" s="45"/>
      <c r="D24" s="40"/>
      <c r="E24" s="41" t="s">
        <v>2201</v>
      </c>
      <c r="F24" s="391" t="e">
        <f>EXP(C101)</f>
        <v>#DIV/0!</v>
      </c>
      <c r="G24" s="381" t="s">
        <v>233</v>
      </c>
      <c r="H24" s="46"/>
      <c r="I24" s="7"/>
      <c r="J24" s="7"/>
      <c r="K24" s="43"/>
    </row>
    <row r="25" spans="1:25" ht="16.5" thickBot="1">
      <c r="A25" s="36" t="s">
        <v>2202</v>
      </c>
      <c r="B25" s="79" t="e">
        <f ca="1">LN(T14)</f>
        <v>#DIV/0!</v>
      </c>
      <c r="C25" s="80"/>
      <c r="D25" s="40"/>
      <c r="E25" s="41" t="s">
        <v>2203</v>
      </c>
      <c r="F25" s="390" t="e">
        <f ca="1">+(F26*'Side Calcs - Proposed'!J18/(10.3/3.412))+(F26*'Side Calcs - Proposed'!K18/1.024)+(F26*'Side Calcs - Proposed'!L18)+(F26*'Side Calcs - Proposed'!M18/1.38)+(F26*'Side Calcs - Proposed'!N18)</f>
        <v>#DIV/0!</v>
      </c>
      <c r="G25" s="381" t="s">
        <v>233</v>
      </c>
      <c r="H25" s="11"/>
      <c r="I25" s="81"/>
      <c r="J25" s="81"/>
      <c r="K25" s="13"/>
      <c r="N25" t="s">
        <v>2204</v>
      </c>
    </row>
    <row r="26" spans="1:25" ht="14.25">
      <c r="D26" s="40"/>
      <c r="E26" s="41" t="s">
        <v>2205</v>
      </c>
      <c r="F26" s="391" t="e">
        <f ca="1">F24*N10+SUM(S15:S19)</f>
        <v>#DIV/0!</v>
      </c>
      <c r="G26" s="381" t="s">
        <v>233</v>
      </c>
      <c r="N26" t="s">
        <v>2206</v>
      </c>
    </row>
    <row r="27" spans="1:25" ht="14.25">
      <c r="I27" s="47"/>
      <c r="J27" s="82"/>
      <c r="M27" s="83"/>
      <c r="N27" s="83"/>
      <c r="P27" s="83"/>
      <c r="Q27" s="83"/>
    </row>
    <row r="28" spans="1:25" ht="14.25">
      <c r="A28" s="1" t="s">
        <v>2207</v>
      </c>
      <c r="I28" s="47"/>
      <c r="J28" s="82"/>
      <c r="M28" s="83"/>
      <c r="N28" s="83" t="s">
        <v>2208</v>
      </c>
      <c r="O28" s="83"/>
      <c r="P28" s="83"/>
      <c r="Q28" s="83"/>
    </row>
    <row r="29" spans="1:25" ht="12.75" hidden="1" customHeight="1"/>
    <row r="30" spans="1:25">
      <c r="A30" s="84" t="s">
        <v>2209</v>
      </c>
      <c r="B30" s="3"/>
      <c r="C30" s="3"/>
      <c r="D30" s="3"/>
    </row>
    <row r="31" spans="1:25">
      <c r="A31" s="9"/>
      <c r="N31" t="s">
        <v>2210</v>
      </c>
    </row>
    <row r="32" spans="1:25" ht="12.75" hidden="1" customHeight="1">
      <c r="A32" s="9"/>
    </row>
    <row r="33" spans="1:21" ht="12.75" hidden="1" customHeight="1"/>
    <row r="34" spans="1:21" ht="12.75" hidden="1" customHeight="1">
      <c r="A34" s="9"/>
    </row>
    <row r="35" spans="1:21" ht="12.75" hidden="1" customHeight="1"/>
    <row r="36" spans="1:21" ht="13.5" thickBot="1"/>
    <row r="37" spans="1:21" ht="18.75" thickBot="1">
      <c r="A37" s="85" t="s">
        <v>2211</v>
      </c>
      <c r="B37" s="86"/>
      <c r="C37" s="86"/>
      <c r="D37" s="12"/>
      <c r="K37" s="87"/>
      <c r="N37" t="s">
        <v>2212</v>
      </c>
    </row>
    <row r="38" spans="1:21" ht="14.25">
      <c r="A38" s="88"/>
      <c r="B38" s="89"/>
      <c r="C38" s="89"/>
      <c r="D38" s="90" t="s">
        <v>2213</v>
      </c>
      <c r="E38" s="7"/>
      <c r="F38" s="91" t="s">
        <v>2214</v>
      </c>
      <c r="G38" s="92" t="s">
        <v>2215</v>
      </c>
      <c r="H38" s="92" t="s">
        <v>2216</v>
      </c>
      <c r="I38" s="93" t="s">
        <v>2217</v>
      </c>
      <c r="K38" s="94"/>
      <c r="N38" t="s">
        <v>2218</v>
      </c>
    </row>
    <row r="39" spans="1:21" s="1" customFormat="1" ht="14.25">
      <c r="A39" s="95" t="s">
        <v>2214</v>
      </c>
      <c r="B39" s="96" t="s">
        <v>2219</v>
      </c>
      <c r="C39" s="97" t="s">
        <v>2213</v>
      </c>
      <c r="D39" s="98" t="s">
        <v>2220</v>
      </c>
      <c r="E39" s="97"/>
      <c r="F39" s="99" t="s">
        <v>2221</v>
      </c>
      <c r="G39" s="100">
        <v>11.246855500000001</v>
      </c>
      <c r="H39" s="101">
        <v>9.7327645</v>
      </c>
      <c r="I39" s="102">
        <v>12.207849100000001</v>
      </c>
      <c r="J39" s="103" t="s">
        <v>2222</v>
      </c>
      <c r="K39" s="104"/>
      <c r="L39"/>
      <c r="M39"/>
      <c r="N39"/>
      <c r="O39"/>
      <c r="P39"/>
      <c r="Q39"/>
      <c r="R39"/>
      <c r="S39"/>
      <c r="T39"/>
      <c r="U39"/>
    </row>
    <row r="40" spans="1:21" s="1" customFormat="1" ht="14.25">
      <c r="A40" s="105" t="s">
        <v>2223</v>
      </c>
      <c r="B40" s="106">
        <v>1</v>
      </c>
      <c r="C40" s="106" t="s">
        <v>212</v>
      </c>
      <c r="D40" s="107">
        <v>6.4144199999999998</v>
      </c>
      <c r="E40" s="97"/>
      <c r="F40" s="108"/>
      <c r="G40" s="109"/>
      <c r="H40" s="106"/>
      <c r="I40" s="110"/>
      <c r="K40" s="104"/>
      <c r="L40" s="111"/>
    </row>
    <row r="41" spans="1:21" ht="14.25">
      <c r="A41" s="112" t="s">
        <v>213</v>
      </c>
      <c r="B41" s="106">
        <v>1</v>
      </c>
      <c r="C41" s="106" t="s">
        <v>214</v>
      </c>
      <c r="D41" s="113">
        <v>0.69635999999999998</v>
      </c>
      <c r="E41" s="59"/>
      <c r="F41" s="99" t="s">
        <v>215</v>
      </c>
      <c r="G41" s="114">
        <v>6.5994793999999999</v>
      </c>
      <c r="H41" s="101">
        <v>5.7990927000000001</v>
      </c>
      <c r="I41" s="102">
        <v>7.4024514999999997</v>
      </c>
      <c r="J41" t="s">
        <v>216</v>
      </c>
      <c r="L41" s="115">
        <f>EXP(G41)</f>
        <v>734.71259828352083</v>
      </c>
    </row>
    <row r="42" spans="1:21" ht="14.25">
      <c r="A42" s="112" t="s">
        <v>217</v>
      </c>
      <c r="B42" s="106">
        <v>1</v>
      </c>
      <c r="C42" s="106" t="s">
        <v>218</v>
      </c>
      <c r="D42" s="116">
        <v>5.3000000000000001E-5</v>
      </c>
      <c r="E42" s="7"/>
      <c r="F42" s="99" t="s">
        <v>1058</v>
      </c>
      <c r="G42" s="117">
        <v>569.07824230000006</v>
      </c>
      <c r="H42" s="101">
        <v>0</v>
      </c>
      <c r="I42" s="102">
        <v>5736</v>
      </c>
      <c r="K42" s="104"/>
      <c r="L42" s="4"/>
      <c r="S42" s="118"/>
    </row>
    <row r="43" spans="1:21" ht="14.25">
      <c r="A43" s="112" t="s">
        <v>219</v>
      </c>
      <c r="B43" s="106">
        <v>1</v>
      </c>
      <c r="C43" s="106" t="s">
        <v>220</v>
      </c>
      <c r="D43" s="116">
        <v>2.779E-5</v>
      </c>
      <c r="E43" s="7"/>
      <c r="F43" s="99" t="s">
        <v>1061</v>
      </c>
      <c r="G43" s="117">
        <v>4484.58</v>
      </c>
      <c r="H43" s="101">
        <v>0</v>
      </c>
      <c r="I43" s="102">
        <v>8200</v>
      </c>
      <c r="K43" s="104"/>
      <c r="L43" s="4"/>
    </row>
    <row r="44" spans="1:21" ht="14.25">
      <c r="A44" s="112" t="s">
        <v>221</v>
      </c>
      <c r="B44" s="106">
        <v>1</v>
      </c>
      <c r="C44" s="106" t="s">
        <v>222</v>
      </c>
      <c r="D44" s="113">
        <v>6.2050000000000001E-2</v>
      </c>
      <c r="E44" s="7"/>
      <c r="F44" s="99" t="s">
        <v>223</v>
      </c>
      <c r="G44" s="119">
        <v>1.3225806</v>
      </c>
      <c r="H44" s="101">
        <v>0</v>
      </c>
      <c r="I44" s="102">
        <v>4</v>
      </c>
    </row>
    <row r="45" spans="1:21" ht="15" thickBot="1">
      <c r="A45" s="120"/>
      <c r="B45" s="121"/>
      <c r="C45" s="121"/>
      <c r="D45" s="122"/>
      <c r="E45" s="7"/>
      <c r="F45" s="99"/>
      <c r="G45" s="119"/>
      <c r="H45" s="101"/>
      <c r="I45" s="102"/>
    </row>
    <row r="46" spans="1:21" ht="13.5" thickBot="1">
      <c r="A46" s="108"/>
      <c r="B46" s="106"/>
      <c r="C46" s="106"/>
      <c r="D46" s="110"/>
      <c r="E46" s="123"/>
      <c r="F46" s="124"/>
      <c r="G46" s="125"/>
      <c r="H46" s="121"/>
      <c r="I46" s="126"/>
    </row>
    <row r="47" spans="1:21" ht="13.5" thickBot="1">
      <c r="A47" s="124"/>
      <c r="B47" s="121"/>
      <c r="C47" s="121"/>
      <c r="D47" s="126"/>
      <c r="E47" s="123"/>
      <c r="F47" s="7"/>
      <c r="G47" s="7"/>
      <c r="H47" s="7"/>
    </row>
    <row r="49" spans="1:13" ht="13.5" thickBot="1">
      <c r="F49" s="2333"/>
      <c r="G49" s="2333"/>
      <c r="H49" s="2333"/>
      <c r="I49" s="2333"/>
      <c r="K49" s="2333"/>
      <c r="L49" s="2333"/>
    </row>
    <row r="50" spans="1:13" s="1" customFormat="1" ht="26.25" thickBot="1">
      <c r="A50" s="6" t="s">
        <v>224</v>
      </c>
      <c r="B50" s="127" t="s">
        <v>225</v>
      </c>
      <c r="C50" s="128" t="s">
        <v>226</v>
      </c>
      <c r="D50" s="128" t="s">
        <v>227</v>
      </c>
      <c r="E50" s="128"/>
      <c r="F50" s="128"/>
      <c r="G50" s="20"/>
      <c r="H50" s="20"/>
      <c r="I50" s="20"/>
      <c r="K50" s="258"/>
      <c r="L50" s="20"/>
    </row>
    <row r="51" spans="1:13" s="1" customFormat="1">
      <c r="A51" s="254">
        <v>100</v>
      </c>
      <c r="B51" s="129">
        <v>10.294499999999999</v>
      </c>
      <c r="C51" s="19" t="e">
        <f>+(B51*$J$17)</f>
        <v>#DIV/0!</v>
      </c>
      <c r="E51" s="97"/>
      <c r="F51" s="258"/>
      <c r="G51"/>
      <c r="H51" s="20"/>
      <c r="I51" s="20"/>
      <c r="K51" s="130"/>
      <c r="L51" s="20"/>
      <c r="M51" s="131"/>
    </row>
    <row r="52" spans="1:13" ht="15">
      <c r="A52" s="254">
        <v>99</v>
      </c>
      <c r="B52" s="132">
        <v>10.511799999999999</v>
      </c>
      <c r="C52" s="19" t="e">
        <f>+(B52*$J$17)</f>
        <v>#DIV/0!</v>
      </c>
      <c r="E52" s="7"/>
      <c r="F52" s="17"/>
      <c r="H52" s="21"/>
      <c r="I52" s="21"/>
      <c r="K52" s="17"/>
      <c r="L52" s="18"/>
    </row>
    <row r="53" spans="1:13" ht="15">
      <c r="A53" s="254">
        <v>98</v>
      </c>
      <c r="B53" s="132">
        <v>10.541</v>
      </c>
      <c r="C53" s="19" t="e">
        <f>+(B53*$J$17)</f>
        <v>#DIV/0!</v>
      </c>
      <c r="E53" s="7"/>
      <c r="F53" s="22"/>
      <c r="H53" s="133" t="s">
        <v>228</v>
      </c>
      <c r="I53" s="134"/>
      <c r="J53" s="9" t="s">
        <v>2190</v>
      </c>
      <c r="K53" s="135" t="s">
        <v>229</v>
      </c>
      <c r="L53" s="136"/>
      <c r="M53" s="9" t="s">
        <v>230</v>
      </c>
    </row>
    <row r="54" spans="1:13">
      <c r="A54" s="254">
        <v>97</v>
      </c>
      <c r="B54" s="132">
        <v>10.557</v>
      </c>
      <c r="C54" s="19" t="e">
        <f t="shared" ref="C54:C117" si="0">+(B54*$J$17)</f>
        <v>#DIV/0!</v>
      </c>
      <c r="E54" s="137"/>
      <c r="F54" s="138"/>
      <c r="G54" s="139" t="s">
        <v>231</v>
      </c>
      <c r="H54" s="2292" t="e">
        <f ca="1">F15</f>
        <v>#DIV/0!</v>
      </c>
      <c r="I54" s="2293"/>
      <c r="J54" s="15" t="e">
        <f ca="1">F26</f>
        <v>#DIV/0!</v>
      </c>
      <c r="K54" s="2292">
        <f ca="1">(+'RECS - Proposed'!C32*'Side Calcs - Proposed'!J4+'RECS - Proposed'!D32*'Side Calcs - Proposed'!N4+'RECS - Proposed'!E32*'Side Calcs - Proposed'!R4+'RECS - Proposed'!F32*'Side Calcs - Proposed'!V4+'RECS - Proposed'!G32*'Side Calcs - Proposed'!Z4)</f>
        <v>0</v>
      </c>
      <c r="L54" s="2293"/>
      <c r="M54" s="16" t="e">
        <f ca="1">K54-H54</f>
        <v>#DIV/0!</v>
      </c>
    </row>
    <row r="55" spans="1:13">
      <c r="A55" s="254">
        <v>96</v>
      </c>
      <c r="B55" s="132">
        <v>10.5913</v>
      </c>
      <c r="C55" s="19" t="e">
        <f t="shared" si="0"/>
        <v>#DIV/0!</v>
      </c>
      <c r="E55" s="7"/>
      <c r="F55" s="25"/>
      <c r="H55" s="27"/>
      <c r="I55" s="27"/>
      <c r="K55" s="25"/>
      <c r="L55" s="26"/>
    </row>
    <row r="56" spans="1:13">
      <c r="A56" s="254">
        <v>95</v>
      </c>
      <c r="B56" s="132">
        <v>10.615600000000001</v>
      </c>
      <c r="C56" s="19" t="e">
        <f t="shared" si="0"/>
        <v>#DIV/0!</v>
      </c>
      <c r="E56" s="137"/>
      <c r="F56" s="138"/>
      <c r="G56" s="139" t="s">
        <v>232</v>
      </c>
      <c r="H56" s="2292" t="e">
        <f ca="1">H54/'RECS - Proposed'!C25</f>
        <v>#DIV/0!</v>
      </c>
      <c r="I56" s="2293"/>
      <c r="J56" s="15" t="e">
        <f ca="1">J54/'RECS - Proposed'!C25</f>
        <v>#DIV/0!</v>
      </c>
      <c r="K56" s="2292" t="e">
        <f ca="1">K54/'RECS - Proposed'!C25</f>
        <v>#DIV/0!</v>
      </c>
      <c r="L56" s="2293"/>
    </row>
    <row r="57" spans="1:13">
      <c r="A57" s="254">
        <v>94</v>
      </c>
      <c r="B57" s="132">
        <v>10.6668</v>
      </c>
      <c r="C57" s="19" t="e">
        <f t="shared" si="0"/>
        <v>#DIV/0!</v>
      </c>
      <c r="E57" s="7"/>
      <c r="F57" s="25"/>
      <c r="H57" s="27"/>
      <c r="I57" s="27"/>
      <c r="K57" s="25"/>
      <c r="L57" s="26"/>
    </row>
    <row r="58" spans="1:13">
      <c r="A58" s="254">
        <v>93</v>
      </c>
      <c r="B58" s="132">
        <v>10.696400000000001</v>
      </c>
      <c r="C58" s="19" t="e">
        <f t="shared" si="0"/>
        <v>#DIV/0!</v>
      </c>
      <c r="E58" s="7"/>
      <c r="F58" s="25"/>
      <c r="H58" s="27"/>
      <c r="I58" s="27"/>
      <c r="K58" s="25"/>
      <c r="L58" s="26"/>
    </row>
    <row r="59" spans="1:13">
      <c r="A59" s="254">
        <v>92</v>
      </c>
      <c r="B59" s="132">
        <v>10.710900000000001</v>
      </c>
      <c r="C59" s="19" t="e">
        <f t="shared" si="0"/>
        <v>#DIV/0!</v>
      </c>
      <c r="E59" s="7"/>
      <c r="F59" s="25"/>
      <c r="I59" s="27"/>
      <c r="K59" s="25"/>
      <c r="L59" s="26"/>
    </row>
    <row r="60" spans="1:13">
      <c r="A60" s="254">
        <v>91</v>
      </c>
      <c r="B60" s="132">
        <v>10.766500000000001</v>
      </c>
      <c r="C60" s="19" t="e">
        <f t="shared" si="0"/>
        <v>#DIV/0!</v>
      </c>
      <c r="F60" s="25"/>
      <c r="H60" s="27"/>
      <c r="I60" s="27"/>
      <c r="K60" s="25"/>
      <c r="L60" s="26"/>
    </row>
    <row r="61" spans="1:13">
      <c r="A61" s="254">
        <v>90</v>
      </c>
      <c r="B61" s="132">
        <v>10.7783</v>
      </c>
      <c r="C61" s="19" t="e">
        <f t="shared" si="0"/>
        <v>#DIV/0!</v>
      </c>
      <c r="F61" s="25"/>
      <c r="H61" s="27"/>
      <c r="I61" s="27"/>
      <c r="K61" s="25"/>
      <c r="L61" s="26"/>
    </row>
    <row r="62" spans="1:13">
      <c r="A62" s="254">
        <v>89</v>
      </c>
      <c r="B62" s="132">
        <v>10.807</v>
      </c>
      <c r="C62" s="19" t="e">
        <f t="shared" si="0"/>
        <v>#DIV/0!</v>
      </c>
      <c r="F62" s="25"/>
      <c r="H62" s="27"/>
      <c r="I62" s="27"/>
      <c r="K62" s="25"/>
      <c r="L62" s="26"/>
    </row>
    <row r="63" spans="1:13">
      <c r="A63" s="254">
        <v>88</v>
      </c>
      <c r="B63" s="132">
        <v>10.8187</v>
      </c>
      <c r="C63" s="19" t="e">
        <f t="shared" si="0"/>
        <v>#DIV/0!</v>
      </c>
      <c r="F63" s="25"/>
      <c r="H63" s="27"/>
      <c r="I63" s="27"/>
      <c r="K63" s="25"/>
      <c r="L63" s="26"/>
    </row>
    <row r="64" spans="1:13">
      <c r="A64" s="254">
        <v>87</v>
      </c>
      <c r="B64" s="132">
        <v>10.8301</v>
      </c>
      <c r="C64" s="19" t="e">
        <f t="shared" si="0"/>
        <v>#DIV/0!</v>
      </c>
      <c r="F64" s="25"/>
      <c r="H64" s="27"/>
      <c r="I64" s="27"/>
      <c r="K64" s="25"/>
      <c r="L64" s="26"/>
    </row>
    <row r="65" spans="1:12">
      <c r="A65" s="254">
        <v>86</v>
      </c>
      <c r="B65" s="132">
        <v>10.848599999999999</v>
      </c>
      <c r="C65" s="19" t="e">
        <f t="shared" si="0"/>
        <v>#DIV/0!</v>
      </c>
      <c r="F65" s="25"/>
      <c r="H65" s="27"/>
      <c r="I65" s="27"/>
      <c r="K65" s="25"/>
      <c r="L65" s="26"/>
    </row>
    <row r="66" spans="1:12">
      <c r="A66" s="254">
        <v>85</v>
      </c>
      <c r="B66" s="132">
        <v>10.8575</v>
      </c>
      <c r="C66" s="19" t="e">
        <f t="shared" si="0"/>
        <v>#DIV/0!</v>
      </c>
      <c r="F66" s="25"/>
      <c r="H66" s="27"/>
      <c r="I66" s="27"/>
      <c r="K66" s="25"/>
      <c r="L66" s="26"/>
    </row>
    <row r="67" spans="1:12">
      <c r="A67" s="254">
        <v>84</v>
      </c>
      <c r="B67" s="132">
        <v>10.861800000000001</v>
      </c>
      <c r="C67" s="19" t="e">
        <f t="shared" si="0"/>
        <v>#DIV/0!</v>
      </c>
      <c r="F67" s="25"/>
      <c r="H67" s="27"/>
      <c r="I67" s="27"/>
      <c r="K67" s="25"/>
      <c r="L67" s="26"/>
    </row>
    <row r="68" spans="1:12">
      <c r="A68" s="254">
        <v>83</v>
      </c>
      <c r="B68" s="132">
        <v>10.8934</v>
      </c>
      <c r="C68" s="19" t="e">
        <f t="shared" si="0"/>
        <v>#DIV/0!</v>
      </c>
      <c r="F68" s="25"/>
      <c r="H68" s="27"/>
      <c r="I68" s="27"/>
      <c r="K68" s="25"/>
      <c r="L68" s="26"/>
    </row>
    <row r="69" spans="1:12">
      <c r="A69" s="254">
        <v>82</v>
      </c>
      <c r="B69" s="132">
        <v>10.904400000000001</v>
      </c>
      <c r="C69" s="19" t="e">
        <f t="shared" si="0"/>
        <v>#DIV/0!</v>
      </c>
      <c r="F69" s="25"/>
      <c r="H69" s="27"/>
      <c r="I69" s="27"/>
      <c r="K69" s="25"/>
      <c r="L69" s="26"/>
    </row>
    <row r="70" spans="1:12">
      <c r="A70" s="254">
        <v>81</v>
      </c>
      <c r="B70" s="132">
        <v>10.9231</v>
      </c>
      <c r="C70" s="19" t="e">
        <f t="shared" si="0"/>
        <v>#DIV/0!</v>
      </c>
      <c r="F70" s="25"/>
      <c r="H70" s="27"/>
      <c r="I70" s="27"/>
      <c r="K70" s="25"/>
      <c r="L70" s="26"/>
    </row>
    <row r="71" spans="1:12">
      <c r="A71" s="254">
        <v>80</v>
      </c>
      <c r="B71" s="132">
        <v>10.943899999999999</v>
      </c>
      <c r="C71" s="19" t="e">
        <f t="shared" si="0"/>
        <v>#DIV/0!</v>
      </c>
      <c r="F71" s="25"/>
      <c r="H71" s="27"/>
      <c r="I71" s="27"/>
      <c r="K71" s="25"/>
      <c r="L71" s="26"/>
    </row>
    <row r="72" spans="1:12">
      <c r="A72" s="254">
        <v>79</v>
      </c>
      <c r="B72" s="132">
        <v>10.962400000000001</v>
      </c>
      <c r="C72" s="19" t="e">
        <f t="shared" si="0"/>
        <v>#DIV/0!</v>
      </c>
      <c r="F72" s="25"/>
      <c r="H72" s="27"/>
      <c r="I72" s="27"/>
      <c r="K72" s="25"/>
      <c r="L72" s="26"/>
    </row>
    <row r="73" spans="1:12">
      <c r="A73" s="254">
        <v>78</v>
      </c>
      <c r="B73" s="132">
        <v>10.972300000000001</v>
      </c>
      <c r="C73" s="19" t="e">
        <f t="shared" si="0"/>
        <v>#DIV/0!</v>
      </c>
      <c r="F73" s="25"/>
      <c r="H73" s="27"/>
      <c r="I73" s="27"/>
      <c r="K73" s="25"/>
      <c r="L73" s="26"/>
    </row>
    <row r="74" spans="1:12">
      <c r="A74" s="254">
        <v>77</v>
      </c>
      <c r="B74" s="132">
        <v>11.0154</v>
      </c>
      <c r="C74" s="19" t="e">
        <f t="shared" si="0"/>
        <v>#DIV/0!</v>
      </c>
      <c r="F74" s="25"/>
      <c r="H74" s="27"/>
      <c r="I74" s="27"/>
      <c r="K74" s="25"/>
      <c r="L74" s="26"/>
    </row>
    <row r="75" spans="1:12" ht="13.5" thickBot="1">
      <c r="A75" s="254">
        <v>76</v>
      </c>
      <c r="B75" s="132">
        <v>11.021599999999999</v>
      </c>
      <c r="C75" s="19" t="e">
        <f t="shared" si="0"/>
        <v>#DIV/0!</v>
      </c>
      <c r="F75" s="25"/>
      <c r="H75" s="27"/>
      <c r="I75" s="27"/>
      <c r="K75" s="25"/>
      <c r="L75" s="26"/>
    </row>
    <row r="76" spans="1:12" ht="13.5" thickBot="1">
      <c r="A76" s="28">
        <v>75</v>
      </c>
      <c r="B76" s="140">
        <v>11.0238</v>
      </c>
      <c r="C76" s="19" t="e">
        <f t="shared" si="0"/>
        <v>#DIV/0!</v>
      </c>
      <c r="F76" s="25"/>
      <c r="H76" s="27"/>
      <c r="I76" s="27"/>
      <c r="K76" s="25"/>
      <c r="L76" s="26"/>
    </row>
    <row r="77" spans="1:12">
      <c r="A77" s="254">
        <v>74</v>
      </c>
      <c r="B77" s="132">
        <v>11.043699999999999</v>
      </c>
      <c r="C77" s="19" t="e">
        <f t="shared" si="0"/>
        <v>#DIV/0!</v>
      </c>
      <c r="F77" s="25"/>
      <c r="H77" s="27"/>
      <c r="I77" s="27"/>
      <c r="K77" s="25"/>
      <c r="L77" s="26"/>
    </row>
    <row r="78" spans="1:12">
      <c r="A78" s="254">
        <v>73</v>
      </c>
      <c r="B78" s="132">
        <v>11.0555</v>
      </c>
      <c r="C78" s="19" t="e">
        <f t="shared" si="0"/>
        <v>#DIV/0!</v>
      </c>
      <c r="F78" s="25"/>
      <c r="H78" s="27"/>
      <c r="I78" s="27"/>
      <c r="K78" s="25"/>
      <c r="L78" s="26"/>
    </row>
    <row r="79" spans="1:12">
      <c r="A79" s="254">
        <v>72</v>
      </c>
      <c r="B79" s="132">
        <v>11.059200000000001</v>
      </c>
      <c r="C79" s="19" t="e">
        <f t="shared" si="0"/>
        <v>#DIV/0!</v>
      </c>
      <c r="F79" s="25"/>
      <c r="H79" s="27"/>
      <c r="I79" s="27"/>
      <c r="K79" s="25"/>
      <c r="L79" s="26"/>
    </row>
    <row r="80" spans="1:12">
      <c r="A80" s="254">
        <v>71</v>
      </c>
      <c r="B80" s="132">
        <v>11.068199999999999</v>
      </c>
      <c r="C80" s="19" t="e">
        <f t="shared" si="0"/>
        <v>#DIV/0!</v>
      </c>
      <c r="F80" s="25"/>
      <c r="H80" s="27"/>
      <c r="I80" s="27"/>
      <c r="K80" s="25"/>
      <c r="L80" s="26"/>
    </row>
    <row r="81" spans="1:12">
      <c r="A81" s="254">
        <v>70</v>
      </c>
      <c r="B81" s="132">
        <v>11.0939</v>
      </c>
      <c r="C81" s="19" t="e">
        <f t="shared" si="0"/>
        <v>#DIV/0!</v>
      </c>
      <c r="F81" s="25"/>
      <c r="H81" s="27"/>
      <c r="I81" s="27"/>
      <c r="K81" s="25"/>
      <c r="L81" s="26"/>
    </row>
    <row r="82" spans="1:12">
      <c r="A82" s="254">
        <v>69</v>
      </c>
      <c r="B82" s="132">
        <v>11.1029</v>
      </c>
      <c r="C82" s="19" t="e">
        <f t="shared" si="0"/>
        <v>#DIV/0!</v>
      </c>
      <c r="F82" s="25"/>
      <c r="H82" s="27"/>
      <c r="I82" s="27"/>
      <c r="K82" s="25"/>
      <c r="L82" s="26"/>
    </row>
    <row r="83" spans="1:12">
      <c r="A83" s="254">
        <v>68</v>
      </c>
      <c r="B83" s="132">
        <v>11.1143</v>
      </c>
      <c r="C83" s="19" t="e">
        <f t="shared" si="0"/>
        <v>#DIV/0!</v>
      </c>
      <c r="F83" s="25"/>
      <c r="H83" s="27"/>
      <c r="I83" s="27"/>
      <c r="K83" s="25"/>
      <c r="L83" s="26"/>
    </row>
    <row r="84" spans="1:12">
      <c r="A84" s="254">
        <v>67</v>
      </c>
      <c r="B84" s="132">
        <v>11.117100000000001</v>
      </c>
      <c r="C84" s="19" t="e">
        <f t="shared" si="0"/>
        <v>#DIV/0!</v>
      </c>
      <c r="F84" s="25"/>
      <c r="H84" s="27"/>
      <c r="I84" s="27"/>
      <c r="K84" s="25"/>
      <c r="L84" s="26"/>
    </row>
    <row r="85" spans="1:12">
      <c r="A85" s="254">
        <v>66</v>
      </c>
      <c r="B85" s="132">
        <v>11.1279</v>
      </c>
      <c r="C85" s="19" t="e">
        <f t="shared" si="0"/>
        <v>#DIV/0!</v>
      </c>
      <c r="F85" s="25"/>
      <c r="H85" s="27"/>
      <c r="I85" s="27"/>
      <c r="K85" s="25"/>
      <c r="L85" s="26"/>
    </row>
    <row r="86" spans="1:12">
      <c r="A86" s="254">
        <v>65</v>
      </c>
      <c r="B86" s="132">
        <v>11.139099999999999</v>
      </c>
      <c r="C86" s="19" t="e">
        <f t="shared" si="0"/>
        <v>#DIV/0!</v>
      </c>
      <c r="F86" s="25"/>
      <c r="H86" s="27"/>
      <c r="I86" s="27"/>
      <c r="K86" s="25"/>
      <c r="L86" s="26"/>
    </row>
    <row r="87" spans="1:12">
      <c r="A87" s="254">
        <v>64</v>
      </c>
      <c r="B87" s="132">
        <v>11.148</v>
      </c>
      <c r="C87" s="19" t="e">
        <f t="shared" si="0"/>
        <v>#DIV/0!</v>
      </c>
      <c r="F87" s="25"/>
      <c r="H87" s="27"/>
      <c r="I87" s="27"/>
      <c r="K87" s="25"/>
      <c r="L87" s="26"/>
    </row>
    <row r="88" spans="1:12">
      <c r="A88" s="254">
        <v>63</v>
      </c>
      <c r="B88" s="132">
        <v>11.1523</v>
      </c>
      <c r="C88" s="19" t="e">
        <f t="shared" si="0"/>
        <v>#DIV/0!</v>
      </c>
      <c r="F88" s="25"/>
      <c r="H88" s="27"/>
      <c r="I88" s="27"/>
      <c r="K88" s="25"/>
      <c r="L88" s="26"/>
    </row>
    <row r="89" spans="1:12">
      <c r="A89" s="254">
        <v>62</v>
      </c>
      <c r="B89" s="132">
        <v>11.155200000000001</v>
      </c>
      <c r="C89" s="19" t="e">
        <f t="shared" si="0"/>
        <v>#DIV/0!</v>
      </c>
      <c r="F89" s="25"/>
      <c r="H89" s="27"/>
      <c r="I89" s="27"/>
      <c r="K89" s="25"/>
      <c r="L89" s="26"/>
    </row>
    <row r="90" spans="1:12">
      <c r="A90" s="254">
        <v>61</v>
      </c>
      <c r="B90" s="132">
        <v>11.16</v>
      </c>
      <c r="C90" s="19" t="e">
        <f t="shared" si="0"/>
        <v>#DIV/0!</v>
      </c>
      <c r="F90" s="25"/>
      <c r="H90" s="27"/>
      <c r="I90" s="27"/>
      <c r="K90" s="25"/>
      <c r="L90" s="26"/>
    </row>
    <row r="91" spans="1:12">
      <c r="A91" s="254">
        <v>60</v>
      </c>
      <c r="B91" s="132">
        <v>11.1669</v>
      </c>
      <c r="C91" s="19" t="e">
        <f t="shared" si="0"/>
        <v>#DIV/0!</v>
      </c>
      <c r="F91" s="25"/>
      <c r="H91" s="27"/>
      <c r="I91" s="27"/>
      <c r="K91" s="25"/>
      <c r="L91" s="26"/>
    </row>
    <row r="92" spans="1:12">
      <c r="A92" s="254">
        <v>59</v>
      </c>
      <c r="B92" s="132">
        <v>11.175599999999999</v>
      </c>
      <c r="C92" s="19" t="e">
        <f t="shared" si="0"/>
        <v>#DIV/0!</v>
      </c>
      <c r="F92" s="25"/>
      <c r="H92" s="27"/>
      <c r="I92" s="27"/>
      <c r="K92" s="25"/>
      <c r="L92" s="26"/>
    </row>
    <row r="93" spans="1:12">
      <c r="A93" s="254">
        <v>58</v>
      </c>
      <c r="B93" s="132">
        <v>11.181800000000001</v>
      </c>
      <c r="C93" s="19" t="e">
        <f t="shared" si="0"/>
        <v>#DIV/0!</v>
      </c>
      <c r="F93" s="25"/>
      <c r="H93" s="27"/>
      <c r="I93" s="27"/>
      <c r="K93" s="25"/>
      <c r="L93" s="26"/>
    </row>
    <row r="94" spans="1:12">
      <c r="A94" s="254">
        <v>57</v>
      </c>
      <c r="B94" s="132">
        <v>11.195</v>
      </c>
      <c r="C94" s="19" t="e">
        <f t="shared" si="0"/>
        <v>#DIV/0!</v>
      </c>
      <c r="F94" s="25"/>
      <c r="H94" s="27"/>
      <c r="I94" s="27"/>
      <c r="K94" s="25"/>
      <c r="L94" s="26"/>
    </row>
    <row r="95" spans="1:12">
      <c r="A95" s="254">
        <v>56</v>
      </c>
      <c r="B95" s="132">
        <v>11.1976</v>
      </c>
      <c r="C95" s="19" t="e">
        <f t="shared" si="0"/>
        <v>#DIV/0!</v>
      </c>
      <c r="F95" s="25"/>
      <c r="H95" s="27"/>
      <c r="I95" s="27"/>
      <c r="K95" s="25"/>
      <c r="L95" s="26"/>
    </row>
    <row r="96" spans="1:12">
      <c r="A96" s="254">
        <v>55</v>
      </c>
      <c r="B96" s="132">
        <v>11.2301</v>
      </c>
      <c r="C96" s="19" t="e">
        <f t="shared" si="0"/>
        <v>#DIV/0!</v>
      </c>
      <c r="F96" s="25"/>
      <c r="H96" s="27"/>
      <c r="I96" s="27"/>
      <c r="K96" s="25"/>
      <c r="L96" s="26"/>
    </row>
    <row r="97" spans="1:12">
      <c r="A97" s="254">
        <v>54</v>
      </c>
      <c r="B97" s="132">
        <v>11.238099999999999</v>
      </c>
      <c r="C97" s="19" t="e">
        <f t="shared" si="0"/>
        <v>#DIV/0!</v>
      </c>
      <c r="F97" s="25"/>
      <c r="H97" s="27"/>
      <c r="I97" s="27"/>
      <c r="K97" s="25"/>
      <c r="L97" s="26"/>
    </row>
    <row r="98" spans="1:12">
      <c r="A98" s="254">
        <v>53</v>
      </c>
      <c r="B98" s="132">
        <v>11.261900000000001</v>
      </c>
      <c r="C98" s="19" t="e">
        <f t="shared" si="0"/>
        <v>#DIV/0!</v>
      </c>
      <c r="F98" s="25"/>
      <c r="H98" s="27"/>
      <c r="I98" s="27"/>
      <c r="K98" s="25"/>
      <c r="L98" s="26"/>
    </row>
    <row r="99" spans="1:12">
      <c r="A99" s="254">
        <v>52</v>
      </c>
      <c r="B99" s="132">
        <v>11.272399999999999</v>
      </c>
      <c r="C99" s="19" t="e">
        <f t="shared" si="0"/>
        <v>#DIV/0!</v>
      </c>
      <c r="F99" s="25"/>
      <c r="H99" s="27"/>
      <c r="I99" s="27"/>
      <c r="K99" s="25"/>
      <c r="L99" s="26"/>
    </row>
    <row r="100" spans="1:12">
      <c r="A100" s="254">
        <v>51</v>
      </c>
      <c r="B100" s="132">
        <v>11.297599999999999</v>
      </c>
      <c r="C100" s="19" t="e">
        <f t="shared" si="0"/>
        <v>#DIV/0!</v>
      </c>
      <c r="F100" s="25"/>
      <c r="H100" s="27"/>
      <c r="I100" s="27"/>
      <c r="K100" s="25"/>
      <c r="L100" s="26"/>
    </row>
    <row r="101" spans="1:12">
      <c r="A101" s="254">
        <v>50</v>
      </c>
      <c r="B101" s="132">
        <v>11.302</v>
      </c>
      <c r="C101" s="19" t="e">
        <f t="shared" si="0"/>
        <v>#DIV/0!</v>
      </c>
      <c r="F101" s="25"/>
      <c r="H101" s="27"/>
      <c r="I101" s="27"/>
      <c r="K101" s="25"/>
      <c r="L101" s="26"/>
    </row>
    <row r="102" spans="1:12">
      <c r="A102" s="254">
        <v>49</v>
      </c>
      <c r="B102" s="132">
        <v>11.3027</v>
      </c>
      <c r="C102" s="19" t="e">
        <f t="shared" si="0"/>
        <v>#DIV/0!</v>
      </c>
      <c r="F102" s="25"/>
      <c r="H102" s="27"/>
      <c r="I102" s="27"/>
      <c r="K102" s="25"/>
      <c r="L102" s="26"/>
    </row>
    <row r="103" spans="1:12">
      <c r="A103" s="254">
        <v>48</v>
      </c>
      <c r="B103" s="132">
        <v>11.3279</v>
      </c>
      <c r="C103" s="19" t="e">
        <f t="shared" si="0"/>
        <v>#DIV/0!</v>
      </c>
      <c r="F103" s="25"/>
      <c r="H103" s="27"/>
      <c r="I103" s="27"/>
      <c r="K103" s="25"/>
      <c r="L103" s="26"/>
    </row>
    <row r="104" spans="1:12">
      <c r="A104" s="254">
        <v>47</v>
      </c>
      <c r="B104" s="132">
        <v>11.332800000000001</v>
      </c>
      <c r="C104" s="19" t="e">
        <f t="shared" si="0"/>
        <v>#DIV/0!</v>
      </c>
      <c r="F104" s="25"/>
      <c r="H104" s="27"/>
      <c r="I104" s="27"/>
      <c r="K104" s="25"/>
      <c r="L104" s="26"/>
    </row>
    <row r="105" spans="1:12">
      <c r="A105" s="254">
        <v>46</v>
      </c>
      <c r="B105" s="132">
        <v>11.337</v>
      </c>
      <c r="C105" s="19" t="e">
        <f t="shared" si="0"/>
        <v>#DIV/0!</v>
      </c>
      <c r="F105" s="25"/>
      <c r="H105" s="14"/>
      <c r="I105" s="14"/>
      <c r="K105" s="25"/>
      <c r="L105" s="8"/>
    </row>
    <row r="106" spans="1:12">
      <c r="A106" s="254">
        <v>45</v>
      </c>
      <c r="B106" s="132">
        <v>11.343999999999999</v>
      </c>
      <c r="C106" s="19" t="e">
        <f t="shared" si="0"/>
        <v>#DIV/0!</v>
      </c>
    </row>
    <row r="107" spans="1:12">
      <c r="A107" s="254">
        <v>44</v>
      </c>
      <c r="B107" s="132">
        <v>11.349600000000001</v>
      </c>
      <c r="C107" s="19" t="e">
        <f t="shared" si="0"/>
        <v>#DIV/0!</v>
      </c>
    </row>
    <row r="108" spans="1:12">
      <c r="A108" s="254">
        <v>43</v>
      </c>
      <c r="B108" s="132">
        <v>11.3588</v>
      </c>
      <c r="C108" s="19" t="e">
        <f t="shared" si="0"/>
        <v>#DIV/0!</v>
      </c>
    </row>
    <row r="109" spans="1:12">
      <c r="A109" s="254">
        <v>42</v>
      </c>
      <c r="B109" s="132">
        <v>11.3714</v>
      </c>
      <c r="C109" s="19" t="e">
        <f t="shared" si="0"/>
        <v>#DIV/0!</v>
      </c>
    </row>
    <row r="110" spans="1:12">
      <c r="A110" s="254">
        <v>41</v>
      </c>
      <c r="B110" s="132">
        <v>11.379300000000001</v>
      </c>
      <c r="C110" s="19" t="e">
        <f t="shared" si="0"/>
        <v>#DIV/0!</v>
      </c>
    </row>
    <row r="111" spans="1:12">
      <c r="A111" s="254">
        <v>40</v>
      </c>
      <c r="B111" s="132">
        <v>11.386100000000001</v>
      </c>
      <c r="C111" s="19" t="e">
        <f t="shared" si="0"/>
        <v>#DIV/0!</v>
      </c>
    </row>
    <row r="112" spans="1:12">
      <c r="A112" s="254">
        <v>39</v>
      </c>
      <c r="B112" s="132">
        <v>11.391299999999999</v>
      </c>
      <c r="C112" s="19" t="e">
        <f t="shared" si="0"/>
        <v>#DIV/0!</v>
      </c>
    </row>
    <row r="113" spans="1:3">
      <c r="A113" s="254">
        <v>38</v>
      </c>
      <c r="B113" s="132">
        <v>11.3954</v>
      </c>
      <c r="C113" s="19" t="e">
        <f t="shared" si="0"/>
        <v>#DIV/0!</v>
      </c>
    </row>
    <row r="114" spans="1:3">
      <c r="A114" s="254">
        <v>37</v>
      </c>
      <c r="B114" s="132">
        <v>11.414199999999999</v>
      </c>
      <c r="C114" s="19" t="e">
        <f t="shared" si="0"/>
        <v>#DIV/0!</v>
      </c>
    </row>
    <row r="115" spans="1:3">
      <c r="A115" s="254">
        <v>36</v>
      </c>
      <c r="B115" s="132">
        <v>11.428000000000001</v>
      </c>
      <c r="C115" s="19" t="e">
        <f t="shared" si="0"/>
        <v>#DIV/0!</v>
      </c>
    </row>
    <row r="116" spans="1:3">
      <c r="A116" s="254">
        <v>35</v>
      </c>
      <c r="B116" s="132">
        <v>11.4427</v>
      </c>
      <c r="C116" s="19" t="e">
        <f t="shared" si="0"/>
        <v>#DIV/0!</v>
      </c>
    </row>
    <row r="117" spans="1:3">
      <c r="A117" s="254">
        <v>34</v>
      </c>
      <c r="B117" s="132">
        <v>11.4482</v>
      </c>
      <c r="C117" s="19" t="e">
        <f t="shared" si="0"/>
        <v>#DIV/0!</v>
      </c>
    </row>
    <row r="118" spans="1:3">
      <c r="A118" s="254">
        <v>33</v>
      </c>
      <c r="B118" s="132">
        <v>11.4499</v>
      </c>
      <c r="C118" s="19" t="e">
        <f t="shared" ref="C118:C150" si="1">+(B118*$J$17)</f>
        <v>#DIV/0!</v>
      </c>
    </row>
    <row r="119" spans="1:3">
      <c r="A119" s="254">
        <v>32</v>
      </c>
      <c r="B119" s="132">
        <v>11.454800000000001</v>
      </c>
      <c r="C119" s="19" t="e">
        <f t="shared" si="1"/>
        <v>#DIV/0!</v>
      </c>
    </row>
    <row r="120" spans="1:3">
      <c r="A120" s="254">
        <v>31</v>
      </c>
      <c r="B120" s="132">
        <v>11.469900000000001</v>
      </c>
      <c r="C120" s="19" t="e">
        <f t="shared" si="1"/>
        <v>#DIV/0!</v>
      </c>
    </row>
    <row r="121" spans="1:3">
      <c r="A121" s="254">
        <v>30</v>
      </c>
      <c r="B121" s="132">
        <v>11.4771</v>
      </c>
      <c r="C121" s="19" t="e">
        <f t="shared" si="1"/>
        <v>#DIV/0!</v>
      </c>
    </row>
    <row r="122" spans="1:3">
      <c r="A122" s="254">
        <v>29</v>
      </c>
      <c r="B122" s="132">
        <v>11.482100000000001</v>
      </c>
      <c r="C122" s="19" t="e">
        <f t="shared" si="1"/>
        <v>#DIV/0!</v>
      </c>
    </row>
    <row r="123" spans="1:3">
      <c r="A123" s="254">
        <v>28</v>
      </c>
      <c r="B123" s="132">
        <v>11.484</v>
      </c>
      <c r="C123" s="19" t="e">
        <f t="shared" si="1"/>
        <v>#DIV/0!</v>
      </c>
    </row>
    <row r="124" spans="1:3">
      <c r="A124" s="254">
        <v>27</v>
      </c>
      <c r="B124" s="132">
        <v>11.503399999999999</v>
      </c>
      <c r="C124" s="19" t="e">
        <f t="shared" si="1"/>
        <v>#DIV/0!</v>
      </c>
    </row>
    <row r="125" spans="1:3">
      <c r="A125" s="254">
        <v>26</v>
      </c>
      <c r="B125" s="132">
        <v>11.504899999999999</v>
      </c>
      <c r="C125" s="19" t="e">
        <f t="shared" si="1"/>
        <v>#DIV/0!</v>
      </c>
    </row>
    <row r="126" spans="1:3">
      <c r="A126" s="254">
        <v>25</v>
      </c>
      <c r="B126" s="132">
        <v>11.526300000000001</v>
      </c>
      <c r="C126" s="19" t="e">
        <f t="shared" si="1"/>
        <v>#DIV/0!</v>
      </c>
    </row>
    <row r="127" spans="1:3">
      <c r="A127" s="254">
        <v>24</v>
      </c>
      <c r="B127" s="132">
        <v>11.554399999999999</v>
      </c>
      <c r="C127" s="19" t="e">
        <f t="shared" si="1"/>
        <v>#DIV/0!</v>
      </c>
    </row>
    <row r="128" spans="1:3">
      <c r="A128" s="254">
        <v>23</v>
      </c>
      <c r="B128" s="132">
        <v>11.563599999999999</v>
      </c>
      <c r="C128" s="19" t="e">
        <f t="shared" si="1"/>
        <v>#DIV/0!</v>
      </c>
    </row>
    <row r="129" spans="1:3">
      <c r="A129" s="254">
        <v>22</v>
      </c>
      <c r="B129" s="132">
        <v>11.565200000000001</v>
      </c>
      <c r="C129" s="19" t="e">
        <f t="shared" si="1"/>
        <v>#DIV/0!</v>
      </c>
    </row>
    <row r="130" spans="1:3">
      <c r="A130" s="254">
        <v>21</v>
      </c>
      <c r="B130" s="132">
        <v>11.5938</v>
      </c>
      <c r="C130" s="19" t="e">
        <f t="shared" si="1"/>
        <v>#DIV/0!</v>
      </c>
    </row>
    <row r="131" spans="1:3">
      <c r="A131" s="254">
        <v>20</v>
      </c>
      <c r="B131" s="132">
        <v>11.599399999999999</v>
      </c>
      <c r="C131" s="19" t="e">
        <f t="shared" si="1"/>
        <v>#DIV/0!</v>
      </c>
    </row>
    <row r="132" spans="1:3">
      <c r="A132" s="254">
        <v>19</v>
      </c>
      <c r="B132" s="132">
        <v>11.609299999999999</v>
      </c>
      <c r="C132" s="19" t="e">
        <f t="shared" si="1"/>
        <v>#DIV/0!</v>
      </c>
    </row>
    <row r="133" spans="1:3">
      <c r="A133" s="254">
        <v>18</v>
      </c>
      <c r="B133" s="132">
        <v>11.6181</v>
      </c>
      <c r="C133" s="19" t="e">
        <f t="shared" si="1"/>
        <v>#DIV/0!</v>
      </c>
    </row>
    <row r="134" spans="1:3">
      <c r="A134" s="254">
        <v>17</v>
      </c>
      <c r="B134" s="132">
        <v>11.628500000000001</v>
      </c>
      <c r="C134" s="19" t="e">
        <f t="shared" si="1"/>
        <v>#DIV/0!</v>
      </c>
    </row>
    <row r="135" spans="1:3">
      <c r="A135" s="254">
        <v>16</v>
      </c>
      <c r="B135" s="132">
        <v>11.629799999999999</v>
      </c>
      <c r="C135" s="19" t="e">
        <f t="shared" si="1"/>
        <v>#DIV/0!</v>
      </c>
    </row>
    <row r="136" spans="1:3">
      <c r="A136" s="254">
        <v>15</v>
      </c>
      <c r="B136" s="132">
        <v>11.6335</v>
      </c>
      <c r="C136" s="19" t="e">
        <f t="shared" si="1"/>
        <v>#DIV/0!</v>
      </c>
    </row>
    <row r="137" spans="1:3">
      <c r="A137" s="254">
        <v>14</v>
      </c>
      <c r="B137" s="132">
        <v>11.6473</v>
      </c>
      <c r="C137" s="19" t="e">
        <f t="shared" si="1"/>
        <v>#DIV/0!</v>
      </c>
    </row>
    <row r="138" spans="1:3">
      <c r="A138" s="254">
        <v>13</v>
      </c>
      <c r="B138" s="132">
        <v>11.6615</v>
      </c>
      <c r="C138" s="19" t="e">
        <f t="shared" si="1"/>
        <v>#DIV/0!</v>
      </c>
    </row>
    <row r="139" spans="1:3">
      <c r="A139" s="254">
        <v>12</v>
      </c>
      <c r="B139" s="132">
        <v>11.685700000000001</v>
      </c>
      <c r="C139" s="19" t="e">
        <f t="shared" si="1"/>
        <v>#DIV/0!</v>
      </c>
    </row>
    <row r="140" spans="1:3">
      <c r="A140" s="254">
        <v>11</v>
      </c>
      <c r="B140" s="132">
        <v>11.6906</v>
      </c>
      <c r="C140" s="19" t="e">
        <f t="shared" si="1"/>
        <v>#DIV/0!</v>
      </c>
    </row>
    <row r="141" spans="1:3">
      <c r="A141" s="254">
        <v>10</v>
      </c>
      <c r="B141" s="132">
        <v>11.7051</v>
      </c>
      <c r="C141" s="19" t="e">
        <f t="shared" si="1"/>
        <v>#DIV/0!</v>
      </c>
    </row>
    <row r="142" spans="1:3">
      <c r="A142" s="254">
        <v>9</v>
      </c>
      <c r="B142" s="132">
        <v>11.721299999999999</v>
      </c>
      <c r="C142" s="19" t="e">
        <f t="shared" si="1"/>
        <v>#DIV/0!</v>
      </c>
    </row>
    <row r="143" spans="1:3">
      <c r="A143" s="254">
        <v>8</v>
      </c>
      <c r="B143" s="132">
        <v>11.747299999999999</v>
      </c>
      <c r="C143" s="19" t="e">
        <f t="shared" si="1"/>
        <v>#DIV/0!</v>
      </c>
    </row>
    <row r="144" spans="1:3">
      <c r="A144" s="254">
        <v>7</v>
      </c>
      <c r="B144" s="132">
        <v>11.766400000000001</v>
      </c>
      <c r="C144" s="19" t="e">
        <f t="shared" si="1"/>
        <v>#DIV/0!</v>
      </c>
    </row>
    <row r="145" spans="1:3">
      <c r="A145" s="254">
        <v>6</v>
      </c>
      <c r="B145" s="132">
        <v>11.794700000000001</v>
      </c>
      <c r="C145" s="19" t="e">
        <f t="shared" si="1"/>
        <v>#DIV/0!</v>
      </c>
    </row>
    <row r="146" spans="1:3">
      <c r="A146" s="254">
        <v>5</v>
      </c>
      <c r="B146" s="132">
        <v>11.801399999999999</v>
      </c>
      <c r="C146" s="19" t="e">
        <f t="shared" si="1"/>
        <v>#DIV/0!</v>
      </c>
    </row>
    <row r="147" spans="1:3">
      <c r="A147" s="254">
        <v>4</v>
      </c>
      <c r="B147" s="132">
        <v>11.809200000000001</v>
      </c>
      <c r="C147" s="19" t="e">
        <f t="shared" si="1"/>
        <v>#DIV/0!</v>
      </c>
    </row>
    <row r="148" spans="1:3">
      <c r="A148" s="254">
        <v>3</v>
      </c>
      <c r="B148" s="132">
        <v>11.8416</v>
      </c>
      <c r="C148" s="19" t="e">
        <f t="shared" si="1"/>
        <v>#DIV/0!</v>
      </c>
    </row>
    <row r="149" spans="1:3">
      <c r="A149" s="254">
        <v>2</v>
      </c>
      <c r="B149" s="132">
        <v>11.857200000000001</v>
      </c>
      <c r="C149" s="19" t="e">
        <f t="shared" si="1"/>
        <v>#DIV/0!</v>
      </c>
    </row>
    <row r="150" spans="1:3" ht="13.5" thickBot="1">
      <c r="A150" s="254">
        <v>1</v>
      </c>
      <c r="B150" s="141">
        <v>11.9504</v>
      </c>
      <c r="C150" s="19" t="e">
        <f t="shared" si="1"/>
        <v>#DIV/0!</v>
      </c>
    </row>
    <row r="214" spans="3:29">
      <c r="D214">
        <v>10.1785</v>
      </c>
      <c r="E214">
        <v>10.294499999999999</v>
      </c>
      <c r="F214">
        <v>10.511799999999999</v>
      </c>
      <c r="G214">
        <v>10.541</v>
      </c>
      <c r="H214">
        <v>10.557</v>
      </c>
      <c r="I214">
        <v>10.5913</v>
      </c>
      <c r="J214">
        <v>10.615600000000001</v>
      </c>
      <c r="K214">
        <v>10.6668</v>
      </c>
      <c r="L214">
        <v>10.696400000000001</v>
      </c>
      <c r="M214">
        <v>10.766500000000001</v>
      </c>
      <c r="N214">
        <v>10.7783</v>
      </c>
      <c r="O214">
        <v>10.807</v>
      </c>
      <c r="P214">
        <v>10.8187</v>
      </c>
      <c r="Q214">
        <v>10.8301</v>
      </c>
      <c r="R214">
        <v>10.848599999999999</v>
      </c>
      <c r="S214">
        <v>10.8575</v>
      </c>
      <c r="U214">
        <v>10.861800000000001</v>
      </c>
      <c r="V214">
        <v>10.8934</v>
      </c>
      <c r="W214">
        <v>10.904400000000001</v>
      </c>
      <c r="X214">
        <v>10.9231</v>
      </c>
      <c r="Y214">
        <v>10.943899999999999</v>
      </c>
      <c r="Z214">
        <v>10.962400000000001</v>
      </c>
      <c r="AA214">
        <v>10.972300000000001</v>
      </c>
      <c r="AB214">
        <v>11.0154</v>
      </c>
      <c r="AC214">
        <v>11.021599999999999</v>
      </c>
    </row>
    <row r="215" spans="3:29">
      <c r="D215">
        <v>11.0238</v>
      </c>
      <c r="E215">
        <v>11.043699999999999</v>
      </c>
      <c r="F215">
        <v>11.0555</v>
      </c>
      <c r="G215">
        <v>11.059200000000001</v>
      </c>
      <c r="H215">
        <v>11.068199999999999</v>
      </c>
      <c r="I215">
        <v>11.0939</v>
      </c>
      <c r="J215">
        <v>11.1029</v>
      </c>
      <c r="K215">
        <v>11.1143</v>
      </c>
      <c r="L215">
        <v>11.117100000000001</v>
      </c>
      <c r="M215">
        <v>11.139099999999999</v>
      </c>
      <c r="N215">
        <v>11.148</v>
      </c>
      <c r="O215">
        <v>11.1523</v>
      </c>
      <c r="P215">
        <v>11.155200000000001</v>
      </c>
      <c r="Q215">
        <v>11.16</v>
      </c>
      <c r="R215">
        <v>11.1669</v>
      </c>
      <c r="S215">
        <v>11.175599999999999</v>
      </c>
      <c r="U215">
        <v>11.181800000000001</v>
      </c>
      <c r="V215">
        <v>11.195</v>
      </c>
      <c r="W215">
        <v>11.1976</v>
      </c>
      <c r="X215">
        <v>11.2301</v>
      </c>
      <c r="Y215">
        <v>11.238099999999999</v>
      </c>
      <c r="Z215">
        <v>11.261900000000001</v>
      </c>
      <c r="AA215">
        <v>11.272399999999999</v>
      </c>
      <c r="AB215">
        <v>11.297599999999999</v>
      </c>
      <c r="AC215">
        <v>11.302</v>
      </c>
    </row>
    <row r="216" spans="3:29">
      <c r="D216">
        <v>11.3027</v>
      </c>
      <c r="E216">
        <v>11.3279</v>
      </c>
      <c r="F216">
        <v>11.332800000000001</v>
      </c>
      <c r="G216">
        <v>11.337</v>
      </c>
      <c r="H216">
        <v>11.343999999999999</v>
      </c>
      <c r="I216">
        <v>11.349600000000001</v>
      </c>
      <c r="J216">
        <v>11.3588</v>
      </c>
      <c r="K216">
        <v>11.3714</v>
      </c>
      <c r="L216">
        <v>11.379300000000001</v>
      </c>
      <c r="M216">
        <v>11.391299999999999</v>
      </c>
      <c r="N216">
        <v>11.3954</v>
      </c>
      <c r="O216">
        <v>11.414199999999999</v>
      </c>
      <c r="P216">
        <v>11.428000000000001</v>
      </c>
      <c r="Q216">
        <v>11.4427</v>
      </c>
      <c r="R216">
        <v>11.4482</v>
      </c>
      <c r="S216">
        <v>11.4499</v>
      </c>
      <c r="U216">
        <v>11.454800000000001</v>
      </c>
      <c r="V216">
        <v>11.469900000000001</v>
      </c>
      <c r="W216">
        <v>11.4771</v>
      </c>
      <c r="X216">
        <v>11.482100000000001</v>
      </c>
      <c r="Y216">
        <v>11.484</v>
      </c>
      <c r="Z216">
        <v>11.503399999999999</v>
      </c>
      <c r="AA216">
        <v>11.504899999999999</v>
      </c>
      <c r="AB216">
        <v>11.526300000000001</v>
      </c>
      <c r="AC216">
        <v>11.554399999999999</v>
      </c>
    </row>
    <row r="217" spans="3:29">
      <c r="D217">
        <v>11.563599999999999</v>
      </c>
      <c r="E217">
        <v>11.565200000000001</v>
      </c>
      <c r="F217">
        <v>11.5938</v>
      </c>
      <c r="G217">
        <v>11.599399999999999</v>
      </c>
      <c r="H217">
        <v>11.609299999999999</v>
      </c>
      <c r="I217">
        <v>11.6181</v>
      </c>
      <c r="J217">
        <v>11.628500000000001</v>
      </c>
      <c r="K217">
        <v>11.629799999999999</v>
      </c>
      <c r="L217">
        <v>11.6335</v>
      </c>
      <c r="M217">
        <v>11.6615</v>
      </c>
      <c r="N217">
        <v>11.685700000000001</v>
      </c>
      <c r="O217">
        <v>11.6906</v>
      </c>
      <c r="P217">
        <v>11.7051</v>
      </c>
      <c r="Q217">
        <v>11.721299999999999</v>
      </c>
      <c r="R217">
        <v>11.747299999999999</v>
      </c>
      <c r="S217">
        <v>11.766400000000001</v>
      </c>
      <c r="U217">
        <v>11.794700000000001</v>
      </c>
      <c r="V217">
        <v>11.801399999999999</v>
      </c>
      <c r="W217">
        <v>11.809200000000001</v>
      </c>
      <c r="X217">
        <v>11.8416</v>
      </c>
      <c r="Y217">
        <v>11.857200000000001</v>
      </c>
      <c r="Z217">
        <v>11.9504</v>
      </c>
    </row>
    <row r="221" spans="3:29">
      <c r="C221">
        <v>100</v>
      </c>
      <c r="D221">
        <v>10.294499999999999</v>
      </c>
    </row>
    <row r="222" spans="3:29">
      <c r="C222">
        <v>99</v>
      </c>
      <c r="D222">
        <v>10.511799999999999</v>
      </c>
    </row>
    <row r="223" spans="3:29">
      <c r="C223">
        <v>98</v>
      </c>
      <c r="D223">
        <v>10.541</v>
      </c>
    </row>
    <row r="224" spans="3:29">
      <c r="C224">
        <v>97</v>
      </c>
      <c r="D224">
        <v>10.557</v>
      </c>
    </row>
    <row r="225" spans="3:4">
      <c r="C225">
        <v>96</v>
      </c>
      <c r="D225">
        <v>10.5913</v>
      </c>
    </row>
    <row r="226" spans="3:4">
      <c r="C226">
        <v>95</v>
      </c>
      <c r="D226">
        <v>10.615600000000001</v>
      </c>
    </row>
    <row r="227" spans="3:4">
      <c r="C227">
        <v>94</v>
      </c>
      <c r="D227">
        <v>10.6668</v>
      </c>
    </row>
    <row r="228" spans="3:4">
      <c r="C228">
        <v>93</v>
      </c>
      <c r="D228">
        <v>10.696400000000001</v>
      </c>
    </row>
    <row r="229" spans="3:4">
      <c r="C229">
        <v>92</v>
      </c>
      <c r="D229">
        <v>10.710900000000001</v>
      </c>
    </row>
    <row r="230" spans="3:4">
      <c r="C230">
        <v>91</v>
      </c>
      <c r="D230">
        <v>10.766500000000001</v>
      </c>
    </row>
    <row r="231" spans="3:4">
      <c r="C231">
        <v>90</v>
      </c>
      <c r="D231">
        <v>10.7783</v>
      </c>
    </row>
    <row r="232" spans="3:4">
      <c r="C232">
        <v>89</v>
      </c>
      <c r="D232">
        <v>10.807</v>
      </c>
    </row>
    <row r="233" spans="3:4">
      <c r="C233">
        <v>88</v>
      </c>
      <c r="D233">
        <v>10.8187</v>
      </c>
    </row>
    <row r="234" spans="3:4">
      <c r="C234">
        <v>87</v>
      </c>
      <c r="D234">
        <v>10.8301</v>
      </c>
    </row>
    <row r="235" spans="3:4">
      <c r="C235">
        <v>86</v>
      </c>
      <c r="D235">
        <v>10.848599999999999</v>
      </c>
    </row>
    <row r="236" spans="3:4">
      <c r="C236">
        <v>85</v>
      </c>
      <c r="D236">
        <v>10.8575</v>
      </c>
    </row>
    <row r="237" spans="3:4">
      <c r="C237">
        <v>84</v>
      </c>
      <c r="D237">
        <v>10.861800000000001</v>
      </c>
    </row>
    <row r="238" spans="3:4">
      <c r="C238">
        <v>83</v>
      </c>
      <c r="D238">
        <v>10.8934</v>
      </c>
    </row>
    <row r="239" spans="3:4">
      <c r="C239">
        <v>82</v>
      </c>
      <c r="D239">
        <v>10.904400000000001</v>
      </c>
    </row>
    <row r="240" spans="3:4">
      <c r="C240">
        <v>81</v>
      </c>
      <c r="D240">
        <v>10.9231</v>
      </c>
    </row>
    <row r="241" spans="3:4">
      <c r="C241">
        <v>80</v>
      </c>
      <c r="D241">
        <v>10.943899999999999</v>
      </c>
    </row>
    <row r="242" spans="3:4">
      <c r="C242">
        <v>79</v>
      </c>
      <c r="D242">
        <v>10.962400000000001</v>
      </c>
    </row>
    <row r="243" spans="3:4">
      <c r="C243">
        <v>78</v>
      </c>
      <c r="D243">
        <v>10.972300000000001</v>
      </c>
    </row>
    <row r="244" spans="3:4">
      <c r="C244">
        <v>77</v>
      </c>
      <c r="D244">
        <v>11.0154</v>
      </c>
    </row>
    <row r="245" spans="3:4">
      <c r="C245">
        <v>76</v>
      </c>
      <c r="D245">
        <v>11.021599999999999</v>
      </c>
    </row>
    <row r="246" spans="3:4">
      <c r="C246">
        <v>75</v>
      </c>
      <c r="D246">
        <v>11.0238</v>
      </c>
    </row>
    <row r="247" spans="3:4">
      <c r="C247">
        <v>74</v>
      </c>
      <c r="D247">
        <v>11.043699999999999</v>
      </c>
    </row>
    <row r="248" spans="3:4">
      <c r="C248">
        <v>73</v>
      </c>
      <c r="D248">
        <v>11.0555</v>
      </c>
    </row>
    <row r="249" spans="3:4">
      <c r="C249">
        <v>72</v>
      </c>
      <c r="D249">
        <v>11.059200000000001</v>
      </c>
    </row>
    <row r="250" spans="3:4">
      <c r="C250">
        <v>71</v>
      </c>
      <c r="D250">
        <v>11.068199999999999</v>
      </c>
    </row>
    <row r="251" spans="3:4">
      <c r="C251">
        <v>70</v>
      </c>
      <c r="D251">
        <v>11.0939</v>
      </c>
    </row>
    <row r="252" spans="3:4">
      <c r="C252">
        <v>69</v>
      </c>
      <c r="D252">
        <v>11.1029</v>
      </c>
    </row>
    <row r="253" spans="3:4">
      <c r="C253">
        <v>68</v>
      </c>
      <c r="D253">
        <v>11.1143</v>
      </c>
    </row>
    <row r="254" spans="3:4">
      <c r="C254">
        <v>67</v>
      </c>
      <c r="D254">
        <v>11.117100000000001</v>
      </c>
    </row>
    <row r="255" spans="3:4">
      <c r="C255">
        <v>66</v>
      </c>
      <c r="D255">
        <v>11.1279</v>
      </c>
    </row>
    <row r="256" spans="3:4">
      <c r="C256">
        <v>65</v>
      </c>
      <c r="D256">
        <v>11.139099999999999</v>
      </c>
    </row>
    <row r="257" spans="3:4">
      <c r="C257">
        <v>64</v>
      </c>
      <c r="D257">
        <v>11.148</v>
      </c>
    </row>
    <row r="258" spans="3:4">
      <c r="C258">
        <v>63</v>
      </c>
      <c r="D258">
        <v>11.1523</v>
      </c>
    </row>
    <row r="259" spans="3:4">
      <c r="C259">
        <v>62</v>
      </c>
      <c r="D259">
        <v>11.155200000000001</v>
      </c>
    </row>
    <row r="260" spans="3:4">
      <c r="C260">
        <v>61</v>
      </c>
      <c r="D260">
        <v>11.16</v>
      </c>
    </row>
    <row r="261" spans="3:4">
      <c r="C261">
        <v>60</v>
      </c>
      <c r="D261">
        <v>11.1669</v>
      </c>
    </row>
    <row r="262" spans="3:4">
      <c r="C262">
        <v>59</v>
      </c>
      <c r="D262">
        <v>11.175599999999999</v>
      </c>
    </row>
    <row r="263" spans="3:4">
      <c r="C263">
        <v>58</v>
      </c>
      <c r="D263">
        <v>11.181800000000001</v>
      </c>
    </row>
    <row r="264" spans="3:4">
      <c r="C264">
        <v>57</v>
      </c>
      <c r="D264">
        <v>11.195</v>
      </c>
    </row>
    <row r="265" spans="3:4">
      <c r="C265">
        <v>56</v>
      </c>
      <c r="D265">
        <v>11.1976</v>
      </c>
    </row>
    <row r="266" spans="3:4">
      <c r="C266">
        <v>55</v>
      </c>
      <c r="D266">
        <v>11.2301</v>
      </c>
    </row>
    <row r="267" spans="3:4">
      <c r="C267">
        <v>54</v>
      </c>
      <c r="D267">
        <v>11.238099999999999</v>
      </c>
    </row>
    <row r="268" spans="3:4">
      <c r="C268">
        <v>53</v>
      </c>
      <c r="D268">
        <v>11.261900000000001</v>
      </c>
    </row>
    <row r="269" spans="3:4">
      <c r="C269">
        <v>52</v>
      </c>
      <c r="D269">
        <v>11.272399999999999</v>
      </c>
    </row>
    <row r="270" spans="3:4">
      <c r="C270">
        <v>51</v>
      </c>
      <c r="D270">
        <v>11.297599999999999</v>
      </c>
    </row>
    <row r="271" spans="3:4">
      <c r="C271">
        <v>50</v>
      </c>
      <c r="D271">
        <v>11.302</v>
      </c>
    </row>
    <row r="272" spans="3:4">
      <c r="C272">
        <v>49</v>
      </c>
      <c r="D272">
        <v>11.3027</v>
      </c>
    </row>
    <row r="273" spans="3:4">
      <c r="C273">
        <v>48</v>
      </c>
      <c r="D273">
        <v>11.3279</v>
      </c>
    </row>
    <row r="274" spans="3:4">
      <c r="C274">
        <v>47</v>
      </c>
      <c r="D274">
        <v>11.332800000000001</v>
      </c>
    </row>
    <row r="275" spans="3:4">
      <c r="C275">
        <v>46</v>
      </c>
      <c r="D275">
        <v>11.337</v>
      </c>
    </row>
    <row r="276" spans="3:4">
      <c r="C276">
        <v>45</v>
      </c>
      <c r="D276">
        <v>11.343999999999999</v>
      </c>
    </row>
    <row r="277" spans="3:4">
      <c r="C277">
        <v>44</v>
      </c>
      <c r="D277">
        <v>11.349600000000001</v>
      </c>
    </row>
    <row r="278" spans="3:4">
      <c r="C278">
        <v>43</v>
      </c>
      <c r="D278">
        <v>11.3588</v>
      </c>
    </row>
    <row r="279" spans="3:4">
      <c r="C279">
        <v>42</v>
      </c>
      <c r="D279">
        <v>11.3714</v>
      </c>
    </row>
    <row r="280" spans="3:4">
      <c r="C280">
        <v>41</v>
      </c>
      <c r="D280">
        <v>11.379300000000001</v>
      </c>
    </row>
    <row r="281" spans="3:4">
      <c r="C281">
        <v>40</v>
      </c>
      <c r="D281">
        <v>11.386100000000001</v>
      </c>
    </row>
    <row r="282" spans="3:4">
      <c r="C282">
        <v>39</v>
      </c>
      <c r="D282">
        <v>11.391299999999999</v>
      </c>
    </row>
    <row r="283" spans="3:4">
      <c r="C283">
        <v>38</v>
      </c>
      <c r="D283">
        <v>11.3954</v>
      </c>
    </row>
    <row r="284" spans="3:4">
      <c r="C284">
        <v>37</v>
      </c>
      <c r="D284">
        <v>11.414199999999999</v>
      </c>
    </row>
    <row r="285" spans="3:4">
      <c r="C285">
        <v>36</v>
      </c>
      <c r="D285">
        <v>11.428000000000001</v>
      </c>
    </row>
    <row r="286" spans="3:4">
      <c r="C286">
        <v>35</v>
      </c>
      <c r="D286">
        <v>11.4427</v>
      </c>
    </row>
    <row r="287" spans="3:4">
      <c r="C287">
        <v>34</v>
      </c>
      <c r="D287">
        <v>11.4482</v>
      </c>
    </row>
    <row r="288" spans="3:4">
      <c r="C288">
        <v>33</v>
      </c>
      <c r="D288">
        <v>11.4499</v>
      </c>
    </row>
    <row r="289" spans="3:4">
      <c r="C289">
        <v>32</v>
      </c>
      <c r="D289">
        <v>11.454800000000001</v>
      </c>
    </row>
    <row r="290" spans="3:4">
      <c r="C290">
        <v>31</v>
      </c>
      <c r="D290">
        <v>11.469900000000001</v>
      </c>
    </row>
    <row r="291" spans="3:4">
      <c r="C291">
        <v>30</v>
      </c>
      <c r="D291">
        <v>11.4771</v>
      </c>
    </row>
    <row r="292" spans="3:4">
      <c r="C292">
        <v>29</v>
      </c>
      <c r="D292">
        <v>11.482100000000001</v>
      </c>
    </row>
    <row r="293" spans="3:4">
      <c r="C293">
        <v>28</v>
      </c>
      <c r="D293">
        <v>11.484</v>
      </c>
    </row>
    <row r="294" spans="3:4">
      <c r="C294">
        <v>27</v>
      </c>
      <c r="D294">
        <v>11.503399999999999</v>
      </c>
    </row>
    <row r="295" spans="3:4">
      <c r="C295">
        <v>26</v>
      </c>
      <c r="D295">
        <v>11.504899999999999</v>
      </c>
    </row>
    <row r="296" spans="3:4">
      <c r="C296">
        <v>25</v>
      </c>
      <c r="D296">
        <v>11.526300000000001</v>
      </c>
    </row>
    <row r="297" spans="3:4">
      <c r="C297">
        <v>24</v>
      </c>
      <c r="D297">
        <v>11.554399999999999</v>
      </c>
    </row>
    <row r="298" spans="3:4">
      <c r="C298">
        <v>23</v>
      </c>
      <c r="D298">
        <v>11.563599999999999</v>
      </c>
    </row>
    <row r="299" spans="3:4">
      <c r="C299">
        <v>22</v>
      </c>
      <c r="D299">
        <v>11.565200000000001</v>
      </c>
    </row>
    <row r="300" spans="3:4">
      <c r="C300">
        <v>21</v>
      </c>
      <c r="D300">
        <v>11.5938</v>
      </c>
    </row>
    <row r="301" spans="3:4">
      <c r="C301">
        <v>20</v>
      </c>
      <c r="D301">
        <v>11.599399999999999</v>
      </c>
    </row>
    <row r="302" spans="3:4">
      <c r="C302">
        <v>19</v>
      </c>
      <c r="D302">
        <v>11.609299999999999</v>
      </c>
    </row>
    <row r="303" spans="3:4">
      <c r="C303">
        <v>18</v>
      </c>
      <c r="D303">
        <v>11.6181</v>
      </c>
    </row>
    <row r="304" spans="3:4">
      <c r="C304">
        <v>17</v>
      </c>
      <c r="D304">
        <v>11.628500000000001</v>
      </c>
    </row>
    <row r="305" spans="3:4">
      <c r="C305">
        <v>16</v>
      </c>
      <c r="D305">
        <v>11.629799999999999</v>
      </c>
    </row>
    <row r="306" spans="3:4">
      <c r="C306">
        <v>15</v>
      </c>
      <c r="D306">
        <v>11.6335</v>
      </c>
    </row>
    <row r="307" spans="3:4">
      <c r="C307">
        <v>14</v>
      </c>
      <c r="D307">
        <v>11.6473</v>
      </c>
    </row>
    <row r="308" spans="3:4">
      <c r="C308">
        <v>13</v>
      </c>
      <c r="D308">
        <v>11.6615</v>
      </c>
    </row>
    <row r="309" spans="3:4">
      <c r="C309">
        <v>12</v>
      </c>
      <c r="D309">
        <v>11.685700000000001</v>
      </c>
    </row>
    <row r="310" spans="3:4">
      <c r="C310">
        <v>11</v>
      </c>
      <c r="D310">
        <v>11.6906</v>
      </c>
    </row>
    <row r="311" spans="3:4">
      <c r="C311">
        <v>10</v>
      </c>
      <c r="D311">
        <v>11.7051</v>
      </c>
    </row>
    <row r="312" spans="3:4">
      <c r="C312">
        <v>9</v>
      </c>
      <c r="D312">
        <v>11.721299999999999</v>
      </c>
    </row>
    <row r="313" spans="3:4">
      <c r="C313">
        <v>8</v>
      </c>
      <c r="D313">
        <v>11.747299999999999</v>
      </c>
    </row>
    <row r="314" spans="3:4">
      <c r="C314">
        <v>7</v>
      </c>
      <c r="D314">
        <v>11.766400000000001</v>
      </c>
    </row>
    <row r="315" spans="3:4">
      <c r="C315">
        <v>6</v>
      </c>
      <c r="D315">
        <v>11.794700000000001</v>
      </c>
    </row>
    <row r="316" spans="3:4">
      <c r="C316">
        <v>5</v>
      </c>
      <c r="D316">
        <v>11.801399999999999</v>
      </c>
    </row>
    <row r="317" spans="3:4">
      <c r="C317">
        <v>4</v>
      </c>
      <c r="D317">
        <v>11.809200000000001</v>
      </c>
    </row>
    <row r="318" spans="3:4">
      <c r="C318">
        <v>3</v>
      </c>
      <c r="D318">
        <v>11.8416</v>
      </c>
    </row>
    <row r="319" spans="3:4">
      <c r="C319">
        <v>2</v>
      </c>
      <c r="D319">
        <v>11.857200000000001</v>
      </c>
    </row>
    <row r="320" spans="3:4">
      <c r="C320">
        <v>1</v>
      </c>
      <c r="D320">
        <v>11.9504</v>
      </c>
    </row>
  </sheetData>
  <mergeCells count="8">
    <mergeCell ref="H56:I56"/>
    <mergeCell ref="K56:L56"/>
    <mergeCell ref="D7:G7"/>
    <mergeCell ref="H7:K7"/>
    <mergeCell ref="H54:I54"/>
    <mergeCell ref="K54:L54"/>
    <mergeCell ref="F49:I49"/>
    <mergeCell ref="K49:L49"/>
  </mergeCells>
  <phoneticPr fontId="0" type="noConversion"/>
  <pageMargins left="0.75" right="0.75" top="1" bottom="1" header="0.5" footer="0.5"/>
  <pageSetup scale="1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AM31"/>
  <sheetViews>
    <sheetView topLeftCell="F1" zoomScale="75" workbookViewId="0">
      <selection activeCell="L16" sqref="L16"/>
    </sheetView>
  </sheetViews>
  <sheetFormatPr defaultRowHeight="12.75"/>
  <cols>
    <col min="1" max="9" width="9.140625" style="199"/>
    <col min="10" max="10" width="16.7109375" style="199" customWidth="1"/>
    <col min="11" max="11" width="11.28515625" style="199" customWidth="1"/>
    <col min="12" max="14" width="9.140625" style="199"/>
    <col min="15" max="15" width="11.28515625" style="199" customWidth="1"/>
    <col min="16" max="16384" width="9.140625" style="199"/>
  </cols>
  <sheetData>
    <row r="2" spans="2:39">
      <c r="B2" s="2327"/>
      <c r="C2" s="2328"/>
      <c r="D2" s="2329"/>
      <c r="E2" s="2327"/>
      <c r="F2" s="2328"/>
      <c r="G2" s="2329"/>
      <c r="H2" s="2327" t="s">
        <v>1870</v>
      </c>
      <c r="I2" s="2328"/>
      <c r="J2" s="2328"/>
      <c r="K2" s="2329"/>
      <c r="L2" s="2327" t="s">
        <v>1871</v>
      </c>
      <c r="M2" s="2328"/>
      <c r="N2" s="2328"/>
      <c r="O2" s="2329"/>
      <c r="P2" s="2327" t="s">
        <v>1872</v>
      </c>
      <c r="Q2" s="2328"/>
      <c r="R2" s="2328"/>
      <c r="S2" s="2329"/>
      <c r="T2" s="2327" t="s">
        <v>1873</v>
      </c>
      <c r="U2" s="2328"/>
      <c r="V2" s="2328"/>
      <c r="W2" s="2329"/>
      <c r="X2" s="2327" t="s">
        <v>1874</v>
      </c>
      <c r="Y2" s="2328"/>
      <c r="Z2" s="2328"/>
      <c r="AA2" s="2329"/>
      <c r="AB2" s="2327" t="s">
        <v>1875</v>
      </c>
      <c r="AC2" s="2328"/>
      <c r="AD2" s="2328"/>
      <c r="AE2" s="2329"/>
      <c r="AF2" s="2327" t="s">
        <v>1876</v>
      </c>
      <c r="AG2" s="2328"/>
      <c r="AH2" s="2328"/>
      <c r="AI2" s="2329"/>
      <c r="AJ2" s="2327" t="s">
        <v>1877</v>
      </c>
      <c r="AK2" s="2328"/>
      <c r="AL2" s="2328"/>
      <c r="AM2" s="2329"/>
    </row>
    <row r="3" spans="2:39">
      <c r="B3" s="200"/>
      <c r="C3" s="201"/>
      <c r="D3" s="202"/>
      <c r="E3" s="200"/>
      <c r="F3" s="201"/>
      <c r="G3" s="201"/>
      <c r="H3" s="200"/>
      <c r="I3" s="201"/>
      <c r="J3" s="201" t="s">
        <v>1878</v>
      </c>
      <c r="K3" s="203" t="s">
        <v>1879</v>
      </c>
      <c r="L3" s="200"/>
      <c r="M3" s="201"/>
      <c r="N3" s="201" t="s">
        <v>1878</v>
      </c>
      <c r="O3" s="203" t="s">
        <v>1879</v>
      </c>
      <c r="P3" s="200"/>
      <c r="Q3" s="201"/>
      <c r="R3" s="201" t="s">
        <v>1878</v>
      </c>
      <c r="S3" s="203" t="s">
        <v>1879</v>
      </c>
      <c r="T3" s="200"/>
      <c r="U3" s="201"/>
      <c r="V3" s="201" t="s">
        <v>1878</v>
      </c>
      <c r="W3" s="203" t="s">
        <v>1879</v>
      </c>
      <c r="X3" s="200"/>
      <c r="Y3" s="201"/>
      <c r="Z3" s="201" t="s">
        <v>1878</v>
      </c>
      <c r="AA3" s="203" t="s">
        <v>1879</v>
      </c>
      <c r="AB3" s="200"/>
      <c r="AC3" s="201"/>
      <c r="AD3" s="201" t="s">
        <v>1880</v>
      </c>
      <c r="AE3" s="203"/>
      <c r="AF3" s="200"/>
      <c r="AG3" s="201" t="s">
        <v>1880</v>
      </c>
      <c r="AH3" s="201"/>
      <c r="AI3" s="203"/>
      <c r="AJ3" s="200"/>
      <c r="AK3" s="201" t="s">
        <v>1880</v>
      </c>
      <c r="AL3" s="201"/>
      <c r="AM3" s="203"/>
    </row>
    <row r="4" spans="2:39" ht="15">
      <c r="B4" s="204"/>
      <c r="C4" s="205"/>
      <c r="D4" s="206"/>
      <c r="E4" s="204"/>
      <c r="F4" s="205"/>
      <c r="G4" s="21"/>
      <c r="H4" s="204">
        <v>2</v>
      </c>
      <c r="I4" s="205" t="str">
        <f ca="1">INDIRECT(ADDRESS($H$4+H5,COLUMN(I$2)))</f>
        <v>kBTU</v>
      </c>
      <c r="J4" s="207">
        <f ca="1">INDIRECT(ADDRESS($H$4+H5,COLUMN(J$2)))</f>
        <v>3.0187573270808912</v>
      </c>
      <c r="K4" s="208">
        <f ca="1">INDIRECT(ADDRESS($H$4+H5,COLUMN(K$2)))</f>
        <v>1</v>
      </c>
      <c r="L4" s="204">
        <v>2</v>
      </c>
      <c r="M4" s="205" t="str">
        <f ca="1">INDIRECT(ADDRESS($L$4+L5,COLUMN(M$2)))</f>
        <v>kBTU</v>
      </c>
      <c r="N4" s="209">
        <f ca="1">INDIRECT(ADDRESS($L$4+L5,COLUMN(N$2)))</f>
        <v>1.024</v>
      </c>
      <c r="O4" s="206">
        <f ca="1">INDIRECT(ADDRESS($L$4+L5,COLUMN(O$2)))</f>
        <v>1</v>
      </c>
      <c r="P4" s="204">
        <v>0</v>
      </c>
      <c r="Q4" s="205">
        <f ca="1">INDIRECT(ADDRESS($P$4+P5,COLUMN(Q$2)))</f>
        <v>0</v>
      </c>
      <c r="R4" s="209">
        <f ca="1">INDIRECT(ADDRESS($P$4+P5,COLUMN(R$2)))</f>
        <v>0</v>
      </c>
      <c r="S4" s="206">
        <f ca="1">INDIRECT(ADDRESS($P$4+P5,COLUMN(S$2)))</f>
        <v>0</v>
      </c>
      <c r="T4" s="204">
        <v>0</v>
      </c>
      <c r="U4" s="205">
        <f ca="1">INDIRECT(ADDRESS($T$4+T5,COLUMN(U$2)))</f>
        <v>0</v>
      </c>
      <c r="V4" s="209">
        <f ca="1">INDIRECT(ADDRESS($T$4+T5,COLUMN(V$2)))</f>
        <v>0</v>
      </c>
      <c r="W4" s="206">
        <f ca="1">INDIRECT(ADDRESS($T$4+T5,COLUMN(W$2)))</f>
        <v>0</v>
      </c>
      <c r="X4" s="204">
        <v>0</v>
      </c>
      <c r="Y4" s="205">
        <f ca="1">INDIRECT(ADDRESS($X$4+X5,COLUMN(Y$2)))</f>
        <v>0</v>
      </c>
      <c r="Z4" s="21">
        <f ca="1">INDIRECT(ADDRESS($X$4+X5,COLUMN(Z$2)))</f>
        <v>0</v>
      </c>
      <c r="AA4" s="206">
        <f ca="1">INDIRECT(ADDRESS($X$4+X5,COLUMN(AA$2)))</f>
        <v>0</v>
      </c>
      <c r="AB4" s="204">
        <v>1</v>
      </c>
      <c r="AC4" s="205" t="str">
        <f ca="1">INDIRECT(ADDRESS($AB$4+AB5,COLUMN(AC$2)))</f>
        <v>Yes</v>
      </c>
      <c r="AD4" s="21">
        <f ca="1">INDIRECT(ADDRESS($AB$4+AB5,COLUMN(AD$2)))</f>
        <v>1</v>
      </c>
      <c r="AE4" s="206"/>
      <c r="AF4" s="204">
        <v>1</v>
      </c>
      <c r="AG4" s="205">
        <f ca="1">INDIRECT(ADDRESS($AF$4+AF5,COLUMN(AG$2)))</f>
        <v>0</v>
      </c>
      <c r="AH4" s="21"/>
      <c r="AI4" s="206"/>
      <c r="AJ4" s="204">
        <v>2</v>
      </c>
      <c r="AK4" s="205">
        <f ca="1">INDIRECT(ADDRESS($AJ$4+AJ5,COLUMN(AK$2)))</f>
        <v>10</v>
      </c>
      <c r="AL4" s="21"/>
      <c r="AM4" s="206"/>
    </row>
    <row r="5" spans="2:39" ht="15">
      <c r="B5" s="210"/>
      <c r="C5" s="23"/>
      <c r="D5" s="211"/>
      <c r="E5" s="210"/>
      <c r="F5" s="23"/>
      <c r="G5" s="24"/>
      <c r="H5" s="210">
        <v>5</v>
      </c>
      <c r="I5" s="23"/>
      <c r="J5" s="24"/>
      <c r="K5" s="211"/>
      <c r="L5" s="210">
        <v>5</v>
      </c>
      <c r="M5" s="23"/>
      <c r="N5" s="24"/>
      <c r="O5" s="211"/>
      <c r="P5" s="210">
        <v>5</v>
      </c>
      <c r="Q5" s="23"/>
      <c r="R5" s="24"/>
      <c r="S5" s="211"/>
      <c r="T5" s="210">
        <v>5</v>
      </c>
      <c r="U5" s="23"/>
      <c r="V5" s="24"/>
      <c r="W5" s="211"/>
      <c r="X5" s="210">
        <v>5</v>
      </c>
      <c r="Y5" s="23"/>
      <c r="Z5" s="212"/>
      <c r="AA5" s="213"/>
      <c r="AB5" s="210">
        <v>5</v>
      </c>
      <c r="AC5" s="23"/>
      <c r="AD5" s="212"/>
      <c r="AE5" s="213"/>
      <c r="AF5" s="210">
        <v>5</v>
      </c>
      <c r="AG5" s="23"/>
      <c r="AH5" s="212"/>
      <c r="AI5" s="213"/>
      <c r="AJ5" s="210">
        <v>5</v>
      </c>
      <c r="AK5" s="23"/>
      <c r="AL5" s="212"/>
      <c r="AM5" s="213"/>
    </row>
    <row r="6" spans="2:39">
      <c r="B6" s="214"/>
      <c r="C6" s="215"/>
      <c r="D6" s="216"/>
      <c r="E6" s="214"/>
      <c r="F6" s="215"/>
      <c r="G6" s="215"/>
      <c r="H6" s="214"/>
      <c r="I6" s="215" t="s">
        <v>139</v>
      </c>
      <c r="J6" s="215">
        <v>10.3</v>
      </c>
      <c r="K6" s="216">
        <v>3.4119999999999999</v>
      </c>
      <c r="L6" s="214"/>
      <c r="M6" s="215" t="s">
        <v>1881</v>
      </c>
      <c r="N6" s="215">
        <f>100*1.024</f>
        <v>102.4</v>
      </c>
      <c r="O6" s="216">
        <v>100</v>
      </c>
      <c r="P6" s="214"/>
      <c r="Q6" s="215" t="s">
        <v>1882</v>
      </c>
      <c r="R6" s="215">
        <v>138.6</v>
      </c>
      <c r="S6" s="216">
        <v>138.6</v>
      </c>
      <c r="T6" s="214"/>
      <c r="U6" s="215" t="s">
        <v>1883</v>
      </c>
      <c r="V6" s="215">
        <f>10.78*1.38</f>
        <v>14.876399999999999</v>
      </c>
      <c r="W6" s="216">
        <v>10.78</v>
      </c>
      <c r="X6" s="214"/>
      <c r="Y6" s="215" t="s">
        <v>1884</v>
      </c>
      <c r="Z6" s="217">
        <v>12000</v>
      </c>
      <c r="AA6" s="218">
        <v>12000</v>
      </c>
      <c r="AB6" s="214"/>
      <c r="AC6" s="215" t="s">
        <v>1482</v>
      </c>
      <c r="AD6" s="217">
        <v>1</v>
      </c>
      <c r="AE6" s="218"/>
      <c r="AF6" s="214"/>
      <c r="AG6" s="215">
        <v>0</v>
      </c>
      <c r="AH6" s="217"/>
      <c r="AI6" s="218"/>
      <c r="AJ6" s="214"/>
      <c r="AK6" s="215">
        <v>9</v>
      </c>
      <c r="AL6" s="217"/>
      <c r="AM6" s="218"/>
    </row>
    <row r="7" spans="2:39">
      <c r="B7" s="219"/>
      <c r="C7" s="220"/>
      <c r="D7" s="221"/>
      <c r="E7" s="219"/>
      <c r="F7" s="220"/>
      <c r="G7" s="220"/>
      <c r="H7" s="219"/>
      <c r="I7" s="220" t="s">
        <v>1885</v>
      </c>
      <c r="J7" s="222">
        <f>+J6/K6</f>
        <v>3.0187573270808912</v>
      </c>
      <c r="K7" s="221">
        <v>1</v>
      </c>
      <c r="L7" s="219"/>
      <c r="M7" s="220" t="s">
        <v>1885</v>
      </c>
      <c r="N7" s="223">
        <v>1.024</v>
      </c>
      <c r="O7" s="221">
        <v>1</v>
      </c>
      <c r="P7" s="219"/>
      <c r="Q7" s="220" t="s">
        <v>1885</v>
      </c>
      <c r="R7" s="224">
        <v>1</v>
      </c>
      <c r="S7" s="221">
        <v>1</v>
      </c>
      <c r="T7" s="219"/>
      <c r="U7" s="220" t="s">
        <v>1885</v>
      </c>
      <c r="V7" s="222">
        <v>1.38</v>
      </c>
      <c r="W7" s="221">
        <v>1</v>
      </c>
      <c r="X7" s="219"/>
      <c r="Y7" s="220" t="s">
        <v>1885</v>
      </c>
      <c r="Z7" s="224">
        <v>1</v>
      </c>
      <c r="AA7" s="225">
        <v>1</v>
      </c>
      <c r="AB7" s="219"/>
      <c r="AC7" s="220" t="s">
        <v>1483</v>
      </c>
      <c r="AD7" s="224">
        <v>0</v>
      </c>
      <c r="AE7" s="225"/>
      <c r="AF7" s="219"/>
      <c r="AG7" s="220">
        <v>10</v>
      </c>
      <c r="AH7" s="224"/>
      <c r="AI7" s="225"/>
      <c r="AJ7" s="219"/>
      <c r="AK7" s="220">
        <v>10</v>
      </c>
      <c r="AL7" s="224"/>
      <c r="AM7" s="225"/>
    </row>
    <row r="8" spans="2:39">
      <c r="AG8" s="226">
        <v>20</v>
      </c>
      <c r="AK8" s="226">
        <v>11</v>
      </c>
    </row>
    <row r="9" spans="2:39">
      <c r="C9" s="227" t="s">
        <v>1886</v>
      </c>
      <c r="D9" s="199">
        <v>131.4</v>
      </c>
      <c r="E9" s="199" t="s">
        <v>1887</v>
      </c>
      <c r="AG9" s="226">
        <v>30</v>
      </c>
      <c r="AK9" s="226">
        <v>12</v>
      </c>
    </row>
    <row r="10" spans="2:39">
      <c r="C10" s="227" t="s">
        <v>1888</v>
      </c>
      <c r="D10" s="199">
        <v>76.3</v>
      </c>
      <c r="E10" s="199" t="s">
        <v>1887</v>
      </c>
      <c r="AG10" s="226">
        <v>40</v>
      </c>
    </row>
    <row r="11" spans="2:39">
      <c r="AG11" s="226">
        <v>50</v>
      </c>
    </row>
    <row r="12" spans="2:39">
      <c r="J12" s="226" t="s">
        <v>1474</v>
      </c>
      <c r="K12" s="226" t="s">
        <v>2186</v>
      </c>
      <c r="L12" s="226" t="s">
        <v>1477</v>
      </c>
      <c r="M12" s="226" t="s">
        <v>2187</v>
      </c>
      <c r="N12" s="226" t="s">
        <v>2188</v>
      </c>
      <c r="O12" s="226" t="s">
        <v>1255</v>
      </c>
      <c r="AG12" s="226">
        <v>60</v>
      </c>
    </row>
    <row r="13" spans="2:39">
      <c r="J13" s="226" t="s">
        <v>2191</v>
      </c>
      <c r="K13" s="226" t="s">
        <v>2191</v>
      </c>
      <c r="L13" s="226" t="s">
        <v>2191</v>
      </c>
      <c r="M13" s="226" t="s">
        <v>2191</v>
      </c>
      <c r="N13" s="226" t="s">
        <v>2191</v>
      </c>
      <c r="O13" s="226" t="s">
        <v>2191</v>
      </c>
      <c r="AG13" s="226">
        <v>70</v>
      </c>
    </row>
    <row r="14" spans="2:39">
      <c r="C14" s="227"/>
      <c r="D14" s="226"/>
      <c r="F14" s="227"/>
      <c r="G14" s="228"/>
      <c r="I14" s="227" t="s">
        <v>1878</v>
      </c>
      <c r="J14" s="229">
        <f ca="1">+'RECS - Proposed'!C32*'Side Calcs - Proposed'!J4</f>
        <v>0</v>
      </c>
      <c r="K14" s="229">
        <f ca="1">+'RECS - Proposed'!D32*'Side Calcs - Proposed'!N4</f>
        <v>0</v>
      </c>
      <c r="L14" s="229">
        <f ca="1">+'RECS - Proposed'!E32*'Side Calcs - Proposed'!R4</f>
        <v>0</v>
      </c>
      <c r="M14" s="229">
        <f ca="1">+'RECS - Proposed'!F32*'Side Calcs - Proposed'!V4</f>
        <v>0</v>
      </c>
      <c r="N14" s="229">
        <f ca="1">+'RECS - Proposed'!G32*'Side Calcs - Proposed'!Z4</f>
        <v>0</v>
      </c>
      <c r="O14" s="229">
        <f ca="1">SUM(J14:N14)</f>
        <v>0</v>
      </c>
      <c r="AG14" s="226">
        <v>80</v>
      </c>
    </row>
    <row r="15" spans="2:39">
      <c r="C15" s="227"/>
      <c r="D15" s="226"/>
      <c r="F15" s="227"/>
      <c r="G15" s="230"/>
      <c r="I15" s="227" t="s">
        <v>1879</v>
      </c>
      <c r="J15" s="229">
        <f ca="1">+'RECS - Proposed'!C32*'Side Calcs - Proposed'!K4</f>
        <v>0</v>
      </c>
      <c r="K15" s="229">
        <f ca="1">+'RECS - Proposed'!D32*'Side Calcs - Proposed'!O4</f>
        <v>0</v>
      </c>
      <c r="L15" s="229">
        <f ca="1">+'RECS - Proposed'!E32*'Side Calcs - Proposed'!S4</f>
        <v>0</v>
      </c>
      <c r="M15" s="229">
        <f ca="1">+'RECS - Proposed'!F32*'Side Calcs - Proposed'!W4</f>
        <v>0</v>
      </c>
      <c r="N15" s="229">
        <f ca="1">+'RECS - Proposed'!G32*'Side Calcs - Proposed'!AA4</f>
        <v>0</v>
      </c>
      <c r="O15" s="229">
        <f ca="1">SUM(J15:N15)</f>
        <v>0</v>
      </c>
      <c r="AG15" s="226">
        <v>90</v>
      </c>
    </row>
    <row r="16" spans="2:39">
      <c r="C16" s="227"/>
      <c r="D16" s="226"/>
      <c r="I16" s="227" t="s">
        <v>1889</v>
      </c>
      <c r="J16" s="231" t="e">
        <f ca="1">+J14/$O$14</f>
        <v>#DIV/0!</v>
      </c>
      <c r="K16" s="231" t="e">
        <f ca="1">+K14/$O$14</f>
        <v>#DIV/0!</v>
      </c>
      <c r="L16" s="230" t="e">
        <f ca="1">+L14/$O$14</f>
        <v>#DIV/0!</v>
      </c>
      <c r="M16" s="230" t="e">
        <f ca="1">+M14/$O$14</f>
        <v>#DIV/0!</v>
      </c>
      <c r="N16" s="230" t="e">
        <f ca="1">+N14/$O$14</f>
        <v>#DIV/0!</v>
      </c>
      <c r="AG16" s="226">
        <v>100</v>
      </c>
    </row>
    <row r="18" spans="3:11">
      <c r="C18" s="227"/>
      <c r="I18" s="232" t="s">
        <v>1890</v>
      </c>
      <c r="J18" s="231" t="e">
        <f ca="1">+J15/(J15+K15)</f>
        <v>#DIV/0!</v>
      </c>
      <c r="K18" s="231" t="e">
        <f ca="1">+K15/(J15+K15)</f>
        <v>#DIV/0!</v>
      </c>
    </row>
    <row r="19" spans="3:11">
      <c r="C19" s="227"/>
    </row>
    <row r="20" spans="3:11">
      <c r="C20" s="227"/>
      <c r="D20" s="233"/>
    </row>
    <row r="21" spans="3:11">
      <c r="C21" s="227"/>
      <c r="D21" s="234"/>
    </row>
    <row r="22" spans="3:11">
      <c r="C22" s="227"/>
      <c r="D22" s="234"/>
    </row>
    <row r="26" spans="3:11">
      <c r="C26" s="227"/>
      <c r="D26" s="230"/>
    </row>
    <row r="27" spans="3:11">
      <c r="C27" s="227"/>
      <c r="D27" s="230"/>
    </row>
    <row r="28" spans="3:11">
      <c r="C28" s="227"/>
      <c r="D28" s="226"/>
    </row>
    <row r="29" spans="3:11">
      <c r="C29" s="227"/>
      <c r="D29" s="235"/>
    </row>
    <row r="30" spans="3:11">
      <c r="C30" s="227"/>
      <c r="D30" s="235"/>
    </row>
    <row r="31" spans="3:11">
      <c r="C31" s="227"/>
      <c r="D31" s="235"/>
    </row>
  </sheetData>
  <mergeCells count="10">
    <mergeCell ref="AF2:AI2"/>
    <mergeCell ref="AJ2:AM2"/>
    <mergeCell ref="T2:W2"/>
    <mergeCell ref="X2:AA2"/>
    <mergeCell ref="AB2:AE2"/>
    <mergeCell ref="B2:D2"/>
    <mergeCell ref="P2:S2"/>
    <mergeCell ref="H2:K2"/>
    <mergeCell ref="L2:O2"/>
    <mergeCell ref="E2:G2"/>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J17"/>
  <sheetViews>
    <sheetView topLeftCell="V1" workbookViewId="0">
      <selection activeCell="AJ2" sqref="AJ2:AJ4"/>
    </sheetView>
  </sheetViews>
  <sheetFormatPr defaultRowHeight="12.75"/>
  <cols>
    <col min="1" max="1" width="19.42578125" bestFit="1" customWidth="1"/>
    <col min="2" max="2" width="15.140625" bestFit="1" customWidth="1"/>
    <col min="4" max="4" width="20" bestFit="1" customWidth="1"/>
    <col min="6" max="6" width="43.42578125" bestFit="1" customWidth="1"/>
    <col min="7" max="7" width="12.5703125" bestFit="1" customWidth="1"/>
    <col min="8" max="8" width="15.7109375" bestFit="1" customWidth="1"/>
    <col min="9" max="9" width="12.5703125" bestFit="1" customWidth="1"/>
    <col min="10" max="10" width="17.42578125" bestFit="1" customWidth="1"/>
    <col min="11" max="11" width="12.28515625" customWidth="1"/>
    <col min="12" max="12" width="14.85546875" bestFit="1" customWidth="1"/>
    <col min="13" max="13" width="13.7109375" bestFit="1" customWidth="1"/>
    <col min="14" max="14" width="13.42578125" bestFit="1" customWidth="1"/>
    <col min="15" max="15" width="16.42578125" bestFit="1" customWidth="1"/>
    <col min="16" max="16" width="13.85546875" bestFit="1" customWidth="1"/>
    <col min="17" max="17" width="18.7109375" bestFit="1" customWidth="1"/>
    <col min="19" max="19" width="14.140625" customWidth="1"/>
    <col min="20" max="20" width="12" customWidth="1"/>
    <col min="21" max="21" width="30.140625" customWidth="1"/>
    <col min="23" max="23" width="27.42578125" bestFit="1" customWidth="1"/>
    <col min="24" max="24" width="10.28515625" bestFit="1" customWidth="1"/>
    <col min="25" max="27" width="10.28515625" style="415" bestFit="1" customWidth="1"/>
    <col min="28" max="28" width="11.140625" bestFit="1" customWidth="1"/>
    <col min="29" max="29" width="12.5703125" bestFit="1" customWidth="1"/>
    <col min="30" max="30" width="13.85546875" bestFit="1" customWidth="1"/>
    <col min="31" max="31" width="11.7109375" bestFit="1" customWidth="1"/>
    <col min="32" max="32" width="12.28515625" bestFit="1" customWidth="1"/>
    <col min="33" max="33" width="13.140625" bestFit="1" customWidth="1"/>
  </cols>
  <sheetData>
    <row r="1" spans="1:36">
      <c r="A1" t="s">
        <v>1261</v>
      </c>
      <c r="B1" t="s">
        <v>2649</v>
      </c>
      <c r="C1" t="s">
        <v>2650</v>
      </c>
      <c r="D1" s="9" t="s">
        <v>2658</v>
      </c>
      <c r="E1" s="14" t="s">
        <v>2660</v>
      </c>
      <c r="F1" s="9" t="s">
        <v>2666</v>
      </c>
      <c r="G1" s="9" t="s">
        <v>2683</v>
      </c>
      <c r="H1" s="9" t="s">
        <v>2688</v>
      </c>
      <c r="I1" s="9" t="s">
        <v>1046</v>
      </c>
      <c r="J1" s="9" t="s">
        <v>2693</v>
      </c>
      <c r="K1" s="9" t="s">
        <v>519</v>
      </c>
      <c r="L1" s="9" t="s">
        <v>2802</v>
      </c>
      <c r="M1" s="9" t="s">
        <v>2812</v>
      </c>
      <c r="N1" s="9" t="s">
        <v>2814</v>
      </c>
      <c r="O1" s="9" t="s">
        <v>2776</v>
      </c>
      <c r="P1" s="9" t="s">
        <v>2825</v>
      </c>
      <c r="Q1" s="9" t="s">
        <v>2868</v>
      </c>
      <c r="R1" s="783" t="s">
        <v>3717</v>
      </c>
      <c r="S1" s="415" t="s">
        <v>2779</v>
      </c>
      <c r="T1" s="4" t="s">
        <v>2550</v>
      </c>
      <c r="U1" s="867" t="s">
        <v>2877</v>
      </c>
      <c r="V1" s="865" t="s">
        <v>3710</v>
      </c>
      <c r="W1" s="867" t="s">
        <v>2878</v>
      </c>
      <c r="X1" s="870" t="s">
        <v>3711</v>
      </c>
      <c r="Y1" s="870" t="s">
        <v>3712</v>
      </c>
      <c r="Z1" s="870" t="s">
        <v>3713</v>
      </c>
      <c r="AA1" s="870" t="s">
        <v>3714</v>
      </c>
      <c r="AB1" s="867" t="s">
        <v>2879</v>
      </c>
      <c r="AC1" s="4" t="s">
        <v>2880</v>
      </c>
      <c r="AD1" s="455" t="s">
        <v>2919</v>
      </c>
      <c r="AE1" s="455" t="s">
        <v>2921</v>
      </c>
      <c r="AF1" s="253" t="s">
        <v>1046</v>
      </c>
      <c r="AG1" s="253" t="s">
        <v>2947</v>
      </c>
      <c r="AH1" s="466" t="s">
        <v>2949</v>
      </c>
      <c r="AJ1" s="783" t="s">
        <v>3781</v>
      </c>
    </row>
    <row r="2" spans="1:36" ht="15">
      <c r="A2" s="14" t="s">
        <v>2651</v>
      </c>
      <c r="B2" s="14" t="s">
        <v>2651</v>
      </c>
      <c r="C2" s="14" t="s">
        <v>2651</v>
      </c>
      <c r="D2" s="14" t="s">
        <v>2648</v>
      </c>
      <c r="E2" s="70">
        <v>0</v>
      </c>
      <c r="F2" s="379" t="s">
        <v>2667</v>
      </c>
      <c r="G2" s="379" t="s">
        <v>2648</v>
      </c>
      <c r="H2" s="379" t="s">
        <v>2648</v>
      </c>
      <c r="I2" s="379" t="s">
        <v>2648</v>
      </c>
      <c r="J2" s="379" t="s">
        <v>2648</v>
      </c>
      <c r="L2" s="379" t="s">
        <v>2648</v>
      </c>
      <c r="M2" s="379" t="s">
        <v>2648</v>
      </c>
      <c r="N2" s="379" t="s">
        <v>2648</v>
      </c>
      <c r="O2" s="401" t="s">
        <v>2648</v>
      </c>
      <c r="P2" s="379" t="s">
        <v>2648</v>
      </c>
      <c r="Q2" s="415" t="s">
        <v>2648</v>
      </c>
      <c r="R2" t="s">
        <v>206</v>
      </c>
      <c r="S2">
        <v>1</v>
      </c>
      <c r="T2" s="4" t="s">
        <v>2876</v>
      </c>
      <c r="U2" s="868" t="s">
        <v>971</v>
      </c>
      <c r="V2" s="866" t="s">
        <v>3706</v>
      </c>
      <c r="W2" s="868" t="s">
        <v>1260</v>
      </c>
      <c r="X2" s="868">
        <v>1.3</v>
      </c>
      <c r="Y2" s="868">
        <v>1.23</v>
      </c>
      <c r="Z2" s="868">
        <v>0.7</v>
      </c>
      <c r="AA2" s="868">
        <v>0.6</v>
      </c>
      <c r="AB2" s="867">
        <v>30</v>
      </c>
      <c r="AC2" s="4" t="s">
        <v>2648</v>
      </c>
      <c r="AD2" s="253" t="s">
        <v>2920</v>
      </c>
      <c r="AE2" s="253">
        <v>1</v>
      </c>
      <c r="AF2" s="415" t="s">
        <v>2651</v>
      </c>
      <c r="AG2" s="455" t="s">
        <v>2667</v>
      </c>
      <c r="AH2" s="415" t="s">
        <v>2914</v>
      </c>
      <c r="AI2" s="415">
        <v>2</v>
      </c>
      <c r="AJ2" s="783" t="s">
        <v>3778</v>
      </c>
    </row>
    <row r="3" spans="1:36" ht="15">
      <c r="A3" s="70" t="s">
        <v>2183</v>
      </c>
      <c r="B3" s="70" t="s">
        <v>23</v>
      </c>
      <c r="C3" s="70" t="s">
        <v>1482</v>
      </c>
      <c r="D3" s="70" t="s">
        <v>2300</v>
      </c>
      <c r="E3" s="70">
        <v>1</v>
      </c>
      <c r="F3" s="14" t="s">
        <v>2669</v>
      </c>
      <c r="G3" s="379" t="s">
        <v>2684</v>
      </c>
      <c r="H3" s="379" t="s">
        <v>2686</v>
      </c>
      <c r="I3" s="14" t="s">
        <v>2857</v>
      </c>
      <c r="J3" s="379" t="s">
        <v>2694</v>
      </c>
      <c r="K3" s="398" t="s">
        <v>2725</v>
      </c>
      <c r="L3" s="379" t="s">
        <v>2804</v>
      </c>
      <c r="M3" s="379" t="s">
        <v>2808</v>
      </c>
      <c r="N3" s="379" t="s">
        <v>2666</v>
      </c>
      <c r="O3" s="401" t="s">
        <v>2810</v>
      </c>
      <c r="P3" s="379" t="s">
        <v>2826</v>
      </c>
      <c r="Q3" s="783" t="s">
        <v>3718</v>
      </c>
      <c r="R3">
        <v>1.2</v>
      </c>
      <c r="S3">
        <v>2</v>
      </c>
      <c r="T3" s="4" t="s">
        <v>1262</v>
      </c>
      <c r="U3" s="868" t="s">
        <v>972</v>
      </c>
      <c r="V3" s="866" t="s">
        <v>3707</v>
      </c>
      <c r="W3" s="868" t="s">
        <v>974</v>
      </c>
      <c r="X3" s="868">
        <v>0.5</v>
      </c>
      <c r="Y3" s="868">
        <v>0.66</v>
      </c>
      <c r="Z3" s="868">
        <v>0.7</v>
      </c>
      <c r="AA3" s="868">
        <v>0.6</v>
      </c>
      <c r="AB3" s="867">
        <v>10</v>
      </c>
      <c r="AC3" s="4" t="s">
        <v>1482</v>
      </c>
      <c r="AD3" s="253" t="s">
        <v>2914</v>
      </c>
      <c r="AE3" s="253">
        <v>2</v>
      </c>
      <c r="AF3" s="9" t="s">
        <v>2927</v>
      </c>
      <c r="AG3" s="9" t="s">
        <v>2943</v>
      </c>
      <c r="AH3" s="415" t="s">
        <v>2915</v>
      </c>
      <c r="AI3" s="415">
        <v>5</v>
      </c>
      <c r="AJ3" s="893" t="s">
        <v>3779</v>
      </c>
    </row>
    <row r="4" spans="1:36" ht="15">
      <c r="A4" s="70" t="s">
        <v>2184</v>
      </c>
      <c r="B4" s="70" t="s">
        <v>25</v>
      </c>
      <c r="C4" s="70" t="s">
        <v>1483</v>
      </c>
      <c r="D4" s="379" t="s">
        <v>2659</v>
      </c>
      <c r="E4" s="70">
        <v>2</v>
      </c>
      <c r="F4" s="14" t="s">
        <v>2668</v>
      </c>
      <c r="G4" s="14" t="s">
        <v>2685</v>
      </c>
      <c r="H4" s="14" t="s">
        <v>2687</v>
      </c>
      <c r="I4" s="14" t="s">
        <v>2858</v>
      </c>
      <c r="J4" s="14" t="s">
        <v>2695</v>
      </c>
      <c r="K4" s="398" t="s">
        <v>2718</v>
      </c>
      <c r="L4" s="379" t="s">
        <v>2583</v>
      </c>
      <c r="M4" s="379" t="s">
        <v>2809</v>
      </c>
      <c r="N4" s="379" t="s">
        <v>2815</v>
      </c>
      <c r="O4" s="401" t="s">
        <v>2818</v>
      </c>
      <c r="P4" s="379" t="s">
        <v>2827</v>
      </c>
      <c r="Q4" s="9" t="s">
        <v>2590</v>
      </c>
      <c r="R4">
        <v>2.2999999999999998</v>
      </c>
      <c r="S4">
        <v>3</v>
      </c>
      <c r="T4" s="4"/>
      <c r="U4" s="868" t="s">
        <v>973</v>
      </c>
      <c r="V4" s="866" t="s">
        <v>3708</v>
      </c>
      <c r="W4" s="868" t="s">
        <v>977</v>
      </c>
      <c r="X4" s="868">
        <v>1.5</v>
      </c>
      <c r="Y4" s="868">
        <v>0.95</v>
      </c>
      <c r="Z4" s="868">
        <v>0.7</v>
      </c>
      <c r="AA4" s="868">
        <v>0.6</v>
      </c>
      <c r="AB4" s="867">
        <v>30</v>
      </c>
      <c r="AC4" s="4" t="s">
        <v>1483</v>
      </c>
      <c r="AD4" s="466" t="s">
        <v>3100</v>
      </c>
      <c r="AE4" s="253">
        <v>3</v>
      </c>
      <c r="AF4" s="9" t="s">
        <v>2928</v>
      </c>
      <c r="AG4" s="9" t="s">
        <v>2944</v>
      </c>
      <c r="AH4" s="415" t="s">
        <v>2948</v>
      </c>
      <c r="AI4" s="415">
        <v>7</v>
      </c>
      <c r="AJ4" s="893" t="s">
        <v>3780</v>
      </c>
    </row>
    <row r="5" spans="1:36" ht="15">
      <c r="A5" s="70" t="s">
        <v>2185</v>
      </c>
      <c r="B5" s="70" t="s">
        <v>26</v>
      </c>
      <c r="C5" s="70"/>
      <c r="E5" s="70">
        <v>3</v>
      </c>
      <c r="I5" s="14" t="s">
        <v>2859</v>
      </c>
      <c r="K5" s="398" t="s">
        <v>2719</v>
      </c>
      <c r="L5" s="379" t="s">
        <v>2803</v>
      </c>
      <c r="M5" s="379" t="s">
        <v>2810</v>
      </c>
      <c r="N5" s="379" t="s">
        <v>2816</v>
      </c>
      <c r="O5" s="401" t="s">
        <v>2819</v>
      </c>
      <c r="P5" s="379" t="s">
        <v>2828</v>
      </c>
      <c r="Q5" s="783" t="s">
        <v>3715</v>
      </c>
      <c r="R5">
        <v>2.2999999999999998</v>
      </c>
      <c r="S5">
        <v>4</v>
      </c>
      <c r="T5" s="4"/>
      <c r="U5" s="868" t="s">
        <v>974</v>
      </c>
      <c r="V5" s="866" t="s">
        <v>3709</v>
      </c>
      <c r="W5" s="870" t="s">
        <v>3704</v>
      </c>
      <c r="X5" s="870">
        <v>0.9</v>
      </c>
      <c r="Y5" s="870">
        <v>0.72</v>
      </c>
      <c r="Z5" s="870">
        <v>0.7</v>
      </c>
      <c r="AA5" s="870">
        <v>0.6</v>
      </c>
      <c r="AB5" s="870">
        <v>30</v>
      </c>
      <c r="AC5" s="4"/>
      <c r="AD5" s="253" t="s">
        <v>2918</v>
      </c>
      <c r="AE5" s="253">
        <v>4</v>
      </c>
      <c r="AF5" s="9" t="s">
        <v>2858</v>
      </c>
      <c r="AG5" s="9" t="s">
        <v>2945</v>
      </c>
      <c r="AH5" s="415" t="s">
        <v>1262</v>
      </c>
      <c r="AI5" s="415">
        <v>6</v>
      </c>
    </row>
    <row r="6" spans="1:36" ht="15">
      <c r="B6" s="70" t="s">
        <v>24</v>
      </c>
      <c r="E6" s="70">
        <v>4</v>
      </c>
      <c r="I6" s="14" t="s">
        <v>2860</v>
      </c>
      <c r="K6" s="398" t="s">
        <v>2720</v>
      </c>
      <c r="L6" s="14" t="s">
        <v>2802</v>
      </c>
      <c r="M6" s="379" t="s">
        <v>2811</v>
      </c>
      <c r="O6" s="401" t="s">
        <v>2820</v>
      </c>
      <c r="P6" s="379" t="s">
        <v>2829</v>
      </c>
      <c r="Q6" s="783" t="s">
        <v>3716</v>
      </c>
      <c r="R6" s="9" t="s">
        <v>206</v>
      </c>
      <c r="S6">
        <v>5</v>
      </c>
      <c r="T6" s="4"/>
      <c r="U6" s="868" t="s">
        <v>975</v>
      </c>
      <c r="V6" s="4"/>
      <c r="W6" s="868" t="s">
        <v>2224</v>
      </c>
      <c r="X6" s="868" t="s">
        <v>2582</v>
      </c>
      <c r="Y6" s="868" t="s">
        <v>2582</v>
      </c>
      <c r="Z6" s="868" t="s">
        <v>2582</v>
      </c>
      <c r="AA6" s="868" t="s">
        <v>2582</v>
      </c>
      <c r="AB6" s="868" t="s">
        <v>206</v>
      </c>
      <c r="AC6" s="4"/>
      <c r="AD6" s="455" t="s">
        <v>2915</v>
      </c>
      <c r="AE6" s="455">
        <v>5</v>
      </c>
      <c r="AF6" s="9" t="s">
        <v>2859</v>
      </c>
      <c r="AG6" s="783" t="s">
        <v>2946</v>
      </c>
    </row>
    <row r="7" spans="1:36" ht="15">
      <c r="E7" s="70">
        <v>5</v>
      </c>
      <c r="I7" s="14" t="s">
        <v>2861</v>
      </c>
      <c r="K7" s="398" t="s">
        <v>2721</v>
      </c>
      <c r="O7" s="401" t="s">
        <v>2821</v>
      </c>
      <c r="P7" s="379" t="s">
        <v>2651</v>
      </c>
      <c r="S7">
        <v>6</v>
      </c>
      <c r="T7" s="4"/>
      <c r="U7" s="868" t="s">
        <v>976</v>
      </c>
      <c r="V7" s="4"/>
      <c r="W7" s="868" t="s">
        <v>973</v>
      </c>
      <c r="X7" s="868">
        <v>1.3</v>
      </c>
      <c r="Y7" s="868">
        <v>0.9</v>
      </c>
      <c r="Z7" s="868">
        <v>0.7</v>
      </c>
      <c r="AA7" s="868">
        <v>0.6</v>
      </c>
      <c r="AB7" s="867">
        <v>16</v>
      </c>
      <c r="AC7" s="4"/>
      <c r="AD7" s="455" t="s">
        <v>2917</v>
      </c>
      <c r="AE7" s="455">
        <v>6</v>
      </c>
      <c r="AF7" s="455" t="s">
        <v>2860</v>
      </c>
      <c r="AG7" s="783" t="s">
        <v>3296</v>
      </c>
    </row>
    <row r="8" spans="1:36" ht="15">
      <c r="E8" s="70">
        <v>6</v>
      </c>
      <c r="I8" s="14"/>
      <c r="K8" s="398" t="s">
        <v>2722</v>
      </c>
      <c r="O8" s="401" t="s">
        <v>2822</v>
      </c>
      <c r="S8">
        <v>7</v>
      </c>
      <c r="T8" s="4"/>
      <c r="U8" s="868" t="s">
        <v>1196</v>
      </c>
      <c r="V8" s="4"/>
      <c r="W8" s="869" t="s">
        <v>3703</v>
      </c>
      <c r="X8" s="870">
        <v>1.2</v>
      </c>
      <c r="Y8" s="870">
        <v>0.73</v>
      </c>
      <c r="Z8" s="870">
        <v>0.7</v>
      </c>
      <c r="AA8" s="870">
        <v>0.6</v>
      </c>
      <c r="AB8" s="870">
        <v>20</v>
      </c>
      <c r="AC8" s="4"/>
      <c r="AD8" s="4"/>
      <c r="AG8" s="783" t="s">
        <v>3297</v>
      </c>
    </row>
    <row r="9" spans="1:36">
      <c r="K9" s="398" t="s">
        <v>2723</v>
      </c>
      <c r="S9">
        <v>8</v>
      </c>
      <c r="T9" s="4"/>
      <c r="U9" s="868" t="s">
        <v>1260</v>
      </c>
      <c r="V9" s="4"/>
      <c r="W9" s="868" t="s">
        <v>1196</v>
      </c>
      <c r="X9" s="868">
        <v>1.1000000000000001</v>
      </c>
      <c r="Y9" s="868">
        <v>1.1100000000000001</v>
      </c>
      <c r="Z9" s="868">
        <v>0.7</v>
      </c>
      <c r="AA9" s="868">
        <v>0.6</v>
      </c>
      <c r="AB9" s="867">
        <v>35</v>
      </c>
      <c r="AC9" s="4"/>
      <c r="AD9" s="4"/>
    </row>
    <row r="10" spans="1:36">
      <c r="K10" s="398" t="s">
        <v>2724</v>
      </c>
      <c r="T10" s="4"/>
      <c r="U10" s="868" t="s">
        <v>977</v>
      </c>
      <c r="V10" s="4"/>
      <c r="W10" s="868" t="s">
        <v>979</v>
      </c>
      <c r="X10" s="868">
        <v>0.2</v>
      </c>
      <c r="Y10" s="868">
        <v>0.19</v>
      </c>
      <c r="Z10" s="868">
        <v>0.7</v>
      </c>
      <c r="AA10" s="868">
        <v>0.6</v>
      </c>
      <c r="AB10" s="867">
        <v>7</v>
      </c>
      <c r="AC10" s="4"/>
      <c r="AD10" s="4"/>
    </row>
    <row r="11" spans="1:36">
      <c r="T11" s="4"/>
      <c r="U11" s="868" t="s">
        <v>978</v>
      </c>
      <c r="V11" s="4"/>
      <c r="W11" s="868" t="s">
        <v>976</v>
      </c>
      <c r="X11" s="868">
        <v>0.9</v>
      </c>
      <c r="Y11" s="868">
        <v>0.98</v>
      </c>
      <c r="Z11" s="868">
        <v>0.7</v>
      </c>
      <c r="AA11" s="868">
        <v>0.6</v>
      </c>
      <c r="AB11" s="867">
        <v>12</v>
      </c>
      <c r="AC11" s="4"/>
      <c r="AD11" s="4"/>
    </row>
    <row r="12" spans="1:36">
      <c r="T12" s="4"/>
      <c r="U12" s="868" t="s">
        <v>1054</v>
      </c>
      <c r="V12" s="4"/>
      <c r="W12" s="868" t="s">
        <v>975</v>
      </c>
      <c r="X12" s="868">
        <v>0.6</v>
      </c>
      <c r="Y12" s="868">
        <v>0.69</v>
      </c>
      <c r="Z12" s="868">
        <v>0.7</v>
      </c>
      <c r="AA12" s="868">
        <v>0.6</v>
      </c>
      <c r="AB12" s="867">
        <v>15</v>
      </c>
      <c r="AC12" s="4"/>
      <c r="AD12" s="4"/>
    </row>
    <row r="13" spans="1:36">
      <c r="T13" s="4"/>
      <c r="U13" s="868" t="s">
        <v>2224</v>
      </c>
      <c r="V13" s="4"/>
      <c r="W13" s="868" t="s">
        <v>971</v>
      </c>
      <c r="X13" s="868">
        <v>0.8</v>
      </c>
      <c r="Y13" s="868">
        <v>0.63</v>
      </c>
      <c r="Z13" s="868">
        <v>0.7</v>
      </c>
      <c r="AA13" s="868">
        <v>0.6</v>
      </c>
      <c r="AB13" s="867">
        <v>20</v>
      </c>
      <c r="AC13" s="4"/>
      <c r="AD13" s="4"/>
    </row>
    <row r="14" spans="1:36">
      <c r="K14" s="398"/>
      <c r="T14" s="4"/>
      <c r="U14" s="869" t="s">
        <v>3702</v>
      </c>
      <c r="V14" s="4"/>
      <c r="W14" s="868" t="s">
        <v>972</v>
      </c>
      <c r="X14" s="868">
        <v>0.3</v>
      </c>
      <c r="Y14" s="868">
        <v>0.63</v>
      </c>
      <c r="Z14" s="868">
        <v>0.7</v>
      </c>
      <c r="AA14" s="868">
        <v>0.6</v>
      </c>
      <c r="AB14" s="867">
        <v>8</v>
      </c>
      <c r="AC14" s="4"/>
      <c r="AD14" s="4"/>
    </row>
    <row r="15" spans="1:36">
      <c r="T15" s="4"/>
      <c r="U15" s="869" t="s">
        <v>3703</v>
      </c>
      <c r="V15" s="4"/>
      <c r="W15" s="869" t="s">
        <v>3702</v>
      </c>
      <c r="X15" s="870">
        <v>0</v>
      </c>
      <c r="Y15" s="870">
        <v>0</v>
      </c>
      <c r="Z15" s="870">
        <v>0</v>
      </c>
      <c r="AA15" s="870">
        <v>0</v>
      </c>
      <c r="AB15" s="870" t="s">
        <v>206</v>
      </c>
      <c r="AC15" s="4"/>
      <c r="AD15" s="4"/>
    </row>
    <row r="16" spans="1:36">
      <c r="T16" s="4"/>
      <c r="U16" s="868" t="s">
        <v>3704</v>
      </c>
      <c r="V16" s="4"/>
      <c r="W16" s="868" t="s">
        <v>978</v>
      </c>
      <c r="X16" s="868">
        <v>1.9</v>
      </c>
      <c r="Y16" s="868">
        <v>1.59</v>
      </c>
      <c r="Z16" s="868">
        <v>0.7</v>
      </c>
      <c r="AA16" s="868">
        <v>0.6</v>
      </c>
      <c r="AB16" s="867">
        <v>50</v>
      </c>
      <c r="AC16" s="4"/>
      <c r="AD16" s="4"/>
    </row>
    <row r="17" spans="20:30">
      <c r="T17" s="4"/>
      <c r="U17" s="4"/>
      <c r="V17" s="4"/>
      <c r="W17" s="4"/>
      <c r="X17" s="4"/>
      <c r="Y17" s="4"/>
      <c r="Z17" s="4"/>
      <c r="AA17" s="4"/>
      <c r="AB17" s="4"/>
      <c r="AC17" s="4"/>
      <c r="AD17" s="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CC"/>
    <pageSetUpPr fitToPage="1"/>
  </sheetPr>
  <dimension ref="B1:C24"/>
  <sheetViews>
    <sheetView showGridLines="0" tabSelected="1" workbookViewId="0">
      <selection activeCell="C3" sqref="C3"/>
    </sheetView>
  </sheetViews>
  <sheetFormatPr defaultRowHeight="12"/>
  <cols>
    <col min="1" max="1" width="2.42578125" style="471" customWidth="1"/>
    <col min="2" max="2" width="9.140625" style="471"/>
    <col min="3" max="3" width="112.85546875" style="471" customWidth="1"/>
    <col min="4" max="258" width="9.140625" style="471"/>
    <col min="259" max="259" width="112.7109375" style="471" customWidth="1"/>
    <col min="260" max="514" width="9.140625" style="471"/>
    <col min="515" max="515" width="112.7109375" style="471" customWidth="1"/>
    <col min="516" max="770" width="9.140625" style="471"/>
    <col min="771" max="771" width="112.7109375" style="471" customWidth="1"/>
    <col min="772" max="1026" width="9.140625" style="471"/>
    <col min="1027" max="1027" width="112.7109375" style="471" customWidth="1"/>
    <col min="1028" max="1282" width="9.140625" style="471"/>
    <col min="1283" max="1283" width="112.7109375" style="471" customWidth="1"/>
    <col min="1284" max="1538" width="9.140625" style="471"/>
    <col min="1539" max="1539" width="112.7109375" style="471" customWidth="1"/>
    <col min="1540" max="1794" width="9.140625" style="471"/>
    <col min="1795" max="1795" width="112.7109375" style="471" customWidth="1"/>
    <col min="1796" max="2050" width="9.140625" style="471"/>
    <col min="2051" max="2051" width="112.7109375" style="471" customWidth="1"/>
    <col min="2052" max="2306" width="9.140625" style="471"/>
    <col min="2307" max="2307" width="112.7109375" style="471" customWidth="1"/>
    <col min="2308" max="2562" width="9.140625" style="471"/>
    <col min="2563" max="2563" width="112.7109375" style="471" customWidth="1"/>
    <col min="2564" max="2818" width="9.140625" style="471"/>
    <col min="2819" max="2819" width="112.7109375" style="471" customWidth="1"/>
    <col min="2820" max="3074" width="9.140625" style="471"/>
    <col min="3075" max="3075" width="112.7109375" style="471" customWidth="1"/>
    <col min="3076" max="3330" width="9.140625" style="471"/>
    <col min="3331" max="3331" width="112.7109375" style="471" customWidth="1"/>
    <col min="3332" max="3586" width="9.140625" style="471"/>
    <col min="3587" max="3587" width="112.7109375" style="471" customWidth="1"/>
    <col min="3588" max="3842" width="9.140625" style="471"/>
    <col min="3843" max="3843" width="112.7109375" style="471" customWidth="1"/>
    <col min="3844" max="4098" width="9.140625" style="471"/>
    <col min="4099" max="4099" width="112.7109375" style="471" customWidth="1"/>
    <col min="4100" max="4354" width="9.140625" style="471"/>
    <col min="4355" max="4355" width="112.7109375" style="471" customWidth="1"/>
    <col min="4356" max="4610" width="9.140625" style="471"/>
    <col min="4611" max="4611" width="112.7109375" style="471" customWidth="1"/>
    <col min="4612" max="4866" width="9.140625" style="471"/>
    <col min="4867" max="4867" width="112.7109375" style="471" customWidth="1"/>
    <col min="4868" max="5122" width="9.140625" style="471"/>
    <col min="5123" max="5123" width="112.7109375" style="471" customWidth="1"/>
    <col min="5124" max="5378" width="9.140625" style="471"/>
    <col min="5379" max="5379" width="112.7109375" style="471" customWidth="1"/>
    <col min="5380" max="5634" width="9.140625" style="471"/>
    <col min="5635" max="5635" width="112.7109375" style="471" customWidth="1"/>
    <col min="5636" max="5890" width="9.140625" style="471"/>
    <col min="5891" max="5891" width="112.7109375" style="471" customWidth="1"/>
    <col min="5892" max="6146" width="9.140625" style="471"/>
    <col min="6147" max="6147" width="112.7109375" style="471" customWidth="1"/>
    <col min="6148" max="6402" width="9.140625" style="471"/>
    <col min="6403" max="6403" width="112.7109375" style="471" customWidth="1"/>
    <col min="6404" max="6658" width="9.140625" style="471"/>
    <col min="6659" max="6659" width="112.7109375" style="471" customWidth="1"/>
    <col min="6660" max="6914" width="9.140625" style="471"/>
    <col min="6915" max="6915" width="112.7109375" style="471" customWidth="1"/>
    <col min="6916" max="7170" width="9.140625" style="471"/>
    <col min="7171" max="7171" width="112.7109375" style="471" customWidth="1"/>
    <col min="7172" max="7426" width="9.140625" style="471"/>
    <col min="7427" max="7427" width="112.7109375" style="471" customWidth="1"/>
    <col min="7428" max="7682" width="9.140625" style="471"/>
    <col min="7683" max="7683" width="112.7109375" style="471" customWidth="1"/>
    <col min="7684" max="7938" width="9.140625" style="471"/>
    <col min="7939" max="7939" width="112.7109375" style="471" customWidth="1"/>
    <col min="7940" max="8194" width="9.140625" style="471"/>
    <col min="8195" max="8195" width="112.7109375" style="471" customWidth="1"/>
    <col min="8196" max="8450" width="9.140625" style="471"/>
    <col min="8451" max="8451" width="112.7109375" style="471" customWidth="1"/>
    <col min="8452" max="8706" width="9.140625" style="471"/>
    <col min="8707" max="8707" width="112.7109375" style="471" customWidth="1"/>
    <col min="8708" max="8962" width="9.140625" style="471"/>
    <col min="8963" max="8963" width="112.7109375" style="471" customWidth="1"/>
    <col min="8964" max="9218" width="9.140625" style="471"/>
    <col min="9219" max="9219" width="112.7109375" style="471" customWidth="1"/>
    <col min="9220" max="9474" width="9.140625" style="471"/>
    <col min="9475" max="9475" width="112.7109375" style="471" customWidth="1"/>
    <col min="9476" max="9730" width="9.140625" style="471"/>
    <col min="9731" max="9731" width="112.7109375" style="471" customWidth="1"/>
    <col min="9732" max="9986" width="9.140625" style="471"/>
    <col min="9987" max="9987" width="112.7109375" style="471" customWidth="1"/>
    <col min="9988" max="10242" width="9.140625" style="471"/>
    <col min="10243" max="10243" width="112.7109375" style="471" customWidth="1"/>
    <col min="10244" max="10498" width="9.140625" style="471"/>
    <col min="10499" max="10499" width="112.7109375" style="471" customWidth="1"/>
    <col min="10500" max="10754" width="9.140625" style="471"/>
    <col min="10755" max="10755" width="112.7109375" style="471" customWidth="1"/>
    <col min="10756" max="11010" width="9.140625" style="471"/>
    <col min="11011" max="11011" width="112.7109375" style="471" customWidth="1"/>
    <col min="11012" max="11266" width="9.140625" style="471"/>
    <col min="11267" max="11267" width="112.7109375" style="471" customWidth="1"/>
    <col min="11268" max="11522" width="9.140625" style="471"/>
    <col min="11523" max="11523" width="112.7109375" style="471" customWidth="1"/>
    <col min="11524" max="11778" width="9.140625" style="471"/>
    <col min="11779" max="11779" width="112.7109375" style="471" customWidth="1"/>
    <col min="11780" max="12034" width="9.140625" style="471"/>
    <col min="12035" max="12035" width="112.7109375" style="471" customWidth="1"/>
    <col min="12036" max="12290" width="9.140625" style="471"/>
    <col min="12291" max="12291" width="112.7109375" style="471" customWidth="1"/>
    <col min="12292" max="12546" width="9.140625" style="471"/>
    <col min="12547" max="12547" width="112.7109375" style="471" customWidth="1"/>
    <col min="12548" max="12802" width="9.140625" style="471"/>
    <col min="12803" max="12803" width="112.7109375" style="471" customWidth="1"/>
    <col min="12804" max="13058" width="9.140625" style="471"/>
    <col min="13059" max="13059" width="112.7109375" style="471" customWidth="1"/>
    <col min="13060" max="13314" width="9.140625" style="471"/>
    <col min="13315" max="13315" width="112.7109375" style="471" customWidth="1"/>
    <col min="13316" max="13570" width="9.140625" style="471"/>
    <col min="13571" max="13571" width="112.7109375" style="471" customWidth="1"/>
    <col min="13572" max="13826" width="9.140625" style="471"/>
    <col min="13827" max="13827" width="112.7109375" style="471" customWidth="1"/>
    <col min="13828" max="14082" width="9.140625" style="471"/>
    <col min="14083" max="14083" width="112.7109375" style="471" customWidth="1"/>
    <col min="14084" max="14338" width="9.140625" style="471"/>
    <col min="14339" max="14339" width="112.7109375" style="471" customWidth="1"/>
    <col min="14340" max="14594" width="9.140625" style="471"/>
    <col min="14595" max="14595" width="112.7109375" style="471" customWidth="1"/>
    <col min="14596" max="14850" width="9.140625" style="471"/>
    <col min="14851" max="14851" width="112.7109375" style="471" customWidth="1"/>
    <col min="14852" max="15106" width="9.140625" style="471"/>
    <col min="15107" max="15107" width="112.7109375" style="471" customWidth="1"/>
    <col min="15108" max="15362" width="9.140625" style="471"/>
    <col min="15363" max="15363" width="112.7109375" style="471" customWidth="1"/>
    <col min="15364" max="15618" width="9.140625" style="471"/>
    <col min="15619" max="15619" width="112.7109375" style="471" customWidth="1"/>
    <col min="15620" max="15874" width="9.140625" style="471"/>
    <col min="15875" max="15875" width="112.7109375" style="471" customWidth="1"/>
    <col min="15876" max="16130" width="9.140625" style="471"/>
    <col min="16131" max="16131" width="112.7109375" style="471" customWidth="1"/>
    <col min="16132" max="16384" width="9.140625" style="471"/>
  </cols>
  <sheetData>
    <row r="1" spans="2:3" ht="18.75">
      <c r="B1" s="583" t="s">
        <v>2954</v>
      </c>
      <c r="C1" s="572"/>
    </row>
    <row r="2" spans="2:3" ht="18.75">
      <c r="B2" s="583" t="s">
        <v>4097</v>
      </c>
      <c r="C2" s="572"/>
    </row>
    <row r="3" spans="2:3" ht="7.5" customHeight="1" thickBot="1">
      <c r="B3" s="573"/>
      <c r="C3" s="574"/>
    </row>
    <row r="4" spans="2:3" ht="25.5" customHeight="1">
      <c r="B4" s="1804" t="s">
        <v>2870</v>
      </c>
      <c r="C4" s="1805"/>
    </row>
    <row r="5" spans="2:3" ht="6.75" customHeight="1">
      <c r="B5" s="575"/>
      <c r="C5" s="576"/>
    </row>
    <row r="6" spans="2:3" ht="36.75" customHeight="1">
      <c r="B6" s="1806" t="s">
        <v>3243</v>
      </c>
      <c r="C6" s="1807"/>
    </row>
    <row r="7" spans="2:3" ht="5.25" customHeight="1">
      <c r="B7" s="575"/>
      <c r="C7" s="576"/>
    </row>
    <row r="8" spans="2:3">
      <c r="B8" s="577" t="s">
        <v>2871</v>
      </c>
      <c r="C8" s="578"/>
    </row>
    <row r="9" spans="2:3">
      <c r="B9" s="577"/>
      <c r="C9" s="579" t="s">
        <v>3000</v>
      </c>
    </row>
    <row r="10" spans="2:3" ht="6" customHeight="1">
      <c r="B10" s="577"/>
      <c r="C10" s="578"/>
    </row>
    <row r="11" spans="2:3">
      <c r="B11" s="577" t="s">
        <v>3001</v>
      </c>
      <c r="C11" s="578"/>
    </row>
    <row r="12" spans="2:3" ht="24">
      <c r="B12" s="577"/>
      <c r="C12" s="579" t="s">
        <v>3002</v>
      </c>
    </row>
    <row r="13" spans="2:3" ht="5.25" customHeight="1">
      <c r="B13" s="577"/>
      <c r="C13" s="578"/>
    </row>
    <row r="14" spans="2:3">
      <c r="B14" s="580" t="s">
        <v>2872</v>
      </c>
      <c r="C14" s="581"/>
    </row>
    <row r="15" spans="2:3" ht="24">
      <c r="B15" s="584"/>
      <c r="C15" s="579" t="s">
        <v>3248</v>
      </c>
    </row>
    <row r="16" spans="2:3" ht="6" customHeight="1">
      <c r="B16" s="577"/>
      <c r="C16" s="582"/>
    </row>
    <row r="17" spans="2:3">
      <c r="B17" s="577" t="s">
        <v>3272</v>
      </c>
      <c r="C17" s="578"/>
    </row>
    <row r="18" spans="2:3" ht="36">
      <c r="B18" s="577"/>
      <c r="C18" s="579" t="s">
        <v>3249</v>
      </c>
    </row>
    <row r="19" spans="2:3" ht="2.25" customHeight="1">
      <c r="B19" s="577"/>
      <c r="C19" s="578"/>
    </row>
    <row r="20" spans="2:3">
      <c r="B20" s="577" t="s">
        <v>2873</v>
      </c>
      <c r="C20" s="578"/>
    </row>
    <row r="21" spans="2:3" ht="24">
      <c r="B21" s="577"/>
      <c r="C21" s="579" t="s">
        <v>3003</v>
      </c>
    </row>
    <row r="22" spans="2:3">
      <c r="B22" s="577"/>
      <c r="C22" s="578"/>
    </row>
    <row r="23" spans="2:3" ht="6.75" customHeight="1">
      <c r="B23" s="577"/>
      <c r="C23" s="578"/>
    </row>
    <row r="24" spans="2:3" ht="24.75" customHeight="1" thickBot="1">
      <c r="B24" s="1808" t="s">
        <v>3250</v>
      </c>
      <c r="C24" s="1809"/>
    </row>
  </sheetData>
  <sheetProtection sheet="1" objects="1" scenarios="1"/>
  <mergeCells count="3">
    <mergeCell ref="B4:C4"/>
    <mergeCell ref="B6:C6"/>
    <mergeCell ref="B24:C24"/>
  </mergeCells>
  <pageMargins left="0.7" right="0.7" top="0.75" bottom="0.75" header="0.3" footer="0.3"/>
  <pageSetup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B1:K59"/>
  <sheetViews>
    <sheetView showGridLines="0" workbookViewId="0">
      <selection activeCell="B19" sqref="B19"/>
    </sheetView>
  </sheetViews>
  <sheetFormatPr defaultColWidth="50" defaultRowHeight="12"/>
  <cols>
    <col min="1" max="1" width="2.85546875" style="585" customWidth="1"/>
    <col min="2" max="2" width="50" style="585"/>
    <col min="3" max="7" width="18" style="585" customWidth="1"/>
    <col min="8" max="11" width="18.7109375" style="585" hidden="1" customWidth="1"/>
    <col min="12" max="16384" width="50" style="585"/>
  </cols>
  <sheetData>
    <row r="1" spans="2:5" ht="18.75">
      <c r="B1" s="603" t="s">
        <v>3012</v>
      </c>
    </row>
    <row r="2" spans="2:5" ht="12.75" thickBot="1">
      <c r="B2" s="586"/>
    </row>
    <row r="3" spans="2:5" s="589" customFormat="1">
      <c r="B3" s="587" t="s">
        <v>2704</v>
      </c>
      <c r="C3" s="588" t="e">
        <f>'NYSERDA Reporting'!E21</f>
        <v>#DIV/0!</v>
      </c>
    </row>
    <row r="4" spans="2:5" s="589" customFormat="1">
      <c r="B4" s="590" t="s">
        <v>2705</v>
      </c>
      <c r="C4" s="591" t="e">
        <f>'NYSERDA Reporting'!F21</f>
        <v>#DIV/0!</v>
      </c>
      <c r="E4" s="592"/>
    </row>
    <row r="5" spans="2:5" s="589" customFormat="1">
      <c r="B5" s="593" t="s">
        <v>2706</v>
      </c>
      <c r="C5" s="594">
        <v>0.15</v>
      </c>
    </row>
    <row r="6" spans="2:5" s="589" customFormat="1">
      <c r="B6" s="590" t="s">
        <v>2707</v>
      </c>
      <c r="C6" s="591" t="e">
        <f xml:space="preserve"> C4-C5</f>
        <v>#DIV/0!</v>
      </c>
    </row>
    <row r="7" spans="2:5" s="589" customFormat="1" ht="7.5" customHeight="1">
      <c r="B7" s="604"/>
      <c r="C7" s="605"/>
    </row>
    <row r="8" spans="2:5" s="589" customFormat="1">
      <c r="B8" s="590" t="s">
        <v>2708</v>
      </c>
      <c r="C8" s="595" t="e">
        <f ca="1">'RECS - Baseline'!G41</f>
        <v>#DIV/0!</v>
      </c>
    </row>
    <row r="9" spans="2:5" s="589" customFormat="1">
      <c r="B9" s="590" t="str">
        <f>'Basic Info'!C41&amp;" RECS Score"</f>
        <v xml:space="preserve"> RECS Score</v>
      </c>
      <c r="C9" s="595" t="e">
        <f ca="1">'RECS - Proposed'!G41</f>
        <v>#DIV/0!</v>
      </c>
    </row>
    <row r="10" spans="2:5" s="589" customFormat="1" ht="7.5" customHeight="1">
      <c r="B10" s="604"/>
      <c r="C10" s="605"/>
    </row>
    <row r="11" spans="2:5" s="589" customFormat="1">
      <c r="B11" s="590" t="s">
        <v>2709</v>
      </c>
      <c r="C11" s="596">
        <f>'Detailed Measures'!U35</f>
        <v>0</v>
      </c>
    </row>
    <row r="12" spans="2:5" s="589" customFormat="1">
      <c r="B12" s="590" t="s">
        <v>3042</v>
      </c>
      <c r="C12" s="626" t="e">
        <f>'Detailed Measures'!Y35</f>
        <v>#DIV/0!</v>
      </c>
    </row>
    <row r="13" spans="2:5" s="589" customFormat="1">
      <c r="B13" s="590" t="s">
        <v>2710</v>
      </c>
      <c r="C13" s="597" t="e">
        <f>C11/C3</f>
        <v>#DIV/0!</v>
      </c>
    </row>
    <row r="14" spans="2:5" s="589" customFormat="1">
      <c r="B14" s="590" t="s">
        <v>2711</v>
      </c>
      <c r="C14" s="598">
        <f>'Detailed Measures'!X35</f>
        <v>0</v>
      </c>
    </row>
    <row r="15" spans="2:5" ht="12.75" thickBot="1">
      <c r="B15" s="599" t="s">
        <v>2712</v>
      </c>
      <c r="C15" s="600" t="e">
        <f>'Detailed Measures'!AA35</f>
        <v>#DIV/0!</v>
      </c>
    </row>
    <row r="16" spans="2:5">
      <c r="B16" s="601"/>
      <c r="C16" s="602"/>
    </row>
    <row r="18" spans="2:11" ht="18.75">
      <c r="B18" s="603" t="s">
        <v>2874</v>
      </c>
      <c r="C18" s="471"/>
      <c r="D18" s="471"/>
      <c r="E18" s="471"/>
      <c r="F18" s="471"/>
    </row>
    <row r="19" spans="2:11">
      <c r="B19" s="606"/>
      <c r="C19" s="471"/>
      <c r="D19" s="471"/>
      <c r="E19" s="471"/>
      <c r="F19" s="471"/>
    </row>
    <row r="20" spans="2:11" ht="27" customHeight="1">
      <c r="B20" s="614"/>
      <c r="C20" s="531" t="s">
        <v>2699</v>
      </c>
      <c r="D20" s="531" t="str">
        <f>'Basic Info'!C41&amp;" Simulation"</f>
        <v xml:space="preserve"> Simulation</v>
      </c>
      <c r="E20" s="531" t="s">
        <v>2576</v>
      </c>
      <c r="F20" s="531" t="s">
        <v>2700</v>
      </c>
    </row>
    <row r="21" spans="2:11">
      <c r="B21" s="615" t="s">
        <v>3013</v>
      </c>
      <c r="C21" s="607" t="e">
        <f>'Reporting Summary'!E125</f>
        <v>#DIV/0!</v>
      </c>
      <c r="D21" s="607">
        <f>'Reporting Summary'!I125</f>
        <v>0</v>
      </c>
      <c r="E21" s="616" t="e">
        <f>C21-D21</f>
        <v>#DIV/0!</v>
      </c>
      <c r="F21" s="617" t="e">
        <f>E21/C21</f>
        <v>#DIV/0!</v>
      </c>
    </row>
    <row r="22" spans="2:11">
      <c r="B22" s="615" t="s">
        <v>2701</v>
      </c>
      <c r="C22" s="608" t="e">
        <f>'Reporting Summary'!D125/3412</f>
        <v>#DIV/0!</v>
      </c>
      <c r="D22" s="608">
        <f>'Reporting Summary'!H125/3412</f>
        <v>0</v>
      </c>
      <c r="E22" s="609" t="e">
        <f>C22-D22</f>
        <v>#DIV/0!</v>
      </c>
      <c r="F22" s="617" t="e">
        <f>E22/C22</f>
        <v>#DIV/0!</v>
      </c>
    </row>
    <row r="23" spans="2:11">
      <c r="B23" s="615" t="s">
        <v>2702</v>
      </c>
      <c r="C23" s="608" t="e">
        <f>'Reporting Summary'!C125/1000000</f>
        <v>#DIV/0!</v>
      </c>
      <c r="D23" s="608">
        <f>'Reporting Summary'!G125/1000000</f>
        <v>0</v>
      </c>
      <c r="E23" s="609" t="e">
        <f>C23-D23</f>
        <v>#DIV/0!</v>
      </c>
      <c r="F23" s="617" t="e">
        <f>E23/C23</f>
        <v>#DIV/0!</v>
      </c>
    </row>
    <row r="24" spans="2:11">
      <c r="B24" s="615" t="s">
        <v>2703</v>
      </c>
      <c r="C24" s="609" t="e">
        <f>((C22*3412)/1000000)+C23</f>
        <v>#DIV/0!</v>
      </c>
      <c r="D24" s="609">
        <f>((D22*3412)/1000000)+D23</f>
        <v>0</v>
      </c>
      <c r="E24" s="609" t="e">
        <f>C24-D24</f>
        <v>#DIV/0!</v>
      </c>
      <c r="F24" s="617" t="e">
        <f>E24/C24</f>
        <v>#DIV/0!</v>
      </c>
    </row>
    <row r="25" spans="2:11">
      <c r="B25" s="610"/>
      <c r="C25" s="611"/>
      <c r="D25" s="611"/>
      <c r="E25" s="612"/>
      <c r="F25" s="613"/>
    </row>
    <row r="27" spans="2:11" ht="18.75">
      <c r="B27" s="603" t="s">
        <v>3014</v>
      </c>
      <c r="C27" s="618"/>
      <c r="D27" s="618"/>
      <c r="E27" s="618"/>
      <c r="F27" s="618"/>
      <c r="G27" s="618"/>
    </row>
    <row r="28" spans="2:11">
      <c r="B28" s="618"/>
      <c r="C28" s="618"/>
      <c r="D28" s="618"/>
      <c r="E28" s="618"/>
      <c r="F28" s="618"/>
      <c r="G28" s="618"/>
    </row>
    <row r="29" spans="2:11" ht="24">
      <c r="B29" s="790" t="s">
        <v>2760</v>
      </c>
      <c r="C29" s="790" t="s">
        <v>3307</v>
      </c>
      <c r="D29" s="790" t="s">
        <v>3306</v>
      </c>
      <c r="E29" s="790" t="str">
        <f>'Basic Info'!C41&amp;" Energy (MMBtu)"</f>
        <v xml:space="preserve"> Energy (MMBtu)</v>
      </c>
      <c r="F29" s="790" t="s">
        <v>2763</v>
      </c>
      <c r="G29" s="786"/>
      <c r="H29" s="619" t="s">
        <v>2761</v>
      </c>
      <c r="I29" s="619" t="s">
        <v>2762</v>
      </c>
      <c r="J29" s="619" t="str">
        <f>'Basic Info'!C41&amp;" Electricity (kWh/yr)"</f>
        <v xml:space="preserve"> Electricity (kWh/yr)</v>
      </c>
      <c r="K29" s="619" t="str">
        <f>'Basic Info'!C41&amp;" Fuel (MMBtu/yr)"</f>
        <v xml:space="preserve"> Fuel (MMBtu/yr)</v>
      </c>
    </row>
    <row r="30" spans="2:11">
      <c r="B30" s="620" t="s">
        <v>2801</v>
      </c>
      <c r="C30" s="620" t="e">
        <f>IF(H30*3412/1000000&lt;I30,"Natural Gas","Electric")</f>
        <v>#DIV/0!</v>
      </c>
      <c r="D30" s="789" t="e">
        <f t="shared" ref="D30:D38" si="0">I30+H30*3412/1000000</f>
        <v>#DIV/0!</v>
      </c>
      <c r="E30" s="789">
        <f t="shared" ref="E30:E38" si="1">K30+J30*3412/1000000</f>
        <v>0</v>
      </c>
      <c r="F30" s="621" t="e">
        <f t="shared" ref="F30:F38" si="2">IF(AND(H30=0,I30=0,J30=0,K30=0)=TRUE,0%,(H30*3412/1000000+I30-J30*3412/1000000-K30)/(H30*3412/1000000+I30))</f>
        <v>#DIV/0!</v>
      </c>
      <c r="G30" s="787"/>
      <c r="H30" s="522" t="e">
        <f>'Results from eQUEST'!M19+'Results from eQUEST'!N19+'Results from eQUEST'!X19</f>
        <v>#DIV/0!</v>
      </c>
      <c r="I30" s="522" t="e">
        <f>('Results from eQUEST'!AY19+'Results from eQUEST'!AZ19+'Results from eQUEST'!BJ19)/10</f>
        <v>#DIV/0!</v>
      </c>
      <c r="J30" s="522">
        <f>'Results from eQUEST'!M22+'Results from eQUEST'!N22+'Results from eQUEST'!X22</f>
        <v>0</v>
      </c>
      <c r="K30" s="522">
        <f>('Results from eQUEST'!AY22+'Results from eQUEST'!AZ22+'Results from eQUEST'!BJ22)/10</f>
        <v>0</v>
      </c>
    </row>
    <row r="31" spans="2:11">
      <c r="B31" s="620" t="s">
        <v>2764</v>
      </c>
      <c r="C31" s="620" t="e">
        <f t="shared" ref="C31:C37" si="3">IF(H31*3412/1000000&lt;I31,"Natural Gas","Electric")</f>
        <v>#DIV/0!</v>
      </c>
      <c r="D31" s="789" t="e">
        <f t="shared" si="0"/>
        <v>#DIV/0!</v>
      </c>
      <c r="E31" s="789">
        <f t="shared" si="1"/>
        <v>0</v>
      </c>
      <c r="F31" s="621" t="e">
        <f t="shared" si="2"/>
        <v>#DIV/0!</v>
      </c>
      <c r="G31" s="787"/>
      <c r="H31" s="522" t="e">
        <f>'Results from eQUEST'!P19+'Results from eQUEST'!V19</f>
        <v>#DIV/0!</v>
      </c>
      <c r="I31" s="522" t="e">
        <f>('Results from eQUEST'!BB19+'Results from eQUEST'!BH19)/10</f>
        <v>#DIV/0!</v>
      </c>
      <c r="J31" s="522">
        <f>'Results from eQUEST'!P22+'Results from eQUEST'!V22</f>
        <v>0</v>
      </c>
      <c r="K31" s="522">
        <f>('Results from eQUEST'!BB22+'Results from eQUEST'!BH22)/10</f>
        <v>0</v>
      </c>
    </row>
    <row r="32" spans="2:11">
      <c r="B32" s="620" t="s">
        <v>2765</v>
      </c>
      <c r="C32" s="620" t="e">
        <f t="shared" si="3"/>
        <v>#DIV/0!</v>
      </c>
      <c r="D32" s="789" t="e">
        <f t="shared" si="0"/>
        <v>#DIV/0!</v>
      </c>
      <c r="E32" s="789">
        <f t="shared" si="1"/>
        <v>0</v>
      </c>
      <c r="F32" s="621" t="e">
        <f t="shared" si="2"/>
        <v>#DIV/0!</v>
      </c>
      <c r="G32" s="787"/>
      <c r="H32" s="522" t="e">
        <f>'Results from eQUEST'!Q19</f>
        <v>#DIV/0!</v>
      </c>
      <c r="I32" s="522" t="e">
        <f>'Results from eQUEST'!BC19/10</f>
        <v>#DIV/0!</v>
      </c>
      <c r="J32" s="522">
        <f>'Results from eQUEST'!Q22</f>
        <v>0</v>
      </c>
      <c r="K32" s="522">
        <f>'Results from eQUEST'!BC22/10</f>
        <v>0</v>
      </c>
    </row>
    <row r="33" spans="2:11">
      <c r="B33" s="620" t="s">
        <v>1254</v>
      </c>
      <c r="C33" s="620" t="e">
        <f t="shared" si="3"/>
        <v>#DIV/0!</v>
      </c>
      <c r="D33" s="789" t="e">
        <f t="shared" si="0"/>
        <v>#DIV/0!</v>
      </c>
      <c r="E33" s="789">
        <f t="shared" si="1"/>
        <v>0</v>
      </c>
      <c r="F33" s="621" t="e">
        <f t="shared" si="2"/>
        <v>#DIV/0!</v>
      </c>
      <c r="G33" s="787"/>
      <c r="H33" s="522" t="e">
        <f>'Results from eQUEST'!S19</f>
        <v>#DIV/0!</v>
      </c>
      <c r="I33" s="522" t="e">
        <f>'Results from eQUEST'!BE19/10</f>
        <v>#DIV/0!</v>
      </c>
      <c r="J33" s="522">
        <f>'Results from eQUEST'!S22</f>
        <v>0</v>
      </c>
      <c r="K33" s="522">
        <f>'Results from eQUEST'!BE22/10</f>
        <v>0</v>
      </c>
    </row>
    <row r="34" spans="2:11">
      <c r="B34" s="620" t="s">
        <v>2766</v>
      </c>
      <c r="C34" s="620" t="e">
        <f t="shared" si="3"/>
        <v>#DIV/0!</v>
      </c>
      <c r="D34" s="789" t="e">
        <f t="shared" si="0"/>
        <v>#DIV/0!</v>
      </c>
      <c r="E34" s="789">
        <f t="shared" si="1"/>
        <v>0</v>
      </c>
      <c r="F34" s="621" t="e">
        <f t="shared" si="2"/>
        <v>#DIV/0!</v>
      </c>
      <c r="G34" s="787"/>
      <c r="H34" s="522" t="e">
        <f>'Results from eQUEST'!R19</f>
        <v>#DIV/0!</v>
      </c>
      <c r="I34" s="522" t="e">
        <f>'Results from eQUEST'!BD19/10</f>
        <v>#DIV/0!</v>
      </c>
      <c r="J34" s="522">
        <f>'Results from eQUEST'!R22</f>
        <v>0</v>
      </c>
      <c r="K34" s="522">
        <f>'Results from eQUEST'!BD22/10</f>
        <v>0</v>
      </c>
    </row>
    <row r="35" spans="2:11">
      <c r="B35" s="620" t="s">
        <v>2767</v>
      </c>
      <c r="C35" s="620" t="e">
        <f t="shared" si="3"/>
        <v>#DIV/0!</v>
      </c>
      <c r="D35" s="789" t="e">
        <f t="shared" si="0"/>
        <v>#DIV/0!</v>
      </c>
      <c r="E35" s="789">
        <f t="shared" si="1"/>
        <v>0</v>
      </c>
      <c r="F35" s="621" t="e">
        <f t="shared" si="2"/>
        <v>#DIV/0!</v>
      </c>
      <c r="G35" s="787"/>
      <c r="H35" s="522" t="e">
        <f>'Results from eQUEST'!T19</f>
        <v>#DIV/0!</v>
      </c>
      <c r="I35" s="522" t="e">
        <f>'Results from eQUEST'!BF19/10</f>
        <v>#DIV/0!</v>
      </c>
      <c r="J35" s="522">
        <f>'Results from eQUEST'!T22</f>
        <v>0</v>
      </c>
      <c r="K35" s="522">
        <f>'Results from eQUEST'!BF22/10</f>
        <v>0</v>
      </c>
    </row>
    <row r="36" spans="2:11">
      <c r="B36" s="620" t="s">
        <v>2768</v>
      </c>
      <c r="C36" s="620" t="e">
        <f t="shared" si="3"/>
        <v>#DIV/0!</v>
      </c>
      <c r="D36" s="789" t="e">
        <f t="shared" si="0"/>
        <v>#DIV/0!</v>
      </c>
      <c r="E36" s="789">
        <f t="shared" si="1"/>
        <v>0</v>
      </c>
      <c r="F36" s="621" t="e">
        <f t="shared" si="2"/>
        <v>#DIV/0!</v>
      </c>
      <c r="G36" s="787"/>
      <c r="H36" s="522" t="e">
        <f>'Results from eQUEST'!W19</f>
        <v>#DIV/0!</v>
      </c>
      <c r="I36" s="522" t="e">
        <f>'Results from eQUEST'!BI19/10</f>
        <v>#DIV/0!</v>
      </c>
      <c r="J36" s="522">
        <f>'Results from eQUEST'!W22</f>
        <v>0</v>
      </c>
      <c r="K36" s="522">
        <f>'Results from eQUEST'!BI22/10</f>
        <v>0</v>
      </c>
    </row>
    <row r="37" spans="2:11">
      <c r="B37" s="620" t="s">
        <v>3305</v>
      </c>
      <c r="C37" s="620" t="e">
        <f t="shared" si="3"/>
        <v>#DIV/0!</v>
      </c>
      <c r="D37" s="789" t="e">
        <f t="shared" si="0"/>
        <v>#DIV/0!</v>
      </c>
      <c r="E37" s="789">
        <f t="shared" si="1"/>
        <v>0</v>
      </c>
      <c r="F37" s="621" t="e">
        <f t="shared" si="2"/>
        <v>#DIV/0!</v>
      </c>
      <c r="G37" s="787"/>
      <c r="H37" s="522" t="e">
        <f>H38-SUM(H30:H36)</f>
        <v>#DIV/0!</v>
      </c>
      <c r="I37" s="522" t="e">
        <f>I38-SUM(I30:I36)</f>
        <v>#DIV/0!</v>
      </c>
      <c r="J37" s="522">
        <f>J38-SUM(J30:J36)</f>
        <v>0</v>
      </c>
      <c r="K37" s="522">
        <f>K38-SUM(K30:K36)</f>
        <v>0</v>
      </c>
    </row>
    <row r="38" spans="2:11">
      <c r="B38" s="622" t="s">
        <v>1255</v>
      </c>
      <c r="C38" s="620"/>
      <c r="D38" s="789" t="e">
        <f t="shared" si="0"/>
        <v>#DIV/0!</v>
      </c>
      <c r="E38" s="789">
        <f t="shared" si="1"/>
        <v>0</v>
      </c>
      <c r="F38" s="621" t="e">
        <f t="shared" si="2"/>
        <v>#DIV/0!</v>
      </c>
      <c r="G38" s="787"/>
      <c r="H38" s="623" t="e">
        <f>'Results from eQUEST'!Y19</f>
        <v>#DIV/0!</v>
      </c>
      <c r="I38" s="624" t="e">
        <f>'Results from eQUEST'!BK19/10</f>
        <v>#DIV/0!</v>
      </c>
      <c r="J38" s="623">
        <f>'Results from eQUEST'!Y22</f>
        <v>0</v>
      </c>
      <c r="K38" s="624">
        <f>'Results from eQUEST'!BK22/10</f>
        <v>0</v>
      </c>
    </row>
    <row r="42" spans="2:11" ht="18.75">
      <c r="B42" s="603" t="s">
        <v>3308</v>
      </c>
    </row>
    <row r="43" spans="2:11" s="788" customFormat="1" ht="18.75">
      <c r="B43" s="603"/>
    </row>
    <row r="44" spans="2:11">
      <c r="B44" s="790" t="s">
        <v>2739</v>
      </c>
      <c r="C44" s="790">
        <f>'Basic Info'!C41</f>
        <v>0</v>
      </c>
      <c r="D44" s="790" t="s">
        <v>812</v>
      </c>
    </row>
    <row r="45" spans="2:11" ht="48">
      <c r="B45" s="620" t="s">
        <v>3309</v>
      </c>
      <c r="C45" s="791" t="str">
        <f>"AGW: "&amp;ERMs!C18&amp;"; BGW: "&amp;ERMs!C17</f>
        <v>AGW: , U-; BGW: , C-</v>
      </c>
      <c r="D45" s="789" t="str">
        <f>ERMs!E18&amp;"; "&amp;ERMs!E17</f>
        <v>AGW: Per ASHRAE, U- (res) &amp; U- (non-res); BGW: Per ASHRAE, C- (res); C- (non-res)</v>
      </c>
    </row>
    <row r="46" spans="2:11">
      <c r="B46" s="620" t="s">
        <v>2786</v>
      </c>
      <c r="C46" s="791" t="str">
        <f>ERMs!C27</f>
        <v>, U-</v>
      </c>
      <c r="D46" s="789" t="str">
        <f>ERMs!E27</f>
        <v>Exterior doors: , U-</v>
      </c>
    </row>
    <row r="47" spans="2:11" ht="36">
      <c r="B47" s="620" t="s">
        <v>3310</v>
      </c>
      <c r="C47" s="791" t="str">
        <f>ERMs!C25&amp;", "&amp;'Model Inputs'!G29&amp;" window to wall ratio"</f>
        <v>, , U-, SHGC-,  window to wall ratio</v>
      </c>
      <c r="D47" s="789" t="str">
        <f>ERMs!E25&amp;", "&amp;'Model Inputs'!E29&amp;" window to wall ratio"</f>
        <v>Windows: Per ASHRAE, , U-, SHGC-,  window to wall ratio</v>
      </c>
    </row>
    <row r="48" spans="2:11" ht="132">
      <c r="B48" s="620" t="s">
        <v>3311</v>
      </c>
      <c r="C48" s="791" t="str">
        <f>"Slab-below-grade: "&amp;ERMs!C22&amp;"; Slab-on-grade: "&amp;ERMs!C23&amp;"; Floor Perimeter: "&amp;ERMs!C19&amp;"; Floor above cond. Space: "&amp;ERMs!C21</f>
        <v>Slab-below-grade: , C-; Slab-on-grade: , F-; Floor Perimeter: , U-; Floor above cond. Space: , U-</v>
      </c>
      <c r="D48" s="789" t="str">
        <f>ERMs!E22&amp;"; "&amp;ERMs!E23&amp;"; "&amp;ERMs!E19&amp;"; "&amp;ERMs!E21</f>
        <v>Slab-below-grade: Per ASHRAE, C-; Slab-on-grade: Per ASHRAE, F- (res) &amp; F- (non-res); Floor Perimeter: Per ASHRAE, U- (res) &amp; U- (non-res); Floor above cond. Space: Per ASHRAE, U- (res) &amp; U- (non-res)</v>
      </c>
    </row>
    <row r="49" spans="2:4" ht="24">
      <c r="B49" s="620" t="s">
        <v>3312</v>
      </c>
      <c r="C49" s="791" t="str">
        <f>ERMs!C20</f>
        <v>, U-</v>
      </c>
      <c r="D49" s="789" t="str">
        <f>ERMs!E20</f>
        <v>Roof Insulation: Per ASHRAE, U-</v>
      </c>
    </row>
    <row r="50" spans="2:4" ht="84">
      <c r="B50" s="620" t="s">
        <v>3097</v>
      </c>
      <c r="C50" s="791" t="str">
        <f>"Common area: "&amp;ERMs!C50&amp;"; In-unit: "&amp;ERMs!C54&amp;"; Garage Lighting: "&amp;ERMs!C53&amp;"; Exit Signs: "&amp;ERMs!C51</f>
        <v>Common area: Corridors: , ; In-unit: In-unit Lighting:  W/SF; Garage Lighting: Garage Lighting:  W/SF; Exit Signs: Exit Signs:  kW</v>
      </c>
      <c r="D50" s="789" t="str">
        <f>"Common Area: "&amp;ERMs!E50&amp;"; "&amp;ERMs!E54&amp;"; "&amp;ERMs!E53&amp;"; "&amp;ERMs!E51</f>
        <v>Common Area: Corridors - 0.5, ; In-unit Lighting: 0.7 W/SF W/SF; Garage Lighting:  W/SF; Exit Signs:  kW</v>
      </c>
    </row>
    <row r="51" spans="2:4">
      <c r="B51" s="620" t="s">
        <v>3077</v>
      </c>
      <c r="C51" s="792">
        <f>ERMs!C49</f>
        <v>0</v>
      </c>
      <c r="D51" s="789" t="str">
        <f>ERMs!E49</f>
        <v>Lighting Controls: N/A</v>
      </c>
    </row>
    <row r="52" spans="2:4">
      <c r="B52" s="620" t="s">
        <v>3313</v>
      </c>
      <c r="C52" s="791" t="str">
        <f>ERMs!C52</f>
        <v>Exterior Lighting:  kW</v>
      </c>
      <c r="D52" s="789" t="str">
        <f>ERMs!E52</f>
        <v>Exterior Lighting:  kW</v>
      </c>
    </row>
    <row r="53" spans="2:4" ht="24">
      <c r="B53" s="620" t="s">
        <v>520</v>
      </c>
      <c r="C53" s="791" t="str">
        <f>ERMs!C5&amp;"; "&amp;ERMs!C6&amp;"; "&amp;ERMs!C7&amp;"; "&amp;ERMs!C8&amp;" ;"&amp;ERMs!C9&amp;"; "&amp;ERMs!C10</f>
        <v>N/A; N/A; N/A; N/A ;N/A; N/A</v>
      </c>
      <c r="D53" s="789" t="str">
        <f>ERMs!E5&amp;"; "&amp;ERMs!E6&amp;"; "&amp;ERMs!E7&amp;"; "&amp;ERMs!E9&amp;"; "&amp;ERMs!E9&amp;"; "&amp;ERMs!E10</f>
        <v>N/A; N/A; N/A; N/A; N/A; N/A</v>
      </c>
    </row>
    <row r="54" spans="2:4">
      <c r="B54" s="620" t="s">
        <v>3314</v>
      </c>
      <c r="C54" s="791">
        <f>'Model Inputs'!F60</f>
        <v>0</v>
      </c>
      <c r="D54" s="789">
        <f>'Model Inputs'!E60</f>
        <v>0</v>
      </c>
    </row>
    <row r="55" spans="2:4">
      <c r="B55" s="620" t="s">
        <v>3315</v>
      </c>
      <c r="C55" s="791" t="str">
        <f>ERMs!C73</f>
        <v xml:space="preserve">, </v>
      </c>
      <c r="D55" s="789" t="str">
        <f>ERMs!E73</f>
        <v>N/A</v>
      </c>
    </row>
    <row r="56" spans="2:4" ht="36">
      <c r="B56" s="620" t="s">
        <v>3316</v>
      </c>
      <c r="C56" s="791" t="str">
        <f>ERMs!C29</f>
        <v>Primary system:   (0% AFUE); Tertiary System:   (0% Et)</v>
      </c>
      <c r="D56" s="789" t="str">
        <f>ERMs!E29</f>
        <v xml:space="preserve">  (0% AFUE)</v>
      </c>
    </row>
    <row r="57" spans="2:4" ht="84">
      <c r="B57" s="620" t="s">
        <v>3317</v>
      </c>
      <c r="C57" s="789" t="str">
        <f>ERMs!C61&amp;"; "&amp;ERMs!C62&amp;"; "&amp;ERMs!C63&amp;"; "&amp;ERMs!C64</f>
        <v>Kitchen:  CFM ()
Bathroom:  CFM ();  CFM;  CFM; 0</v>
      </c>
      <c r="D57" s="789" t="str">
        <f>ERMs!E61&amp;"; "&amp;ERMs!E62&amp;"; "&amp;ERMs!E63&amp;"; "&amp;ERMs!E64</f>
        <v xml:space="preserve">Kitchen:  CFM ()
Bathroom:  CFM (); Non-corridor Exhaust:  CFM; Corridor Supply Ventilation:  CFM; Fresh air supplied to apts by: </v>
      </c>
    </row>
    <row r="58" spans="2:4" ht="96">
      <c r="B58" s="620" t="s">
        <v>3318</v>
      </c>
      <c r="C58" s="789" t="str">
        <f>"Heating pump: "&amp;ERMs!C56&amp;"; DHW pump: "&amp;ERMs!C58&amp;"; "&amp;ERMs!C34</f>
        <v>Heating pump:    NEMA  Motor,  W/GPM; DHW pump:     hp NEMA  efficient motor, 0.0%;  kW/CFM</v>
      </c>
      <c r="D58" s="789" t="str">
        <f>"Heating pump: "&amp;ERMs!E56&amp;"; DHW pump: "&amp;ERMs!E58&amp;"; "&amp;ERMs!E34</f>
        <v>Heating pump: NEMA Standard Motor, 19 W/GPM; DHW pump:   hp NEMA  efficiency motor, 0.0% efficient; Space heating fan power: 0.0003 kW/CFM</v>
      </c>
    </row>
    <row r="59" spans="2:4" ht="36">
      <c r="B59" s="620" t="s">
        <v>3319</v>
      </c>
      <c r="C59" s="791" t="str">
        <f>ERMs!C13&amp;"; Hot Water Demand: "&amp;'Model Inputs'!F134</f>
        <v xml:space="preserve">  ( kBtu)
Et- 0%; Hot Water Demand: </v>
      </c>
      <c r="D59" s="789" t="str">
        <f>ERMs!E13&amp;"; Hot Water Demand: "&amp;'Model Inputs'!E134</f>
        <v xml:space="preserve"> 
Et-0%; Hot Water Demand: </v>
      </c>
    </row>
  </sheetData>
  <dataValidations disablePrompts="1" count="1">
    <dataValidation allowBlank="1" showInputMessage="1" showErrorMessage="1" promptTitle="Annual Energy Cost Difference" prompt="The value in this cell must equal the sum of the cost savings in the Recommendation Summary table." sqref="E21"/>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7" tint="0.39997558519241921"/>
    <pageSetUpPr fitToPage="1"/>
  </sheetPr>
  <dimension ref="A2:AY185"/>
  <sheetViews>
    <sheetView showGridLines="0" zoomScaleNormal="100" workbookViewId="0"/>
  </sheetViews>
  <sheetFormatPr defaultColWidth="8.85546875" defaultRowHeight="12"/>
  <cols>
    <col min="1" max="2" width="29.28515625" style="627" customWidth="1"/>
    <col min="3" max="3" width="46.42578125" style="627" customWidth="1"/>
    <col min="4" max="4" width="37.7109375" style="627" customWidth="1"/>
    <col min="5" max="5" width="36.7109375" style="665" bestFit="1" customWidth="1"/>
    <col min="6" max="6" width="31.85546875" style="627" customWidth="1"/>
    <col min="7" max="7" width="35.140625" style="627" customWidth="1"/>
    <col min="8" max="8" width="26.140625" style="647" customWidth="1"/>
    <col min="9" max="254" width="8.85546875" style="627"/>
    <col min="255" max="255" width="29.28515625" style="627" customWidth="1"/>
    <col min="256" max="256" width="46.42578125" style="627" customWidth="1"/>
    <col min="257" max="258" width="29.28515625" style="627" customWidth="1"/>
    <col min="259" max="261" width="46.42578125" style="627" customWidth="1"/>
    <col min="262" max="510" width="8.85546875" style="627"/>
    <col min="511" max="511" width="29.28515625" style="627" customWidth="1"/>
    <col min="512" max="512" width="46.42578125" style="627" customWidth="1"/>
    <col min="513" max="514" width="29.28515625" style="627" customWidth="1"/>
    <col min="515" max="517" width="46.42578125" style="627" customWidth="1"/>
    <col min="518" max="766" width="8.85546875" style="627"/>
    <col min="767" max="767" width="29.28515625" style="627" customWidth="1"/>
    <col min="768" max="768" width="46.42578125" style="627" customWidth="1"/>
    <col min="769" max="770" width="29.28515625" style="627" customWidth="1"/>
    <col min="771" max="773" width="46.42578125" style="627" customWidth="1"/>
    <col min="774" max="1022" width="8.85546875" style="627"/>
    <col min="1023" max="1023" width="29.28515625" style="627" customWidth="1"/>
    <col min="1024" max="1024" width="46.42578125" style="627" customWidth="1"/>
    <col min="1025" max="1026" width="29.28515625" style="627" customWidth="1"/>
    <col min="1027" max="1029" width="46.42578125" style="627" customWidth="1"/>
    <col min="1030" max="1278" width="8.85546875" style="627"/>
    <col min="1279" max="1279" width="29.28515625" style="627" customWidth="1"/>
    <col min="1280" max="1280" width="46.42578125" style="627" customWidth="1"/>
    <col min="1281" max="1282" width="29.28515625" style="627" customWidth="1"/>
    <col min="1283" max="1285" width="46.42578125" style="627" customWidth="1"/>
    <col min="1286" max="1534" width="8.85546875" style="627"/>
    <col min="1535" max="1535" width="29.28515625" style="627" customWidth="1"/>
    <col min="1536" max="1536" width="46.42578125" style="627" customWidth="1"/>
    <col min="1537" max="1538" width="29.28515625" style="627" customWidth="1"/>
    <col min="1539" max="1541" width="46.42578125" style="627" customWidth="1"/>
    <col min="1542" max="1790" width="8.85546875" style="627"/>
    <col min="1791" max="1791" width="29.28515625" style="627" customWidth="1"/>
    <col min="1792" max="1792" width="46.42578125" style="627" customWidth="1"/>
    <col min="1793" max="1794" width="29.28515625" style="627" customWidth="1"/>
    <col min="1795" max="1797" width="46.42578125" style="627" customWidth="1"/>
    <col min="1798" max="2046" width="8.85546875" style="627"/>
    <col min="2047" max="2047" width="29.28515625" style="627" customWidth="1"/>
    <col min="2048" max="2048" width="46.42578125" style="627" customWidth="1"/>
    <col min="2049" max="2050" width="29.28515625" style="627" customWidth="1"/>
    <col min="2051" max="2053" width="46.42578125" style="627" customWidth="1"/>
    <col min="2054" max="2302" width="8.85546875" style="627"/>
    <col min="2303" max="2303" width="29.28515625" style="627" customWidth="1"/>
    <col min="2304" max="2304" width="46.42578125" style="627" customWidth="1"/>
    <col min="2305" max="2306" width="29.28515625" style="627" customWidth="1"/>
    <col min="2307" max="2309" width="46.42578125" style="627" customWidth="1"/>
    <col min="2310" max="2558" width="8.85546875" style="627"/>
    <col min="2559" max="2559" width="29.28515625" style="627" customWidth="1"/>
    <col min="2560" max="2560" width="46.42578125" style="627" customWidth="1"/>
    <col min="2561" max="2562" width="29.28515625" style="627" customWidth="1"/>
    <col min="2563" max="2565" width="46.42578125" style="627" customWidth="1"/>
    <col min="2566" max="2814" width="8.85546875" style="627"/>
    <col min="2815" max="2815" width="29.28515625" style="627" customWidth="1"/>
    <col min="2816" max="2816" width="46.42578125" style="627" customWidth="1"/>
    <col min="2817" max="2818" width="29.28515625" style="627" customWidth="1"/>
    <col min="2819" max="2821" width="46.42578125" style="627" customWidth="1"/>
    <col min="2822" max="3070" width="8.85546875" style="627"/>
    <col min="3071" max="3071" width="29.28515625" style="627" customWidth="1"/>
    <col min="3072" max="3072" width="46.42578125" style="627" customWidth="1"/>
    <col min="3073" max="3074" width="29.28515625" style="627" customWidth="1"/>
    <col min="3075" max="3077" width="46.42578125" style="627" customWidth="1"/>
    <col min="3078" max="3326" width="8.85546875" style="627"/>
    <col min="3327" max="3327" width="29.28515625" style="627" customWidth="1"/>
    <col min="3328" max="3328" width="46.42578125" style="627" customWidth="1"/>
    <col min="3329" max="3330" width="29.28515625" style="627" customWidth="1"/>
    <col min="3331" max="3333" width="46.42578125" style="627" customWidth="1"/>
    <col min="3334" max="3582" width="8.85546875" style="627"/>
    <col min="3583" max="3583" width="29.28515625" style="627" customWidth="1"/>
    <col min="3584" max="3584" width="46.42578125" style="627" customWidth="1"/>
    <col min="3585" max="3586" width="29.28515625" style="627" customWidth="1"/>
    <col min="3587" max="3589" width="46.42578125" style="627" customWidth="1"/>
    <col min="3590" max="3838" width="8.85546875" style="627"/>
    <col min="3839" max="3839" width="29.28515625" style="627" customWidth="1"/>
    <col min="3840" max="3840" width="46.42578125" style="627" customWidth="1"/>
    <col min="3841" max="3842" width="29.28515625" style="627" customWidth="1"/>
    <col min="3843" max="3845" width="46.42578125" style="627" customWidth="1"/>
    <col min="3846" max="4094" width="8.85546875" style="627"/>
    <col min="4095" max="4095" width="29.28515625" style="627" customWidth="1"/>
    <col min="4096" max="4096" width="46.42578125" style="627" customWidth="1"/>
    <col min="4097" max="4098" width="29.28515625" style="627" customWidth="1"/>
    <col min="4099" max="4101" width="46.42578125" style="627" customWidth="1"/>
    <col min="4102" max="4350" width="8.85546875" style="627"/>
    <col min="4351" max="4351" width="29.28515625" style="627" customWidth="1"/>
    <col min="4352" max="4352" width="46.42578125" style="627" customWidth="1"/>
    <col min="4353" max="4354" width="29.28515625" style="627" customWidth="1"/>
    <col min="4355" max="4357" width="46.42578125" style="627" customWidth="1"/>
    <col min="4358" max="4606" width="8.85546875" style="627"/>
    <col min="4607" max="4607" width="29.28515625" style="627" customWidth="1"/>
    <col min="4608" max="4608" width="46.42578125" style="627" customWidth="1"/>
    <col min="4609" max="4610" width="29.28515625" style="627" customWidth="1"/>
    <col min="4611" max="4613" width="46.42578125" style="627" customWidth="1"/>
    <col min="4614" max="4862" width="8.85546875" style="627"/>
    <col min="4863" max="4863" width="29.28515625" style="627" customWidth="1"/>
    <col min="4864" max="4864" width="46.42578125" style="627" customWidth="1"/>
    <col min="4865" max="4866" width="29.28515625" style="627" customWidth="1"/>
    <col min="4867" max="4869" width="46.42578125" style="627" customWidth="1"/>
    <col min="4870" max="5118" width="8.85546875" style="627"/>
    <col min="5119" max="5119" width="29.28515625" style="627" customWidth="1"/>
    <col min="5120" max="5120" width="46.42578125" style="627" customWidth="1"/>
    <col min="5121" max="5122" width="29.28515625" style="627" customWidth="1"/>
    <col min="5123" max="5125" width="46.42578125" style="627" customWidth="1"/>
    <col min="5126" max="5374" width="8.85546875" style="627"/>
    <col min="5375" max="5375" width="29.28515625" style="627" customWidth="1"/>
    <col min="5376" max="5376" width="46.42578125" style="627" customWidth="1"/>
    <col min="5377" max="5378" width="29.28515625" style="627" customWidth="1"/>
    <col min="5379" max="5381" width="46.42578125" style="627" customWidth="1"/>
    <col min="5382" max="5630" width="8.85546875" style="627"/>
    <col min="5631" max="5631" width="29.28515625" style="627" customWidth="1"/>
    <col min="5632" max="5632" width="46.42578125" style="627" customWidth="1"/>
    <col min="5633" max="5634" width="29.28515625" style="627" customWidth="1"/>
    <col min="5635" max="5637" width="46.42578125" style="627" customWidth="1"/>
    <col min="5638" max="5886" width="8.85546875" style="627"/>
    <col min="5887" max="5887" width="29.28515625" style="627" customWidth="1"/>
    <col min="5888" max="5888" width="46.42578125" style="627" customWidth="1"/>
    <col min="5889" max="5890" width="29.28515625" style="627" customWidth="1"/>
    <col min="5891" max="5893" width="46.42578125" style="627" customWidth="1"/>
    <col min="5894" max="6142" width="8.85546875" style="627"/>
    <col min="6143" max="6143" width="29.28515625" style="627" customWidth="1"/>
    <col min="6144" max="6144" width="46.42578125" style="627" customWidth="1"/>
    <col min="6145" max="6146" width="29.28515625" style="627" customWidth="1"/>
    <col min="6147" max="6149" width="46.42578125" style="627" customWidth="1"/>
    <col min="6150" max="6398" width="8.85546875" style="627"/>
    <col min="6399" max="6399" width="29.28515625" style="627" customWidth="1"/>
    <col min="6400" max="6400" width="46.42578125" style="627" customWidth="1"/>
    <col min="6401" max="6402" width="29.28515625" style="627" customWidth="1"/>
    <col min="6403" max="6405" width="46.42578125" style="627" customWidth="1"/>
    <col min="6406" max="6654" width="8.85546875" style="627"/>
    <col min="6655" max="6655" width="29.28515625" style="627" customWidth="1"/>
    <col min="6656" max="6656" width="46.42578125" style="627" customWidth="1"/>
    <col min="6657" max="6658" width="29.28515625" style="627" customWidth="1"/>
    <col min="6659" max="6661" width="46.42578125" style="627" customWidth="1"/>
    <col min="6662" max="6910" width="8.85546875" style="627"/>
    <col min="6911" max="6911" width="29.28515625" style="627" customWidth="1"/>
    <col min="6912" max="6912" width="46.42578125" style="627" customWidth="1"/>
    <col min="6913" max="6914" width="29.28515625" style="627" customWidth="1"/>
    <col min="6915" max="6917" width="46.42578125" style="627" customWidth="1"/>
    <col min="6918" max="7166" width="8.85546875" style="627"/>
    <col min="7167" max="7167" width="29.28515625" style="627" customWidth="1"/>
    <col min="7168" max="7168" width="46.42578125" style="627" customWidth="1"/>
    <col min="7169" max="7170" width="29.28515625" style="627" customWidth="1"/>
    <col min="7171" max="7173" width="46.42578125" style="627" customWidth="1"/>
    <col min="7174" max="7422" width="8.85546875" style="627"/>
    <col min="7423" max="7423" width="29.28515625" style="627" customWidth="1"/>
    <col min="7424" max="7424" width="46.42578125" style="627" customWidth="1"/>
    <col min="7425" max="7426" width="29.28515625" style="627" customWidth="1"/>
    <col min="7427" max="7429" width="46.42578125" style="627" customWidth="1"/>
    <col min="7430" max="7678" width="8.85546875" style="627"/>
    <col min="7679" max="7679" width="29.28515625" style="627" customWidth="1"/>
    <col min="7680" max="7680" width="46.42578125" style="627" customWidth="1"/>
    <col min="7681" max="7682" width="29.28515625" style="627" customWidth="1"/>
    <col min="7683" max="7685" width="46.42578125" style="627" customWidth="1"/>
    <col min="7686" max="7934" width="8.85546875" style="627"/>
    <col min="7935" max="7935" width="29.28515625" style="627" customWidth="1"/>
    <col min="7936" max="7936" width="46.42578125" style="627" customWidth="1"/>
    <col min="7937" max="7938" width="29.28515625" style="627" customWidth="1"/>
    <col min="7939" max="7941" width="46.42578125" style="627" customWidth="1"/>
    <col min="7942" max="8190" width="8.85546875" style="627"/>
    <col min="8191" max="8191" width="29.28515625" style="627" customWidth="1"/>
    <col min="8192" max="8192" width="46.42578125" style="627" customWidth="1"/>
    <col min="8193" max="8194" width="29.28515625" style="627" customWidth="1"/>
    <col min="8195" max="8197" width="46.42578125" style="627" customWidth="1"/>
    <col min="8198" max="8446" width="8.85546875" style="627"/>
    <col min="8447" max="8447" width="29.28515625" style="627" customWidth="1"/>
    <col min="8448" max="8448" width="46.42578125" style="627" customWidth="1"/>
    <col min="8449" max="8450" width="29.28515625" style="627" customWidth="1"/>
    <col min="8451" max="8453" width="46.42578125" style="627" customWidth="1"/>
    <col min="8454" max="8702" width="8.85546875" style="627"/>
    <col min="8703" max="8703" width="29.28515625" style="627" customWidth="1"/>
    <col min="8704" max="8704" width="46.42578125" style="627" customWidth="1"/>
    <col min="8705" max="8706" width="29.28515625" style="627" customWidth="1"/>
    <col min="8707" max="8709" width="46.42578125" style="627" customWidth="1"/>
    <col min="8710" max="8958" width="8.85546875" style="627"/>
    <col min="8959" max="8959" width="29.28515625" style="627" customWidth="1"/>
    <col min="8960" max="8960" width="46.42578125" style="627" customWidth="1"/>
    <col min="8961" max="8962" width="29.28515625" style="627" customWidth="1"/>
    <col min="8963" max="8965" width="46.42578125" style="627" customWidth="1"/>
    <col min="8966" max="9214" width="8.85546875" style="627"/>
    <col min="9215" max="9215" width="29.28515625" style="627" customWidth="1"/>
    <col min="9216" max="9216" width="46.42578125" style="627" customWidth="1"/>
    <col min="9217" max="9218" width="29.28515625" style="627" customWidth="1"/>
    <col min="9219" max="9221" width="46.42578125" style="627" customWidth="1"/>
    <col min="9222" max="9470" width="8.85546875" style="627"/>
    <col min="9471" max="9471" width="29.28515625" style="627" customWidth="1"/>
    <col min="9472" max="9472" width="46.42578125" style="627" customWidth="1"/>
    <col min="9473" max="9474" width="29.28515625" style="627" customWidth="1"/>
    <col min="9475" max="9477" width="46.42578125" style="627" customWidth="1"/>
    <col min="9478" max="9726" width="8.85546875" style="627"/>
    <col min="9727" max="9727" width="29.28515625" style="627" customWidth="1"/>
    <col min="9728" max="9728" width="46.42578125" style="627" customWidth="1"/>
    <col min="9729" max="9730" width="29.28515625" style="627" customWidth="1"/>
    <col min="9731" max="9733" width="46.42578125" style="627" customWidth="1"/>
    <col min="9734" max="9982" width="8.85546875" style="627"/>
    <col min="9983" max="9983" width="29.28515625" style="627" customWidth="1"/>
    <col min="9984" max="9984" width="46.42578125" style="627" customWidth="1"/>
    <col min="9985" max="9986" width="29.28515625" style="627" customWidth="1"/>
    <col min="9987" max="9989" width="46.42578125" style="627" customWidth="1"/>
    <col min="9990" max="10238" width="8.85546875" style="627"/>
    <col min="10239" max="10239" width="29.28515625" style="627" customWidth="1"/>
    <col min="10240" max="10240" width="46.42578125" style="627" customWidth="1"/>
    <col min="10241" max="10242" width="29.28515625" style="627" customWidth="1"/>
    <col min="10243" max="10245" width="46.42578125" style="627" customWidth="1"/>
    <col min="10246" max="10494" width="8.85546875" style="627"/>
    <col min="10495" max="10495" width="29.28515625" style="627" customWidth="1"/>
    <col min="10496" max="10496" width="46.42578125" style="627" customWidth="1"/>
    <col min="10497" max="10498" width="29.28515625" style="627" customWidth="1"/>
    <col min="10499" max="10501" width="46.42578125" style="627" customWidth="1"/>
    <col min="10502" max="10750" width="8.85546875" style="627"/>
    <col min="10751" max="10751" width="29.28515625" style="627" customWidth="1"/>
    <col min="10752" max="10752" width="46.42578125" style="627" customWidth="1"/>
    <col min="10753" max="10754" width="29.28515625" style="627" customWidth="1"/>
    <col min="10755" max="10757" width="46.42578125" style="627" customWidth="1"/>
    <col min="10758" max="11006" width="8.85546875" style="627"/>
    <col min="11007" max="11007" width="29.28515625" style="627" customWidth="1"/>
    <col min="11008" max="11008" width="46.42578125" style="627" customWidth="1"/>
    <col min="11009" max="11010" width="29.28515625" style="627" customWidth="1"/>
    <col min="11011" max="11013" width="46.42578125" style="627" customWidth="1"/>
    <col min="11014" max="11262" width="8.85546875" style="627"/>
    <col min="11263" max="11263" width="29.28515625" style="627" customWidth="1"/>
    <col min="11264" max="11264" width="46.42578125" style="627" customWidth="1"/>
    <col min="11265" max="11266" width="29.28515625" style="627" customWidth="1"/>
    <col min="11267" max="11269" width="46.42578125" style="627" customWidth="1"/>
    <col min="11270" max="11518" width="8.85546875" style="627"/>
    <col min="11519" max="11519" width="29.28515625" style="627" customWidth="1"/>
    <col min="11520" max="11520" width="46.42578125" style="627" customWidth="1"/>
    <col min="11521" max="11522" width="29.28515625" style="627" customWidth="1"/>
    <col min="11523" max="11525" width="46.42578125" style="627" customWidth="1"/>
    <col min="11526" max="11774" width="8.85546875" style="627"/>
    <col min="11775" max="11775" width="29.28515625" style="627" customWidth="1"/>
    <col min="11776" max="11776" width="46.42578125" style="627" customWidth="1"/>
    <col min="11777" max="11778" width="29.28515625" style="627" customWidth="1"/>
    <col min="11779" max="11781" width="46.42578125" style="627" customWidth="1"/>
    <col min="11782" max="12030" width="8.85546875" style="627"/>
    <col min="12031" max="12031" width="29.28515625" style="627" customWidth="1"/>
    <col min="12032" max="12032" width="46.42578125" style="627" customWidth="1"/>
    <col min="12033" max="12034" width="29.28515625" style="627" customWidth="1"/>
    <col min="12035" max="12037" width="46.42578125" style="627" customWidth="1"/>
    <col min="12038" max="12286" width="8.85546875" style="627"/>
    <col min="12287" max="12287" width="29.28515625" style="627" customWidth="1"/>
    <col min="12288" max="12288" width="46.42578125" style="627" customWidth="1"/>
    <col min="12289" max="12290" width="29.28515625" style="627" customWidth="1"/>
    <col min="12291" max="12293" width="46.42578125" style="627" customWidth="1"/>
    <col min="12294" max="12542" width="8.85546875" style="627"/>
    <col min="12543" max="12543" width="29.28515625" style="627" customWidth="1"/>
    <col min="12544" max="12544" width="46.42578125" style="627" customWidth="1"/>
    <col min="12545" max="12546" width="29.28515625" style="627" customWidth="1"/>
    <col min="12547" max="12549" width="46.42578125" style="627" customWidth="1"/>
    <col min="12550" max="12798" width="8.85546875" style="627"/>
    <col min="12799" max="12799" width="29.28515625" style="627" customWidth="1"/>
    <col min="12800" max="12800" width="46.42578125" style="627" customWidth="1"/>
    <col min="12801" max="12802" width="29.28515625" style="627" customWidth="1"/>
    <col min="12803" max="12805" width="46.42578125" style="627" customWidth="1"/>
    <col min="12806" max="13054" width="8.85546875" style="627"/>
    <col min="13055" max="13055" width="29.28515625" style="627" customWidth="1"/>
    <col min="13056" max="13056" width="46.42578125" style="627" customWidth="1"/>
    <col min="13057" max="13058" width="29.28515625" style="627" customWidth="1"/>
    <col min="13059" max="13061" width="46.42578125" style="627" customWidth="1"/>
    <col min="13062" max="13310" width="8.85546875" style="627"/>
    <col min="13311" max="13311" width="29.28515625" style="627" customWidth="1"/>
    <col min="13312" max="13312" width="46.42578125" style="627" customWidth="1"/>
    <col min="13313" max="13314" width="29.28515625" style="627" customWidth="1"/>
    <col min="13315" max="13317" width="46.42578125" style="627" customWidth="1"/>
    <col min="13318" max="13566" width="8.85546875" style="627"/>
    <col min="13567" max="13567" width="29.28515625" style="627" customWidth="1"/>
    <col min="13568" max="13568" width="46.42578125" style="627" customWidth="1"/>
    <col min="13569" max="13570" width="29.28515625" style="627" customWidth="1"/>
    <col min="13571" max="13573" width="46.42578125" style="627" customWidth="1"/>
    <col min="13574" max="13822" width="8.85546875" style="627"/>
    <col min="13823" max="13823" width="29.28515625" style="627" customWidth="1"/>
    <col min="13824" max="13824" width="46.42578125" style="627" customWidth="1"/>
    <col min="13825" max="13826" width="29.28515625" style="627" customWidth="1"/>
    <col min="13827" max="13829" width="46.42578125" style="627" customWidth="1"/>
    <col min="13830" max="14078" width="8.85546875" style="627"/>
    <col min="14079" max="14079" width="29.28515625" style="627" customWidth="1"/>
    <col min="14080" max="14080" width="46.42578125" style="627" customWidth="1"/>
    <col min="14081" max="14082" width="29.28515625" style="627" customWidth="1"/>
    <col min="14083" max="14085" width="46.42578125" style="627" customWidth="1"/>
    <col min="14086" max="14334" width="8.85546875" style="627"/>
    <col min="14335" max="14335" width="29.28515625" style="627" customWidth="1"/>
    <col min="14336" max="14336" width="46.42578125" style="627" customWidth="1"/>
    <col min="14337" max="14338" width="29.28515625" style="627" customWidth="1"/>
    <col min="14339" max="14341" width="46.42578125" style="627" customWidth="1"/>
    <col min="14342" max="14590" width="8.85546875" style="627"/>
    <col min="14591" max="14591" width="29.28515625" style="627" customWidth="1"/>
    <col min="14592" max="14592" width="46.42578125" style="627" customWidth="1"/>
    <col min="14593" max="14594" width="29.28515625" style="627" customWidth="1"/>
    <col min="14595" max="14597" width="46.42578125" style="627" customWidth="1"/>
    <col min="14598" max="14846" width="8.85546875" style="627"/>
    <col min="14847" max="14847" width="29.28515625" style="627" customWidth="1"/>
    <col min="14848" max="14848" width="46.42578125" style="627" customWidth="1"/>
    <col min="14849" max="14850" width="29.28515625" style="627" customWidth="1"/>
    <col min="14851" max="14853" width="46.42578125" style="627" customWidth="1"/>
    <col min="14854" max="15102" width="8.85546875" style="627"/>
    <col min="15103" max="15103" width="29.28515625" style="627" customWidth="1"/>
    <col min="15104" max="15104" width="46.42578125" style="627" customWidth="1"/>
    <col min="15105" max="15106" width="29.28515625" style="627" customWidth="1"/>
    <col min="15107" max="15109" width="46.42578125" style="627" customWidth="1"/>
    <col min="15110" max="15358" width="8.85546875" style="627"/>
    <col min="15359" max="15359" width="29.28515625" style="627" customWidth="1"/>
    <col min="15360" max="15360" width="46.42578125" style="627" customWidth="1"/>
    <col min="15361" max="15362" width="29.28515625" style="627" customWidth="1"/>
    <col min="15363" max="15365" width="46.42578125" style="627" customWidth="1"/>
    <col min="15366" max="15614" width="8.85546875" style="627"/>
    <col min="15615" max="15615" width="29.28515625" style="627" customWidth="1"/>
    <col min="15616" max="15616" width="46.42578125" style="627" customWidth="1"/>
    <col min="15617" max="15618" width="29.28515625" style="627" customWidth="1"/>
    <col min="15619" max="15621" width="46.42578125" style="627" customWidth="1"/>
    <col min="15622" max="15870" width="8.85546875" style="627"/>
    <col min="15871" max="15871" width="29.28515625" style="627" customWidth="1"/>
    <col min="15872" max="15872" width="46.42578125" style="627" customWidth="1"/>
    <col min="15873" max="15874" width="29.28515625" style="627" customWidth="1"/>
    <col min="15875" max="15877" width="46.42578125" style="627" customWidth="1"/>
    <col min="15878" max="16126" width="8.85546875" style="627"/>
    <col min="16127" max="16127" width="29.28515625" style="627" customWidth="1"/>
    <col min="16128" max="16128" width="46.42578125" style="627" customWidth="1"/>
    <col min="16129" max="16130" width="29.28515625" style="627" customWidth="1"/>
    <col min="16131" max="16133" width="46.42578125" style="627" customWidth="1"/>
    <col min="16134" max="16384" width="8.85546875" style="627"/>
  </cols>
  <sheetData>
    <row r="2" spans="1:51">
      <c r="A2" s="648" t="str">
        <f>'Basic Info'!C31&amp;" Building Components"</f>
        <v xml:space="preserve"> Building Components</v>
      </c>
      <c r="B2" s="648"/>
      <c r="C2" s="649"/>
      <c r="D2" s="649"/>
      <c r="E2" s="649"/>
      <c r="F2" s="628"/>
      <c r="G2" s="628"/>
      <c r="H2" s="725"/>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c r="AW2" s="628"/>
      <c r="AX2" s="628"/>
      <c r="AY2" s="628"/>
    </row>
    <row r="3" spans="1:51" ht="24">
      <c r="A3" s="650"/>
      <c r="B3" s="689" t="s">
        <v>3134</v>
      </c>
      <c r="C3" s="651" t="s">
        <v>3043</v>
      </c>
      <c r="D3" s="652" t="s">
        <v>3044</v>
      </c>
      <c r="E3" s="652" t="s">
        <v>980</v>
      </c>
    </row>
    <row r="4" spans="1:51" s="630" customFormat="1">
      <c r="A4" s="712" t="s">
        <v>3045</v>
      </c>
      <c r="B4" s="713"/>
      <c r="C4" s="714"/>
      <c r="D4" s="715"/>
      <c r="E4" s="716"/>
      <c r="F4" s="629"/>
      <c r="G4" s="629"/>
      <c r="H4" s="631"/>
      <c r="I4" s="629"/>
      <c r="J4" s="629"/>
      <c r="K4" s="629"/>
    </row>
    <row r="5" spans="1:51">
      <c r="A5" s="654" t="s">
        <v>2558</v>
      </c>
      <c r="B5" s="634">
        <f>'Model Inputs'!C50</f>
        <v>0</v>
      </c>
      <c r="C5" s="679" t="str">
        <f>IF('Model Inputs'!G50=0,"N/A",'Model Inputs'!$G$50&amp;"  "&amp; 'Model Inputs'!$J$50&amp; " Refrigerators, "&amp;'Model Inputs'!$H$50&amp;" "&amp;'Model Inputs'!$I$50)</f>
        <v>N/A</v>
      </c>
      <c r="D5" s="680" t="str">
        <f>IF('Model Inputs'!G50=0,"N/A","Baseline: "&amp;'Model Inputs'!$E$50&amp;" kWh/yr
Proposed: "&amp;'Model Inputs'!$F$50&amp;" kWh/yr")</f>
        <v>N/A</v>
      </c>
      <c r="E5" s="681" t="str">
        <f>IF(C5="N/A", "N/A",'Model Inputs'!G50&amp;" "&amp;'Model Inputs'!D50)</f>
        <v>N/A</v>
      </c>
      <c r="F5" s="647"/>
      <c r="G5" s="647"/>
    </row>
    <row r="6" spans="1:51">
      <c r="A6" s="646" t="s">
        <v>2560</v>
      </c>
      <c r="B6" s="691">
        <f>'Model Inputs'!C51</f>
        <v>0</v>
      </c>
      <c r="C6" s="679" t="str">
        <f>IF('Model Inputs'!G51=0,"N/A",'Model Inputs'!$G$51&amp;"  "&amp; 'Model Inputs'!$J$51&amp; " Dishwashers, "&amp;'Model Inputs'!$H$51&amp;" "&amp;'Model Inputs'!$I$51)</f>
        <v>N/A</v>
      </c>
      <c r="D6" s="681" t="str">
        <f>IF('Model Inputs'!G51=0,"N/A","Baseline: "&amp;'Model Inputs'!$E$51&amp;" kWh/yr" &amp; ", "&amp;'Model Inputs'!$E$52&amp;" gal/yr
Proposed: "&amp;'Model Inputs'!$F$51&amp;" kWh/yr" &amp; ", "&amp;'Model Inputs'!$F$52&amp;" gal/yr")</f>
        <v>N/A</v>
      </c>
      <c r="E6" s="681" t="str">
        <f>IF(C6="N/A","N/A",'Model Inputs'!G51&amp;" "&amp;'Model Inputs'!D51)</f>
        <v>N/A</v>
      </c>
      <c r="F6" s="647"/>
      <c r="G6" s="647"/>
    </row>
    <row r="7" spans="1:51">
      <c r="A7" s="646" t="s">
        <v>3046</v>
      </c>
      <c r="B7" s="691">
        <f>'Model Inputs'!C53</f>
        <v>0</v>
      </c>
      <c r="C7" s="679" t="str">
        <f>IF('Model Inputs'!G53=0,"N/A",'Model Inputs'!$G$53&amp;"  "&amp;'Model Inputs'!$K$53&amp;" "&amp; 'Model Inputs'!$J$53&amp; " Clothes Washers, "&amp;'Model Inputs'!$H$53&amp;" "&amp;'Model Inputs'!$I$53)</f>
        <v>N/A</v>
      </c>
      <c r="D7" s="681" t="str">
        <f>IF('Model Inputs'!G53=0,"N/A","Baseline: "&amp;'Model Inputs'!$E$53&amp;" kWh/yr" &amp; ", "&amp;'Model Inputs'!$E$54&amp;" gal/yr
Proposed: "&amp;'Model Inputs'!$F$53&amp;" kWh/yr" &amp; ", "&amp;'Model Inputs'!$F$54&amp;" gal/yr")</f>
        <v>N/A</v>
      </c>
      <c r="E7" s="681" t="str">
        <f>IF(C7="N/A","N/A",'Model Inputs'!G53&amp;" "&amp;'Model Inputs'!D53)</f>
        <v>N/A</v>
      </c>
      <c r="F7" s="647"/>
      <c r="G7" s="647"/>
    </row>
    <row r="8" spans="1:51">
      <c r="A8" s="646" t="s">
        <v>3047</v>
      </c>
      <c r="B8" s="691">
        <f>'Model Inputs'!C58</f>
        <v>0</v>
      </c>
      <c r="C8" s="679" t="str">
        <f>IF('Model Inputs'!G58=0,"N/A",IF('Model Inputs'!$B$58="Electric Stove (kWh/yr)",'Model Inputs'!$G$58&amp;" "&amp;" Electric Stoves",'Model Inputs'!$G$58&amp;" Gas Stoves"))</f>
        <v>N/A</v>
      </c>
      <c r="D8" s="681" t="str">
        <f>IF(C8="N/A","N/A",IF('Model Inputs'!$B$58="Electric Stoves (kWh/yr)","Baseline: "&amp;'Model Inputs'!$E$58&amp;" kWh/yr
Proposed: "&amp;'Model Inputs'!$F$58&amp;" kWh/yr","Baseline: "&amp;'Model Inputs'!$E$58&amp;" therm/yr
Proposed: "&amp;'Model Inputs'!$F$58&amp;" therm/yr"))</f>
        <v>N/A</v>
      </c>
      <c r="E8" s="681" t="str">
        <f>IF(C8="N/A","N/A",IF('Model Inputs'!$B$58="Electric Stove (kWh/yr)",'Model Inputs'!$G$58&amp;" "&amp;" Electric Stoves",'Model Inputs'!$G$58&amp;" Gas Stoves"))</f>
        <v>N/A</v>
      </c>
      <c r="F8" s="647"/>
      <c r="G8" s="647"/>
    </row>
    <row r="9" spans="1:51">
      <c r="A9" s="646" t="s">
        <v>3048</v>
      </c>
      <c r="B9" s="691">
        <f>'Model Inputs'!C56</f>
        <v>0</v>
      </c>
      <c r="C9" s="679" t="str">
        <f>IF('Model Inputs'!G56=0,"N/A",IF('Model Inputs'!$B$56="Electric Clothes Dryer (kWh/yr)",'Model Inputs'!$G$56&amp;" "&amp;" Electric Clothes Dryers",'Model Inputs'!$G$56&amp;" Gas Clothes Dryers"))</f>
        <v>N/A</v>
      </c>
      <c r="D9" s="681" t="str">
        <f>IF(C9="N/A","N/A",IF('Model Inputs'!E57="N/A","Baseline: "&amp;'Model Inputs'!$E$56&amp;" kWh/yr
Proposed: "&amp;'Model Inputs'!$F$56&amp;" kWh/yr","Baseline: "&amp;'Model Inputs'!E56&amp;" kWh/yr, "&amp;'Model Inputs'!E57&amp;" therm/yr
Proposed: "&amp;'Model Inputs'!F56&amp;" kWh/yr, "&amp;'Model Inputs'!F57&amp;" therm/yr"))</f>
        <v>N/A</v>
      </c>
      <c r="E9" s="681" t="str">
        <f>IF(C9="N/A","N/A",IF('Model Inputs'!$B$56="Electric Clothes Dryer (kWh/yr)",'Model Inputs'!$G$56&amp;" "&amp;" Electric Clothes Dryers",'Model Inputs'!$G$56&amp;" Gas Clothes Dryers"))</f>
        <v>N/A</v>
      </c>
      <c r="F9" s="647"/>
      <c r="G9" s="647"/>
    </row>
    <row r="10" spans="1:51">
      <c r="A10" s="691" t="s">
        <v>3232</v>
      </c>
      <c r="B10" s="646">
        <f>'Model Inputs'!C55</f>
        <v>0</v>
      </c>
      <c r="C10" s="681" t="str">
        <f>IF('Model Inputs'!G55=0,"N/A",'Model Inputs'!G55&amp;" elevators, "&amp;'Model Inputs'!F55&amp;" kWh/yr")</f>
        <v>N/A</v>
      </c>
      <c r="D10" s="681" t="str">
        <f>IF(C10="N/A","N/A","Baseline: "&amp;'Model Inputs'!E55&amp;" kWh/yr
Proposed: "&amp;'Model Inputs'!F55&amp;" kWh/yr")</f>
        <v>N/A</v>
      </c>
      <c r="E10" s="681" t="str">
        <f>IF(C10="N/A","N/A",'Model Inputs'!G55&amp;" elevators, "&amp;'Model Inputs'!E55&amp;" kWh/yr")</f>
        <v>N/A</v>
      </c>
      <c r="F10" s="647"/>
      <c r="G10" s="647"/>
    </row>
    <row r="11" spans="1:51">
      <c r="A11" s="646" t="str">
        <f>'Model Inputs'!B59</f>
        <v>&lt;Other Appliance&gt; (kWh/yr)</v>
      </c>
      <c r="B11" s="646">
        <f>'Model Inputs'!C59</f>
        <v>0</v>
      </c>
      <c r="C11" s="681" t="str">
        <f>IF('Model Inputs'!G59=0,"N/A",'Model Inputs'!G59&amp;" "&amp;'Model Inputs'!H59&amp;" "&amp;'Model Inputs'!I59&amp;", "&amp;'Model Inputs'!F59&amp;" kWh/yr")</f>
        <v>N/A</v>
      </c>
      <c r="D11" s="681" t="str">
        <f>IF(C11="N/A","N/A","Baseline: "&amp;'Model Inputs'!E59&amp;" kWh/yr
Proposed: "&amp;'Model Inputs'!F59&amp;" kWh/yr")</f>
        <v>N/A</v>
      </c>
      <c r="E11" s="681" t="str">
        <f>IF(C11="N/A","N/A",'Model Inputs'!E59&amp; " kWh/yr")</f>
        <v>N/A</v>
      </c>
      <c r="F11" s="647"/>
      <c r="G11" s="647"/>
    </row>
    <row r="12" spans="1:51" s="630" customFormat="1">
      <c r="A12" s="712" t="s">
        <v>3049</v>
      </c>
      <c r="B12" s="713"/>
      <c r="C12" s="714"/>
      <c r="D12" s="715"/>
      <c r="E12" s="720"/>
      <c r="G12" s="647"/>
      <c r="H12" s="647"/>
      <c r="I12" s="629"/>
      <c r="J12" s="629"/>
      <c r="K12" s="629"/>
    </row>
    <row r="13" spans="1:51" ht="24">
      <c r="A13" s="654" t="s">
        <v>3050</v>
      </c>
      <c r="B13" s="717">
        <f>'Model Inputs'!C118</f>
        <v>0</v>
      </c>
      <c r="C13" s="718" t="str">
        <f>'Model Inputs'!$F$122&amp;" "&amp;'Model Inputs'!$F$118&amp;" ("&amp;'Model Inputs'!$F$120&amp;" kBtu)
Et- "&amp;'Model Inputs'!$F$119*100&amp;"%"</f>
        <v xml:space="preserve">  ( kBtu)
Et- 0%</v>
      </c>
      <c r="D13" s="719" t="str">
        <f>"Baseline: Et-"&amp;'Model Inputs'!$E$119*100&amp;"%"&amp;", "&amp;'Model Inputs'!$E$120&amp;" kBtu
Proposed: Et-"&amp;'Model Inputs'!$F$119*100&amp;"%"&amp;", "&amp;'Model Inputs'!$F$120&amp;" kBtu"</f>
        <v>Baseline: Et-0%,  kBtu
Proposed: Et-0%,  kBtu</v>
      </c>
      <c r="E13" s="719" t="str">
        <f>'Model Inputs'!E122&amp;" "&amp;'Model Inputs'!E118&amp;"
Et-"&amp;'Model Inputs'!E119*100&amp;"%"</f>
        <v xml:space="preserve"> 
Et-0%</v>
      </c>
    </row>
    <row r="14" spans="1:51" ht="24">
      <c r="A14" s="646" t="s">
        <v>3051</v>
      </c>
      <c r="B14" s="691">
        <f>'Model Inputs'!C123</f>
        <v>0</v>
      </c>
      <c r="C14" s="684" t="str">
        <f>'Model Inputs'!$F$121&amp;" gal Storage Tank, R-"&amp;'Model Inputs'!$F$123</f>
        <v xml:space="preserve"> gal Storage Tank, R-</v>
      </c>
      <c r="D14" s="683" t="str">
        <f>"Baseline: R-"&amp;'Model Inputs'!$E$123&amp;", "&amp;'Model Inputs'!$E$121&amp;" gal
Proposed: R-"&amp;'Model Inputs'!$F$123&amp;", "&amp;'Model Inputs'!$F$121&amp;" gal"</f>
        <v>Baseline: R-12.5,  gal
Proposed: R-,  gal</v>
      </c>
      <c r="E14" s="683" t="str">
        <f>'Model Inputs'!E121&amp;" gal storage tank, R-"&amp;'Model Inputs'!E123</f>
        <v xml:space="preserve"> gal storage tank, R-12.5</v>
      </c>
    </row>
    <row r="15" spans="1:51" ht="48">
      <c r="A15" s="646" t="s">
        <v>3052</v>
      </c>
      <c r="B15" s="691">
        <f>'Model Inputs'!C130</f>
        <v>0</v>
      </c>
      <c r="C15" s="682" t="str">
        <f>"Showerheads: "&amp;'Model Inputs'!$F$130&amp;" gpm
Kitchen Faucets: "&amp;'Model Inputs'!$F$131&amp;" gpm
Lavatory Faucets: "&amp;'Model Inputs'!$F$132&amp;" gpm
Toilets: "&amp;'Model Inputs'!$F$133&amp;" gpf"</f>
        <v>Showerheads:  gpm
Kitchen Faucets:  gpm
Lavatory Faucets:  gpm
Toilets:  gpf</v>
      </c>
      <c r="D15" s="683" t="str">
        <f>"Baseline: "&amp;TRUNC('Model Inputs'!$E$134,1)&amp; " gpm
Proposed: "&amp;TRUNC('Model Inputs'!$F$134,1)&amp;" gpm"</f>
        <v>Baseline: 0 gpm
Proposed: 0 gpm</v>
      </c>
      <c r="E15" s="683" t="str">
        <f>"Showerheads: "&amp;'Model Inputs'!E130&amp;" gpm
Kitchen Faucets: "&amp;'Model Inputs'!E131&amp;" gpm
Lavatory Faucets: "&amp;'Model Inputs'!E132&amp;" gpm
Toilets: "&amp;'Model Inputs'!E133&amp;" gpf"</f>
        <v>Showerheads: 2.5 gpm
Kitchen Faucets: 2.5 gpm
Lavatory Faucets: 2.5 gpm
Toilets: 1.6 gpf</v>
      </c>
    </row>
    <row r="16" spans="1:51" s="630" customFormat="1" ht="36">
      <c r="A16" s="653" t="s">
        <v>3053</v>
      </c>
      <c r="B16" s="690"/>
      <c r="C16" s="655" t="s">
        <v>3054</v>
      </c>
      <c r="D16" s="656"/>
      <c r="E16" s="657"/>
      <c r="F16" s="629"/>
      <c r="G16" s="629"/>
      <c r="H16" s="631"/>
      <c r="I16" s="629"/>
    </row>
    <row r="17" spans="1:9" ht="24">
      <c r="A17" s="646" t="s">
        <v>3055</v>
      </c>
      <c r="B17" s="691">
        <f>'Model Inputs'!C17</f>
        <v>0</v>
      </c>
      <c r="C17" s="678" t="str">
        <f>IF('Model Inputs'!G17="N/A","N/A",'Model Inputs'!G17&amp;", C-"&amp;'Model Inputs'!G18)</f>
        <v>, C-</v>
      </c>
      <c r="D17" s="678" t="str">
        <f>IF(C17="N/A","N/A","Baseline: C-"&amp;'Model Inputs'!E18&amp;" (res) &amp; C-"&amp;'Model Inputs'!F18&amp;" (non-res)
Proposed: C-"&amp;'Model Inputs'!G18)</f>
        <v>Baseline: C- (res) &amp; C- (non-res)
Proposed: C-</v>
      </c>
      <c r="E17" s="721" t="str">
        <f>IF(D17="N/A","N/A","BGW: "&amp;'Model Inputs'!E17&amp;", C-"&amp;'Model Inputs'!E18&amp;" (res); C-"&amp;'Model Inputs'!F18&amp;" (non-res)")</f>
        <v>BGW: Per ASHRAE, C- (res); C- (non-res)</v>
      </c>
    </row>
    <row r="18" spans="1:9" ht="24">
      <c r="A18" s="646" t="s">
        <v>3056</v>
      </c>
      <c r="B18" s="691">
        <f>'Model Inputs'!C13</f>
        <v>0</v>
      </c>
      <c r="C18" s="678" t="str">
        <f>'Model Inputs'!G13&amp;", U-"&amp;'Model Inputs'!G14</f>
        <v>, U-</v>
      </c>
      <c r="D18" s="678" t="str">
        <f>"Baseline: U-"&amp;'Model Inputs'!E14&amp;" (res) &amp; U-"&amp;'Model Inputs'!F14&amp;" (non-res)
Proposed: U-"&amp;'Model Inputs'!G14</f>
        <v>Baseline: U- (res) &amp; U- (non-res)
Proposed: U-</v>
      </c>
      <c r="E18" s="721" t="str">
        <f>"AGW: "&amp;'Model Inputs'!E13&amp;", U-"&amp;'Model Inputs'!E14&amp;" (res) &amp; U-"&amp;'Model Inputs'!F14&amp;" (non-res)"</f>
        <v>AGW: Per ASHRAE, U- (res) &amp; U- (non-res)</v>
      </c>
    </row>
    <row r="19" spans="1:9" ht="24">
      <c r="A19" s="646" t="s">
        <v>3057</v>
      </c>
      <c r="B19" s="691">
        <f>'Model Inputs'!C15</f>
        <v>0</v>
      </c>
      <c r="C19" s="678" t="str">
        <f>IF('Model Inputs'!G15="N/A","N/A",'Model Inputs'!G15&amp;", U-"&amp;'Model Inputs'!G16)</f>
        <v>, U-</v>
      </c>
      <c r="D19" s="678" t="str">
        <f>IF(C19="N/A","N/A","Baseline: U-"&amp;'Model Inputs'!E16&amp;" (res) &amp; U-"&amp;'Model Inputs'!F16&amp;" (non-res)
Proposed: U-"&amp;'Model Inputs'!G16)</f>
        <v>Baseline: U- (res) &amp; U- (non-res)
Proposed: U-</v>
      </c>
      <c r="E19" s="721" t="str">
        <f>IF(D19="N/A","N/A","Floor Perimeter: "&amp;'Model Inputs'!E15&amp;", U-"&amp;'Model Inputs'!E16&amp;" (res) &amp; U-"&amp;'Model Inputs'!F16&amp;" (non-res)")</f>
        <v>Floor Perimeter: Per ASHRAE, U- (res) &amp; U- (non-res)</v>
      </c>
    </row>
    <row r="20" spans="1:9" ht="24">
      <c r="A20" s="646" t="s">
        <v>3058</v>
      </c>
      <c r="B20" s="691">
        <f>'Model Inputs'!C27</f>
        <v>0</v>
      </c>
      <c r="C20" s="678" t="str">
        <f>'Model Inputs'!G27&amp;", U-"&amp;'Model Inputs'!G28</f>
        <v>, U-</v>
      </c>
      <c r="D20" s="678" t="str">
        <f>"Baseline: U-"&amp;'Model Inputs'!E28&amp;"
Proposed: U-"&amp;'Model Inputs'!G28</f>
        <v>Baseline: U-
Proposed: U-</v>
      </c>
      <c r="E20" s="721" t="str">
        <f>"Roof Insulation: "&amp;'Model Inputs'!E27&amp;", U-"&amp;'Model Inputs'!E28</f>
        <v>Roof Insulation: Per ASHRAE, U-</v>
      </c>
    </row>
    <row r="21" spans="1:9" ht="24">
      <c r="A21" s="646" t="s">
        <v>3059</v>
      </c>
      <c r="B21" s="691">
        <f>'Model Inputs'!C19</f>
        <v>0</v>
      </c>
      <c r="C21" s="678" t="str">
        <f>IF('Model Inputs'!G19="N/A","N/A",'Model Inputs'!G19&amp;", U-"&amp;'Model Inputs'!G20)</f>
        <v>, U-</v>
      </c>
      <c r="D21" s="678" t="str">
        <f>IF(C21="N/A","N/A","Baseline: U-"&amp;'Model Inputs'!E20&amp;" (res) &amp; U-"&amp;'Model Inputs'!F20&amp;" (non-res)
Proposed: U-"&amp;'Model Inputs'!G20)</f>
        <v>Baseline: U- (res) &amp; U- (non-res)
Proposed: U-</v>
      </c>
      <c r="E21" s="721" t="str">
        <f>IF(D21="N/A","N/A","Floor above cond. Space: "&amp;'Model Inputs'!E19&amp;", U-"&amp;'Model Inputs'!E20&amp;" (res) &amp; U-"&amp;'Model Inputs'!F20&amp;" (non-res)")</f>
        <v>Floor above cond. Space: Per ASHRAE, U- (res) &amp; U- (non-res)</v>
      </c>
    </row>
    <row r="22" spans="1:9" ht="24">
      <c r="A22" s="646" t="s">
        <v>3060</v>
      </c>
      <c r="B22" s="691">
        <f>'Model Inputs'!C25</f>
        <v>0</v>
      </c>
      <c r="C22" s="678" t="str">
        <f>IF('Model Inputs'!G25="N/A","N/A",'Model Inputs'!G25&amp;", C-"&amp;'Model Inputs'!G26)</f>
        <v>, C-</v>
      </c>
      <c r="D22" s="678" t="str">
        <f>IF(C22="N/A","N/A","Baseline: C-"&amp;'Model Inputs'!E26&amp;"
Proposed: C-"&amp;'Model Inputs'!G26)</f>
        <v>Baseline: C-
Proposed: C-</v>
      </c>
      <c r="E22" s="721" t="str">
        <f>IF(D22="N/A","N/A","Slab-below-grade: "&amp;'Model Inputs'!E25&amp;", C-"&amp;'Model Inputs'!E26)</f>
        <v>Slab-below-grade: Per ASHRAE, C-</v>
      </c>
    </row>
    <row r="23" spans="1:9" ht="24">
      <c r="A23" s="646" t="s">
        <v>3151</v>
      </c>
      <c r="B23" s="691">
        <f>'Model Inputs'!C21</f>
        <v>0</v>
      </c>
      <c r="C23" s="678" t="str">
        <f>IF('Model Inputs'!G21="N/A","N/A",'Model Inputs'!G21&amp;", F-"&amp;'Model Inputs'!G22)</f>
        <v>, F-</v>
      </c>
      <c r="D23" s="678" t="str">
        <f>IF(C23="N/A","N/A","Baseline: F-"&amp;'Model Inputs'!E22&amp;" (res) &amp; F-"&amp;'Model Inputs'!F22&amp;" (non-res)
Proposed: F-"&amp;'Model Inputs'!G22)</f>
        <v>Baseline: F- (res) &amp; F- (non-res)
Proposed: F-</v>
      </c>
      <c r="E23" s="721" t="str">
        <f>IF(D23="N/A","N/A","Slab-on-grade: "&amp;'Model Inputs'!E21&amp;", F-"&amp;'Model Inputs'!E22&amp;" (res) &amp; F-"&amp;'Model Inputs'!F22&amp;" (non-res)")</f>
        <v>Slab-on-grade: Per ASHRAE, F- (res) &amp; F- (non-res)</v>
      </c>
    </row>
    <row r="24" spans="1:9" ht="24">
      <c r="A24" s="728" t="s">
        <v>3152</v>
      </c>
      <c r="B24" s="729">
        <f>'Model Inputs'!C23</f>
        <v>0</v>
      </c>
      <c r="C24" s="678" t="str">
        <f>IF('Model Inputs'!G23="N/A","N/A",'Model Inputs'!G23&amp;", F-"&amp;'Model Inputs'!G24)</f>
        <v>, F-</v>
      </c>
      <c r="D24" s="678" t="str">
        <f>IF(C24="N/A","N/A","Baseline: F-"&amp;'Model Inputs'!E24&amp;" (res) &amp; F-"&amp;'Model Inputs'!F24&amp;" (non-res)
Proposed: F-"&amp;'Model Inputs'!G24)</f>
        <v>Baseline: F- (res) &amp; F- (non-res)
Proposed: F-</v>
      </c>
      <c r="E24" s="721" t="str">
        <f>IF(D24="N/A","N/A","Slab-on-grade: "&amp;'Model Inputs'!E23&amp;", F-"&amp;'Model Inputs'!E24&amp;" (res) &amp; F-"&amp;'Model Inputs'!F24&amp;" (non-res)")</f>
        <v>Slab-on-grade: Per ASHRAE, F- (res) &amp; F- (non-res)</v>
      </c>
    </row>
    <row r="25" spans="1:9" ht="24">
      <c r="A25" s="646" t="s">
        <v>2550</v>
      </c>
      <c r="B25" s="691">
        <f>'Model Inputs'!C30</f>
        <v>0</v>
      </c>
      <c r="C25" s="678" t="str">
        <f>'Model Inputs'!G31&amp;", "&amp;'Model Inputs'!G30&amp;", U-"&amp;'Model Inputs'!G32&amp;", SHGC-"&amp;'Model Inputs'!G33</f>
        <v>, , U-, SHGC-</v>
      </c>
      <c r="D25" s="678" t="str">
        <f>"Baseline: U-"&amp;'Model Inputs'!E32&amp;", SHGC-"&amp;'Model Inputs'!E33&amp;"
Proposed: U-"&amp;'Model Inputs'!G32&amp;", SHGC-"&amp;'Model Inputs'!G33</f>
        <v>Baseline: U-, SHGC-
Proposed: U-, SHGC-</v>
      </c>
      <c r="E25" s="721" t="str">
        <f>"Windows: "&amp;'Model Inputs'!E31&amp;", "&amp;'Model Inputs'!E30&amp;", U-"&amp;'Model Inputs'!E32&amp;", SHGC-"&amp;'Model Inputs'!E33</f>
        <v>Windows: Per ASHRAE, , U-, SHGC-</v>
      </c>
    </row>
    <row r="26" spans="1:9" ht="24">
      <c r="A26" s="646" t="s">
        <v>2750</v>
      </c>
      <c r="B26" s="691">
        <f>'Model Inputs'!C34</f>
        <v>0</v>
      </c>
      <c r="C26" s="762">
        <f>'Model Inputs'!G34</f>
        <v>0</v>
      </c>
      <c r="D26" s="678" t="str">
        <f>"Baseline: "&amp;'Model Inputs'!E34&amp;"
Proposed: "&amp;'Model Inputs'!G34</f>
        <v xml:space="preserve">Baseline: 
Proposed: </v>
      </c>
      <c r="E26" s="763">
        <f>'Model Inputs'!E34</f>
        <v>0</v>
      </c>
    </row>
    <row r="27" spans="1:9" ht="24">
      <c r="A27" s="646" t="s">
        <v>3062</v>
      </c>
      <c r="B27" s="691">
        <f>'Model Inputs'!C35</f>
        <v>0</v>
      </c>
      <c r="C27" s="678" t="str">
        <f>'Model Inputs'!G35&amp;", U-"&amp;'Model Inputs'!G36</f>
        <v>, U-</v>
      </c>
      <c r="D27" s="678" t="str">
        <f>"Baseline: U-"&amp;'Model Inputs'!E36&amp;"
Proposed: U-"&amp;'Model Inputs'!G36</f>
        <v>Baseline: U-
Proposed: U-</v>
      </c>
      <c r="E27" s="721" t="str">
        <f>"Exterior doors: "&amp;'Model Inputs'!E35&amp;", U-"&amp;'Model Inputs'!E36</f>
        <v>Exterior doors: , U-</v>
      </c>
    </row>
    <row r="28" spans="1:9" s="630" customFormat="1" ht="36">
      <c r="A28" s="653" t="s">
        <v>3063</v>
      </c>
      <c r="B28" s="690"/>
      <c r="C28" s="655" t="s">
        <v>3064</v>
      </c>
      <c r="D28" s="656"/>
      <c r="E28" s="657"/>
      <c r="F28" s="629"/>
      <c r="G28" s="629"/>
      <c r="H28" s="631"/>
      <c r="I28" s="629"/>
    </row>
    <row r="29" spans="1:9" ht="51.75" customHeight="1">
      <c r="A29" s="646" t="s">
        <v>3065</v>
      </c>
      <c r="B29" s="691" t="s">
        <v>206</v>
      </c>
      <c r="C29" s="683" t="str">
        <f>"Primary system: "&amp;'Model Inputs'!F66&amp;" "&amp;'Model Inputs'!F65&amp;" ("&amp;'Model Inputs'!AB67&amp;")"&amp;IF(AND('Model Inputs'!F69&lt;&gt;"N/A",'Model Inputs'!K69="No"),"; Secondary system: "&amp;'Model Inputs'!F70&amp;" "&amp;'Model Inputs'!F69&amp;" ("&amp;'Model Inputs'!AB71&amp;")","")&amp;IF(AND('Model Inputs'!F73&lt;&gt;"N/A",'Model Inputs'!K73="No"),"; Tertiary System: "&amp;'Model Inputs'!F74&amp;" "&amp;'Model Inputs'!F73&amp;" ("&amp;'Model Inputs'!AB75&amp;")","")</f>
        <v>Primary system:   (0% AFUE); Tertiary System:   (0% Et)</v>
      </c>
      <c r="D29" s="735" t="str">
        <f>"Baseline: "&amp;'Model Inputs'!AA67&amp;"
Proposed (Primary): "&amp;'Model Inputs'!AB67&amp;IF(AND('Model Inputs'!F69&lt;&gt;"N/A",'Model Inputs'!K69="No"),"
Proposed (Secondary): "&amp;'Model Inputs'!AB71,"")&amp;IF(AND('Model Inputs'!K73="No",'Model Inputs'!F73&lt;&gt;"N/A"),"
Proposed (Tertiary): "&amp;'Model Inputs'!AB75,"")</f>
        <v>Baseline: 0% AFUE
Proposed (Primary): 0% AFUE
Proposed (Tertiary): 0% Et</v>
      </c>
      <c r="E29" s="683" t="str">
        <f>'Model Inputs'!E66&amp;" "&amp;'Model Inputs'!E65&amp;" ("&amp;'Model Inputs'!AA67&amp;")"</f>
        <v xml:space="preserve">  (0% AFUE)</v>
      </c>
    </row>
    <row r="30" spans="1:9" ht="24">
      <c r="A30" s="740" t="s">
        <v>3196</v>
      </c>
      <c r="B30" s="691">
        <f>'Model Inputs'!C65</f>
        <v>0</v>
      </c>
      <c r="C30" s="741" t="str">
        <f>'Model Inputs'!F66&amp;" "&amp;'Model Inputs'!F65&amp;", "&amp;'Model Inputs'!AB67&amp;" serving "&amp;'Model Inputs'!J65</f>
        <v xml:space="preserve"> , 0% AFUE serving </v>
      </c>
      <c r="D30" s="735" t="str">
        <f>"Baseline: "&amp;'Model Inputs'!AA67&amp;"
Proposed: "&amp;'Model Inputs'!AB67</f>
        <v>Baseline: 0% AFUE
Proposed: 0% AFUE</v>
      </c>
      <c r="E30" s="741" t="str">
        <f>'Model Inputs'!E66&amp;" "&amp;'Model Inputs'!E65&amp;", "&amp;'Model Inputs'!AA67</f>
        <v xml:space="preserve"> , 0% AFUE</v>
      </c>
    </row>
    <row r="31" spans="1:9" ht="24">
      <c r="A31" s="740" t="s">
        <v>3197</v>
      </c>
      <c r="B31" s="691">
        <f>'Model Inputs'!C69</f>
        <v>0</v>
      </c>
      <c r="C31" s="741" t="str">
        <f>IF('Model Inputs'!F69="N/A","N/A",'Model Inputs'!F70&amp;" "&amp;'Model Inputs'!F69&amp;", "&amp;'Model Inputs'!AB71&amp;" serving "&amp;'Model Inputs'!J69)</f>
        <v xml:space="preserve"> , 0% Et serving </v>
      </c>
      <c r="D31" s="735" t="str">
        <f>IF(C31="N/A","N/A","Baseline: "&amp;'Model Inputs'!AA67&amp;"
Proposed: "&amp;'Model Inputs'!AB71)</f>
        <v>Baseline: 0% AFUE
Proposed: 0% Et</v>
      </c>
      <c r="E31" s="741" t="str">
        <f>IF(C30="N/A","N/A",E30)</f>
        <v xml:space="preserve"> , 0% AFUE</v>
      </c>
    </row>
    <row r="32" spans="1:9" ht="24">
      <c r="A32" s="740" t="s">
        <v>3198</v>
      </c>
      <c r="B32" s="691">
        <f>'Model Inputs'!C73</f>
        <v>0</v>
      </c>
      <c r="C32" s="741" t="str">
        <f>IF('Model Inputs'!F73="N/A","N/A",'Model Inputs'!F74&amp;" "&amp;'Model Inputs'!F73&amp;", "&amp;'Model Inputs'!AB75&amp;" serving "&amp;'Model Inputs'!J73)</f>
        <v xml:space="preserve"> , 0% Et serving </v>
      </c>
      <c r="D32" s="735" t="str">
        <f>IF(C32="N/A","N/A","Baseline: "&amp;'Model Inputs'!AA67&amp;"
Proposed: "&amp;'Model Inputs'!AB75)</f>
        <v>Baseline: 0% AFUE
Proposed: 0% Et</v>
      </c>
      <c r="E32" s="741" t="str">
        <f>IF(D32="N/A","N/A",E31)</f>
        <v xml:space="preserve"> , 0% AFUE</v>
      </c>
    </row>
    <row r="33" spans="1:11" ht="24">
      <c r="A33" s="646" t="s">
        <v>3066</v>
      </c>
      <c r="B33" s="691" t="s">
        <v>206</v>
      </c>
      <c r="C33" s="683" t="str">
        <f>IF('Model Inputs'!K65="Yes","Primary System: "&amp;'Model Inputs'!F66&amp;" "&amp;'Model Inputs'!F65&amp;" ("&amp;'Model Inputs'!AB67&amp;")",IF('Model Inputs'!K69="Yes","Secondary System: "&amp;'Model Inputs'!F70&amp;" "&amp;'Model Inputs'!F69&amp;" ("&amp;'Model Inputs'!AB71&amp;")",IF('Model Inputs'!K73="Yes","Tertiary System: "&amp;'Model Inputs'!F74&amp;" "&amp;'Model Inputs'!F73&amp;" ("&amp;'Model Inputs'!AB75&amp;")","N/A")))</f>
        <v>N/A</v>
      </c>
      <c r="D33" s="683" t="str">
        <f>IF(AND(OR('Model Inputs'!K65="No",'Model Inputs'!K65=""),OR('Model Inputs'!K69="No",'Model Inputs'!K69=""),OR('Model Inputs'!K73="No",'Model Inputs'!K73="")),"N/A","Baseline: 0 kW
Proposed: "&amp;IF('Model Inputs'!K65="Yes",'Model Inputs'!AB67,IF('Model Inputs'!K69="Yes",'Model Inputs'!AB71,IF('Model Inputs'!K73="Yes",'Model Inputs'!AB75))))</f>
        <v>N/A</v>
      </c>
      <c r="E33" s="683" t="s">
        <v>2651</v>
      </c>
    </row>
    <row r="34" spans="1:11" ht="24">
      <c r="A34" s="646" t="s">
        <v>3067</v>
      </c>
      <c r="B34" s="691">
        <f>'Model Inputs'!C113</f>
        <v>0</v>
      </c>
      <c r="C34" s="765" t="str">
        <f>IF('Model Inputs'!F113="N/A","N/A",'Model Inputs'!F113&amp;" kW/CFM")</f>
        <v xml:space="preserve"> kW/CFM</v>
      </c>
      <c r="D34" s="769" t="str">
        <f>IF(C34="N/A","N/A","Baseline: "&amp;'Model Inputs'!E113&amp;" kW/CFM
Proposed: "&amp;'Model Inputs'!F113&amp;" kW/CFM")</f>
        <v>Baseline: 0.0003 kW/CFM
Proposed:  kW/CFM</v>
      </c>
      <c r="E34" s="768" t="str">
        <f>IF(D34="N/A","N/A","Space heating fan power: "&amp;'Model Inputs'!E113&amp;" kW/CFM")</f>
        <v>Space heating fan power: 0.0003 kW/CFM</v>
      </c>
    </row>
    <row r="35" spans="1:11" ht="24">
      <c r="A35" s="646" t="s">
        <v>3233</v>
      </c>
      <c r="B35" s="635">
        <f>'Model Inputs'!C112</f>
        <v>0</v>
      </c>
      <c r="C35" s="766" t="str">
        <f>IF('Model Inputs'!F112="N/A","N/A","Space heating fan controls: "&amp;'Model Inputs'!F112)</f>
        <v xml:space="preserve">Space heating fan controls: </v>
      </c>
      <c r="D35" s="770" t="str">
        <f>IF(C35="N/A","N/A","Baseline: "&amp;'Model Inputs'!E112&amp;"
Proposed: "&amp;'Model Inputs'!F112)</f>
        <v xml:space="preserve">Baseline: 
Proposed: </v>
      </c>
      <c r="E35" s="768" t="str">
        <f>IF(D35="N/A","N/A","Space heating fan controls: "&amp;'Model Inputs'!E112)</f>
        <v xml:space="preserve">Space heating fan controls: </v>
      </c>
      <c r="F35" s="764"/>
    </row>
    <row r="36" spans="1:11" ht="24">
      <c r="A36" s="646" t="s">
        <v>3234</v>
      </c>
      <c r="B36" s="635">
        <f>'Model Inputs'!C114</f>
        <v>0</v>
      </c>
      <c r="C36" s="766" t="str">
        <f>IF('Model Inputs'!F114="N/A","N/A","Space cooling fan controls: "&amp;'Model Inputs'!F114)</f>
        <v xml:space="preserve">Space cooling fan controls: </v>
      </c>
      <c r="D36" s="770" t="str">
        <f>IF(C36="N/A","N/A","Baseline: "&amp;'Model Inputs'!E114&amp;"
Proposed: "&amp;'Model Inputs'!F114)</f>
        <v xml:space="preserve">Baseline: Constant Volume
Proposed: </v>
      </c>
      <c r="E36" s="768" t="str">
        <f>IF(D36="N/A","N/A","Space cooling fan controls: "&amp;'Model Inputs'!E114)</f>
        <v>Space cooling fan controls: Constant Volume</v>
      </c>
      <c r="F36" s="764"/>
    </row>
    <row r="37" spans="1:11" ht="24">
      <c r="A37" s="646" t="s">
        <v>3276</v>
      </c>
      <c r="B37" s="635">
        <f>'Model Inputs'!C115</f>
        <v>0</v>
      </c>
      <c r="C37" s="766" t="str">
        <f>IF('Model Inputs'!F115="N/A","N/A",'Model Inputs'!F115&amp;" kW/CFM")</f>
        <v xml:space="preserve"> kW/CFM</v>
      </c>
      <c r="D37" s="767" t="str">
        <f>IF(C37="N/A","N/A","Baseline: "&amp;'Model Inputs'!E115&amp;" kW/CFM
Proposed: "&amp;'Model Inputs'!F115&amp;" kW/CFM")</f>
        <v>Baseline: 0.0003 kW/CFM
Proposed:  kW/CFM</v>
      </c>
      <c r="E37" s="768" t="str">
        <f>IF(D37="N/A","N/A","Space cooling fan power: "&amp;'Model Inputs'!E115&amp;" kW/CFM")</f>
        <v>Space cooling fan power: 0.0003 kW/CFM</v>
      </c>
      <c r="F37" s="764"/>
    </row>
    <row r="38" spans="1:11" ht="36">
      <c r="A38" s="646" t="s">
        <v>3068</v>
      </c>
      <c r="B38" s="691" t="s">
        <v>206</v>
      </c>
      <c r="C38" s="683" t="str">
        <f>"Primary System: "&amp;'Model Inputs'!F68&amp;" kBtu"&amp;IF('Model Inputs'!F69&lt;&gt;"N/A","
Secondary System: "&amp;'Model Inputs'!F72&amp;" kBtu"&amp;IF('Model Inputs'!F73&lt;&gt;"N/A","
Tertiary System: "&amp;'Model Inputs'!F76&amp;" kBtu",""),"")</f>
        <v>Primary System:  kBtu
Secondary System:  kBtu
Tertiary System:  kBtu</v>
      </c>
      <c r="D38" s="683" t="str">
        <f>"Baseline: "&amp;'Model Inputs'!E68&amp;" kBtu"&amp;"
Proposed: "&amp;('Model Inputs'!F68+IF('Model Inputs'!F72&lt;&gt;"N/A",'Model Inputs'!F72,0)+IF('Model Inputs'!F76&lt;&gt;"N/A",'Model Inputs'!F76,0)&amp;" kBtu")</f>
        <v>Baseline:  kBtu
Proposed: 0 kBtu</v>
      </c>
      <c r="E38" s="683" t="str">
        <f>'Model Inputs'!E68&amp;" kBtu"</f>
        <v xml:space="preserve"> kBtu</v>
      </c>
      <c r="F38" s="647"/>
      <c r="G38" s="647"/>
      <c r="H38" s="627"/>
    </row>
    <row r="39" spans="1:11" ht="48">
      <c r="A39" s="646" t="s">
        <v>3069</v>
      </c>
      <c r="B39" s="691">
        <f>'Model Inputs'!C96</f>
        <v>0</v>
      </c>
      <c r="C39" s="683" t="str">
        <f>"Hot Water Design Supply Temperature: "&amp;'Model Inputs'!F96&amp;" °F
Hot Water Design Return Temperature:  "&amp;'Model Inputs'!F97&amp;" °F"</f>
        <v>Hot Water Design Supply Temperature:  °F
Hot Water Design Return Temperature:   °F</v>
      </c>
      <c r="D39" s="683" t="str">
        <f>"Baseline: "&amp;'Model Inputs'!E96&amp;"°F, DELTA_T: "&amp;('Model Inputs'!E96-'Model Inputs'!E97)&amp;"°F
Proposed: "&amp;'Model Inputs'!F96&amp;"°F, DELTA_T: "&amp;('Model Inputs'!F96-'Model Inputs'!F97)&amp;"°F"</f>
        <v>Baseline: 180°F, DELTA_T: 50°F
Proposed: °F, DELTA_T: 0°F</v>
      </c>
      <c r="E39" s="683" t="str">
        <f>"Hot Water Design Supply Temperature: "&amp;'Model Inputs'!E96&amp;" °F
Hot Water Design Return Temperature:  "&amp;'Model Inputs'!E97&amp;" °F"</f>
        <v>Hot Water Design Supply Temperature: 180 °F
Hot Water Design Return Temperature:  130 °F</v>
      </c>
    </row>
    <row r="40" spans="1:11" ht="36">
      <c r="A40" s="646" t="s">
        <v>3070</v>
      </c>
      <c r="B40" s="691">
        <f>'Model Inputs'!C98</f>
        <v>0</v>
      </c>
      <c r="C40" s="736" t="str">
        <f>'Model Inputs'!F98&amp;", "&amp;'Model Inputs'!F99</f>
        <v xml:space="preserve">, </v>
      </c>
      <c r="D40" s="734" t="str">
        <f>"Baseline :"&amp;'Model Inputs'!E98&amp;", "&amp;'Model Inputs'!E99&amp;"
Proposed: "&amp;'Model Inputs'!F98&amp;", "&amp;'Model Inputs'!F99</f>
        <v xml:space="preserve">Baseline :OA Reset, 180°F at 20°F and below, 
150°F at 50°F and above
Proposed: , </v>
      </c>
      <c r="E40" s="734" t="str">
        <f>'Model Inputs'!E98&amp;", "&amp;'Model Inputs'!E99</f>
        <v>OA Reset, 180°F at 20°F and below, 
150°F at 50°F and above</v>
      </c>
      <c r="F40" s="647"/>
      <c r="H40" s="627"/>
    </row>
    <row r="41" spans="1:11" ht="24">
      <c r="A41" s="646" t="s">
        <v>3071</v>
      </c>
      <c r="B41" s="691" t="s">
        <v>206</v>
      </c>
      <c r="C41" s="635" t="str">
        <f>"Heating: "&amp;'Model Inputs'!F103&amp;"/"&amp;'Model Inputs'!F101&amp;"
Cooling: "&amp;'Model Inputs'!F104&amp;"/"&amp;'Model Inputs'!F106</f>
        <v>Heating: 70 °F/72 °F
Cooling: 78 °F/80 °F</v>
      </c>
      <c r="D41" s="733" t="str">
        <f>"Heating: "&amp;'Model Inputs'!F103&amp;"/"&amp;'Model Inputs'!F101&amp;"
Cooling: "&amp;'Model Inputs'!F104&amp;"/"&amp;'Model Inputs'!F106</f>
        <v>Heating: 70 °F/72 °F
Cooling: 78 °F/80 °F</v>
      </c>
      <c r="E41" s="733" t="str">
        <f>"Heating: "&amp;'Model Inputs'!E103&amp;"/"&amp;'Model Inputs'!E101&amp;"
Cooling: "&amp;'Model Inputs'!E104&amp;"/"&amp;'Model Inputs'!E106</f>
        <v>Heating: 70 °F/72 °F
Cooling: 78 °F/80 °F</v>
      </c>
      <c r="F41" s="647"/>
      <c r="H41" s="627"/>
    </row>
    <row r="42" spans="1:11" ht="48">
      <c r="A42" s="646" t="s">
        <v>3072</v>
      </c>
      <c r="B42" s="691" t="s">
        <v>206</v>
      </c>
      <c r="C42" s="742" t="str">
        <f>IF('Model Inputs'!F81="N/A","N/A","Primary System: "&amp;'Model Inputs'!F82&amp;" "&amp;'Model Inputs'!F81&amp;" serving "&amp;'Model Inputs'!J81&amp;", "&amp;'Model Inputs'!AB83&amp;" "&amp;IF('Model Inputs'!F85&lt;&gt;"N/A","
Secondary system: "&amp;'Model Inputs'!F86&amp;" "&amp;'Model Inputs'!F85&amp;" serving "&amp;'Model Inputs'!J85&amp;", "&amp;'Model Inputs'!AB87,"")&amp;IF('Model Inputs'!F89&lt;&gt;"N/A","
Secondary system: "&amp;'Model Inputs'!F90&amp;" "&amp;'Model Inputs'!F89&amp;" serving "&amp;'Model Inputs'!J89&amp;", "&amp;'Model Inputs'!AB91,""))</f>
        <v>Primary System:   serving ,  SEER 
Secondary system:   serving ,  EER
Secondary system:   serving ,  EER</v>
      </c>
      <c r="D42" s="743" t="str">
        <f>"Baseline: "&amp;'Model Inputs'!AA83&amp;"
Proposed (Primary): "&amp;'Model Inputs'!AB83&amp;IF('Model Inputs'!F85&lt;&gt;"N/A","
Proposed (Secondary): "&amp;'Model Inputs'!AB87)&amp;IF('Model Inputs'!F89&lt;&gt;"N/A","
Proposed (Secondary): "&amp;'Model Inputs'!AB91)</f>
        <v>Baseline:  SEER
Proposed (Primary):  SEER
Proposed (Secondary):  EER
Proposed (Secondary):  EER</v>
      </c>
      <c r="E42" s="743" t="str">
        <f>"Primary System: "&amp; 'Model Inputs'!E82&amp;" "&amp;'Model Inputs'!E81&amp;" serving whole building, "&amp;'Model Inputs'!AA83&amp;IF('Model Inputs'!E85&lt;&gt;"N/A","
Secondary system: "&amp;'Model Inputs'!E86&amp;", "&amp;'Model Inputs'!AA87&amp;" "&amp;'Model Inputs'!E85&amp;" serving "&amp;'Model Inputs'!I85,"")</f>
        <v>Primary System:   serving whole building,  SEER</v>
      </c>
      <c r="H42" s="627"/>
    </row>
    <row r="43" spans="1:11" ht="24">
      <c r="A43" s="740" t="s">
        <v>3199</v>
      </c>
      <c r="B43" s="691">
        <f>'Model Inputs'!C81</f>
        <v>0</v>
      </c>
      <c r="C43" s="745" t="str">
        <f>'Model Inputs'!F82&amp;" "&amp;'Model Inputs'!F81&amp;", "&amp;'Model Inputs'!AB83&amp;" serving "&amp;'Model Inputs'!J81</f>
        <v xml:space="preserve"> ,  SEER serving </v>
      </c>
      <c r="D43" s="745" t="str">
        <f>IF($C$43="N/A","N/A","Baseline: "&amp;'Model Inputs'!$AA$83&amp;"
Proposed: "&amp;'Model Inputs'!$AB$83)</f>
        <v>Baseline:  SEER
Proposed:  SEER</v>
      </c>
      <c r="E43" s="646" t="str">
        <f>IF(D43="N/A","N/A",'Model Inputs'!$E$82&amp;" "&amp;'Model Inputs'!$E$81&amp;", "&amp;'Model Inputs'!$AA$83)</f>
        <v xml:space="preserve"> ,  SEER</v>
      </c>
      <c r="H43" s="627"/>
    </row>
    <row r="44" spans="1:11" ht="24">
      <c r="A44" s="646" t="s">
        <v>3200</v>
      </c>
      <c r="B44" s="691">
        <f>'Model Inputs'!C85</f>
        <v>0</v>
      </c>
      <c r="C44" s="745" t="str">
        <f>IF(OR('Model Inputs'!F85="N/A",'Model Inputs'!F85=""),"N/A",'Model Inputs'!F86&amp;" "&amp;'Model Inputs'!F85&amp;", "&amp;'Model Inputs'!AB87&amp;" serving "&amp;'Model Inputs'!J85)</f>
        <v>N/A</v>
      </c>
      <c r="D44" s="745" t="str">
        <f>IF(C44="N/A","N/A","Baseline: "&amp;'Model Inputs'!AA83&amp;"
Proposed: "&amp;'Model Inputs'!AB87)</f>
        <v>N/A</v>
      </c>
      <c r="E44" s="646" t="str">
        <f>IF(D44="N/A","N/A",'Model Inputs'!$E$82&amp;" "&amp;'Model Inputs'!$E$81&amp;", "&amp;'Model Inputs'!$AA$83)</f>
        <v>N/A</v>
      </c>
      <c r="H44" s="627"/>
    </row>
    <row r="45" spans="1:11" ht="24">
      <c r="A45" s="646" t="s">
        <v>3695</v>
      </c>
      <c r="B45" s="691">
        <f>'Model Inputs'!C89</f>
        <v>0</v>
      </c>
      <c r="C45" s="745" t="str">
        <f>IF(OR('Model Inputs'!F89="N/A",'Model Inputs'!F89=""),"N/A",'Model Inputs'!F90&amp;" "&amp;'Model Inputs'!F89&amp;", "&amp;'Model Inputs'!AB91&amp;" serving "&amp;'Model Inputs'!J89)</f>
        <v>N/A</v>
      </c>
      <c r="D45" s="745" t="str">
        <f>IF(C45="N/A","N/A","Baseline: "&amp;'Model Inputs'!AA83&amp;"
Proposed: "&amp;'Model Inputs'!AB91)</f>
        <v>N/A</v>
      </c>
      <c r="E45" s="646" t="str">
        <f>IF(D45="N/A","N/A",'Model Inputs'!$E$82&amp;" "&amp;'Model Inputs'!$E$81&amp;", "&amp;'Model Inputs'!$AA$83)</f>
        <v>N/A</v>
      </c>
      <c r="H45" s="627"/>
    </row>
    <row r="46" spans="1:11" ht="36">
      <c r="A46" s="646" t="s">
        <v>3074</v>
      </c>
      <c r="B46" s="691" t="s">
        <v>206</v>
      </c>
      <c r="C46" s="744" t="str">
        <f>IF('Model Inputs'!F88="N/A","N/A","Primary system: "&amp;'Model Inputs'!F84&amp;" tons"&amp;IF('Model Inputs'!F85&lt;&gt;"N/A","
Secondary system: "&amp;'Model Inputs'!F88&amp;" tons",""))</f>
        <v>Primary system:  tons
Secondary system:  tons</v>
      </c>
      <c r="D46" s="744" t="str">
        <f>IF(C46="N/A","N/A","Baseline: "&amp;'Model Inputs'!E84&amp;" tons
Proposed (primary): "&amp;'Model Inputs'!F84&amp;" tons"&amp;IF('Model Inputs'!F85&lt;&gt;"N/A","
Proposed (secondary): "&amp;'Model Inputs'!F88&amp;" tons",""))</f>
        <v>Baseline:  tons
Proposed (primary):  tons
Proposed (secondary):  tons</v>
      </c>
      <c r="E46" s="737" t="str">
        <f>IF(C46="N/A","N/A",'Model Inputs'!E84&amp;" tons")</f>
        <v xml:space="preserve"> tons</v>
      </c>
      <c r="F46" s="757"/>
    </row>
    <row r="47" spans="1:11" ht="24">
      <c r="A47" s="646" t="s">
        <v>3075</v>
      </c>
      <c r="B47" s="691" t="s">
        <v>206</v>
      </c>
      <c r="C47" s="738" t="str">
        <f>'Model Inputs'!E100</f>
        <v>None</v>
      </c>
      <c r="D47" s="739" t="str">
        <f>"Baseline: "&amp;'Model Inputs'!E100&amp;"
Proposed: "&amp;'Model Inputs'!F100</f>
        <v xml:space="preserve">Baseline: None
Proposed: </v>
      </c>
      <c r="E47" s="738">
        <f>'Model Inputs'!F100</f>
        <v>0</v>
      </c>
      <c r="G47" s="631"/>
    </row>
    <row r="48" spans="1:11" s="630" customFormat="1">
      <c r="A48" s="659" t="s">
        <v>3076</v>
      </c>
      <c r="B48" s="692"/>
      <c r="C48" s="660"/>
      <c r="D48" s="661"/>
      <c r="E48" s="662"/>
      <c r="F48" s="758"/>
      <c r="G48" s="647"/>
      <c r="H48" s="629"/>
      <c r="I48" s="629"/>
      <c r="J48" s="629"/>
      <c r="K48" s="629"/>
    </row>
    <row r="49" spans="1:11" ht="24">
      <c r="A49" s="646" t="s">
        <v>3077</v>
      </c>
      <c r="B49" s="691">
        <f>'Model Inputs'!C43</f>
        <v>0</v>
      </c>
      <c r="C49" s="723">
        <f>'Model Inputs'!$F$43</f>
        <v>0</v>
      </c>
      <c r="D49" s="727" t="str">
        <f>"Baseline: "&amp;'Model Inputs'!$E$43&amp;"
Proposed: "&amp;'Model Inputs'!$F$43</f>
        <v xml:space="preserve">Baseline: N/A
Proposed: </v>
      </c>
      <c r="E49" s="658" t="str">
        <f>"Lighting Controls: "&amp;'Model Inputs'!$E$43</f>
        <v>Lighting Controls: N/A</v>
      </c>
      <c r="F49" s="759"/>
      <c r="G49" s="647"/>
      <c r="H49" s="627"/>
    </row>
    <row r="50" spans="1:11" ht="24">
      <c r="A50" s="646" t="s">
        <v>3145</v>
      </c>
      <c r="B50" s="691">
        <f>'Model Inputs'!C41</f>
        <v>0</v>
      </c>
      <c r="C50" s="724" t="str">
        <f>"Corridors: "&amp;'Model Inputs'!F41&amp;", "&amp;'Model Inputs'!$F$42</f>
        <v xml:space="preserve">Corridors: , </v>
      </c>
      <c r="D50" s="724" t="str">
        <f>IF(C50="N/A","N/A","Baseline: Corridors - "&amp;'Model Inputs'!E41&amp;", "&amp;'Model Inputs'!$E$42&amp;"
Proposed: Corridors - "&amp;'Model Inputs'!F41&amp;", "&amp;'Model Inputs'!$F$42)</f>
        <v xml:space="preserve">Baseline: Corridors - 0.5, 
Proposed: Corridors - , </v>
      </c>
      <c r="E50" s="724" t="str">
        <f>"Corridors - "&amp;'Model Inputs'!E41&amp;", "&amp;'Model Inputs'!$E$42</f>
        <v xml:space="preserve">Corridors - 0.5, </v>
      </c>
      <c r="F50" s="757"/>
      <c r="G50" s="647"/>
    </row>
    <row r="51" spans="1:11" ht="24">
      <c r="A51" s="646" t="s">
        <v>2224</v>
      </c>
      <c r="B51" s="691">
        <f>'Model Inputs'!C44</f>
        <v>0</v>
      </c>
      <c r="C51" s="658" t="str">
        <f>IF('Model Inputs'!F44="N/A","N/A","Exit Signs: "&amp; 'Model Inputs'!$F$44&amp;" kW")</f>
        <v>Exit Signs:  kW</v>
      </c>
      <c r="D51" s="727" t="str">
        <f>IF(C51="N/A","N/A","Baseline: "&amp;'Model Inputs'!$E$44&amp;" kW
Proposed: "&amp;'Model Inputs'!$F$44&amp;" kW")</f>
        <v>Baseline:  kW
Proposed:  kW</v>
      </c>
      <c r="E51" s="658" t="str">
        <f>IF(C51="N/A","N/A","Exit Signs: "&amp;'Model Inputs'!$E$44&amp; " kW")</f>
        <v>Exit Signs:  kW</v>
      </c>
      <c r="F51" s="757"/>
      <c r="G51" s="647"/>
      <c r="H51" s="627"/>
    </row>
    <row r="52" spans="1:11" ht="24">
      <c r="A52" s="646" t="s">
        <v>3078</v>
      </c>
      <c r="B52" s="691">
        <f>'Model Inputs'!C46</f>
        <v>0</v>
      </c>
      <c r="C52" s="658" t="str">
        <f>IF('Model Inputs'!F46="N/A","N/A","Exterior Lighting: "&amp;'Model Inputs'!$F$46&amp;" kW")</f>
        <v>Exterior Lighting:  kW</v>
      </c>
      <c r="D52" s="727" t="str">
        <f>IF(C52="N/A","N/A","Baseline: "&amp;'Model Inputs'!$E$46&amp;" kW, 12 hr/day
Proposed: "&amp;'Model Inputs'!$F$46&amp;" kW, 12 hr/day")</f>
        <v>Baseline:  kW, 12 hr/day
Proposed:  kW, 12 hr/day</v>
      </c>
      <c r="E52" s="658" t="str">
        <f>IF(C52="N/A","N/A","Exterior Lighting: "&amp;'Model Inputs'!$E$46&amp;" kW")</f>
        <v>Exterior Lighting:  kW</v>
      </c>
      <c r="F52" s="757"/>
      <c r="G52" s="647"/>
      <c r="H52" s="627"/>
    </row>
    <row r="53" spans="1:11" ht="24">
      <c r="A53" s="646" t="s">
        <v>3079</v>
      </c>
      <c r="B53" s="691">
        <f>'Model Inputs'!C45</f>
        <v>0</v>
      </c>
      <c r="C53" s="658" t="str">
        <f>IF('Model Inputs'!F45="N/A","N/A","Garage Lighting: "&amp;'Model Inputs'!$F$45&amp;" W/SF")</f>
        <v>Garage Lighting:  W/SF</v>
      </c>
      <c r="D53" s="727" t="str">
        <f>IF(C53="N/A","N/A","Baseline: "&amp;'Model Inputs'!$E$45&amp; " W/SF, 24 hr/day
Proposed: "&amp;'Model Inputs'!$F$45&amp;" W/SF, 24 hr/day")</f>
        <v>Baseline:  W/SF, 24 hr/day
Proposed:  W/SF, 24 hr/day</v>
      </c>
      <c r="E53" s="658" t="str">
        <f>IF(D53="N/A","N/A","Garage Lighting: "&amp;'Model Inputs'!$E$45&amp;" W/SF")</f>
        <v>Garage Lighting:  W/SF</v>
      </c>
      <c r="F53" s="757"/>
      <c r="G53" s="647"/>
      <c r="H53" s="627"/>
    </row>
    <row r="54" spans="1:11" ht="24">
      <c r="A54" s="646" t="s">
        <v>3080</v>
      </c>
      <c r="B54" s="691">
        <f>'Model Inputs'!C40</f>
        <v>0</v>
      </c>
      <c r="C54" s="658" t="str">
        <f>"In-unit Lighting: "&amp;'Model Inputs'!$F$40&amp;" W/SF"</f>
        <v>In-unit Lighting:  W/SF</v>
      </c>
      <c r="D54" s="727" t="str">
        <f>"Baseline: "&amp;'Model Inputs'!$E$40&amp;" W/SF, 2.34 hr/day
Proposed: "&amp;'Model Inputs'!$F$40&amp;" W/SF, 2.34 hr/day"</f>
        <v>Baseline: 0.7 W/SF, 2.34 hr/day
Proposed:  W/SF, 2.34 hr/day</v>
      </c>
      <c r="E54" s="658" t="str">
        <f>"In-unit Lighting: "&amp;'Model Inputs'!$D$40&amp;" W/SF"</f>
        <v>In-unit Lighting: 0.7 W/SF W/SF</v>
      </c>
      <c r="F54" s="732"/>
      <c r="G54" s="629"/>
      <c r="H54" s="627"/>
    </row>
    <row r="55" spans="1:11" s="630" customFormat="1">
      <c r="A55" s="653" t="s">
        <v>3081</v>
      </c>
      <c r="B55" s="690"/>
      <c r="C55" s="655"/>
      <c r="D55" s="656"/>
      <c r="E55" s="657"/>
      <c r="F55" s="759"/>
      <c r="G55" s="647"/>
      <c r="H55" s="631"/>
      <c r="I55" s="629"/>
      <c r="J55" s="629"/>
      <c r="K55" s="629"/>
    </row>
    <row r="56" spans="1:11" ht="24">
      <c r="A56" s="635" t="s">
        <v>3082</v>
      </c>
      <c r="B56" s="691">
        <f>'Model Inputs'!C107</f>
        <v>0</v>
      </c>
      <c r="C56" s="635" t="str">
        <f>IF('Model Inputs'!F107="No","N/A",'Model Inputs'!G107&amp;" "&amp;'Model Inputs'!H107&amp;" "&amp;'Model Inputs'!I107&amp;" NEMA "&amp;'Model Inputs'!F109&amp;" Motor, "&amp;'Model Inputs'!F108&amp;" W/GPM")</f>
        <v xml:space="preserve">   NEMA  Motor,  W/GPM</v>
      </c>
      <c r="D56" s="683" t="str">
        <f>IF(C56="N/A","N/A",IF('Model Inputs'!$F$107="No","Baseline: "&amp;'Model Inputs'!$E$108&amp;" W/CFM
Proposed: 0 W/GPM","Baseline: "&amp;'Model Inputs'!$E$108&amp;" W/GPM
Proposed: "&amp;'Model Inputs'!$F$108&amp;" W/GPM"))</f>
        <v>Baseline: 19 W/GPM
Proposed:  W/GPM</v>
      </c>
      <c r="E56" s="678" t="str">
        <f>IF(C56="N/A","N/A",IF('Model Inputs'!$F$107="No","Not applicable","NEMA "&amp;'Model Inputs'!E109&amp;" Motor, "&amp;'Model Inputs'!E108&amp;" W/GPM"))</f>
        <v>NEMA Standard Motor, 19 W/GPM</v>
      </c>
      <c r="F56" s="760"/>
      <c r="G56" s="761"/>
    </row>
    <row r="57" spans="1:11" ht="24">
      <c r="A57" s="691" t="s">
        <v>3343</v>
      </c>
      <c r="B57" s="691">
        <f>'Model Inputs'!C110</f>
        <v>0</v>
      </c>
      <c r="C57" s="635" t="str">
        <f>IF('Model Inputs'!F107="No","N/A","Heating pump motor: "&amp;'Model Inputs'!F111&amp;" hp "&amp;'Model Inputs'!F110)</f>
        <v xml:space="preserve">Heating pump motor:  hp </v>
      </c>
      <c r="D57" s="683" t="str">
        <f>IF(C57="N/A","N/A","Baseline: "&amp;'Model Inputs'!E111&amp;" hp "&amp;'Model Inputs'!E110&amp;" motor
Proposed: "&amp;'Model Inputs'!F111&amp;" hp "&amp;'Model Inputs'!F110&amp;" motor")</f>
        <v>Baseline:  hp One-Speed motor
Proposed:  hp  motor</v>
      </c>
      <c r="E57" s="678" t="str">
        <f>IF(C57="N/A","N/A",IF('Model Inputs'!$F$107="No","Not applicable","Heating pump motor: "&amp;'Model Inputs'!E111&amp;" hp "&amp;'Model Inputs'!E110))</f>
        <v>Heating pump motor:  hp One-Speed</v>
      </c>
      <c r="F57" s="794"/>
      <c r="G57" s="761"/>
    </row>
    <row r="58" spans="1:11" ht="24">
      <c r="A58" s="635" t="s">
        <v>3083</v>
      </c>
      <c r="B58" s="691">
        <f>'Model Inputs'!C124</f>
        <v>0</v>
      </c>
      <c r="C58" s="635" t="str">
        <f>IF('Model Inputs'!F124="No","N/A",IF('Model Inputs'!F124="No","Not applicable",'Model Inputs'!E125&amp;" "&amp;'Model Inputs'!G124&amp;" "&amp;'Model Inputs'!H124&amp;" "&amp;'Model Inputs'!E129&amp;" hp NEMA "&amp;'Model Inputs'!E127&amp;" efficient motor, "&amp;TEXT('Model Inputs'!E126,"0.0%")))</f>
        <v xml:space="preserve">    hp NEMA  efficient motor, 0.0%</v>
      </c>
      <c r="D58" s="730" t="str">
        <f>IF(C58="N/A","N/A",IF('Model Inputs'!$F$124="No","Not applicable","Baseline: "&amp;TEXT('Model Inputs'!$E$126,"0.0%")&amp;"
Proposed: "&amp;TEXT('Model Inputs'!$F$126,"0.0%")))</f>
        <v>Baseline: 0.0%
Proposed: 0.0%</v>
      </c>
      <c r="E58" s="730" t="str">
        <f>IF(C58="N/A","N/A",IF('Model Inputs'!$F$124="No","Not applicable",'Model Inputs'!$F$125&amp;" "&amp;'Model Inputs'!$F$129&amp;" hp NEMA "&amp;'Model Inputs'!$F$127&amp;" efficiency motor, "&amp;TEXT('Model Inputs'!$F$126,"0.0%")&amp;" efficient"))</f>
        <v xml:space="preserve">  hp NEMA  efficiency motor, 0.0% efficient</v>
      </c>
      <c r="F58" s="760"/>
      <c r="G58" s="629"/>
    </row>
    <row r="59" spans="1:11" ht="24">
      <c r="A59" s="635" t="s">
        <v>3689</v>
      </c>
      <c r="B59" s="691">
        <f>'Model Inputs'!C128</f>
        <v>0</v>
      </c>
      <c r="C59" s="635" t="str">
        <f>IF('Model Inputs'!F124="No","N/A","DHW pump control: "&amp;'Model Inputs'!F129&amp;" hp "&amp;'Model Inputs'!F128)</f>
        <v xml:space="preserve">DHW pump control:  hp </v>
      </c>
      <c r="D59" s="730" t="str">
        <f>IF(C59="N/A","N/A","Baseline: "&amp;'Model Inputs'!E129&amp;" hp "&amp;'Model Inputs'!E128&amp;" control
Proposed: "&amp;'Model Inputs'!F129&amp;" hp "&amp;'Model Inputs'!F128&amp;" control")</f>
        <v>Baseline:  hp  control
Proposed:  hp  control</v>
      </c>
      <c r="E59" s="730" t="str">
        <f>IF(C59="N/A","N/A",IF('Model Inputs'!F123="No","Not applicable","DHW pump control: "&amp;'Model Inputs'!E129&amp;" hp "&amp;'Model Inputs'!E128))</f>
        <v xml:space="preserve">DHW pump control:  hp </v>
      </c>
      <c r="F59" s="794"/>
      <c r="G59" s="629"/>
    </row>
    <row r="60" spans="1:11" s="630" customFormat="1">
      <c r="A60" s="653" t="s">
        <v>3085</v>
      </c>
      <c r="B60" s="690"/>
      <c r="C60" s="747"/>
      <c r="D60" s="656"/>
      <c r="E60" s="657"/>
      <c r="F60" s="757"/>
      <c r="G60" s="627"/>
      <c r="H60" s="631"/>
      <c r="I60" s="629"/>
      <c r="J60" s="629"/>
      <c r="K60" s="629"/>
    </row>
    <row r="61" spans="1:11" ht="24">
      <c r="A61" s="646" t="s">
        <v>3236</v>
      </c>
      <c r="B61" s="635">
        <f>'Model Inputs'!C137</f>
        <v>0</v>
      </c>
      <c r="C61" s="749" t="str">
        <f>"Kitchen: "&amp;'Model Inputs'!F138&amp;" CFM ("&amp;'Model Inputs'!$K$138&amp;")
Bathroom: "&amp;'Model Inputs'!F137&amp;" CFM ("&amp;'Model Inputs'!$K$137&amp;")"</f>
        <v>Kitchen:  CFM ()
Bathroom:  CFM ()</v>
      </c>
      <c r="D61" s="750" t="str">
        <f>"Baseline: "&amp;('Model Inputs'!E137*'Model Inputs'!G137+'Model Inputs'!E138*'Model Inputs'!G138)&amp;" CFM
Proposed: "&amp;('Model Inputs'!F137*'Model Inputs'!G137+'Model Inputs'!F138*'Model Inputs'!G138)&amp;" CFM"</f>
        <v>Baseline: 0 CFM
Proposed: 0 CFM</v>
      </c>
      <c r="E61" s="751" t="str">
        <f>"Kitchen: "&amp;'Model Inputs'!E138&amp;" CFM ("&amp;'Model Inputs'!$K$138&amp;")
Bathroom: "&amp;'Model Inputs'!E137&amp;" CFM ("&amp;'Model Inputs'!$K$137&amp;")"</f>
        <v>Kitchen:  CFM ()
Bathroom:  CFM ()</v>
      </c>
    </row>
    <row r="62" spans="1:11" ht="24">
      <c r="A62" s="646" t="s">
        <v>3235</v>
      </c>
      <c r="B62" s="635">
        <f>'Model Inputs'!C147</f>
        <v>0</v>
      </c>
      <c r="C62" s="749" t="str">
        <f>IF('Model Inputs'!F147="N/A","N/A",('Model Inputs'!E147&amp;" CFM"))</f>
        <v xml:space="preserve"> CFM</v>
      </c>
      <c r="D62" s="750" t="str">
        <f>IF(C62="N/A","N/A","Baseline: "&amp;'Model Inputs'!E147&amp;" CFM
Proposed: "&amp;'Model Inputs'!F147&amp;" CFM")</f>
        <v>Baseline:  CFM
Proposed:  CFM</v>
      </c>
      <c r="E62" s="751" t="str">
        <f>IF(D62="N/A","N/A","Non-corridor Exhaust: "&amp;'Model Inputs'!E147&amp;" CFM")</f>
        <v>Non-corridor Exhaust:  CFM</v>
      </c>
    </row>
    <row r="63" spans="1:11" ht="24">
      <c r="A63" s="646" t="s">
        <v>3086</v>
      </c>
      <c r="B63" s="691">
        <f>'Model Inputs'!C145</f>
        <v>0</v>
      </c>
      <c r="C63" s="752" t="str">
        <f>IF('Model Inputs'!F145="N/A","N/A",'Model Inputs'!F145&amp;" CFM")</f>
        <v xml:space="preserve"> CFM</v>
      </c>
      <c r="D63" s="752" t="str">
        <f>IF(C63="N/A","N/A","Baseline: "&amp;'Model Inputs'!E145&amp;" CFM
Proposed: "&amp;'Model Inputs'!F145&amp;" CFM")</f>
        <v>Baseline:  CFM
Proposed:  CFM</v>
      </c>
      <c r="E63" s="749" t="str">
        <f>IF(D63="N/A","N/A","Corridor Supply Ventilation: "&amp;'Model Inputs'!E145&amp;" CFM")</f>
        <v>Corridor Supply Ventilation:  CFM</v>
      </c>
    </row>
    <row r="64" spans="1:11" ht="24">
      <c r="A64" s="646" t="s">
        <v>3275</v>
      </c>
      <c r="B64" s="635" t="s">
        <v>206</v>
      </c>
      <c r="C64" s="752">
        <f>'Model Inputs'!F144</f>
        <v>0</v>
      </c>
      <c r="D64" s="752" t="str">
        <f>"Baseline: "&amp;'Model Inputs'!E144&amp;"
Proposed: "&amp;'Model Inputs'!F144</f>
        <v xml:space="preserve">Baseline: 
Proposed: </v>
      </c>
      <c r="E64" s="749" t="str">
        <f>"Fresh air supplied to apts by: "&amp;'Model Inputs'!E144</f>
        <v xml:space="preserve">Fresh air supplied to apts by: </v>
      </c>
    </row>
    <row r="65" spans="1:9" ht="24">
      <c r="A65" s="646" t="s">
        <v>3088</v>
      </c>
      <c r="B65" s="691">
        <f>'Model Inputs'!C155</f>
        <v>0</v>
      </c>
      <c r="C65" s="753" t="str">
        <f>IF('Model Inputs'!F155="N/A","N/A","HRV/ERV: "&amp;'Model Inputs'!F155&amp;", "&amp;'Model Inputs'!F156*100&amp;"%")</f>
        <v>HRV/ERV: , 0%</v>
      </c>
      <c r="D65" s="753" t="str">
        <f>IF(C65="N/A","N/A",IF('Model Inputs'!F155="N/A","N/A","Baseline: "&amp;'Model Inputs'!E155&amp;"
Proposed: "&amp;('Model Inputs'!F156*100)&amp;"%"))</f>
        <v>Baseline: N/A
Proposed: 0%</v>
      </c>
      <c r="E65" s="749" t="str">
        <f>IF(D65="N/A","N/A","HRV/ERV: "&amp;'Model Inputs'!E155)</f>
        <v>HRV/ERV: N/A</v>
      </c>
    </row>
    <row r="66" spans="1:9" ht="24">
      <c r="A66" s="646" t="s">
        <v>3089</v>
      </c>
      <c r="B66" s="691">
        <f>'Model Inputs'!C151</f>
        <v>0</v>
      </c>
      <c r="C66" s="753" t="str">
        <f>IF('Model Inputs'!F151="N/A","N/A",'Model Inputs'!F151&amp;" CFM")</f>
        <v xml:space="preserve"> CFM</v>
      </c>
      <c r="D66" s="752" t="str">
        <f>IF(C66="N/A","N/A","Baseline: "&amp;'Model Inputs'!E152&amp;" CFM
Proposed: "&amp;'Model Inputs'!F152&amp;" CFM")</f>
        <v>Baseline:  CFM
Proposed:  CFM</v>
      </c>
      <c r="E66" s="749" t="str">
        <f>IF(D66="N/A","N/A",'Model Inputs'!D151)</f>
        <v>Add 10 CFM per floor per shaft to Exhaust CFM to represent ventilation duct leakage</v>
      </c>
    </row>
    <row r="67" spans="1:9" ht="24">
      <c r="A67" s="1810" t="s">
        <v>3091</v>
      </c>
      <c r="B67" s="693">
        <f>'Model Inputs'!C140</f>
        <v>0</v>
      </c>
      <c r="C67" s="749" t="str">
        <f>IF('Model Inputs'!F140="N/A","N/A",'Model Inputs'!G140&amp;" "&amp;'Model Inputs'!F141&amp;" hp fans, "&amp;('Model Inputs'!F142*100)&amp;"% ("&amp;'Model Inputs'!F140&amp;" CFM per fan)")</f>
        <v xml:space="preserve">  hp fans, 0% ( CFM per fan)</v>
      </c>
      <c r="D67" s="753" t="str">
        <f>IF(C67="N/A","N/A","Baseline: "&amp;'Model Inputs'!E143&amp;" kW
Proposed: "&amp;'Model Inputs'!F143&amp;" kW")</f>
        <v>Baseline: NA kW
Proposed:  kW</v>
      </c>
      <c r="E67" s="749" t="str">
        <f>'Model Inputs'!E140&amp;" CFM; "&amp;'Model Inputs'!D141</f>
        <v xml:space="preserve"> CFM; Included in 0.003 W/CFM baseline allowance</v>
      </c>
    </row>
    <row r="68" spans="1:9" ht="24">
      <c r="A68" s="1811"/>
      <c r="B68" s="646">
        <f>'Model Inputs'!C139</f>
        <v>0</v>
      </c>
      <c r="C68" s="755" t="str">
        <f>IF('Model Inputs'!F139="N/A","N/A",'Model Inputs'!H137&amp;" "&amp;'Model Inputs'!I137&amp;IF('Model Inputs'!I137='Model Inputs'!I138,""," and "&amp;'Model Inputs'!H138&amp;" "&amp;'Model Inputs'!I138)&amp;", "&amp;'Model Inputs'!F139&amp;" CFM/W")</f>
        <v xml:space="preserve"> ,  CFM/W</v>
      </c>
      <c r="D68" s="754" t="str">
        <f>IF(C68="N/A","N/A","Baseline: "&amp;'Model Inputs'!E139&amp;" CFM/W
Proposed: "&amp;'Model Inputs'!F139&amp;" CFM/W")</f>
        <v>Baseline:  CFM/W
Proposed:  CFM/W</v>
      </c>
      <c r="E68" s="749" t="str">
        <f>IF(D68="N/A","N/A",'Model Inputs'!E139&amp; " CFM/W")</f>
        <v xml:space="preserve"> CFM/W</v>
      </c>
    </row>
    <row r="69" spans="1:9" ht="24">
      <c r="A69" s="646" t="s">
        <v>3092</v>
      </c>
      <c r="B69" s="691">
        <f>'Model Inputs'!C147</f>
        <v>0</v>
      </c>
      <c r="C69" s="749" t="str">
        <f>IF('Model Inputs'!F147="N/A","N/A",'Model Inputs'!G147&amp;" non-apt ventilation fans, "&amp;'Model Inputs'!F147&amp;" CFM, "&amp;'Model Inputs'!F148&amp;" hp, "&amp;'Model Inputs'!F149*100&amp;"%")</f>
        <v xml:space="preserve"> non-apt ventilation fans,  CFM,  hp, 0%</v>
      </c>
      <c r="D69" s="750" t="str">
        <f>IF(C69="N/A","N/A","Baseline: "&amp;'Model Inputs'!E150&amp;" kW
Proposed: "&amp;'Model Inputs'!F150&amp;" kW")</f>
        <v>Baseline: NA kW
Proposed:  kW</v>
      </c>
      <c r="E69" s="749" t="str">
        <f>'Model Inputs'!E146&amp;" CFM; "&amp;'Model Inputs'!D148</f>
        <v xml:space="preserve"> CFM; Included in W/CFM baseline allowance per ASHRAE 90.1 Appx G3.1.2.10</v>
      </c>
    </row>
    <row r="70" spans="1:9" ht="24">
      <c r="A70" s="646" t="s">
        <v>3093</v>
      </c>
      <c r="B70" s="691">
        <f>'Model Inputs'!C163</f>
        <v>0</v>
      </c>
      <c r="C70" s="752" t="str">
        <f>"Demand control ventilation: "&amp;'Model Inputs'!F163</f>
        <v xml:space="preserve">Demand control ventilation: </v>
      </c>
      <c r="D70" s="752" t="str">
        <f>IF('Model Inputs'!F163="N/A","N/A","Baseline: "&amp;'Model Inputs'!E165&amp;" kW, "&amp;'Model Inputs'!E164&amp;" hr/day
Proposed: "&amp;'Model Inputs'!F165&amp;" kW, "&amp;'Model Inputs'!F164&amp;" hr/day")</f>
        <v>Baseline:  kW,  hr/day
Proposed:  kW,  hr/day</v>
      </c>
      <c r="E70" s="752" t="str">
        <f>"Demand Control Ventilation: "&amp;'Model Inputs'!E163</f>
        <v>Demand Control Ventilation: N/A</v>
      </c>
    </row>
    <row r="71" spans="1:9" ht="24">
      <c r="A71" s="646" t="s">
        <v>3094</v>
      </c>
      <c r="B71" s="691">
        <f>'Model Inputs'!C157</f>
        <v>0</v>
      </c>
      <c r="C71" s="749" t="str">
        <f>IF(OR('Model Inputs'!G157=0,'Model Inputs'!F157="N/A"),"N/A",'Model Inputs'!G157&amp;" "&amp;'Model Inputs'!F158&amp;" hp garage exhaust fans, "&amp;'Model Inputs'!F159*100&amp;"% ("&amp;'Model Inputs'!F157&amp;" CFM each)")</f>
        <v>N/A</v>
      </c>
      <c r="D71" s="752" t="str">
        <f>IF(C71="N/A","N/A","Baseline: "&amp;'Model Inputs'!E160&amp;" kW
Proposed: "&amp;'Model Inputs'!F160&amp;" kW")</f>
        <v>N/A</v>
      </c>
      <c r="E71" s="749" t="str">
        <f>IF(D71="N/A","N/A",'Model Inputs'!G157&amp;" "&amp;'Model Inputs'!E158&amp;" hp garage exhaust fans, "&amp;'Model Inputs'!E159*100&amp;"% ("&amp;'Model Inputs'!E157&amp;" CFM each)")</f>
        <v>N/A</v>
      </c>
      <c r="G71" s="629"/>
    </row>
    <row r="72" spans="1:9" s="630" customFormat="1">
      <c r="A72" s="653" t="s">
        <v>3095</v>
      </c>
      <c r="B72" s="690"/>
      <c r="C72" s="748"/>
      <c r="D72" s="656"/>
      <c r="E72" s="657"/>
      <c r="F72" s="664"/>
      <c r="G72" s="664"/>
      <c r="H72" s="631"/>
      <c r="I72" s="629"/>
    </row>
    <row r="73" spans="1:9" s="664" customFormat="1" ht="24">
      <c r="A73" s="663" t="s">
        <v>3096</v>
      </c>
      <c r="B73" s="663" t="s">
        <v>2651</v>
      </c>
      <c r="C73" s="746" t="str">
        <f>IF('Model Inputs'!F168="N/A","N/A",'Model Inputs'!F171&amp;", "&amp;'Model Inputs'!F172)</f>
        <v xml:space="preserve">, </v>
      </c>
      <c r="D73" s="746" t="str">
        <f>IF('Model Inputs'!F168="N/A","N/A","Baseline: None
Proposed: "&amp;'Model Inputs'!F171)</f>
        <v xml:space="preserve">Baseline: None
Proposed: </v>
      </c>
      <c r="E73" s="756" t="str">
        <f>'Model Inputs'!D168</f>
        <v>N/A</v>
      </c>
      <c r="G73" s="627"/>
      <c r="H73" s="726"/>
    </row>
    <row r="74" spans="1:9" ht="24">
      <c r="A74" s="663" t="s">
        <v>3231</v>
      </c>
      <c r="B74" s="663">
        <f>'Model Inputs'!C168</f>
        <v>0</v>
      </c>
      <c r="C74" s="746">
        <f>IF('Model Inputs'!F168="N/A","N/A",'Model Inputs'!F168)</f>
        <v>0</v>
      </c>
      <c r="D74" s="746" t="str">
        <f>IF('Model Inputs'!F168="N/A","N/A","Baseline: "&amp;'Model Inputs'!E168&amp;"
Proposed: "&amp;'Model Inputs'!F168)</f>
        <v xml:space="preserve">Baseline: 
Proposed: </v>
      </c>
      <c r="E74" s="756">
        <f>IF('Model Inputs'!F168="N/A","N/A",'Model Inputs'!E168)</f>
        <v>0</v>
      </c>
    </row>
    <row r="75" spans="1:9" ht="24">
      <c r="A75" s="663" t="s">
        <v>3231</v>
      </c>
      <c r="B75" s="663">
        <f>'Model Inputs'!C169</f>
        <v>0</v>
      </c>
      <c r="C75" s="746">
        <f>IF('Model Inputs'!F169="N/A","N/A",'Model Inputs'!F169)</f>
        <v>0</v>
      </c>
      <c r="D75" s="746" t="str">
        <f>IF('Model Inputs'!F169="N/A","N/A","Baseline: "&amp;'Model Inputs'!E169&amp;"
Proposed: "&amp;'Model Inputs'!F169)</f>
        <v xml:space="preserve">Baseline: 
Proposed: </v>
      </c>
      <c r="E75" s="756">
        <f>IF('Model Inputs'!F169="N/A","N/A",'Model Inputs'!E169)</f>
        <v>0</v>
      </c>
    </row>
    <row r="76" spans="1:9" ht="24">
      <c r="A76" s="663" t="s">
        <v>3231</v>
      </c>
      <c r="B76" s="663">
        <f>'Model Inputs'!C170</f>
        <v>0</v>
      </c>
      <c r="C76" s="746">
        <f>IF('Model Inputs'!F170="N/A","N/A",'Model Inputs'!F170)</f>
        <v>0</v>
      </c>
      <c r="D76" s="746" t="str">
        <f>IF('Model Inputs'!F170="N/A","N/A","Baseline: "&amp;'Model Inputs'!E170&amp;"
Proposed: "&amp;'Model Inputs'!F170)</f>
        <v xml:space="preserve">Baseline: 
Proposed: </v>
      </c>
      <c r="E76" s="756">
        <f>IF('Model Inputs'!F170="N/A","N/A",'Model Inputs'!E170)</f>
        <v>0</v>
      </c>
    </row>
    <row r="77" spans="1:9">
      <c r="A77" s="666"/>
      <c r="B77" s="666"/>
      <c r="C77" s="666"/>
    </row>
    <row r="78" spans="1:9">
      <c r="A78" s="666"/>
      <c r="B78" s="666"/>
      <c r="C78" s="666"/>
    </row>
    <row r="83" spans="1:4">
      <c r="D83" s="667"/>
    </row>
    <row r="87" spans="1:4">
      <c r="A87" s="666"/>
      <c r="B87" s="666"/>
      <c r="C87" s="666"/>
      <c r="D87" s="666"/>
    </row>
    <row r="88" spans="1:4">
      <c r="A88" s="666"/>
      <c r="B88" s="666"/>
      <c r="C88" s="666"/>
      <c r="D88" s="666"/>
    </row>
    <row r="89" spans="1:4">
      <c r="A89" s="666"/>
      <c r="B89" s="666"/>
      <c r="C89" s="666"/>
      <c r="D89" s="668"/>
    </row>
    <row r="185" spans="3:3">
      <c r="C185" s="669"/>
    </row>
  </sheetData>
  <sheetProtection formatCells="0" formatColumns="0" formatRows="0" insertColumns="0" insertRows="0"/>
  <mergeCells count="1">
    <mergeCell ref="A67:A68"/>
  </mergeCells>
  <printOptions horizontalCentered="1"/>
  <pageMargins left="0.75" right="0.75" top="1" bottom="1" header="0.5" footer="0.5"/>
  <pageSetup scale="49" fitToHeight="2" orientation="portrait" r:id="rId1"/>
  <headerFooter alignWithMargins="0">
    <oddHeader xml:space="preserve">&amp;C
&amp;R
</oddHeader>
  </headerFooter>
  <ignoredErrors>
    <ignoredError sqref="E6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CC"/>
  </sheetPr>
  <dimension ref="A1:F45"/>
  <sheetViews>
    <sheetView topLeftCell="A4" workbookViewId="0">
      <selection activeCell="B44" sqref="B44:B45"/>
    </sheetView>
  </sheetViews>
  <sheetFormatPr defaultRowHeight="14.25"/>
  <cols>
    <col min="1" max="1" width="29.42578125" style="1758" bestFit="1" customWidth="1"/>
    <col min="2" max="2" width="149.140625" style="1758" customWidth="1"/>
    <col min="3" max="16384" width="9.140625" style="1758"/>
  </cols>
  <sheetData>
    <row r="1" spans="1:6" ht="15">
      <c r="A1" s="1757" t="s">
        <v>4057</v>
      </c>
      <c r="B1" s="1757" t="s">
        <v>3984</v>
      </c>
      <c r="E1" s="1757"/>
      <c r="F1" s="1757"/>
    </row>
    <row r="3" spans="1:6" ht="28.5">
      <c r="A3" s="1759" t="s">
        <v>3926</v>
      </c>
      <c r="B3" s="1760" t="s">
        <v>3983</v>
      </c>
    </row>
    <row r="4" spans="1:6">
      <c r="A4" s="1759" t="s">
        <v>2871</v>
      </c>
      <c r="B4" s="1760" t="s">
        <v>3907</v>
      </c>
    </row>
    <row r="5" spans="1:6">
      <c r="A5" s="1759"/>
      <c r="B5" s="1760" t="s">
        <v>3908</v>
      </c>
    </row>
    <row r="6" spans="1:6">
      <c r="A6" s="1759"/>
      <c r="B6" s="1760" t="s">
        <v>3909</v>
      </c>
    </row>
    <row r="7" spans="1:6">
      <c r="A7" s="1759"/>
      <c r="B7" s="1760" t="s">
        <v>3959</v>
      </c>
    </row>
    <row r="8" spans="1:6">
      <c r="A8" s="1759"/>
      <c r="B8" s="1760" t="s">
        <v>4093</v>
      </c>
    </row>
    <row r="9" spans="1:6" ht="28.5">
      <c r="A9" s="1759"/>
      <c r="B9" s="1760" t="s">
        <v>3910</v>
      </c>
    </row>
    <row r="10" spans="1:6">
      <c r="A10" s="1759" t="s">
        <v>3961</v>
      </c>
      <c r="B10" s="1760" t="s">
        <v>4055</v>
      </c>
    </row>
    <row r="11" spans="1:6">
      <c r="A11" s="1759"/>
      <c r="B11" s="1760" t="s">
        <v>4060</v>
      </c>
    </row>
    <row r="12" spans="1:6">
      <c r="A12" s="1759" t="s">
        <v>2872</v>
      </c>
      <c r="B12" s="1760" t="s">
        <v>3911</v>
      </c>
    </row>
    <row r="13" spans="1:6">
      <c r="A13" s="1759"/>
      <c r="B13" s="1760" t="s">
        <v>3912</v>
      </c>
    </row>
    <row r="14" spans="1:6">
      <c r="A14" s="1759"/>
      <c r="B14" s="1760" t="s">
        <v>3940</v>
      </c>
    </row>
    <row r="15" spans="1:6">
      <c r="A15" s="1759"/>
      <c r="B15" s="1760" t="s">
        <v>3975</v>
      </c>
    </row>
    <row r="16" spans="1:6">
      <c r="A16" s="1759"/>
      <c r="B16" s="1760" t="s">
        <v>4061</v>
      </c>
    </row>
    <row r="17" spans="1:2">
      <c r="A17" s="1759"/>
      <c r="B17" s="1760" t="s">
        <v>4064</v>
      </c>
    </row>
    <row r="18" spans="1:2">
      <c r="A18" s="1759" t="s">
        <v>3272</v>
      </c>
      <c r="B18" s="1760" t="s">
        <v>3960</v>
      </c>
    </row>
    <row r="19" spans="1:2">
      <c r="A19" s="1759" t="s">
        <v>3359</v>
      </c>
      <c r="B19" s="1760" t="s">
        <v>3938</v>
      </c>
    </row>
    <row r="20" spans="1:2">
      <c r="A20" s="1759" t="s">
        <v>3348</v>
      </c>
      <c r="B20" s="1760" t="s">
        <v>3913</v>
      </c>
    </row>
    <row r="21" spans="1:2">
      <c r="A21" s="1759"/>
      <c r="B21" s="1760" t="s">
        <v>3939</v>
      </c>
    </row>
    <row r="22" spans="1:2">
      <c r="A22" s="1759" t="s">
        <v>3353</v>
      </c>
      <c r="B22" s="1760" t="s">
        <v>3914</v>
      </c>
    </row>
    <row r="23" spans="1:2">
      <c r="A23" s="1759"/>
      <c r="B23" s="1760" t="s">
        <v>3915</v>
      </c>
    </row>
    <row r="24" spans="1:2">
      <c r="A24" s="1759"/>
      <c r="B24" s="1760" t="s">
        <v>3930</v>
      </c>
    </row>
    <row r="25" spans="1:2">
      <c r="A25" s="1759"/>
      <c r="B25" s="1760" t="s">
        <v>3916</v>
      </c>
    </row>
    <row r="26" spans="1:2">
      <c r="A26" s="1759"/>
      <c r="B26" s="1760" t="s">
        <v>3917</v>
      </c>
    </row>
    <row r="27" spans="1:2">
      <c r="A27" s="1759"/>
      <c r="B27" s="1760" t="s">
        <v>3918</v>
      </c>
    </row>
    <row r="28" spans="1:2">
      <c r="A28" s="1759"/>
      <c r="B28" s="1760" t="s">
        <v>3919</v>
      </c>
    </row>
    <row r="29" spans="1:2">
      <c r="A29" s="1759"/>
      <c r="B29" s="1760" t="s">
        <v>3920</v>
      </c>
    </row>
    <row r="30" spans="1:2" ht="28.5">
      <c r="A30" s="1759"/>
      <c r="B30" s="1760" t="s">
        <v>3921</v>
      </c>
    </row>
    <row r="31" spans="1:2">
      <c r="A31" s="1759"/>
      <c r="B31" s="1760" t="s">
        <v>3932</v>
      </c>
    </row>
    <row r="32" spans="1:2">
      <c r="A32" s="1759"/>
      <c r="B32" s="1760" t="s">
        <v>3931</v>
      </c>
    </row>
    <row r="33" spans="1:2">
      <c r="A33" s="1759"/>
      <c r="B33" s="1760" t="s">
        <v>3933</v>
      </c>
    </row>
    <row r="34" spans="1:2">
      <c r="A34" s="1759"/>
      <c r="B34" s="1760" t="s">
        <v>3934</v>
      </c>
    </row>
    <row r="35" spans="1:2">
      <c r="A35" s="1759" t="s">
        <v>3935</v>
      </c>
      <c r="B35" s="1760" t="s">
        <v>3936</v>
      </c>
    </row>
    <row r="36" spans="1:2">
      <c r="A36" s="1759"/>
      <c r="B36" s="1760" t="s">
        <v>3937</v>
      </c>
    </row>
    <row r="37" spans="1:2" ht="28.5">
      <c r="A37" s="1759" t="s">
        <v>3313</v>
      </c>
      <c r="B37" s="1760" t="s">
        <v>3928</v>
      </c>
    </row>
    <row r="38" spans="1:2">
      <c r="B38" s="1760" t="s">
        <v>3929</v>
      </c>
    </row>
    <row r="39" spans="1:2">
      <c r="A39" s="1759" t="s">
        <v>3927</v>
      </c>
      <c r="B39" s="1758" t="s">
        <v>3976</v>
      </c>
    </row>
    <row r="40" spans="1:2">
      <c r="B40" s="1760" t="s">
        <v>3922</v>
      </c>
    </row>
    <row r="41" spans="1:2">
      <c r="B41" s="1758" t="s">
        <v>3923</v>
      </c>
    </row>
    <row r="42" spans="1:2">
      <c r="A42" s="1761" t="s">
        <v>3924</v>
      </c>
      <c r="B42" s="1758" t="s">
        <v>3925</v>
      </c>
    </row>
    <row r="44" spans="1:2">
      <c r="A44" s="1802">
        <v>41669</v>
      </c>
      <c r="B44" s="1812" t="s">
        <v>4096</v>
      </c>
    </row>
    <row r="45" spans="1:2">
      <c r="B45" s="1812"/>
    </row>
  </sheetData>
  <mergeCells count="1">
    <mergeCell ref="B44:B4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Q49"/>
  <sheetViews>
    <sheetView topLeftCell="A6" workbookViewId="0">
      <selection activeCell="O7" sqref="O7"/>
    </sheetView>
  </sheetViews>
  <sheetFormatPr defaultRowHeight="12.75"/>
  <cols>
    <col min="1" max="1" width="29.140625" bestFit="1" customWidth="1"/>
    <col min="2" max="2" width="14.42578125" bestFit="1" customWidth="1"/>
    <col min="3" max="3" width="29.140625" bestFit="1" customWidth="1"/>
    <col min="11" max="11" width="31.140625" bestFit="1" customWidth="1"/>
  </cols>
  <sheetData>
    <row r="2" spans="1:17" ht="63.75">
      <c r="A2" s="400" t="s">
        <v>2672</v>
      </c>
    </row>
    <row r="3" spans="1:17" ht="51">
      <c r="A3" s="400" t="s">
        <v>2841</v>
      </c>
    </row>
    <row r="4" spans="1:17" ht="25.5">
      <c r="A4" s="785" t="s">
        <v>3303</v>
      </c>
    </row>
    <row r="5" spans="1:17" ht="25.5">
      <c r="A5" s="785" t="s">
        <v>3304</v>
      </c>
    </row>
    <row r="8" spans="1:17" ht="38.25">
      <c r="A8" s="967"/>
      <c r="B8" s="869"/>
      <c r="C8" s="968"/>
      <c r="D8" s="969" t="s">
        <v>3848</v>
      </c>
      <c r="E8" s="969" t="s">
        <v>3849</v>
      </c>
      <c r="F8" s="969" t="s">
        <v>3850</v>
      </c>
      <c r="G8" s="969" t="s">
        <v>3851</v>
      </c>
      <c r="H8" s="970" t="s">
        <v>3852</v>
      </c>
      <c r="I8" s="971" t="s">
        <v>3853</v>
      </c>
      <c r="J8" s="869"/>
      <c r="K8" s="972" t="s">
        <v>3854</v>
      </c>
      <c r="L8" s="973" t="s">
        <v>3855</v>
      </c>
      <c r="M8" s="973" t="s">
        <v>3856</v>
      </c>
      <c r="N8" s="973" t="s">
        <v>3857</v>
      </c>
      <c r="O8" s="974" t="s">
        <v>3858</v>
      </c>
      <c r="P8" s="974" t="s">
        <v>3859</v>
      </c>
      <c r="Q8" s="975" t="s">
        <v>3860</v>
      </c>
    </row>
    <row r="9" spans="1:17">
      <c r="A9" s="967" t="s">
        <v>971</v>
      </c>
      <c r="B9" s="866" t="s">
        <v>17</v>
      </c>
      <c r="C9" s="968" t="s">
        <v>3861</v>
      </c>
      <c r="D9" s="976">
        <v>1.2</v>
      </c>
      <c r="E9" s="976">
        <v>1.1100000000000001</v>
      </c>
      <c r="F9" s="976">
        <v>0.7</v>
      </c>
      <c r="G9" s="976">
        <v>0.6</v>
      </c>
      <c r="H9" s="977">
        <v>30</v>
      </c>
      <c r="I9" s="978" t="s">
        <v>3470</v>
      </c>
      <c r="J9" s="869"/>
      <c r="K9" s="968" t="s">
        <v>3862</v>
      </c>
      <c r="L9" s="979">
        <v>0.63400000000000001</v>
      </c>
      <c r="M9" s="979">
        <v>0.45900000000000002</v>
      </c>
      <c r="N9" s="979">
        <v>0.38100000000000001</v>
      </c>
      <c r="O9" s="980">
        <v>0.66</v>
      </c>
      <c r="P9" s="980">
        <v>58.8</v>
      </c>
      <c r="Q9" s="981">
        <v>521</v>
      </c>
    </row>
    <row r="10" spans="1:17">
      <c r="A10" s="967" t="s">
        <v>972</v>
      </c>
      <c r="B10" s="866" t="s">
        <v>2629</v>
      </c>
      <c r="C10" s="968" t="s">
        <v>1260</v>
      </c>
      <c r="D10" s="968">
        <v>1.3</v>
      </c>
      <c r="E10" s="968">
        <v>1.23</v>
      </c>
      <c r="F10" s="968">
        <v>0.7</v>
      </c>
      <c r="G10" s="968">
        <v>0.6</v>
      </c>
      <c r="H10" s="981">
        <v>30</v>
      </c>
      <c r="I10" s="978" t="s">
        <v>3470</v>
      </c>
      <c r="J10" s="869"/>
      <c r="K10" s="968" t="s">
        <v>3863</v>
      </c>
      <c r="L10" s="979">
        <v>0.54500000000000004</v>
      </c>
      <c r="M10" s="979">
        <v>0.32500000000000001</v>
      </c>
      <c r="N10" s="979">
        <v>0.26</v>
      </c>
      <c r="O10" s="980">
        <v>0.61</v>
      </c>
      <c r="P10" s="980">
        <v>58.8</v>
      </c>
      <c r="Q10" s="981">
        <v>523</v>
      </c>
    </row>
    <row r="11" spans="1:17">
      <c r="A11" s="967" t="s">
        <v>973</v>
      </c>
      <c r="B11" s="866" t="s">
        <v>566</v>
      </c>
      <c r="C11" s="968" t="s">
        <v>974</v>
      </c>
      <c r="D11" s="968">
        <v>0.5</v>
      </c>
      <c r="E11" s="968">
        <v>0.66</v>
      </c>
      <c r="F11" s="968">
        <v>0.7</v>
      </c>
      <c r="G11" s="968">
        <v>0.6</v>
      </c>
      <c r="H11" s="981">
        <v>10</v>
      </c>
      <c r="I11" s="978" t="s">
        <v>3471</v>
      </c>
      <c r="J11" s="869"/>
      <c r="K11" s="968" t="s">
        <v>3864</v>
      </c>
      <c r="L11" s="982">
        <v>0.53</v>
      </c>
      <c r="M11" s="982">
        <v>0.315</v>
      </c>
      <c r="N11" s="982">
        <v>0.255</v>
      </c>
      <c r="O11" s="983">
        <v>0.62</v>
      </c>
      <c r="P11" s="983">
        <v>58.8</v>
      </c>
      <c r="Q11" s="981">
        <v>524</v>
      </c>
    </row>
    <row r="12" spans="1:17">
      <c r="A12" s="967" t="s">
        <v>974</v>
      </c>
      <c r="B12" s="866"/>
      <c r="C12" s="968" t="s">
        <v>977</v>
      </c>
      <c r="D12" s="968">
        <v>1.5</v>
      </c>
      <c r="E12" s="968">
        <v>0.95</v>
      </c>
      <c r="F12" s="968">
        <v>0.7</v>
      </c>
      <c r="G12" s="968">
        <v>0.6</v>
      </c>
      <c r="H12" s="981">
        <v>30</v>
      </c>
      <c r="I12" s="978" t="s">
        <v>3471</v>
      </c>
      <c r="J12" s="869"/>
      <c r="K12" s="968" t="s">
        <v>3865</v>
      </c>
      <c r="L12" s="979">
        <v>0.82</v>
      </c>
      <c r="M12" s="979">
        <v>0.51</v>
      </c>
      <c r="N12" s="979">
        <v>0.41</v>
      </c>
      <c r="O12" s="980">
        <v>0.78</v>
      </c>
      <c r="P12" s="980">
        <v>81.75</v>
      </c>
      <c r="Q12" s="981">
        <v>535</v>
      </c>
    </row>
    <row r="13" spans="1:17">
      <c r="A13" s="967" t="s">
        <v>975</v>
      </c>
      <c r="B13" s="866"/>
      <c r="C13" s="968" t="s">
        <v>3704</v>
      </c>
      <c r="D13" s="968">
        <v>0.9</v>
      </c>
      <c r="E13" s="968">
        <v>0.72</v>
      </c>
      <c r="F13" s="968">
        <v>0.7</v>
      </c>
      <c r="G13" s="968">
        <v>0.6</v>
      </c>
      <c r="H13" s="984">
        <v>30</v>
      </c>
      <c r="I13" s="978" t="s">
        <v>3470</v>
      </c>
      <c r="J13" s="869"/>
      <c r="K13" s="968" t="s">
        <v>3866</v>
      </c>
      <c r="L13" s="979">
        <v>0.88</v>
      </c>
      <c r="M13" s="979">
        <v>0.49</v>
      </c>
      <c r="N13" s="979">
        <v>0.39</v>
      </c>
      <c r="O13" s="980">
        <v>0.65</v>
      </c>
      <c r="P13" s="980">
        <v>81.8</v>
      </c>
      <c r="Q13" s="981">
        <v>538</v>
      </c>
    </row>
    <row r="14" spans="1:17">
      <c r="A14" s="967" t="s">
        <v>976</v>
      </c>
      <c r="B14" s="866"/>
      <c r="C14" s="968" t="s">
        <v>2224</v>
      </c>
      <c r="D14" s="968" t="s">
        <v>2582</v>
      </c>
      <c r="E14" s="968" t="s">
        <v>2582</v>
      </c>
      <c r="F14" s="968" t="s">
        <v>2582</v>
      </c>
      <c r="G14" s="968" t="s">
        <v>2582</v>
      </c>
      <c r="H14" s="984" t="s">
        <v>206</v>
      </c>
      <c r="I14" s="978"/>
      <c r="J14" s="869"/>
      <c r="K14" s="968" t="s">
        <v>3867</v>
      </c>
      <c r="L14" s="985">
        <v>0.77</v>
      </c>
      <c r="M14" s="985">
        <v>0.5</v>
      </c>
      <c r="N14" s="985">
        <v>0.4</v>
      </c>
      <c r="O14" s="980">
        <v>0.79</v>
      </c>
      <c r="P14" s="980">
        <v>81.75</v>
      </c>
      <c r="Q14" s="981">
        <v>530</v>
      </c>
    </row>
    <row r="15" spans="1:17">
      <c r="A15" s="967" t="s">
        <v>1196</v>
      </c>
      <c r="B15" s="866"/>
      <c r="C15" s="968" t="s">
        <v>973</v>
      </c>
      <c r="D15" s="968">
        <v>1.3</v>
      </c>
      <c r="E15" s="968">
        <v>0.9</v>
      </c>
      <c r="F15" s="968">
        <v>0.7</v>
      </c>
      <c r="G15" s="968">
        <v>0.6</v>
      </c>
      <c r="H15" s="981">
        <v>16</v>
      </c>
      <c r="I15" s="978" t="s">
        <v>3470</v>
      </c>
      <c r="J15" s="869"/>
      <c r="K15" s="968" t="s">
        <v>3868</v>
      </c>
      <c r="L15" s="985">
        <v>0.72</v>
      </c>
      <c r="M15" s="985">
        <v>0.48</v>
      </c>
      <c r="N15" s="985">
        <v>0.4</v>
      </c>
      <c r="O15" s="980">
        <v>0.79</v>
      </c>
      <c r="P15" s="980">
        <v>81.75</v>
      </c>
      <c r="Q15" s="981">
        <v>531</v>
      </c>
    </row>
    <row r="16" spans="1:17">
      <c r="A16" s="967" t="s">
        <v>1260</v>
      </c>
      <c r="B16" s="866"/>
      <c r="C16" s="968" t="s">
        <v>3703</v>
      </c>
      <c r="D16" s="968">
        <v>1.2</v>
      </c>
      <c r="E16" s="968">
        <v>0.73</v>
      </c>
      <c r="F16" s="968">
        <v>0.7</v>
      </c>
      <c r="G16" s="968">
        <v>0.6</v>
      </c>
      <c r="H16" s="981">
        <v>21</v>
      </c>
      <c r="I16" s="978" t="s">
        <v>3470</v>
      </c>
      <c r="J16" s="869"/>
      <c r="K16" s="968" t="s">
        <v>3869</v>
      </c>
      <c r="L16" s="986">
        <v>0.26</v>
      </c>
      <c r="M16" s="986">
        <v>0.19</v>
      </c>
      <c r="N16" s="986">
        <v>0.16</v>
      </c>
      <c r="O16" s="980">
        <v>0.79</v>
      </c>
      <c r="P16" s="980">
        <v>81.75</v>
      </c>
      <c r="Q16" s="987" t="s">
        <v>3870</v>
      </c>
    </row>
    <row r="17" spans="1:17">
      <c r="A17" s="967" t="s">
        <v>977</v>
      </c>
      <c r="B17" s="866"/>
      <c r="C17" s="968" t="s">
        <v>1196</v>
      </c>
      <c r="D17" s="968">
        <v>1.1000000000000001</v>
      </c>
      <c r="E17" s="968">
        <v>1.1100000000000001</v>
      </c>
      <c r="F17" s="968">
        <v>0.7</v>
      </c>
      <c r="G17" s="968">
        <v>0.6</v>
      </c>
      <c r="H17" s="981">
        <v>35</v>
      </c>
      <c r="I17" s="978" t="s">
        <v>3470</v>
      </c>
      <c r="J17" s="869"/>
      <c r="K17" s="968" t="s">
        <v>3871</v>
      </c>
      <c r="L17" s="982">
        <v>0.33</v>
      </c>
      <c r="M17" s="982">
        <v>0.25</v>
      </c>
      <c r="N17" s="982">
        <v>0.23</v>
      </c>
      <c r="O17" s="980">
        <v>0.79</v>
      </c>
      <c r="P17" s="980">
        <v>81.75</v>
      </c>
      <c r="Q17" s="987" t="s">
        <v>3872</v>
      </c>
    </row>
    <row r="18" spans="1:17">
      <c r="A18" s="967" t="s">
        <v>978</v>
      </c>
      <c r="B18" s="866"/>
      <c r="C18" s="968" t="s">
        <v>979</v>
      </c>
      <c r="D18" s="968">
        <v>0.2</v>
      </c>
      <c r="E18" s="968">
        <v>0.19</v>
      </c>
      <c r="F18" s="968">
        <v>0.7</v>
      </c>
      <c r="G18" s="968">
        <v>0.6</v>
      </c>
      <c r="H18" s="981">
        <v>7</v>
      </c>
      <c r="I18" s="978" t="s">
        <v>3469</v>
      </c>
      <c r="J18" s="869"/>
      <c r="K18" s="968" t="s">
        <v>3873</v>
      </c>
      <c r="L18" s="986">
        <v>0.47</v>
      </c>
      <c r="M18" s="986">
        <v>0.26</v>
      </c>
      <c r="N18" s="986">
        <v>0.23</v>
      </c>
      <c r="O18" s="980">
        <v>0.79</v>
      </c>
      <c r="P18" s="980">
        <v>81.75</v>
      </c>
      <c r="Q18" s="987" t="s">
        <v>3874</v>
      </c>
    </row>
    <row r="19" spans="1:17">
      <c r="A19" s="967" t="s">
        <v>1054</v>
      </c>
      <c r="B19" s="866"/>
      <c r="C19" s="968" t="s">
        <v>976</v>
      </c>
      <c r="D19" s="968">
        <v>0.9</v>
      </c>
      <c r="E19" s="968">
        <v>0.98</v>
      </c>
      <c r="F19" s="968">
        <v>0.7</v>
      </c>
      <c r="G19" s="968">
        <v>0.6</v>
      </c>
      <c r="H19" s="981">
        <v>12</v>
      </c>
      <c r="I19" s="978" t="s">
        <v>3471</v>
      </c>
      <c r="J19" s="869"/>
      <c r="K19" s="968" t="s">
        <v>3875</v>
      </c>
      <c r="L19" s="982">
        <v>0.64</v>
      </c>
      <c r="M19" s="982">
        <v>0.64</v>
      </c>
      <c r="N19" s="982">
        <v>0.64</v>
      </c>
      <c r="O19" s="980">
        <v>0.79</v>
      </c>
      <c r="P19" s="980">
        <v>81.75</v>
      </c>
      <c r="Q19" s="981">
        <v>539</v>
      </c>
    </row>
    <row r="20" spans="1:17">
      <c r="A20" s="967" t="s">
        <v>2224</v>
      </c>
      <c r="B20" s="866"/>
      <c r="C20" s="968" t="s">
        <v>975</v>
      </c>
      <c r="D20" s="968">
        <v>0.6</v>
      </c>
      <c r="E20" s="968">
        <v>0.69</v>
      </c>
      <c r="F20" s="968">
        <v>0.7</v>
      </c>
      <c r="G20" s="968">
        <v>0.6</v>
      </c>
      <c r="H20" s="981">
        <v>15</v>
      </c>
      <c r="I20" s="978" t="s">
        <v>3471</v>
      </c>
      <c r="J20" s="869"/>
      <c r="K20" s="968" t="s">
        <v>3876</v>
      </c>
      <c r="L20" s="979">
        <v>0.50600000000000001</v>
      </c>
      <c r="M20" s="979">
        <v>0.28799999999999998</v>
      </c>
      <c r="N20" s="979">
        <v>0.223</v>
      </c>
      <c r="O20" s="980">
        <v>0.69</v>
      </c>
      <c r="P20" s="980">
        <v>16</v>
      </c>
      <c r="Q20" s="981">
        <v>503</v>
      </c>
    </row>
    <row r="21" spans="1:17">
      <c r="A21" s="967" t="s">
        <v>3702</v>
      </c>
      <c r="B21" s="866"/>
      <c r="C21" s="968" t="s">
        <v>971</v>
      </c>
      <c r="D21" s="968">
        <v>0.8</v>
      </c>
      <c r="E21" s="968">
        <v>0.63</v>
      </c>
      <c r="F21" s="968">
        <v>0.7</v>
      </c>
      <c r="G21" s="968">
        <v>0.6</v>
      </c>
      <c r="H21" s="981">
        <v>20</v>
      </c>
      <c r="I21" s="978" t="s">
        <v>3471</v>
      </c>
      <c r="J21" s="869"/>
      <c r="K21" s="968" t="s">
        <v>3877</v>
      </c>
      <c r="L21" s="982">
        <v>0.89</v>
      </c>
      <c r="M21" s="982">
        <v>0.86</v>
      </c>
      <c r="N21" s="982">
        <v>0.83</v>
      </c>
      <c r="O21" s="983">
        <v>0.9</v>
      </c>
      <c r="P21" s="983">
        <v>70</v>
      </c>
      <c r="Q21" s="987" t="s">
        <v>3728</v>
      </c>
    </row>
    <row r="22" spans="1:17">
      <c r="A22" s="967" t="s">
        <v>3703</v>
      </c>
      <c r="B22" s="866"/>
      <c r="C22" s="968" t="s">
        <v>972</v>
      </c>
      <c r="D22" s="968">
        <v>0.3</v>
      </c>
      <c r="E22" s="968">
        <v>0.63</v>
      </c>
      <c r="F22" s="968">
        <v>0.7</v>
      </c>
      <c r="G22" s="968">
        <v>0.6</v>
      </c>
      <c r="H22" s="981">
        <v>8</v>
      </c>
      <c r="I22" s="978" t="s">
        <v>3471</v>
      </c>
      <c r="J22" s="869"/>
      <c r="K22" s="968" t="s">
        <v>3878</v>
      </c>
      <c r="L22" s="982">
        <v>0.45</v>
      </c>
      <c r="M22" s="982">
        <v>0.26</v>
      </c>
      <c r="N22" s="982">
        <v>0.2</v>
      </c>
      <c r="O22" s="983">
        <v>0.53</v>
      </c>
      <c r="P22" s="983">
        <v>94.17</v>
      </c>
      <c r="Q22" s="987">
        <v>553</v>
      </c>
    </row>
    <row r="23" spans="1:17">
      <c r="A23" s="967" t="s">
        <v>3704</v>
      </c>
      <c r="B23" s="869"/>
      <c r="C23" s="968" t="s">
        <v>3702</v>
      </c>
      <c r="D23" s="988">
        <v>0</v>
      </c>
      <c r="E23" s="988">
        <v>0</v>
      </c>
      <c r="F23" s="968">
        <v>0</v>
      </c>
      <c r="G23" s="968">
        <v>0</v>
      </c>
      <c r="H23" s="981" t="s">
        <v>206</v>
      </c>
      <c r="I23" s="989"/>
      <c r="J23" s="869"/>
      <c r="K23" s="968" t="s">
        <v>3879</v>
      </c>
      <c r="L23" s="979">
        <v>0.72</v>
      </c>
      <c r="M23" s="979">
        <v>0.41</v>
      </c>
      <c r="N23" s="979">
        <v>0.31</v>
      </c>
      <c r="O23" s="980">
        <v>0.55000000000000004</v>
      </c>
      <c r="P23" s="980">
        <v>94.17</v>
      </c>
      <c r="Q23" s="987" t="s">
        <v>3880</v>
      </c>
    </row>
    <row r="24" spans="1:17">
      <c r="A24" s="967" t="s">
        <v>3861</v>
      </c>
      <c r="B24" s="869"/>
      <c r="C24" s="968" t="s">
        <v>978</v>
      </c>
      <c r="D24" s="968">
        <v>1.9</v>
      </c>
      <c r="E24" s="968">
        <v>1.59</v>
      </c>
      <c r="F24" s="968">
        <v>0.7</v>
      </c>
      <c r="G24" s="968">
        <v>0.6</v>
      </c>
      <c r="H24" s="981">
        <v>50</v>
      </c>
      <c r="I24" s="978" t="s">
        <v>3470</v>
      </c>
      <c r="J24" s="869"/>
      <c r="K24" s="968" t="s">
        <v>3881</v>
      </c>
      <c r="L24" s="979">
        <v>1</v>
      </c>
      <c r="M24" s="979">
        <v>0.85899999999999999</v>
      </c>
      <c r="N24" s="979">
        <v>0.81</v>
      </c>
      <c r="O24" s="980">
        <v>0.75</v>
      </c>
      <c r="P24" s="980">
        <v>18.78</v>
      </c>
      <c r="Q24" s="981">
        <v>511</v>
      </c>
    </row>
    <row r="25" spans="1:17">
      <c r="A25" s="9"/>
    </row>
    <row r="26" spans="1:17">
      <c r="A26" s="9"/>
    </row>
    <row r="27" spans="1:17">
      <c r="A27" s="9"/>
    </row>
    <row r="28" spans="1:17">
      <c r="A28" s="9"/>
    </row>
    <row r="29" spans="1:17">
      <c r="A29" s="9"/>
    </row>
    <row r="30" spans="1:17">
      <c r="A30" s="9"/>
    </row>
    <row r="31" spans="1:17">
      <c r="A31" s="9"/>
    </row>
    <row r="32" spans="1:17">
      <c r="A32" s="9"/>
    </row>
    <row r="33" spans="1:1">
      <c r="A33" s="9"/>
    </row>
    <row r="34" spans="1:1">
      <c r="A34" s="9"/>
    </row>
    <row r="35" spans="1:1">
      <c r="A35" s="9"/>
    </row>
    <row r="36" spans="1:1">
      <c r="A36" s="9"/>
    </row>
    <row r="37" spans="1:1">
      <c r="A37" s="9"/>
    </row>
    <row r="38" spans="1:1">
      <c r="A38" s="9"/>
    </row>
    <row r="39" spans="1:1">
      <c r="A39" s="9"/>
    </row>
    <row r="40" spans="1:1">
      <c r="A40" s="9"/>
    </row>
    <row r="41" spans="1:1">
      <c r="A41" s="9"/>
    </row>
    <row r="42" spans="1:1">
      <c r="A42" s="9"/>
    </row>
    <row r="43" spans="1:1">
      <c r="A43" s="9"/>
    </row>
    <row r="44" spans="1:1">
      <c r="A44" s="9"/>
    </row>
    <row r="45" spans="1:1">
      <c r="A45" s="9"/>
    </row>
    <row r="46" spans="1:1">
      <c r="A46" s="9"/>
    </row>
    <row r="47" spans="1:1">
      <c r="A47" s="9"/>
    </row>
    <row r="48" spans="1:1">
      <c r="A48" s="9"/>
    </row>
    <row r="49" spans="1:1">
      <c r="A49"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84</vt:i4>
      </vt:variant>
    </vt:vector>
  </HeadingPairs>
  <TitlesOfParts>
    <vt:vector size="122" baseType="lpstr">
      <vt:lpstr>Report</vt:lpstr>
      <vt:lpstr>GHSF Calculator</vt:lpstr>
      <vt:lpstr>Demand Savings Lookup</vt:lpstr>
      <vt:lpstr>Drop Down</vt:lpstr>
      <vt:lpstr>Introduction</vt:lpstr>
      <vt:lpstr>NYSERDA Reporting</vt:lpstr>
      <vt:lpstr>ERMs</vt:lpstr>
      <vt:lpstr>Version History</vt:lpstr>
      <vt:lpstr>Lookup</vt:lpstr>
      <vt:lpstr>Tables of Values</vt:lpstr>
      <vt:lpstr>Basic Info</vt:lpstr>
      <vt:lpstr>Model Inputs</vt:lpstr>
      <vt:lpstr>Reporting Summary</vt:lpstr>
      <vt:lpstr>Avoided Costs</vt:lpstr>
      <vt:lpstr>Detailed Measures</vt:lpstr>
      <vt:lpstr>Funding Overview</vt:lpstr>
      <vt:lpstr>Results from eQUEST</vt:lpstr>
      <vt:lpstr>SG Appx Intro</vt:lpstr>
      <vt:lpstr>Project Size</vt:lpstr>
      <vt:lpstr>Windows eQuest</vt:lpstr>
      <vt:lpstr>Water Savings</vt:lpstr>
      <vt:lpstr>DHW Demand</vt:lpstr>
      <vt:lpstr>Appliances</vt:lpstr>
      <vt:lpstr>Lighting Schedule</vt:lpstr>
      <vt:lpstr>Interior Lighting</vt:lpstr>
      <vt:lpstr>In-Unit Lighting</vt:lpstr>
      <vt:lpstr>Exterior Lighting</vt:lpstr>
      <vt:lpstr>Infiltration&amp;Ventilation</vt:lpstr>
      <vt:lpstr>EIR for PTAC and PTHP</vt:lpstr>
      <vt:lpstr>Simulation Summary</vt:lpstr>
      <vt:lpstr>RECS - Baseline</vt:lpstr>
      <vt:lpstr>RECS - Proposed</vt:lpstr>
      <vt:lpstr>Locator Map</vt:lpstr>
      <vt:lpstr>Side Calcs - Baseline</vt:lpstr>
      <vt:lpstr>ZipCode Map</vt:lpstr>
      <vt:lpstr>Worksheet - Design - Baseline</vt:lpstr>
      <vt:lpstr>Worksheet - Design - Proposed</vt:lpstr>
      <vt:lpstr>Side Calcs - Proposed</vt:lpstr>
      <vt:lpstr>'Infiltration&amp;Ventilation'!AvoidedCostTable</vt:lpstr>
      <vt:lpstr>AvoidedCostTable</vt:lpstr>
      <vt:lpstr>'Infiltration&amp;Ventilation'!CentralHudson</vt:lpstr>
      <vt:lpstr>CentralHudson</vt:lpstr>
      <vt:lpstr>ClimateZone</vt:lpstr>
      <vt:lpstr>'Infiltration&amp;Ventilation'!Condition</vt:lpstr>
      <vt:lpstr>Condition</vt:lpstr>
      <vt:lpstr>'Infiltration&amp;Ventilation'!ConEd</vt:lpstr>
      <vt:lpstr>ConEd</vt:lpstr>
      <vt:lpstr>'Infiltration&amp;Ventilation'!construction</vt:lpstr>
      <vt:lpstr>construction</vt:lpstr>
      <vt:lpstr>DHW_Method</vt:lpstr>
      <vt:lpstr>Efficacy</vt:lpstr>
      <vt:lpstr>'Infiltration&amp;Ventilation'!EStar</vt:lpstr>
      <vt:lpstr>EStar</vt:lpstr>
      <vt:lpstr>Fan</vt:lpstr>
      <vt:lpstr>'Infiltration&amp;Ventilation'!FanControl</vt:lpstr>
      <vt:lpstr>FanControl</vt:lpstr>
      <vt:lpstr>FanRate</vt:lpstr>
      <vt:lpstr>'Infiltration&amp;Ventilation'!Footcandles</vt:lpstr>
      <vt:lpstr>Footcandles</vt:lpstr>
      <vt:lpstr>'Infiltration&amp;Ventilation'!fuel</vt:lpstr>
      <vt:lpstr>fuel</vt:lpstr>
      <vt:lpstr>'Infiltration&amp;Ventilation'!Fuels</vt:lpstr>
      <vt:lpstr>Fuels</vt:lpstr>
      <vt:lpstr>'Infiltration&amp;Ventilation'!FundingCodes</vt:lpstr>
      <vt:lpstr>FundingCodes</vt:lpstr>
      <vt:lpstr>'Infiltration&amp;Ventilation'!Garage</vt:lpstr>
      <vt:lpstr>Garage</vt:lpstr>
      <vt:lpstr>'Infiltration&amp;Ventilation'!GasUtility</vt:lpstr>
      <vt:lpstr>GasUtility</vt:lpstr>
      <vt:lpstr>'Infiltration&amp;Ventilation'!HeatingControl</vt:lpstr>
      <vt:lpstr>HeatingControl</vt:lpstr>
      <vt:lpstr>'Infiltration&amp;Ventilation'!Income</vt:lpstr>
      <vt:lpstr>Income</vt:lpstr>
      <vt:lpstr>'Infiltration&amp;Ventilation'!KEDLI</vt:lpstr>
      <vt:lpstr>KEDLI</vt:lpstr>
      <vt:lpstr>LightCalcMethod</vt:lpstr>
      <vt:lpstr>'Infiltration&amp;Ventilation'!LightingSpaceType</vt:lpstr>
      <vt:lpstr>LightingSpaceType</vt:lpstr>
      <vt:lpstr>'Water Savings'!Low_Flow_Toilets</vt:lpstr>
      <vt:lpstr>LPD</vt:lpstr>
      <vt:lpstr>LPD2007SS</vt:lpstr>
      <vt:lpstr>LPD2007WB</vt:lpstr>
      <vt:lpstr>LPD2010SS</vt:lpstr>
      <vt:lpstr>LPD2010WB</vt:lpstr>
      <vt:lpstr>'Infiltration&amp;Ventilation'!Measure_Type</vt:lpstr>
      <vt:lpstr>Measure_Type</vt:lpstr>
      <vt:lpstr>'Infiltration&amp;Ventilation'!Milestone</vt:lpstr>
      <vt:lpstr>Milestone</vt:lpstr>
      <vt:lpstr>'Infiltration&amp;Ventilation'!NationalGrid</vt:lpstr>
      <vt:lpstr>NationalGrid</vt:lpstr>
      <vt:lpstr>'Infiltration&amp;Ventilation'!NYSEG</vt:lpstr>
      <vt:lpstr>NYSEG</vt:lpstr>
      <vt:lpstr>'Infiltration&amp;Ventilation'!OandR</vt:lpstr>
      <vt:lpstr>OandR</vt:lpstr>
      <vt:lpstr>ERMs!Print_Area</vt:lpstr>
      <vt:lpstr>Introduction!Print_Area</vt:lpstr>
      <vt:lpstr>'RECS - Baseline'!Print_Area</vt:lpstr>
      <vt:lpstr>'RECS - Proposed'!Print_Area</vt:lpstr>
      <vt:lpstr>'Reporting Summary'!Print_Area</vt:lpstr>
      <vt:lpstr>'SG Appx Intro'!Print_Area</vt:lpstr>
      <vt:lpstr>'Interior Lighting'!Print_Titles</vt:lpstr>
      <vt:lpstr>'Infiltration&amp;Ventilation'!Pump</vt:lpstr>
      <vt:lpstr>Pump</vt:lpstr>
      <vt:lpstr>'Infiltration&amp;Ventilation'!PumpClass</vt:lpstr>
      <vt:lpstr>PumpClass</vt:lpstr>
      <vt:lpstr>'Infiltration&amp;Ventilation'!Rev</vt:lpstr>
      <vt:lpstr>Rev</vt:lpstr>
      <vt:lpstr>'Infiltration&amp;Ventilation'!RGandE</vt:lpstr>
      <vt:lpstr>RGandE</vt:lpstr>
      <vt:lpstr>'Infiltration&amp;Ventilation'!SpaceType</vt:lpstr>
      <vt:lpstr>SpaceType</vt:lpstr>
      <vt:lpstr>SplitType</vt:lpstr>
      <vt:lpstr>Standard</vt:lpstr>
      <vt:lpstr>Units</vt:lpstr>
      <vt:lpstr>UpDown</vt:lpstr>
      <vt:lpstr>'Infiltration&amp;Ventilation'!Utility</vt:lpstr>
      <vt:lpstr>Utility</vt:lpstr>
      <vt:lpstr>Windows</vt:lpstr>
      <vt:lpstr>'Infiltration&amp;Ventilation'!YesNo</vt:lpstr>
      <vt:lpstr>YesNo</vt:lpstr>
      <vt:lpstr>'Infiltration&amp;Ventilation'!YN</vt:lpstr>
      <vt:lpstr>YN</vt:lpstr>
    </vt:vector>
  </TitlesOfParts>
  <Company>NYSERDA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Beaulieu, Shelley (CliftonPark,NY-US)</dc:creator>
  <cp:lastModifiedBy>Gleeson, Pamela</cp:lastModifiedBy>
  <cp:lastPrinted>2012-06-05T20:30:15Z</cp:lastPrinted>
  <dcterms:created xsi:type="dcterms:W3CDTF">2007-11-19T22:02:39Z</dcterms:created>
  <dcterms:modified xsi:type="dcterms:W3CDTF">2015-02-05T18:16:59Z</dcterms:modified>
</cp:coreProperties>
</file>