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FTONPARK-FP1\cliftonpark\Energy Services\Projects\MFB Program\New Construction Component\Program Documents\New Construction\Version 6\Version 6.1\"/>
    </mc:Choice>
  </mc:AlternateContent>
  <bookViews>
    <workbookView xWindow="120" yWindow="180" windowWidth="12120" windowHeight="8775" tabRatio="501"/>
  </bookViews>
  <sheets>
    <sheet name="Constants" sheetId="1" r:id="rId1"/>
    <sheet name="Heating" sheetId="2" r:id="rId2"/>
    <sheet name="Exterior Walls" sheetId="3" r:id="rId3"/>
    <sheet name="Slab-on-Grade" sheetId="4" r:id="rId4"/>
    <sheet name="Floor" sheetId="6" r:id="rId5"/>
    <sheet name="Roof" sheetId="7" r:id="rId6"/>
    <sheet name="Windows" sheetId="8" r:id="rId7"/>
    <sheet name="Fridges" sheetId="9" r:id="rId8"/>
  </sheets>
  <definedNames>
    <definedName name="CityLabor">Constants!$E$22</definedName>
    <definedName name="CityLookup">Constants!$B$25:$E$74</definedName>
    <definedName name="CityMatl">Constants!$D$22</definedName>
    <definedName name="LaborPct">Constants!$D$17</definedName>
    <definedName name="MaterialPct">Constants!$D$18</definedName>
    <definedName name="SalesTax">Constants!$D$19</definedName>
    <definedName name="Z_26F6D74A_4272_4967_9786_783BACF4AF44_.wvu.Rows" localSheetId="2" hidden="1">'Exterior Walls'!$17:$20,'Exterior Walls'!$22:$30</definedName>
    <definedName name="Z_26F6D74A_4272_4967_9786_783BACF4AF44_.wvu.Rows" localSheetId="4" hidden="1">Floor!$17:$20,Floor!$22:$24</definedName>
    <definedName name="Z_26F6D74A_4272_4967_9786_783BACF4AF44_.wvu.Rows" localSheetId="5" hidden="1">Roof!$16:$19,Roof!$21:$23</definedName>
    <definedName name="Z_26F6D74A_4272_4967_9786_783BACF4AF44_.wvu.Rows" localSheetId="3" hidden="1">'Slab-on-Grade'!$17:$20</definedName>
  </definedNames>
  <calcPr calcId="152511" fullCalcOnLoad="1"/>
  <customWorkbookViews>
    <customWorkbookView name="Bret Langlois - Personal View" guid="{26F6D74A-4272-4967-9786-783BACF4AF44}" mergeInterval="0" personalView="1" maximized="1" xWindow="1" yWindow="1" windowWidth="1280" windowHeight="608" tabRatio="418" activeSheetId="2"/>
    <customWorkbookView name="TRC - Personal View" guid="{6921AA76-5784-426B-8DF3-DBD2F823F221}" mergeInterval="0" personalView="1" maximized="1" windowWidth="1436" windowHeight="710" tabRatio="418" activeSheetId="1"/>
    <customWorkbookView name="TRC Corporate  - Personal View" guid="{79BA202A-326F-4875-A8CA-34B11A509AC2}" mergeInterval="0" personalView="1" maximized="1" xWindow="1" yWindow="1" windowWidth="1680" windowHeight="829" tabRatio="418" activeSheetId="2"/>
  </customWorkbookViews>
</workbook>
</file>

<file path=xl/calcChain.xml><?xml version="1.0" encoding="utf-8"?>
<calcChain xmlns="http://schemas.openxmlformats.org/spreadsheetml/2006/main">
  <c r="G14" i="8" l="1"/>
  <c r="H15" i="8"/>
  <c r="D14" i="8"/>
  <c r="F22" i="8"/>
  <c r="D25" i="7"/>
  <c r="D18" i="4"/>
  <c r="D16" i="4"/>
  <c r="D21" i="4"/>
  <c r="F27" i="4"/>
  <c r="L17" i="9"/>
  <c r="L16" i="9"/>
  <c r="L15" i="9"/>
  <c r="D25" i="6"/>
  <c r="D25" i="3"/>
  <c r="D78" i="3"/>
  <c r="D77" i="3"/>
  <c r="D76" i="3"/>
  <c r="D75" i="3"/>
  <c r="D74" i="3"/>
  <c r="D73" i="3"/>
  <c r="D72" i="3"/>
  <c r="B33" i="3"/>
  <c r="G18" i="2"/>
  <c r="F18" i="2"/>
  <c r="C22" i="1"/>
  <c r="I27" i="8"/>
  <c r="E15" i="8"/>
  <c r="F15" i="8"/>
  <c r="E21" i="4"/>
  <c r="D81" i="3"/>
  <c r="D80" i="3"/>
  <c r="G44" i="2"/>
  <c r="F44" i="2"/>
  <c r="D52" i="7"/>
  <c r="D51" i="7"/>
  <c r="D50" i="7"/>
  <c r="D49" i="7"/>
  <c r="D48" i="7"/>
  <c r="D47" i="7"/>
  <c r="D46" i="7"/>
  <c r="I15" i="9"/>
  <c r="F25" i="8"/>
  <c r="F23" i="8"/>
  <c r="B40" i="4"/>
  <c r="A20" i="7"/>
  <c r="A21" i="6"/>
  <c r="A21" i="3"/>
  <c r="I17" i="9"/>
  <c r="I16" i="9"/>
  <c r="E23" i="8"/>
  <c r="E24" i="8"/>
  <c r="E25" i="8"/>
  <c r="E26" i="8"/>
  <c r="E22" i="8"/>
  <c r="F24" i="8"/>
  <c r="F26" i="8"/>
  <c r="E82" i="3"/>
  <c r="B34" i="6"/>
  <c r="B33" i="6"/>
  <c r="E22" i="1"/>
  <c r="G27" i="4"/>
  <c r="D22" i="1"/>
  <c r="F42" i="7"/>
  <c r="B31" i="6"/>
  <c r="A54" i="6"/>
  <c r="B32" i="6"/>
  <c r="E53" i="6"/>
  <c r="D53" i="6"/>
  <c r="E54" i="6"/>
  <c r="D54" i="6"/>
  <c r="B27" i="6"/>
  <c r="E48" i="6"/>
  <c r="E49" i="6"/>
  <c r="E50" i="6"/>
  <c r="E51" i="6"/>
  <c r="E52" i="6"/>
  <c r="D51" i="6"/>
  <c r="D50" i="6"/>
  <c r="B31" i="7"/>
  <c r="B30" i="7"/>
  <c r="B29" i="7"/>
  <c r="E49" i="7"/>
  <c r="E50" i="7"/>
  <c r="E57" i="7"/>
  <c r="D57" i="7"/>
  <c r="E51" i="7"/>
  <c r="E52" i="7"/>
  <c r="E53" i="7"/>
  <c r="E54" i="7"/>
  <c r="E55" i="7"/>
  <c r="E46" i="7"/>
  <c r="E47" i="7"/>
  <c r="D55" i="7"/>
  <c r="D54" i="7"/>
  <c r="D53" i="7"/>
  <c r="A55" i="7"/>
  <c r="A47" i="7"/>
  <c r="A48" i="7"/>
  <c r="A49" i="7"/>
  <c r="A50" i="7"/>
  <c r="A51" i="7"/>
  <c r="A52" i="7"/>
  <c r="A53" i="7"/>
  <c r="A54" i="7"/>
  <c r="A46" i="7"/>
  <c r="E48" i="7"/>
  <c r="B27" i="3"/>
  <c r="B26" i="3"/>
  <c r="F26" i="3"/>
  <c r="B25" i="3"/>
  <c r="G25" i="3"/>
  <c r="E76" i="3"/>
  <c r="A76" i="3"/>
  <c r="E75" i="3"/>
  <c r="A75" i="3"/>
  <c r="A73" i="3"/>
  <c r="E85" i="3"/>
  <c r="D85" i="3"/>
  <c r="E77" i="3"/>
  <c r="E78" i="3"/>
  <c r="A85" i="3"/>
  <c r="A77" i="3"/>
  <c r="A78" i="3"/>
  <c r="E73" i="3"/>
  <c r="E16" i="4"/>
  <c r="D48" i="6"/>
  <c r="D49" i="6"/>
  <c r="D52" i="6"/>
  <c r="C60" i="6"/>
  <c r="C61" i="6"/>
  <c r="C62" i="6"/>
  <c r="C63" i="6"/>
  <c r="C64" i="6"/>
  <c r="C65" i="6"/>
  <c r="C66" i="6"/>
  <c r="C67" i="6"/>
  <c r="C68" i="6"/>
  <c r="D19" i="4"/>
  <c r="E19" i="4"/>
  <c r="A72" i="3"/>
  <c r="E72" i="3"/>
  <c r="A74" i="3"/>
  <c r="E74" i="3"/>
  <c r="A80" i="3"/>
  <c r="E80" i="3"/>
  <c r="A81" i="3"/>
  <c r="E81" i="3"/>
  <c r="A82" i="3"/>
  <c r="D82" i="3"/>
  <c r="A83" i="3"/>
  <c r="D83" i="3"/>
  <c r="E83" i="3"/>
  <c r="A84" i="3"/>
  <c r="D84" i="3"/>
  <c r="E84" i="3"/>
  <c r="F25" i="3"/>
  <c r="F31" i="3"/>
  <c r="F31" i="6"/>
  <c r="F25" i="6"/>
  <c r="I18" i="2"/>
  <c r="H18" i="2"/>
  <c r="J18" i="2"/>
  <c r="G72" i="3"/>
  <c r="F21" i="4"/>
  <c r="D31" i="3"/>
  <c r="F53" i="7"/>
  <c r="G73" i="3"/>
  <c r="G52" i="7"/>
  <c r="G51" i="6"/>
  <c r="G53" i="6"/>
  <c r="I27" i="2"/>
  <c r="G75" i="3"/>
  <c r="G74" i="3"/>
  <c r="G49" i="6"/>
  <c r="G28" i="4"/>
  <c r="G54" i="6"/>
  <c r="G66" i="3"/>
  <c r="I34" i="2"/>
  <c r="G35" i="7"/>
  <c r="I24" i="2"/>
  <c r="G42" i="7"/>
  <c r="H42" i="7"/>
  <c r="G34" i="7"/>
  <c r="G21" i="4"/>
  <c r="G80" i="3"/>
  <c r="I38" i="2"/>
  <c r="G43" i="6"/>
  <c r="G50" i="7"/>
  <c r="F73" i="3"/>
  <c r="G52" i="6"/>
  <c r="G42" i="6"/>
  <c r="G41" i="6"/>
  <c r="G55" i="7"/>
  <c r="I41" i="2"/>
  <c r="G43" i="7"/>
  <c r="G48" i="6"/>
  <c r="F80" i="3"/>
  <c r="H36" i="2"/>
  <c r="F40" i="7"/>
  <c r="F78" i="3"/>
  <c r="I20" i="2"/>
  <c r="I37" i="2"/>
  <c r="G57" i="3"/>
  <c r="G39" i="6"/>
  <c r="G51" i="3"/>
  <c r="G53" i="7"/>
  <c r="G54" i="3"/>
  <c r="I29" i="2"/>
  <c r="F77" i="3"/>
  <c r="G62" i="3"/>
  <c r="F39" i="3"/>
  <c r="G41" i="7"/>
  <c r="G38" i="7"/>
  <c r="G45" i="6"/>
  <c r="G83" i="3"/>
  <c r="G63" i="3"/>
  <c r="I35" i="2"/>
  <c r="G39" i="3"/>
  <c r="G36" i="7"/>
  <c r="G39" i="7"/>
  <c r="G57" i="7"/>
  <c r="G37" i="7"/>
  <c r="G61" i="3"/>
  <c r="F51" i="3"/>
  <c r="G53" i="3"/>
  <c r="G60" i="3"/>
  <c r="G19" i="4"/>
  <c r="G44" i="6"/>
  <c r="F19" i="4"/>
  <c r="G77" i="3"/>
  <c r="F76" i="3"/>
  <c r="G47" i="7"/>
  <c r="F53" i="6"/>
  <c r="H20" i="2"/>
  <c r="H35" i="2"/>
  <c r="F48" i="6"/>
  <c r="H48" i="6"/>
  <c r="H30" i="2"/>
  <c r="F48" i="7"/>
  <c r="F18" i="4"/>
  <c r="F16" i="4"/>
  <c r="F46" i="7"/>
  <c r="H19" i="2"/>
  <c r="H38" i="2"/>
  <c r="H27" i="2"/>
  <c r="F35" i="7"/>
  <c r="H35" i="7"/>
  <c r="G84" i="3"/>
  <c r="G81" i="3"/>
  <c r="I44" i="2"/>
  <c r="H41" i="2"/>
  <c r="F63" i="3"/>
  <c r="F41" i="7"/>
  <c r="F43" i="7"/>
  <c r="F57" i="3"/>
  <c r="F54" i="6"/>
  <c r="F74" i="3"/>
  <c r="G85" i="3"/>
  <c r="G48" i="7"/>
  <c r="G51" i="7"/>
  <c r="F50" i="6"/>
  <c r="G26" i="4"/>
  <c r="G15" i="8"/>
  <c r="I17" i="8"/>
  <c r="B16" i="8"/>
  <c r="F47" i="7"/>
  <c r="H27" i="4"/>
  <c r="F49" i="6"/>
  <c r="F26" i="4"/>
  <c r="F37" i="7"/>
  <c r="F54" i="7"/>
  <c r="F52" i="6"/>
  <c r="F83" i="3"/>
  <c r="I19" i="2"/>
  <c r="E30" i="7"/>
  <c r="G30" i="7"/>
  <c r="G49" i="7"/>
  <c r="E29" i="7"/>
  <c r="G29" i="7"/>
  <c r="D32" i="6"/>
  <c r="F32" i="6"/>
  <c r="F26" i="6"/>
  <c r="E33" i="6"/>
  <c r="G33" i="6"/>
  <c r="E34" i="6"/>
  <c r="G34" i="6"/>
  <c r="D31" i="6"/>
  <c r="D26" i="3"/>
  <c r="D32" i="3"/>
  <c r="E26" i="3"/>
  <c r="G26" i="3"/>
  <c r="G32" i="3"/>
  <c r="E25" i="3"/>
  <c r="G31" i="3"/>
  <c r="F32" i="3"/>
  <c r="D30" i="7"/>
  <c r="F30" i="7"/>
  <c r="F50" i="7"/>
  <c r="F39" i="6"/>
  <c r="F53" i="3"/>
  <c r="F44" i="6"/>
  <c r="F39" i="7"/>
  <c r="H39" i="2"/>
  <c r="H23" i="2"/>
  <c r="F41" i="6"/>
  <c r="F40" i="3"/>
  <c r="F57" i="7"/>
  <c r="F50" i="3"/>
  <c r="H37" i="2"/>
  <c r="E32" i="6"/>
  <c r="E26" i="6"/>
  <c r="E18" i="4"/>
  <c r="G18" i="4"/>
  <c r="G16" i="4"/>
  <c r="H34" i="2"/>
  <c r="F61" i="3"/>
  <c r="F42" i="6"/>
  <c r="F54" i="3"/>
  <c r="F52" i="7"/>
  <c r="F66" i="3"/>
  <c r="F38" i="7"/>
  <c r="F81" i="3"/>
  <c r="F51" i="6"/>
  <c r="F85" i="3"/>
  <c r="F55" i="7"/>
  <c r="H29" i="2"/>
  <c r="F36" i="7"/>
  <c r="F40" i="6"/>
  <c r="F49" i="7"/>
  <c r="D34" i="6"/>
  <c r="F34" i="6"/>
  <c r="E31" i="6"/>
  <c r="F84" i="3"/>
  <c r="E27" i="3"/>
  <c r="G27" i="3"/>
  <c r="E31" i="7"/>
  <c r="E25" i="7"/>
  <c r="G46" i="7"/>
  <c r="G50" i="6"/>
  <c r="F82" i="3"/>
  <c r="H26" i="2"/>
  <c r="F28" i="4"/>
  <c r="F34" i="7"/>
  <c r="F52" i="3"/>
  <c r="F45" i="6"/>
  <c r="F75" i="3"/>
  <c r="F51" i="7"/>
  <c r="F31" i="4"/>
  <c r="H44" i="2"/>
  <c r="H24" i="2"/>
  <c r="F43" i="6"/>
  <c r="F60" i="3"/>
  <c r="F62" i="3"/>
  <c r="F72" i="3"/>
  <c r="H72" i="3"/>
  <c r="D33" i="6"/>
  <c r="F33" i="6"/>
  <c r="D29" i="7"/>
  <c r="F29" i="7"/>
  <c r="D31" i="7"/>
  <c r="D27" i="3"/>
  <c r="F27" i="3"/>
  <c r="I26" i="2"/>
  <c r="G50" i="3"/>
  <c r="I36" i="2"/>
  <c r="I39" i="2"/>
  <c r="I30" i="2"/>
  <c r="G40" i="3"/>
  <c r="G78" i="3"/>
  <c r="G82" i="3"/>
  <c r="I23" i="2"/>
  <c r="G40" i="6"/>
  <c r="G31" i="4"/>
  <c r="G76" i="3"/>
  <c r="G52" i="3"/>
  <c r="G40" i="7"/>
  <c r="G54" i="7"/>
  <c r="D26" i="6"/>
  <c r="J34" i="2"/>
  <c r="H21" i="4"/>
  <c r="H51" i="6"/>
  <c r="H57" i="3"/>
  <c r="H53" i="6"/>
  <c r="H63" i="3"/>
  <c r="H53" i="7"/>
  <c r="H52" i="7"/>
  <c r="H73" i="3"/>
  <c r="H74" i="3"/>
  <c r="H75" i="3"/>
  <c r="J27" i="2"/>
  <c r="H54" i="6"/>
  <c r="H49" i="6"/>
  <c r="J30" i="2"/>
  <c r="H34" i="7"/>
  <c r="J20" i="2"/>
  <c r="H77" i="3"/>
  <c r="H28" i="4"/>
  <c r="H57" i="7"/>
  <c r="H52" i="6"/>
  <c r="J41" i="2"/>
  <c r="H43" i="7"/>
  <c r="H80" i="3"/>
  <c r="H39" i="6"/>
  <c r="H43" i="6"/>
  <c r="H85" i="3"/>
  <c r="H66" i="3"/>
  <c r="J24" i="2"/>
  <c r="H54" i="3"/>
  <c r="H18" i="4"/>
  <c r="H16" i="4"/>
  <c r="B23" i="4"/>
  <c r="H40" i="7"/>
  <c r="H60" i="3"/>
  <c r="H55" i="7"/>
  <c r="H38" i="7"/>
  <c r="H42" i="6"/>
  <c r="H50" i="7"/>
  <c r="J38" i="2"/>
  <c r="H39" i="7"/>
  <c r="H51" i="7"/>
  <c r="H84" i="3"/>
  <c r="H61" i="3"/>
  <c r="H41" i="6"/>
  <c r="H44" i="6"/>
  <c r="H37" i="7"/>
  <c r="H39" i="3"/>
  <c r="H76" i="3"/>
  <c r="H46" i="7"/>
  <c r="H36" i="7"/>
  <c r="H83" i="3"/>
  <c r="H41" i="7"/>
  <c r="H19" i="4"/>
  <c r="H51" i="3"/>
  <c r="H50" i="6"/>
  <c r="H40" i="6"/>
  <c r="J37" i="2"/>
  <c r="H48" i="7"/>
  <c r="H78" i="3"/>
  <c r="J36" i="2"/>
  <c r="H62" i="3"/>
  <c r="J44" i="2"/>
  <c r="H45" i="6"/>
  <c r="J29" i="2"/>
  <c r="H53" i="3"/>
  <c r="J19" i="2"/>
  <c r="H47" i="7"/>
  <c r="J35" i="2"/>
  <c r="H81" i="3"/>
  <c r="H49" i="7"/>
  <c r="H54" i="7"/>
  <c r="H26" i="4"/>
  <c r="H33" i="6"/>
  <c r="H34" i="6"/>
  <c r="H31" i="4"/>
  <c r="H31" i="3"/>
  <c r="E31" i="3"/>
  <c r="E32" i="3"/>
  <c r="H52" i="3"/>
  <c r="H50" i="3"/>
  <c r="H32" i="3"/>
  <c r="J26" i="2"/>
  <c r="F31" i="7"/>
  <c r="F25" i="7"/>
  <c r="H40" i="3"/>
  <c r="G32" i="6"/>
  <c r="E25" i="6"/>
  <c r="G31" i="6"/>
  <c r="G25" i="6"/>
  <c r="J23" i="2"/>
  <c r="H82" i="3"/>
  <c r="G31" i="7"/>
  <c r="G25" i="7"/>
  <c r="J39" i="2"/>
  <c r="B36" i="3"/>
  <c r="B46" i="2"/>
  <c r="B27" i="7"/>
  <c r="G26" i="6"/>
  <c r="C28" i="6"/>
  <c r="H32" i="6"/>
  <c r="H31" i="6"/>
</calcChain>
</file>

<file path=xl/comments1.xml><?xml version="1.0" encoding="utf-8"?>
<comments xmlns="http://schemas.openxmlformats.org/spreadsheetml/2006/main">
  <authors>
    <author>Daniel Cogan</author>
  </authors>
  <commentList>
    <comment ref="A42" authorId="0" shapeId="0">
      <text>
        <r>
          <rPr>
            <b/>
            <sz val="8"/>
            <color indexed="81"/>
            <rFont val="Tahoma"/>
            <family val="2"/>
          </rPr>
          <t>Source:</t>
        </r>
        <r>
          <rPr>
            <sz val="8"/>
            <color indexed="81"/>
            <rFont val="Tahoma"/>
            <family val="2"/>
          </rPr>
          <t xml:space="preserve">
Means Bldg Constr, 2012
R03210-010</t>
        </r>
      </text>
    </comment>
  </commentList>
</comments>
</file>

<file path=xl/sharedStrings.xml><?xml version="1.0" encoding="utf-8"?>
<sst xmlns="http://schemas.openxmlformats.org/spreadsheetml/2006/main" count="627" uniqueCount="332">
  <si>
    <t>Subtotal</t>
  </si>
  <si>
    <t>Component</t>
  </si>
  <si>
    <t>Units</t>
  </si>
  <si>
    <t>Source, Matls</t>
  </si>
  <si>
    <t>Source, Labor</t>
  </si>
  <si>
    <t>Boiler</t>
  </si>
  <si>
    <t>Ea.</t>
  </si>
  <si>
    <t>Qty</t>
  </si>
  <si>
    <t>LF</t>
  </si>
  <si>
    <t>Raw Material Unit Cost</t>
  </si>
  <si>
    <t>Raw Labor Unit Cost</t>
  </si>
  <si>
    <t>Total Matl</t>
  </si>
  <si>
    <t>Total Labor</t>
  </si>
  <si>
    <t>Markup Labor</t>
  </si>
  <si>
    <t>Markup Materials</t>
  </si>
  <si>
    <t>Sales Tax on Materials</t>
  </si>
  <si>
    <t>If tax-exempt entity, then set sales tax to 0%</t>
  </si>
  <si>
    <t>Copper tubing type L, 3/4" diam, w/ couplings and hangars</t>
  </si>
  <si>
    <t>Copper tubing type L, 1" diam, w/ couplings and hangars</t>
  </si>
  <si>
    <t>Copper tubing type L, 1 1/2" diam, w/ couplings and hangars</t>
  </si>
  <si>
    <t>Copper tubing type L, 2" diam, w/ couplings and hangars</t>
  </si>
  <si>
    <t>Black Steel, sch 40 threaded pipe, 3" diam, w/ couplings and hangars</t>
  </si>
  <si>
    <t>Black Steel, sch 40 threaded pipe, 4" diam, w/ couplings and hangars</t>
  </si>
  <si>
    <t>to delete couplings and hangars from steel pipe</t>
  </si>
  <si>
    <t>to delete couplings and hangars from copper 3/4" and 1"</t>
  </si>
  <si>
    <t>to delete couplings and hangars from copper 1 1/2" &amp; 2"</t>
  </si>
  <si>
    <t>Pipe Insulation Fiberglass, 1" wall, 1" IPS</t>
  </si>
  <si>
    <t>Pipe Insulation Fiberglass, 1" wall, 1 1/2" IPS</t>
  </si>
  <si>
    <t>Pipe Insulation Fiberglass, 1" wall, 2" IPS</t>
  </si>
  <si>
    <t>Pipe Insulation Fiberglass, 1" wall, 3" IPS</t>
  </si>
  <si>
    <t>Pipe Insulation Fiberglass, 1" wall, 4" IPS</t>
  </si>
  <si>
    <t>City</t>
  </si>
  <si>
    <t>ZIP-3</t>
  </si>
  <si>
    <t>Matl</t>
  </si>
  <si>
    <t>Labor</t>
  </si>
  <si>
    <t>New York</t>
  </si>
  <si>
    <t>Staten Island</t>
  </si>
  <si>
    <t>Bronx</t>
  </si>
  <si>
    <t>White Plains</t>
  </si>
  <si>
    <t>Yonkers</t>
  </si>
  <si>
    <t>New Rochelle</t>
  </si>
  <si>
    <t>Suffern</t>
  </si>
  <si>
    <t>Queens</t>
  </si>
  <si>
    <t>Long Island City</t>
  </si>
  <si>
    <t>Brooklyn</t>
  </si>
  <si>
    <t>Jamaica</t>
  </si>
  <si>
    <t>Hicksville</t>
  </si>
  <si>
    <t>Far Rockaway</t>
  </si>
  <si>
    <t>Riverhead</t>
  </si>
  <si>
    <t>Albany</t>
  </si>
  <si>
    <t>Schenectady</t>
  </si>
  <si>
    <t>Kingston</t>
  </si>
  <si>
    <t>Poughkeepsie</t>
  </si>
  <si>
    <t>Monticello</t>
  </si>
  <si>
    <t>Glens Falls</t>
  </si>
  <si>
    <t>Syracuse</t>
  </si>
  <si>
    <t>Utica</t>
  </si>
  <si>
    <t>Watertown</t>
  </si>
  <si>
    <t>Binghamton</t>
  </si>
  <si>
    <t>Buffalo</t>
  </si>
  <si>
    <t>Niagara Falls</t>
  </si>
  <si>
    <t>Rochester</t>
  </si>
  <si>
    <t>Jamestown</t>
  </si>
  <si>
    <t>Elmira</t>
  </si>
  <si>
    <t>Mount Vernon</t>
  </si>
  <si>
    <t>Flushing</t>
  </si>
  <si>
    <t>Plattsburgh</t>
  </si>
  <si>
    <t>ZIP</t>
  </si>
  <si>
    <t>Electrical Service, 20A, 240V receptacle, 30' of NM cable, 2-pole breaker</t>
  </si>
  <si>
    <t>Choose piping size and lengths</t>
  </si>
  <si>
    <t>Choose pipe insulation to correspond with pipe sizes</t>
  </si>
  <si>
    <t>like this</t>
  </si>
  <si>
    <t>Enter Data in cells with yellow highlighting:</t>
  </si>
  <si>
    <t>Stud Wall</t>
  </si>
  <si>
    <t>Drywall</t>
  </si>
  <si>
    <t>5/8" thick sheetrock, taped and finished (Level 4)</t>
  </si>
  <si>
    <t>SF</t>
  </si>
  <si>
    <t>http://www.us.bpb-na.com/gypsum/glasroc/images/thumbs/stucco_t.jpg</t>
  </si>
  <si>
    <t>Gypsum sheathing, weatherproof, 5/8" thick (add 25% to matl for 1/2")</t>
  </si>
  <si>
    <t>Stucco</t>
  </si>
  <si>
    <t>Exterior Stucco, with bonding agent, 3 coats on wall, no mesh</t>
  </si>
  <si>
    <t>SY</t>
  </si>
  <si>
    <t>Mesh, wired to steel, painted, 1.8 lb</t>
  </si>
  <si>
    <t>Asphalt felt sheathing paper</t>
  </si>
  <si>
    <t>100 SF</t>
  </si>
  <si>
    <t>Insulation</t>
  </si>
  <si>
    <t>Slab on Grade</t>
  </si>
  <si>
    <t>6" thick slab on grade, &lt;10,000 SF, trowel finish, not incl forms or reinf</t>
  </si>
  <si>
    <t>Reinforcing, slab on grade, #3 to #7</t>
  </si>
  <si>
    <t>Ton</t>
  </si>
  <si>
    <t>Insulation around perimeter</t>
  </si>
  <si>
    <t>Expanded polystyrene, 2" thick R7.69</t>
  </si>
  <si>
    <t>Other assumptions</t>
  </si>
  <si>
    <t>Size of rebar</t>
  </si>
  <si>
    <t>Spacing (inches)</t>
  </si>
  <si>
    <t>Assume bars run in both directions</t>
  </si>
  <si>
    <t>Pounds per SF</t>
  </si>
  <si>
    <t>Weight of Reinforcing Bar, per foot</t>
  </si>
  <si>
    <t>Costs Per Unit</t>
  </si>
  <si>
    <t>CSF</t>
  </si>
  <si>
    <t>Slab plus #4 rebar reinforcement</t>
  </si>
  <si>
    <t>Slab plus 6 x 6 wire fabric</t>
  </si>
  <si>
    <t>Assume 8K1 steel joists</t>
  </si>
  <si>
    <t>Span</t>
  </si>
  <si>
    <t>Load, plf</t>
  </si>
  <si>
    <t>Capacity at 16" spacing</t>
  </si>
  <si>
    <t>Open web joists, K-series, horizontal bridging, 8K1, up to 16'</t>
  </si>
  <si>
    <t>Floor with Steel Joists</t>
  </si>
  <si>
    <t>Carpet pad, sponge rubber, minimum</t>
  </si>
  <si>
    <t>Carpet, nylon, level loop, 26 oz, light to medium traffic</t>
  </si>
  <si>
    <t>Cost per SF of wall</t>
  </si>
  <si>
    <t>Assumed spacing of joists</t>
  </si>
  <si>
    <t>inches</t>
  </si>
  <si>
    <t>Steel Joists</t>
  </si>
  <si>
    <t>Plywood</t>
  </si>
  <si>
    <t>Carpet pad</t>
  </si>
  <si>
    <t>Roof Deck</t>
  </si>
  <si>
    <t>Extruded Polystyrene, 40 PSI, 3" thick R15</t>
  </si>
  <si>
    <t>Metal roof deck, 1-1/2" deep, wide rib, 22 gauge, 50-500 squares</t>
  </si>
  <si>
    <t>Cost per unit of roof</t>
  </si>
  <si>
    <t>UI</t>
  </si>
  <si>
    <t>Model</t>
  </si>
  <si>
    <t>AV</t>
  </si>
  <si>
    <t>Actual kWh</t>
  </si>
  <si>
    <t>Refrigerators</t>
  </si>
  <si>
    <t>Make</t>
  </si>
  <si>
    <t>1. Enter the percent markup for labor, including fringe expenses.</t>
  </si>
  <si>
    <t>2. Enter the percent markup for materials.</t>
  </si>
  <si>
    <t>3. Enter percent sales tax on materials.  If tax-exempt entity, then enter 0%.</t>
  </si>
  <si>
    <t>Heating</t>
  </si>
  <si>
    <t>Stud Walls</t>
  </si>
  <si>
    <t xml:space="preserve">1. All components have been converted to a per linear foot of wall cost.  </t>
  </si>
  <si>
    <t>Total cost</t>
  </si>
  <si>
    <t>Enter Constants</t>
  </si>
  <si>
    <t>Floor</t>
  </si>
  <si>
    <t xml:space="preserve">1. All components have been converted to a per square foot of floor cost.  </t>
  </si>
  <si>
    <t>Roof</t>
  </si>
  <si>
    <t>Total per SF of Roof</t>
  </si>
  <si>
    <t>Windows</t>
  </si>
  <si>
    <t>1. Select a refrigerator from the list using the size chart below.</t>
  </si>
  <si>
    <t>4. Enter the first 3 digits of the ZIP code where building is to be constructed.  This will be used to</t>
  </si>
  <si>
    <t xml:space="preserve">    adjust the material and labor costs from Means to correspond to the specific location</t>
  </si>
  <si>
    <t>Base Price</t>
  </si>
  <si>
    <t xml:space="preserve">* The equipment size must be determined based on  baseline model load, as calculated by simulation software, with 25% safety factor. Number of boilers shall be per section G3.1.3.2 of Appendix G. </t>
  </si>
  <si>
    <t>#4 bars, 18" OC will meet need for shrinkage and cracking</t>
  </si>
  <si>
    <t>Total Cost</t>
  </si>
  <si>
    <t xml:space="preserve"> </t>
  </si>
  <si>
    <t>Baseline Cost Estimator</t>
  </si>
  <si>
    <t xml:space="preserve">         New Construction Component</t>
  </si>
  <si>
    <r>
      <t>M</t>
    </r>
    <r>
      <rPr>
        <b/>
        <sz val="18"/>
        <color indexed="18"/>
        <rFont val="Times New Roman"/>
        <family val="1"/>
      </rPr>
      <t>ULTIFAMILY</t>
    </r>
    <r>
      <rPr>
        <b/>
        <sz val="22"/>
        <color indexed="18"/>
        <rFont val="Times New Roman"/>
        <family val="1"/>
      </rPr>
      <t xml:space="preserve"> P</t>
    </r>
    <r>
      <rPr>
        <b/>
        <sz val="18"/>
        <color indexed="18"/>
        <rFont val="Times New Roman"/>
        <family val="1"/>
      </rPr>
      <t>ERFORMANCE</t>
    </r>
    <r>
      <rPr>
        <b/>
        <sz val="22"/>
        <color indexed="18"/>
        <rFont val="Times New Roman"/>
        <family val="1"/>
      </rPr>
      <t xml:space="preserve"> P</t>
    </r>
    <r>
      <rPr>
        <b/>
        <sz val="18"/>
        <color indexed="18"/>
        <rFont val="Times New Roman"/>
        <family val="1"/>
      </rPr>
      <t>ROGRAM</t>
    </r>
  </si>
  <si>
    <t>Fiberglass, unfaced, batts or blankets, 3-1/2" thick, R13, 23" wide</t>
  </si>
  <si>
    <t>Plywood subfloor, 3/4" thick</t>
  </si>
  <si>
    <t>RS Means - Vinyl double hung windows - grids, low E Jfin, ext. jambs</t>
  </si>
  <si>
    <t>Width</t>
  </si>
  <si>
    <t>Height</t>
  </si>
  <si>
    <t>Material Price</t>
  </si>
  <si>
    <t>Base Cost Per Window</t>
  </si>
  <si>
    <t>each</t>
  </si>
  <si>
    <t>Vinyl Double Hung Windows</t>
  </si>
  <si>
    <t>1. Enter the total window square footage and number of windows in the building .</t>
  </si>
  <si>
    <t>Labor Price</t>
  </si>
  <si>
    <t>Total Square Footage</t>
  </si>
  <si>
    <t>Total Number of Windows</t>
  </si>
  <si>
    <t>Pipe Insulation Fiberglass, 1" wall, 3/4" IPS (iron pipe size)</t>
  </si>
  <si>
    <t>Hydronic PTAC: 9,000 BTUH</t>
  </si>
  <si>
    <t>Enter the number of PTAC units</t>
  </si>
  <si>
    <t>2. Use the value in the "Total Cost" box for estimate</t>
  </si>
  <si>
    <t>Convert all to LF (Mid or High-rise)</t>
  </si>
  <si>
    <t>Siding</t>
  </si>
  <si>
    <t>Vinyl Siding, Clapboard profile, woodgrain texture, 0.048 thick, double 4</t>
  </si>
  <si>
    <t>M.B.F.</t>
  </si>
  <si>
    <t>M.B.F. = Thousand Board Feet</t>
  </si>
  <si>
    <t>1 Board Foot (BF)= 1'x1'x1"= 1'x1'x1/12'=1/12ft3</t>
  </si>
  <si>
    <t>1 stud at 2"x3" and 8' in height = 1/3ft3 = 1/3ft3 * 1 BF / (1/12)ft3 = 4 board feet</t>
  </si>
  <si>
    <t>each 1LF of wall at 24" OC stud spacing has 0.5 studs, so 1LF of wall = 2 board foot</t>
  </si>
  <si>
    <t>Assumptions (for LF conversion)</t>
  </si>
  <si>
    <t>2 BF * 1 MBF / 1000 BF = 0.002 MBF</t>
  </si>
  <si>
    <t>Climate Zone 5</t>
  </si>
  <si>
    <t>Climate Zone 4</t>
  </si>
  <si>
    <t>Climate Zone 6</t>
  </si>
  <si>
    <t>Choose a Climate Zone:</t>
  </si>
  <si>
    <t>Climate 4 - Mid and High-Rise Non-Residential</t>
  </si>
  <si>
    <t>Climate 4/5/6 - Mid and High-Rise Residential</t>
  </si>
  <si>
    <t>Climate 5/6 - Mid and High-Rise Non-Residential</t>
  </si>
  <si>
    <t>Mid or High-Rise (4 or greater floors)</t>
  </si>
  <si>
    <t>Rigid Insulation, Expanded polystyrene, 1" thick, R-3.85</t>
  </si>
  <si>
    <t>Wood Framing, Stud Walls, 8' high, 2" x 3", 24" OC</t>
  </si>
  <si>
    <t>Metal Framing, Stud Walls, 8' high, 18 ga, 3-5/8" wide, 24" OC, no openings</t>
  </si>
  <si>
    <t>Fiberglass, unfaced, batts or blankets, 3-1/2" thick, R15, 23" wide</t>
  </si>
  <si>
    <t>Fiberglass, unfaced, batts or blankets, 3-1/2" thick, R21, 23" wide</t>
  </si>
  <si>
    <t>LF of Residential Wall</t>
  </si>
  <si>
    <t>Assumption</t>
  </si>
  <si>
    <t>Walls are 8' in height</t>
  </si>
  <si>
    <t>Choose a Climate:</t>
  </si>
  <si>
    <t>3. For the "Total per LF of Wall" row, enter the number of linear feet of wall to be estimated.</t>
  </si>
  <si>
    <t>4. Use the value in the "Total Cost" box for the estimate.</t>
  </si>
  <si>
    <t>Choose Slab Type:</t>
  </si>
  <si>
    <t>1. Choose Slab Type from the drop down menu.</t>
  </si>
  <si>
    <t>2. Enter the number of square feet of slab to be priced in the appropriate row, depending on whether rebar or wire mesh will be used as reinforcement.</t>
  </si>
  <si>
    <t>Total Wall Area</t>
  </si>
  <si>
    <t>Perimeter insulation (if applicable)</t>
  </si>
  <si>
    <t xml:space="preserve">4. Use value in "Total Cost" box for estimate. </t>
  </si>
  <si>
    <t>3. If required by ASHRAE 90.1 or NYSECCC, enter the length of the perimeter of the foundation in row for "perimeter insulation."</t>
  </si>
  <si>
    <t>Boiler(s)</t>
  </si>
  <si>
    <t>Cast-Iron Boiler, Gas-Fired, standard controls, hot water, 80 MBH</t>
  </si>
  <si>
    <t>Cast-Iron Boiler, Gas-Fired, standard controls, hot water, 320 MBH</t>
  </si>
  <si>
    <t>Cast-Iron Boiler, Gas-Fired, standard controls, hot water, 6100 MBH</t>
  </si>
  <si>
    <t>Cast-Iron Boiler, Gas-Fired, standard controls, hot water, 6970 MBH</t>
  </si>
  <si>
    <t>MBH</t>
  </si>
  <si>
    <t>Material Cost</t>
  </si>
  <si>
    <t>Labor Cost</t>
  </si>
  <si>
    <t>Circulating Pump, Flange connection, 3/4" to 1-1/2" size, 1/8 HP</t>
  </si>
  <si>
    <t>Expansion Tank, Steel, liquid expansion, ASME, painted, 40 gallon</t>
  </si>
  <si>
    <t>1. Determine sizing* for boiler.</t>
  </si>
  <si>
    <t>2. Enter quantities for all components, paying attention to the units of measure (e.g. linear feet, each, etc).  Enter zero for components not used.</t>
  </si>
  <si>
    <t>3. For piping and insulation, select the proper size and length -- may need some from several different sizes.</t>
  </si>
  <si>
    <t>4. To delete couplings and hangars, decrease the material and labor unit costs by the percentages shown in the appropriate lines</t>
  </si>
  <si>
    <t>5. Add in any components not included here, e.g. chimney costs.</t>
  </si>
  <si>
    <t>6. Use the value in the "Total Cost" box for the estimate.</t>
  </si>
  <si>
    <t>2. Use the price and kWh for the refrigerator size found in proposed design.</t>
  </si>
  <si>
    <t>Price per appliance</t>
  </si>
  <si>
    <t>Joist framing, Joists, 2"x4", 24" OC</t>
  </si>
  <si>
    <t>Unfaced fiberglass 12" thick, R-38, 23" wide</t>
  </si>
  <si>
    <t>Unfaced fiberglass 3.5" thick, R-11, 23" wide</t>
  </si>
  <si>
    <t>Sheating, plywood on roofs, 5/8" thick</t>
  </si>
  <si>
    <t>Asphalt roof shingles, standard strip shingles, Inorganic, class a, 210-235lb/sq</t>
  </si>
  <si>
    <t>Built-up Roofing Systems Asphal flood coat with fravel/slag surfacing, base sheet</t>
  </si>
  <si>
    <t>Convert all to SF</t>
  </si>
  <si>
    <t>Joist framing, Joists, 2"x4", 24" OC for slanted roof</t>
  </si>
  <si>
    <t>Slanted roof assumed to be 30degrees.</t>
  </si>
  <si>
    <t>1 SF of roofing at 30degree slope = 1.15*1SF = 1.15SF</t>
  </si>
  <si>
    <t>1'x1.15' = 1/2(2"x4"x1.15') = .03194ft3 / 1/12ft3 = .383333 BF = 3.83333x10^4 MBF</t>
  </si>
  <si>
    <t>For flat ceiling in attic:</t>
  </si>
  <si>
    <t>1'x1' = 1/2(2'x4'x1') = 1/36ft3 / 1/12ft3 = 1/3BF = 1/3000 MBF</t>
  </si>
  <si>
    <t>Low-Rise roof with attic space Climate 6</t>
  </si>
  <si>
    <t>Low-Rise roof with attic space Climate 4/5</t>
  </si>
  <si>
    <t>Mid or High-Rise roof</t>
  </si>
  <si>
    <t>1. Choose a Climate Zone</t>
  </si>
  <si>
    <t>Insulation, 9" kraft faced, 24" wide, R19</t>
  </si>
  <si>
    <t>Mid or High-rise Climate Zone 4/5 Residential</t>
  </si>
  <si>
    <t>Mid or High-rise Climate Zone 4/5 Non-Residential</t>
  </si>
  <si>
    <t>Carpet</t>
  </si>
  <si>
    <t>Insulation R30</t>
  </si>
  <si>
    <t>Insulation R19</t>
  </si>
  <si>
    <t>Residential - Total area of floor</t>
  </si>
  <si>
    <t>Total Area of floor</t>
  </si>
  <si>
    <t>2. Choose a Climate Zone</t>
  </si>
  <si>
    <t>Non-Residential - Total area of floor (N/A for Low-Rise Projects)</t>
  </si>
  <si>
    <t>Mid or High-rise Climate Zone 6 - Non- Residential</t>
  </si>
  <si>
    <t>Mid or High-rise Climate Zone 6 - Residential</t>
  </si>
  <si>
    <t>Polyethylene vapor barrier standard</t>
  </si>
  <si>
    <t>Slab-on-Grade</t>
  </si>
  <si>
    <t>LF of Non-Residential Wall</t>
  </si>
  <si>
    <t>2. Choose a Climate Zone from the drop down menu.</t>
  </si>
  <si>
    <t>3. For the "Total per SF of Floor" row, enter the square feet of floor to be estimated.</t>
  </si>
  <si>
    <t>2. Enter the total SF of roof needed, (i.e. length * width).</t>
  </si>
  <si>
    <t>3. Use value in the "Total Cost" box for estimate.</t>
  </si>
  <si>
    <t>Cast-Iron Boiler, Gas-Fired, standard controls, hot water, 1275 MBH</t>
  </si>
  <si>
    <t>Total Capacity</t>
  </si>
  <si>
    <t>Freezer Capacity</t>
  </si>
  <si>
    <t>Fridge Capacity</t>
  </si>
  <si>
    <t>Cast-Iron Boiler, Gas-Fired, standard controls, hot water, 3264 MBH</t>
  </si>
  <si>
    <t>Cast-Iron Boiler, Gas-Fired, standard controls, hot water, 2856 MBH</t>
  </si>
  <si>
    <t>Means Mech. 2014, 221113232180</t>
  </si>
  <si>
    <t>Means Mech. 2014, 221113232200</t>
  </si>
  <si>
    <t>Means Mech. 2014, 221113232940</t>
  </si>
  <si>
    <t>Means Mech. 2014, 221113441250</t>
  </si>
  <si>
    <t>Means Mech. 2014, 221113232240</t>
  </si>
  <si>
    <t>Means Mech. 2014, 221113232260</t>
  </si>
  <si>
    <t>Means Mech. 2014, 221113232960</t>
  </si>
  <si>
    <t>Means Mech. 2014, 221113440630</t>
  </si>
  <si>
    <t>Means Mech. 2014, 221113440650</t>
  </si>
  <si>
    <t>Means Mech. 2014, 220719106870</t>
  </si>
  <si>
    <t>Means Mech. 2014, 220719106860</t>
  </si>
  <si>
    <t>Means Mech. 2014, 220719106890</t>
  </si>
  <si>
    <t>Means Mech. 2014, 220719106900</t>
  </si>
  <si>
    <t>Means Mech. 2014, 220719106920</t>
  </si>
  <si>
    <t>Means Mech. 2014, 220719106940</t>
  </si>
  <si>
    <t>Means Mech. 2014, 232123121060</t>
  </si>
  <si>
    <t>Means Mech. 2014, 232120462060</t>
  </si>
  <si>
    <t>Means Mech. 2014, 235223200010</t>
  </si>
  <si>
    <t>Means Mech. 2014, 260590104570</t>
  </si>
  <si>
    <t>Means Mech. 2014, 238113100220 w/ 5% for hydronic</t>
  </si>
  <si>
    <t>Means Mech. 2014, 238113100220 w/ 10% for hydronic</t>
  </si>
  <si>
    <t>Means Bldg Const. 2014, 054113304150</t>
  </si>
  <si>
    <t>Means Bldg Const. 2014, 061110406120</t>
  </si>
  <si>
    <t>Means Bldg Const. 2014, 072113102100</t>
  </si>
  <si>
    <t>Rigid Insulation, Expanded polystyrene, 2" thick, R-7.69</t>
  </si>
  <si>
    <t>Means Bldg Const. 2014, 072113102120</t>
  </si>
  <si>
    <t>Means Bldg Const. 2014, 072116200830</t>
  </si>
  <si>
    <t>Means Bldg Const. 2014, 072116200836</t>
  </si>
  <si>
    <t>Means Bldg Const. 2014, 072116200888</t>
  </si>
  <si>
    <t>Means Bldg Const. 2014, 092910302050</t>
  </si>
  <si>
    <t>Means Bldg Const. 2014, 061636103100</t>
  </si>
  <si>
    <t>Means Bldg Const. 2014, 072610100900</t>
  </si>
  <si>
    <t>Means Bldg Const. 2014, 092423401900</t>
  </si>
  <si>
    <t>Means Bldg Const. 2014, 092423401000</t>
  </si>
  <si>
    <t>Means Bldg Const. 2014, 074633103995</t>
  </si>
  <si>
    <t>Means Bldg Const. 2014, 033053405010</t>
  </si>
  <si>
    <t>Means Bldg Const. 2014, 032111600600</t>
  </si>
  <si>
    <t>Welded wire fabric, 4 x 4 - W4 x W4 85lb. Per C.S.F.</t>
  </si>
  <si>
    <t>Means Bldg Const. 2014, 032211100700</t>
  </si>
  <si>
    <t>Means Bldg Const. 2014, 052119100130</t>
  </si>
  <si>
    <t>Means Bldg Const. 2014, 061623100205</t>
  </si>
  <si>
    <t>Means Bldg Const. 2014, 096810109000</t>
  </si>
  <si>
    <t>Means Bldg Const. 2014, 096816100700</t>
  </si>
  <si>
    <t>Insulation, 9" kraft faced, 23" wide, R30</t>
  </si>
  <si>
    <t>Means Bldg Const. 2014, 072116200220</t>
  </si>
  <si>
    <t>Means Bldg Const. 2014, 072116200180</t>
  </si>
  <si>
    <t>Means Bldg Const. 2014, 061110182650</t>
  </si>
  <si>
    <t>Means Bldg Const. 2014, 053123502200</t>
  </si>
  <si>
    <t>Means Bldg Const. 2014, 072113101960</t>
  </si>
  <si>
    <t>Means Bldg Const. 2014, 075113200200</t>
  </si>
  <si>
    <t>Means Bldg Const. 2014, 072116200960</t>
  </si>
  <si>
    <t>Means Bldg Const. 2014, 072116200620</t>
  </si>
  <si>
    <t>Means Bldg Const. 2014, 061636100200</t>
  </si>
  <si>
    <t>Means Bldg Const. 2014, 073113100150</t>
  </si>
  <si>
    <t>Means Bldg Const. 2014, 085313300100</t>
  </si>
  <si>
    <t>From graph below, and Means Bldg Const. 2014 0853133</t>
  </si>
  <si>
    <t>Means Bldg Const. 2014, 0853133 (average)</t>
  </si>
  <si>
    <t>Means Bldg Const. 2014, 085313300130</t>
  </si>
  <si>
    <t>Means Bldg Const. 2014, 085313300190</t>
  </si>
  <si>
    <t>Means Bldg Const. 2014, 085313300230</t>
  </si>
  <si>
    <t>Means Bldg Const. 2014, 085313300280</t>
  </si>
  <si>
    <t>GE</t>
  </si>
  <si>
    <t>GTS18GBEWW</t>
  </si>
  <si>
    <t>Source: all of the refrigerators below were found on sears.com website on 9/2014.</t>
  </si>
  <si>
    <t>Whirlpool</t>
  </si>
  <si>
    <t>W6TXNWFWT</t>
  </si>
  <si>
    <t>W4TXNWFWQ</t>
  </si>
  <si>
    <t>Means Mech. 2014  235223200010</t>
  </si>
  <si>
    <t>Version 6: 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</si>
</sst>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70" formatCode="&quot;$&quot;#,##0"/>
    <numFmt numFmtId="172" formatCode="&quot;$&quot;#,##0.00"/>
    <numFmt numFmtId="174" formatCode="0.0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22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name val="Times New Roman"/>
      <family val="1"/>
    </font>
    <font>
      <b/>
      <sz val="20"/>
      <color indexed="52"/>
      <name val="Times New Roman"/>
      <family val="1"/>
    </font>
    <font>
      <b/>
      <sz val="18"/>
      <color indexed="18"/>
      <name val="Times New Roman"/>
      <family val="1"/>
    </font>
    <font>
      <b/>
      <i/>
      <sz val="22"/>
      <color indexed="53"/>
      <name val="Times New Roman"/>
      <family val="1"/>
    </font>
    <font>
      <b/>
      <i/>
      <sz val="22"/>
      <color indexed="10"/>
      <name val="Times New Roman"/>
      <family val="1"/>
    </font>
    <font>
      <sz val="10"/>
      <color indexed="10"/>
      <name val="Arial"/>
      <family val="2"/>
    </font>
    <font>
      <b/>
      <i/>
      <sz val="20"/>
      <color indexed="10"/>
      <name val="Times New Roman"/>
      <family val="1"/>
    </font>
    <font>
      <i/>
      <sz val="10"/>
      <color indexed="10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170" fontId="0" fillId="0" borderId="0" xfId="0" applyNumberFormat="1"/>
    <xf numFmtId="172" fontId="0" fillId="0" borderId="0" xfId="0" applyNumberFormat="1"/>
    <xf numFmtId="172" fontId="0" fillId="0" borderId="1" xfId="0" applyNumberFormat="1" applyBorder="1"/>
    <xf numFmtId="0" fontId="0" fillId="0" borderId="0" xfId="0" applyFill="1"/>
    <xf numFmtId="9" fontId="0" fillId="0" borderId="0" xfId="5" applyFont="1"/>
    <xf numFmtId="0" fontId="2" fillId="0" borderId="0" xfId="0" applyFont="1" applyFill="1"/>
    <xf numFmtId="0" fontId="2" fillId="0" borderId="0" xfId="0" applyFont="1"/>
    <xf numFmtId="0" fontId="0" fillId="0" borderId="1" xfId="0" applyFill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/>
    <xf numFmtId="9" fontId="2" fillId="2" borderId="4" xfId="0" applyNumberFormat="1" applyFont="1" applyFill="1" applyBorder="1"/>
    <xf numFmtId="0" fontId="2" fillId="2" borderId="4" xfId="0" applyFont="1" applyFill="1" applyBorder="1"/>
    <xf numFmtId="9" fontId="1" fillId="0" borderId="0" xfId="5"/>
    <xf numFmtId="0" fontId="3" fillId="2" borderId="4" xfId="0" applyFont="1" applyFill="1" applyBorder="1"/>
    <xf numFmtId="0" fontId="0" fillId="2" borderId="4" xfId="0" applyFill="1" applyBorder="1"/>
    <xf numFmtId="0" fontId="3" fillId="0" borderId="0" xfId="0" applyFont="1" applyFill="1" applyBorder="1"/>
    <xf numFmtId="172" fontId="0" fillId="0" borderId="0" xfId="0" applyNumberFormat="1" applyFill="1" applyBorder="1"/>
    <xf numFmtId="0" fontId="3" fillId="3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172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Fill="1" applyBorder="1"/>
    <xf numFmtId="172" fontId="2" fillId="0" borderId="0" xfId="0" applyNumberFormat="1" applyFont="1"/>
    <xf numFmtId="0" fontId="0" fillId="0" borderId="0" xfId="0" applyAlignment="1">
      <alignment wrapText="1"/>
    </xf>
    <xf numFmtId="172" fontId="2" fillId="4" borderId="4" xfId="0" applyNumberFormat="1" applyFont="1" applyFill="1" applyBorder="1"/>
    <xf numFmtId="172" fontId="3" fillId="0" borderId="0" xfId="0" applyNumberFormat="1" applyFont="1" applyFill="1" applyBorder="1"/>
    <xf numFmtId="172" fontId="3" fillId="0" borderId="6" xfId="0" applyNumberFormat="1" applyFont="1" applyFill="1" applyBorder="1"/>
    <xf numFmtId="172" fontId="0" fillId="0" borderId="6" xfId="0" applyNumberFormat="1" applyBorder="1"/>
    <xf numFmtId="0" fontId="5" fillId="0" borderId="0" xfId="0" applyFont="1"/>
    <xf numFmtId="0" fontId="6" fillId="0" borderId="0" xfId="0" applyFont="1"/>
    <xf numFmtId="0" fontId="9" fillId="0" borderId="0" xfId="0" applyFont="1" applyFill="1" applyBorder="1" applyAlignment="1">
      <alignment horizontal="left" vertical="top"/>
    </xf>
    <xf numFmtId="0" fontId="7" fillId="0" borderId="0" xfId="0" applyFont="1" applyAlignment="1"/>
    <xf numFmtId="0" fontId="10" fillId="0" borderId="0" xfId="0" applyFont="1" applyAlignment="1"/>
    <xf numFmtId="0" fontId="11" fillId="0" borderId="0" xfId="0" applyFont="1" applyFill="1" applyBorder="1" applyAlignment="1"/>
    <xf numFmtId="0" fontId="9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6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0" fontId="2" fillId="0" borderId="0" xfId="0" applyFont="1" applyProtection="1">
      <protection locked="0"/>
    </xf>
    <xf numFmtId="17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72" fontId="0" fillId="0" borderId="0" xfId="0" applyNumberFormat="1" applyFill="1" applyBorder="1" applyProtection="1">
      <protection locked="0"/>
    </xf>
    <xf numFmtId="172" fontId="0" fillId="0" borderId="0" xfId="0" applyNumberFormat="1" applyBorder="1" applyProtection="1">
      <protection locked="0"/>
    </xf>
    <xf numFmtId="172" fontId="2" fillId="4" borderId="4" xfId="0" applyNumberFormat="1" applyFont="1" applyFill="1" applyBorder="1" applyProtection="1">
      <protection locked="0"/>
    </xf>
    <xf numFmtId="0" fontId="7" fillId="0" borderId="0" xfId="3" applyFont="1" applyAlignment="1" applyProtection="1">
      <alignment horizontal="left"/>
      <protection locked="0"/>
    </xf>
    <xf numFmtId="0" fontId="3" fillId="0" borderId="0" xfId="3" applyProtection="1">
      <protection locked="0"/>
    </xf>
    <xf numFmtId="0" fontId="21" fillId="0" borderId="0" xfId="2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15" fillId="0" borderId="0" xfId="3" applyFont="1" applyAlignment="1" applyProtection="1">
      <protection locked="0"/>
    </xf>
    <xf numFmtId="0" fontId="11" fillId="0" borderId="0" xfId="3" applyFont="1" applyFill="1" applyBorder="1" applyAlignment="1" applyProtection="1">
      <protection locked="0"/>
    </xf>
    <xf numFmtId="0" fontId="9" fillId="0" borderId="0" xfId="3" applyFont="1" applyAlignment="1" applyProtection="1">
      <protection locked="0"/>
    </xf>
    <xf numFmtId="0" fontId="4" fillId="0" borderId="0" xfId="3" applyFont="1" applyProtection="1">
      <protection locked="0"/>
    </xf>
    <xf numFmtId="0" fontId="17" fillId="5" borderId="0" xfId="2" applyFont="1" applyFill="1" applyProtection="1">
      <protection locked="0"/>
    </xf>
    <xf numFmtId="172" fontId="21" fillId="0" borderId="0" xfId="2" applyNumberFormat="1" applyProtection="1">
      <protection locked="0"/>
    </xf>
    <xf numFmtId="0" fontId="21" fillId="0" borderId="0" xfId="2" applyAlignment="1" applyProtection="1">
      <alignment horizontal="right"/>
      <protection locked="0"/>
    </xf>
    <xf numFmtId="0" fontId="21" fillId="0" borderId="0" xfId="2" applyAlignment="1" applyProtection="1">
      <alignment horizontal="center"/>
      <protection locked="0"/>
    </xf>
    <xf numFmtId="0" fontId="21" fillId="0" borderId="0" xfId="2" applyAlignment="1" applyProtection="1">
      <alignment horizontal="center" wrapText="1"/>
      <protection locked="0"/>
    </xf>
    <xf numFmtId="172" fontId="3" fillId="0" borderId="0" xfId="0" applyNumberFormat="1" applyFont="1"/>
    <xf numFmtId="0" fontId="0" fillId="6" borderId="0" xfId="0" applyFill="1"/>
    <xf numFmtId="0" fontId="0" fillId="6" borderId="1" xfId="0" applyFill="1" applyBorder="1"/>
    <xf numFmtId="172" fontId="0" fillId="0" borderId="6" xfId="0" applyNumberFormat="1" applyFill="1" applyBorder="1"/>
    <xf numFmtId="172" fontId="3" fillId="0" borderId="0" xfId="0" applyNumberFormat="1" applyFont="1" applyBorder="1"/>
    <xf numFmtId="0" fontId="3" fillId="0" borderId="0" xfId="0" applyFont="1" applyBorder="1"/>
    <xf numFmtId="0" fontId="0" fillId="0" borderId="6" xfId="0" applyFill="1" applyBorder="1"/>
    <xf numFmtId="3" fontId="2" fillId="4" borderId="4" xfId="0" applyNumberFormat="1" applyFont="1" applyFill="1" applyBorder="1"/>
    <xf numFmtId="0" fontId="0" fillId="0" borderId="0" xfId="0" quotePrefix="1"/>
    <xf numFmtId="0" fontId="2" fillId="0" borderId="0" xfId="0" applyFont="1" applyAlignment="1">
      <alignment wrapText="1"/>
    </xf>
    <xf numFmtId="0" fontId="0" fillId="6" borderId="0" xfId="0" applyFill="1" applyProtection="1">
      <protection locked="0"/>
    </xf>
    <xf numFmtId="0" fontId="0" fillId="0" borderId="8" xfId="0" applyBorder="1"/>
    <xf numFmtId="0" fontId="0" fillId="0" borderId="9" xfId="0" applyBorder="1"/>
    <xf numFmtId="174" fontId="0" fillId="0" borderId="10" xfId="0" applyNumberForma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6" borderId="0" xfId="0" applyFont="1" applyFill="1" applyProtection="1">
      <protection locked="0"/>
    </xf>
    <xf numFmtId="172" fontId="2" fillId="6" borderId="0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172" fontId="0" fillId="0" borderId="6" xfId="0" applyNumberFormat="1" applyBorder="1" applyProtection="1">
      <protection locked="0"/>
    </xf>
    <xf numFmtId="0" fontId="0" fillId="6" borderId="6" xfId="0" applyFill="1" applyBorder="1"/>
    <xf numFmtId="0" fontId="0" fillId="6" borderId="0" xfId="0" applyFill="1" applyBorder="1"/>
    <xf numFmtId="0" fontId="2" fillId="4" borderId="4" xfId="0" applyNumberFormat="1" applyFont="1" applyFill="1" applyBorder="1"/>
    <xf numFmtId="0" fontId="3" fillId="0" borderId="16" xfId="0" applyFont="1" applyBorder="1"/>
    <xf numFmtId="0" fontId="0" fillId="0" borderId="6" xfId="0" applyFill="1" applyBorder="1" applyProtection="1">
      <protection locked="0"/>
    </xf>
    <xf numFmtId="0" fontId="21" fillId="0" borderId="6" xfId="2" applyBorder="1" applyAlignment="1" applyProtection="1">
      <alignment horizontal="center"/>
      <protection locked="0"/>
    </xf>
    <xf numFmtId="0" fontId="21" fillId="0" borderId="6" xfId="2" applyBorder="1" applyProtection="1">
      <protection locked="0"/>
    </xf>
    <xf numFmtId="0" fontId="3" fillId="0" borderId="4" xfId="0" applyFont="1" applyFill="1" applyBorder="1"/>
    <xf numFmtId="172" fontId="3" fillId="0" borderId="1" xfId="0" applyNumberFormat="1" applyFont="1" applyBorder="1"/>
    <xf numFmtId="172" fontId="0" fillId="7" borderId="10" xfId="0" applyNumberFormat="1" applyFill="1" applyBorder="1"/>
    <xf numFmtId="172" fontId="0" fillId="7" borderId="12" xfId="0" applyNumberFormat="1" applyFill="1" applyBorder="1"/>
    <xf numFmtId="0" fontId="0" fillId="0" borderId="0" xfId="0" applyFill="1" applyBorder="1" applyAlignment="1">
      <alignment horizontal="left"/>
    </xf>
    <xf numFmtId="0" fontId="3" fillId="0" borderId="17" xfId="0" applyFont="1" applyBorder="1"/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/>
    <xf numFmtId="0" fontId="3" fillId="0" borderId="18" xfId="0" applyFont="1" applyFill="1" applyBorder="1"/>
    <xf numFmtId="174" fontId="3" fillId="0" borderId="18" xfId="0" applyNumberFormat="1" applyFont="1" applyBorder="1"/>
    <xf numFmtId="174" fontId="3" fillId="0" borderId="5" xfId="0" applyNumberFormat="1" applyFont="1" applyBorder="1"/>
    <xf numFmtId="0" fontId="3" fillId="0" borderId="1" xfId="0" applyFont="1" applyBorder="1"/>
    <xf numFmtId="174" fontId="3" fillId="0" borderId="0" xfId="0" applyNumberFormat="1" applyFont="1" applyBorder="1"/>
    <xf numFmtId="174" fontId="3" fillId="0" borderId="6" xfId="0" applyNumberFormat="1" applyFont="1" applyBorder="1"/>
    <xf numFmtId="0" fontId="3" fillId="0" borderId="2" xfId="0" applyFont="1" applyBorder="1"/>
    <xf numFmtId="0" fontId="3" fillId="0" borderId="19" xfId="0" applyFont="1" applyBorder="1"/>
    <xf numFmtId="174" fontId="3" fillId="0" borderId="19" xfId="0" applyNumberFormat="1" applyFont="1" applyBorder="1"/>
    <xf numFmtId="174" fontId="3" fillId="0" borderId="7" xfId="0" applyNumberFormat="1" applyFont="1" applyBorder="1"/>
    <xf numFmtId="172" fontId="3" fillId="0" borderId="0" xfId="0" applyNumberFormat="1" applyFont="1" applyProtection="1">
      <protection locked="0"/>
    </xf>
    <xf numFmtId="0" fontId="11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</cellXfs>
  <cellStyles count="6">
    <cellStyle name="Normal" xfId="0" builtinId="0"/>
    <cellStyle name="Normal 3 2" xfId="1"/>
    <cellStyle name="Normal 4" xfId="2"/>
    <cellStyle name="Normal 8" xfId="3"/>
    <cellStyle name="Normal 9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Material Cost Vs. MBH</a:t>
            </a:r>
          </a:p>
        </c:rich>
      </c:tx>
      <c:layout>
        <c:manualLayout>
          <c:xMode val="edge"/>
          <c:yMode val="edge"/>
          <c:x val="0.30924999999999997"/>
          <c:y val="1.388888888888888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182174103237094"/>
          <c:y val="0.15788203557888597"/>
          <c:w val="0.53715748031496058"/>
          <c:h val="0.585262102653834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4.8687664041994751E-4"/>
                  <c:y val="0.2691393263342082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Heating!$B$52:$B$58</c:f>
              <c:numCache>
                <c:formatCode>General</c:formatCode>
                <c:ptCount val="7"/>
                <c:pt idx="0">
                  <c:v>80</c:v>
                </c:pt>
                <c:pt idx="1">
                  <c:v>320</c:v>
                </c:pt>
                <c:pt idx="2">
                  <c:v>1275</c:v>
                </c:pt>
                <c:pt idx="3">
                  <c:v>2856</c:v>
                </c:pt>
                <c:pt idx="4">
                  <c:v>3264</c:v>
                </c:pt>
                <c:pt idx="5">
                  <c:v>6100</c:v>
                </c:pt>
                <c:pt idx="6">
                  <c:v>6970</c:v>
                </c:pt>
              </c:numCache>
            </c:numRef>
          </c:xVal>
          <c:yVal>
            <c:numRef>
              <c:f>Heating!$C$52:$C$58</c:f>
              <c:numCache>
                <c:formatCode>"$"#,##0.00</c:formatCode>
                <c:ptCount val="7"/>
                <c:pt idx="0">
                  <c:v>2150</c:v>
                </c:pt>
                <c:pt idx="1">
                  <c:v>4500</c:v>
                </c:pt>
                <c:pt idx="2">
                  <c:v>15500</c:v>
                </c:pt>
                <c:pt idx="3">
                  <c:v>28300</c:v>
                </c:pt>
                <c:pt idx="4">
                  <c:v>30000</c:v>
                </c:pt>
                <c:pt idx="5">
                  <c:v>101500</c:v>
                </c:pt>
                <c:pt idx="6">
                  <c:v>110500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77952"/>
        <c:axId val="182151712"/>
      </c:scatterChart>
      <c:valAx>
        <c:axId val="18347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MBH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151712"/>
        <c:crosses val="autoZero"/>
        <c:crossBetween val="midCat"/>
      </c:valAx>
      <c:valAx>
        <c:axId val="18215171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Cost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4779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Labor Cost Vs. MBH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Labor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5550100550968106"/>
                  <c:y val="-0.4295474056284733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Heating!$B$52:$B$58</c:f>
              <c:numCache>
                <c:formatCode>General</c:formatCode>
                <c:ptCount val="7"/>
                <c:pt idx="0">
                  <c:v>80</c:v>
                </c:pt>
                <c:pt idx="1">
                  <c:v>320</c:v>
                </c:pt>
                <c:pt idx="2">
                  <c:v>1275</c:v>
                </c:pt>
                <c:pt idx="3">
                  <c:v>2856</c:v>
                </c:pt>
                <c:pt idx="4">
                  <c:v>3264</c:v>
                </c:pt>
                <c:pt idx="5">
                  <c:v>6100</c:v>
                </c:pt>
                <c:pt idx="6">
                  <c:v>6970</c:v>
                </c:pt>
              </c:numCache>
            </c:numRef>
          </c:xVal>
          <c:yVal>
            <c:numRef>
              <c:f>Heating!$F$52:$F$58</c:f>
              <c:numCache>
                <c:formatCode>"$"#,##0.00</c:formatCode>
                <c:ptCount val="7"/>
                <c:pt idx="0">
                  <c:v>1225</c:v>
                </c:pt>
                <c:pt idx="1">
                  <c:v>2225</c:v>
                </c:pt>
                <c:pt idx="2">
                  <c:v>5000</c:v>
                </c:pt>
                <c:pt idx="3">
                  <c:v>8900</c:v>
                </c:pt>
                <c:pt idx="4">
                  <c:v>10000</c:v>
                </c:pt>
                <c:pt idx="5">
                  <c:v>13900</c:v>
                </c:pt>
                <c:pt idx="6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07896"/>
        <c:axId val="183608280"/>
      </c:scatterChart>
      <c:valAx>
        <c:axId val="18360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608280"/>
        <c:crosses val="autoZero"/>
        <c:crossBetween val="midCat"/>
      </c:valAx>
      <c:valAx>
        <c:axId val="183608280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607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16666666666667"/>
          <c:y val="0.4861111111111111"/>
          <c:w val="0.23958333333333337"/>
          <c:h val="0.1666666666666666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Square Footage vs. Price</a:t>
            </a:r>
          </a:p>
        </c:rich>
      </c:tx>
      <c:layout>
        <c:manualLayout>
          <c:xMode val="edge"/>
          <c:yMode val="edge"/>
          <c:x val="0.15327777138504869"/>
          <c:y val="2.7777891399938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493455779225"/>
          <c:y val="0.20085523400484032"/>
          <c:w val="0.7794986934837137"/>
          <c:h val="0.54844837577121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7.105974326308627E-2"/>
                  <c:y val="0.141136107986501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Windows!$F$22:$F$26</c:f>
              <c:numCache>
                <c:formatCode>General</c:formatCode>
                <c:ptCount val="5"/>
                <c:pt idx="0">
                  <c:v>7.729166666666667</c:v>
                </c:pt>
                <c:pt idx="1">
                  <c:v>7.1180555555555554</c:v>
                </c:pt>
                <c:pt idx="2">
                  <c:v>11.479166666666666</c:v>
                </c:pt>
                <c:pt idx="3">
                  <c:v>13.0625</c:v>
                </c:pt>
                <c:pt idx="4">
                  <c:v>16.701388888888889</c:v>
                </c:pt>
              </c:numCache>
            </c:numRef>
          </c:xVal>
          <c:yVal>
            <c:numRef>
              <c:f>Windows!$G$22:$G$26</c:f>
              <c:numCache>
                <c:formatCode>"$"#,##0.00</c:formatCode>
                <c:ptCount val="5"/>
                <c:pt idx="0">
                  <c:v>215</c:v>
                </c:pt>
                <c:pt idx="1">
                  <c:v>215</c:v>
                </c:pt>
                <c:pt idx="2">
                  <c:v>232</c:v>
                </c:pt>
                <c:pt idx="3">
                  <c:v>238</c:v>
                </c:pt>
                <c:pt idx="4">
                  <c:v>280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07560"/>
        <c:axId val="182592304"/>
      </c:scatterChart>
      <c:valAx>
        <c:axId val="18260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Total Window Square Footage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92304"/>
        <c:crosses val="autoZero"/>
        <c:crossBetween val="midCat"/>
      </c:valAx>
      <c:valAx>
        <c:axId val="18259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Price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607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5</xdr:row>
      <xdr:rowOff>0</xdr:rowOff>
    </xdr:from>
    <xdr:to>
      <xdr:col>3</xdr:col>
      <xdr:colOff>609600</xdr:colOff>
      <xdr:row>5</xdr:row>
      <xdr:rowOff>0</xdr:rowOff>
    </xdr:to>
    <xdr:pic>
      <xdr:nvPicPr>
        <xdr:cNvPr id="9761" name="Picture 5" descr="NYE$-2c - transpare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2001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47625</xdr:rowOff>
    </xdr:from>
    <xdr:to>
      <xdr:col>0</xdr:col>
      <xdr:colOff>590550</xdr:colOff>
      <xdr:row>3</xdr:row>
      <xdr:rowOff>76200</xdr:rowOff>
    </xdr:to>
    <xdr:pic>
      <xdr:nvPicPr>
        <xdr:cNvPr id="9762" name="Picture 7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9052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16</xdr:row>
      <xdr:rowOff>0</xdr:rowOff>
    </xdr:from>
    <xdr:to>
      <xdr:col>0</xdr:col>
      <xdr:colOff>247650</xdr:colOff>
      <xdr:row>16</xdr:row>
      <xdr:rowOff>228600</xdr:rowOff>
    </xdr:to>
    <xdr:sp macro="" textlink="">
      <xdr:nvSpPr>
        <xdr:cNvPr id="630935" name="Text Box 1"/>
        <xdr:cNvSpPr txBox="1">
          <a:spLocks noChangeArrowheads="1"/>
        </xdr:cNvSpPr>
      </xdr:nvSpPr>
      <xdr:spPr bwMode="auto">
        <a:xfrm>
          <a:off x="171450" y="3048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571500</xdr:colOff>
      <xdr:row>5</xdr:row>
      <xdr:rowOff>0</xdr:rowOff>
    </xdr:from>
    <xdr:to>
      <xdr:col>5</xdr:col>
      <xdr:colOff>876300</xdr:colOff>
      <xdr:row>5</xdr:row>
      <xdr:rowOff>0</xdr:rowOff>
    </xdr:to>
    <xdr:pic>
      <xdr:nvPicPr>
        <xdr:cNvPr id="630936" name="Picture 4" descr="NYE$-2c - transpare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18110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19050</xdr:rowOff>
    </xdr:from>
    <xdr:to>
      <xdr:col>0</xdr:col>
      <xdr:colOff>561975</xdr:colOff>
      <xdr:row>3</xdr:row>
      <xdr:rowOff>95250</xdr:rowOff>
    </xdr:to>
    <xdr:pic>
      <xdr:nvPicPr>
        <xdr:cNvPr id="630937" name="Picture 6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1950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857250</xdr:colOff>
      <xdr:row>50</xdr:row>
      <xdr:rowOff>152400</xdr:rowOff>
    </xdr:from>
    <xdr:to>
      <xdr:col>10</xdr:col>
      <xdr:colOff>2228850</xdr:colOff>
      <xdr:row>66</xdr:row>
      <xdr:rowOff>142875</xdr:rowOff>
    </xdr:to>
    <xdr:graphicFrame macro="">
      <xdr:nvGraphicFramePr>
        <xdr:cNvPr id="63093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2428875</xdr:colOff>
      <xdr:row>50</xdr:row>
      <xdr:rowOff>161925</xdr:rowOff>
    </xdr:from>
    <xdr:to>
      <xdr:col>12</xdr:col>
      <xdr:colOff>342900</xdr:colOff>
      <xdr:row>66</xdr:row>
      <xdr:rowOff>152400</xdr:rowOff>
    </xdr:to>
    <xdr:graphicFrame macro="">
      <xdr:nvGraphicFramePr>
        <xdr:cNvPr id="63093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13</xdr:row>
      <xdr:rowOff>0</xdr:rowOff>
    </xdr:from>
    <xdr:to>
      <xdr:col>0</xdr:col>
      <xdr:colOff>247650</xdr:colOff>
      <xdr:row>13</xdr:row>
      <xdr:rowOff>228600</xdr:rowOff>
    </xdr:to>
    <xdr:sp macro="" textlink="">
      <xdr:nvSpPr>
        <xdr:cNvPr id="3933" name="Text Box 1"/>
        <xdr:cNvSpPr txBox="1">
          <a:spLocks noChangeArrowheads="1"/>
        </xdr:cNvSpPr>
      </xdr:nvSpPr>
      <xdr:spPr bwMode="auto">
        <a:xfrm>
          <a:off x="171450" y="2562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90</xdr:row>
      <xdr:rowOff>76200</xdr:rowOff>
    </xdr:from>
    <xdr:to>
      <xdr:col>2</xdr:col>
      <xdr:colOff>28575</xdr:colOff>
      <xdr:row>113</xdr:row>
      <xdr:rowOff>152400</xdr:rowOff>
    </xdr:to>
    <xdr:pic>
      <xdr:nvPicPr>
        <xdr:cNvPr id="39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163550"/>
          <a:ext cx="4762500" cy="380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28575</xdr:rowOff>
    </xdr:from>
    <xdr:to>
      <xdr:col>0</xdr:col>
      <xdr:colOff>542925</xdr:colOff>
      <xdr:row>3</xdr:row>
      <xdr:rowOff>95250</xdr:rowOff>
    </xdr:to>
    <xdr:pic>
      <xdr:nvPicPr>
        <xdr:cNvPr id="3935" name="Picture 6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1475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13</xdr:row>
      <xdr:rowOff>0</xdr:rowOff>
    </xdr:from>
    <xdr:to>
      <xdr:col>0</xdr:col>
      <xdr:colOff>247650</xdr:colOff>
      <xdr:row>13</xdr:row>
      <xdr:rowOff>228600</xdr:rowOff>
    </xdr:to>
    <xdr:sp macro="" textlink="">
      <xdr:nvSpPr>
        <xdr:cNvPr id="4661" name="Text Box 1"/>
        <xdr:cNvSpPr txBox="1">
          <a:spLocks noChangeArrowheads="1"/>
        </xdr:cNvSpPr>
      </xdr:nvSpPr>
      <xdr:spPr bwMode="auto">
        <a:xfrm>
          <a:off x="171450" y="2562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19050</xdr:rowOff>
    </xdr:from>
    <xdr:to>
      <xdr:col>0</xdr:col>
      <xdr:colOff>561975</xdr:colOff>
      <xdr:row>3</xdr:row>
      <xdr:rowOff>85725</xdr:rowOff>
    </xdr:to>
    <xdr:pic>
      <xdr:nvPicPr>
        <xdr:cNvPr id="4662" name="Picture 7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195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13</xdr:row>
      <xdr:rowOff>0</xdr:rowOff>
    </xdr:from>
    <xdr:to>
      <xdr:col>0</xdr:col>
      <xdr:colOff>247650</xdr:colOff>
      <xdr:row>13</xdr:row>
      <xdr:rowOff>228600</xdr:rowOff>
    </xdr:to>
    <xdr:sp macro="" textlink="">
      <xdr:nvSpPr>
        <xdr:cNvPr id="6710" name="Text Box 1"/>
        <xdr:cNvSpPr txBox="1">
          <a:spLocks noChangeArrowheads="1"/>
        </xdr:cNvSpPr>
      </xdr:nvSpPr>
      <xdr:spPr bwMode="auto">
        <a:xfrm>
          <a:off x="171450" y="2562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28575</xdr:rowOff>
    </xdr:from>
    <xdr:to>
      <xdr:col>0</xdr:col>
      <xdr:colOff>542925</xdr:colOff>
      <xdr:row>3</xdr:row>
      <xdr:rowOff>95250</xdr:rowOff>
    </xdr:to>
    <xdr:pic>
      <xdr:nvPicPr>
        <xdr:cNvPr id="6711" name="Picture 5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1475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12</xdr:row>
      <xdr:rowOff>0</xdr:rowOff>
    </xdr:from>
    <xdr:to>
      <xdr:col>0</xdr:col>
      <xdr:colOff>247650</xdr:colOff>
      <xdr:row>12</xdr:row>
      <xdr:rowOff>228600</xdr:rowOff>
    </xdr:to>
    <xdr:sp macro="" textlink="">
      <xdr:nvSpPr>
        <xdr:cNvPr id="7712" name="Text Box 1"/>
        <xdr:cNvSpPr txBox="1">
          <a:spLocks noChangeArrowheads="1"/>
        </xdr:cNvSpPr>
      </xdr:nvSpPr>
      <xdr:spPr bwMode="auto">
        <a:xfrm>
          <a:off x="171450" y="2400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</xdr:row>
      <xdr:rowOff>47625</xdr:rowOff>
    </xdr:from>
    <xdr:to>
      <xdr:col>0</xdr:col>
      <xdr:colOff>542925</xdr:colOff>
      <xdr:row>4</xdr:row>
      <xdr:rowOff>0</xdr:rowOff>
    </xdr:to>
    <xdr:pic>
      <xdr:nvPicPr>
        <xdr:cNvPr id="7713" name="Picture 5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90525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2</xdr:col>
      <xdr:colOff>9525</xdr:colOff>
      <xdr:row>35</xdr:row>
      <xdr:rowOff>142875</xdr:rowOff>
    </xdr:to>
    <xdr:graphicFrame macro="">
      <xdr:nvGraphicFramePr>
        <xdr:cNvPr id="1554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10</xdr:row>
      <xdr:rowOff>0</xdr:rowOff>
    </xdr:from>
    <xdr:to>
      <xdr:col>0</xdr:col>
      <xdr:colOff>247650</xdr:colOff>
      <xdr:row>10</xdr:row>
      <xdr:rowOff>228600</xdr:rowOff>
    </xdr:to>
    <xdr:sp macro="" textlink="">
      <xdr:nvSpPr>
        <xdr:cNvPr id="155451" name="Text Box 1"/>
        <xdr:cNvSpPr txBox="1">
          <a:spLocks noChangeArrowheads="1"/>
        </xdr:cNvSpPr>
      </xdr:nvSpPr>
      <xdr:spPr bwMode="auto">
        <a:xfrm>
          <a:off x="171450" y="2428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342900</xdr:colOff>
      <xdr:row>3</xdr:row>
      <xdr:rowOff>28575</xdr:rowOff>
    </xdr:from>
    <xdr:ext cx="2438400" cy="264560"/>
    <xdr:sp macro="" textlink="">
      <xdr:nvSpPr>
        <xdr:cNvPr id="6" name="TextBox 5"/>
        <xdr:cNvSpPr txBox="1"/>
      </xdr:nvSpPr>
      <xdr:spPr>
        <a:xfrm>
          <a:off x="6457950" y="11239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95250</xdr:colOff>
      <xdr:row>1</xdr:row>
      <xdr:rowOff>114300</xdr:rowOff>
    </xdr:from>
    <xdr:to>
      <xdr:col>0</xdr:col>
      <xdr:colOff>581025</xdr:colOff>
      <xdr:row>3</xdr:row>
      <xdr:rowOff>57150</xdr:rowOff>
    </xdr:to>
    <xdr:pic>
      <xdr:nvPicPr>
        <xdr:cNvPr id="155453" name="Picture 5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7200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0</xdr:col>
      <xdr:colOff>590550</xdr:colOff>
      <xdr:row>4</xdr:row>
      <xdr:rowOff>0</xdr:rowOff>
    </xdr:to>
    <xdr:pic>
      <xdr:nvPicPr>
        <xdr:cNvPr id="10524" name="Picture 4" descr="NC Icon - Bri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90525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topLeftCell="A4" zoomScaleNormal="100" workbookViewId="0">
      <selection activeCell="G33" sqref="G33"/>
    </sheetView>
  </sheetViews>
  <sheetFormatPr defaultRowHeight="12.75" x14ac:dyDescent="0.2"/>
  <cols>
    <col min="2" max="2" width="6" style="5" customWidth="1"/>
    <col min="3" max="3" width="21" customWidth="1"/>
  </cols>
  <sheetData>
    <row r="1" spans="1:9" ht="27" x14ac:dyDescent="0.35">
      <c r="A1" s="52" t="s">
        <v>149</v>
      </c>
      <c r="B1" s="52"/>
      <c r="C1" s="52"/>
      <c r="D1" s="52"/>
      <c r="E1" s="52"/>
      <c r="F1" s="52"/>
      <c r="G1" s="52"/>
      <c r="H1" s="52"/>
      <c r="I1" s="52"/>
    </row>
    <row r="2" spans="1:9" ht="9" customHeight="1" x14ac:dyDescent="0.3">
      <c r="A2" s="46" t="s">
        <v>146</v>
      </c>
      <c r="B2" s="41"/>
      <c r="C2" s="41"/>
      <c r="D2" s="41"/>
      <c r="E2" s="47"/>
      <c r="F2" s="47"/>
      <c r="G2" s="47"/>
      <c r="H2" s="47"/>
      <c r="I2" s="47"/>
    </row>
    <row r="3" spans="1:9" s="54" customFormat="1" ht="27" x14ac:dyDescent="0.35">
      <c r="A3" s="53" t="s">
        <v>148</v>
      </c>
      <c r="B3" s="53"/>
      <c r="C3" s="53"/>
      <c r="D3" s="53"/>
      <c r="E3" s="53"/>
      <c r="F3" s="53"/>
      <c r="G3" s="53"/>
      <c r="H3" s="53"/>
      <c r="I3" s="53"/>
    </row>
    <row r="4" spans="1:9" ht="9" customHeight="1" x14ac:dyDescent="0.2">
      <c r="A4" s="48"/>
      <c r="B4" s="41"/>
      <c r="C4" s="41"/>
      <c r="D4" s="41"/>
      <c r="E4" s="47"/>
      <c r="F4" s="47"/>
      <c r="G4" s="47"/>
      <c r="H4" s="47"/>
      <c r="I4" s="47"/>
    </row>
    <row r="5" spans="1:9" ht="22.5" x14ac:dyDescent="0.3">
      <c r="A5" s="145" t="s">
        <v>147</v>
      </c>
      <c r="B5" s="145"/>
      <c r="C5" s="145"/>
      <c r="D5" s="145"/>
      <c r="E5" s="145"/>
      <c r="F5" s="145"/>
      <c r="G5" s="145"/>
      <c r="H5" s="145"/>
      <c r="I5" s="145"/>
    </row>
    <row r="6" spans="1:9" x14ac:dyDescent="0.2">
      <c r="A6" s="146" t="s">
        <v>331</v>
      </c>
      <c r="B6" s="146"/>
      <c r="C6" s="146"/>
      <c r="D6" s="146"/>
      <c r="E6" s="146"/>
      <c r="F6" s="146"/>
      <c r="G6" s="146"/>
      <c r="H6" s="146"/>
      <c r="I6" s="146"/>
    </row>
    <row r="7" spans="1:9" ht="9" customHeight="1" x14ac:dyDescent="0.3">
      <c r="A7" s="49"/>
      <c r="B7" s="50"/>
      <c r="C7" s="47"/>
      <c r="E7" s="47"/>
      <c r="F7" s="47"/>
      <c r="G7" s="47"/>
      <c r="H7" s="47"/>
      <c r="I7" s="47"/>
    </row>
    <row r="8" spans="1:9" ht="27" x14ac:dyDescent="0.35">
      <c r="A8" s="27" t="s">
        <v>133</v>
      </c>
      <c r="D8" s="51"/>
    </row>
    <row r="9" spans="1:9" s="5" customFormat="1" x14ac:dyDescent="0.2">
      <c r="A9" s="5" t="s">
        <v>72</v>
      </c>
      <c r="D9" s="14" t="s">
        <v>71</v>
      </c>
    </row>
    <row r="10" spans="1:9" s="5" customFormat="1" x14ac:dyDescent="0.2">
      <c r="D10"/>
    </row>
    <row r="11" spans="1:9" s="5" customFormat="1" x14ac:dyDescent="0.2">
      <c r="A11" s="5" t="s">
        <v>126</v>
      </c>
      <c r="D11"/>
    </row>
    <row r="12" spans="1:9" s="5" customFormat="1" x14ac:dyDescent="0.2">
      <c r="A12" s="5" t="s">
        <v>127</v>
      </c>
      <c r="D12"/>
    </row>
    <row r="13" spans="1:9" s="5" customFormat="1" x14ac:dyDescent="0.2">
      <c r="A13" s="5" t="s">
        <v>128</v>
      </c>
      <c r="D13"/>
    </row>
    <row r="14" spans="1:9" s="5" customFormat="1" x14ac:dyDescent="0.2">
      <c r="A14" s="5" t="s">
        <v>140</v>
      </c>
      <c r="D14"/>
    </row>
    <row r="15" spans="1:9" s="5" customFormat="1" x14ac:dyDescent="0.2">
      <c r="A15" s="5" t="s">
        <v>141</v>
      </c>
    </row>
    <row r="16" spans="1:9" s="5" customFormat="1" x14ac:dyDescent="0.2"/>
    <row r="17" spans="2:5" x14ac:dyDescent="0.2">
      <c r="C17" s="5" t="s">
        <v>13</v>
      </c>
      <c r="D17" s="15"/>
    </row>
    <row r="18" spans="2:5" x14ac:dyDescent="0.2">
      <c r="C18" s="5" t="s">
        <v>14</v>
      </c>
      <c r="D18" s="16"/>
    </row>
    <row r="19" spans="2:5" x14ac:dyDescent="0.2">
      <c r="C19" s="5" t="s">
        <v>15</v>
      </c>
      <c r="D19" s="16"/>
      <c r="E19" t="s">
        <v>16</v>
      </c>
    </row>
    <row r="20" spans="2:5" x14ac:dyDescent="0.2">
      <c r="B20"/>
    </row>
    <row r="21" spans="2:5" x14ac:dyDescent="0.2">
      <c r="B21" t="s">
        <v>67</v>
      </c>
      <c r="C21" s="5" t="s">
        <v>31</v>
      </c>
      <c r="D21" t="s">
        <v>33</v>
      </c>
      <c r="E21" t="s">
        <v>34</v>
      </c>
    </row>
    <row r="22" spans="2:5" x14ac:dyDescent="0.2">
      <c r="B22" s="17">
        <v>148</v>
      </c>
      <c r="C22" t="str">
        <f>VLOOKUP($B$22,CityLookup,2,FALSE)</f>
        <v>Elmira</v>
      </c>
      <c r="D22">
        <f>VLOOKUP($B$22,CityLookup,3,FALSE)</f>
        <v>95.9</v>
      </c>
      <c r="E22">
        <f>VLOOKUP($B$22,CityLookup,4,FALSE)</f>
        <v>93.1</v>
      </c>
    </row>
    <row r="24" spans="2:5" x14ac:dyDescent="0.2">
      <c r="B24" s="8" t="s">
        <v>32</v>
      </c>
      <c r="C24" s="7" t="s">
        <v>31</v>
      </c>
      <c r="D24" s="8" t="s">
        <v>33</v>
      </c>
      <c r="E24" s="8" t="s">
        <v>34</v>
      </c>
    </row>
    <row r="25" spans="2:5" x14ac:dyDescent="0.2">
      <c r="B25" s="133">
        <v>100</v>
      </c>
      <c r="C25" s="134" t="s">
        <v>35</v>
      </c>
      <c r="D25" s="135">
        <v>103.8</v>
      </c>
      <c r="E25" s="136">
        <v>166.4</v>
      </c>
    </row>
    <row r="26" spans="2:5" x14ac:dyDescent="0.2">
      <c r="B26" s="137">
        <v>101</v>
      </c>
      <c r="C26" s="21" t="s">
        <v>35</v>
      </c>
      <c r="D26" s="138">
        <v>103.8</v>
      </c>
      <c r="E26" s="139">
        <v>166.4</v>
      </c>
    </row>
    <row r="27" spans="2:5" x14ac:dyDescent="0.2">
      <c r="B27" s="137">
        <v>102</v>
      </c>
      <c r="C27" s="21" t="s">
        <v>35</v>
      </c>
      <c r="D27" s="138">
        <v>103.8</v>
      </c>
      <c r="E27" s="139">
        <v>166.4</v>
      </c>
    </row>
    <row r="28" spans="2:5" x14ac:dyDescent="0.2">
      <c r="B28" s="137">
        <v>103</v>
      </c>
      <c r="C28" s="21" t="s">
        <v>36</v>
      </c>
      <c r="D28" s="138">
        <v>99.7</v>
      </c>
      <c r="E28" s="139">
        <v>163.9</v>
      </c>
    </row>
    <row r="29" spans="2:5" x14ac:dyDescent="0.2">
      <c r="B29" s="137">
        <v>104</v>
      </c>
      <c r="C29" s="21" t="s">
        <v>37</v>
      </c>
      <c r="D29" s="138">
        <v>98</v>
      </c>
      <c r="E29" s="139">
        <v>163.9</v>
      </c>
    </row>
    <row r="30" spans="2:5" x14ac:dyDescent="0.2">
      <c r="B30" s="137">
        <v>105</v>
      </c>
      <c r="C30" s="21" t="s">
        <v>64</v>
      </c>
      <c r="D30" s="138">
        <v>97.9</v>
      </c>
      <c r="E30" s="139">
        <v>133.30000000000001</v>
      </c>
    </row>
    <row r="31" spans="2:5" x14ac:dyDescent="0.2">
      <c r="B31" s="1">
        <v>106</v>
      </c>
      <c r="C31" s="21" t="s">
        <v>38</v>
      </c>
      <c r="D31" s="138">
        <v>98</v>
      </c>
      <c r="E31" s="139">
        <v>133.30000000000001</v>
      </c>
    </row>
    <row r="32" spans="2:5" x14ac:dyDescent="0.2">
      <c r="B32" s="1">
        <v>107</v>
      </c>
      <c r="C32" s="21" t="s">
        <v>39</v>
      </c>
      <c r="D32" s="138">
        <v>102.5</v>
      </c>
      <c r="E32" s="139">
        <v>133.4</v>
      </c>
    </row>
    <row r="33" spans="2:5" x14ac:dyDescent="0.2">
      <c r="B33" s="137">
        <v>108</v>
      </c>
      <c r="C33" s="21" t="s">
        <v>40</v>
      </c>
      <c r="D33" s="138">
        <v>98.2</v>
      </c>
      <c r="E33" s="139">
        <v>133.30000000000001</v>
      </c>
    </row>
    <row r="34" spans="2:5" x14ac:dyDescent="0.2">
      <c r="B34" s="137">
        <v>109</v>
      </c>
      <c r="C34" s="21" t="s">
        <v>41</v>
      </c>
      <c r="D34" s="138">
        <v>98</v>
      </c>
      <c r="E34" s="139">
        <v>126.2</v>
      </c>
    </row>
    <row r="35" spans="2:5" x14ac:dyDescent="0.2">
      <c r="B35" s="137">
        <v>110</v>
      </c>
      <c r="C35" s="21" t="s">
        <v>42</v>
      </c>
      <c r="D35" s="138">
        <v>100.8</v>
      </c>
      <c r="E35" s="139">
        <v>162.9</v>
      </c>
    </row>
    <row r="36" spans="2:5" x14ac:dyDescent="0.2">
      <c r="B36" s="137">
        <v>111</v>
      </c>
      <c r="C36" s="21" t="s">
        <v>43</v>
      </c>
      <c r="D36" s="138">
        <v>102.2</v>
      </c>
      <c r="E36" s="139">
        <v>162.9</v>
      </c>
    </row>
    <row r="37" spans="2:5" x14ac:dyDescent="0.2">
      <c r="B37" s="137">
        <v>112</v>
      </c>
      <c r="C37" s="21" t="s">
        <v>44</v>
      </c>
      <c r="D37" s="138">
        <v>102.6</v>
      </c>
      <c r="E37" s="139">
        <v>162.9</v>
      </c>
    </row>
    <row r="38" spans="2:5" x14ac:dyDescent="0.2">
      <c r="B38" s="137">
        <v>113</v>
      </c>
      <c r="C38" s="21" t="s">
        <v>65</v>
      </c>
      <c r="D38" s="138">
        <v>102.3</v>
      </c>
      <c r="E38" s="139">
        <v>162.9</v>
      </c>
    </row>
    <row r="39" spans="2:5" x14ac:dyDescent="0.2">
      <c r="B39" s="137">
        <v>114</v>
      </c>
      <c r="C39" s="21" t="s">
        <v>45</v>
      </c>
      <c r="D39" s="138">
        <v>100.6</v>
      </c>
      <c r="E39" s="139">
        <v>162.9</v>
      </c>
    </row>
    <row r="40" spans="2:5" x14ac:dyDescent="0.2">
      <c r="B40" s="1">
        <v>115</v>
      </c>
      <c r="C40" s="21" t="s">
        <v>46</v>
      </c>
      <c r="D40" s="138">
        <v>100.7</v>
      </c>
      <c r="E40" s="139">
        <v>146.6</v>
      </c>
    </row>
    <row r="41" spans="2:5" x14ac:dyDescent="0.2">
      <c r="B41" s="137">
        <v>116</v>
      </c>
      <c r="C41" s="21" t="s">
        <v>47</v>
      </c>
      <c r="D41" s="138">
        <v>102.4</v>
      </c>
      <c r="E41" s="139">
        <v>162.9</v>
      </c>
    </row>
    <row r="42" spans="2:5" x14ac:dyDescent="0.2">
      <c r="B42" s="137">
        <v>117</v>
      </c>
      <c r="C42" s="21" t="s">
        <v>46</v>
      </c>
      <c r="D42" s="138">
        <v>100.7</v>
      </c>
      <c r="E42" s="139">
        <v>146.6</v>
      </c>
    </row>
    <row r="43" spans="2:5" x14ac:dyDescent="0.2">
      <c r="B43" s="137">
        <v>118</v>
      </c>
      <c r="C43" s="21" t="s">
        <v>46</v>
      </c>
      <c r="D43" s="138">
        <v>100.7</v>
      </c>
      <c r="E43" s="139">
        <v>146.6</v>
      </c>
    </row>
    <row r="44" spans="2:5" x14ac:dyDescent="0.2">
      <c r="B44" s="137">
        <v>119</v>
      </c>
      <c r="C44" s="21" t="s">
        <v>48</v>
      </c>
      <c r="D44" s="138">
        <v>101.4</v>
      </c>
      <c r="E44" s="139">
        <v>146.6</v>
      </c>
    </row>
    <row r="45" spans="2:5" x14ac:dyDescent="0.2">
      <c r="B45" s="1">
        <v>120</v>
      </c>
      <c r="C45" s="21" t="s">
        <v>49</v>
      </c>
      <c r="D45" s="138">
        <v>98.6</v>
      </c>
      <c r="E45" s="139">
        <v>100.2</v>
      </c>
    </row>
    <row r="46" spans="2:5" x14ac:dyDescent="0.2">
      <c r="B46" s="1">
        <v>121</v>
      </c>
      <c r="C46" s="21" t="s">
        <v>49</v>
      </c>
      <c r="D46" s="138">
        <v>98.6</v>
      </c>
      <c r="E46" s="139">
        <v>100.2</v>
      </c>
    </row>
    <row r="47" spans="2:5" x14ac:dyDescent="0.2">
      <c r="B47" s="1">
        <v>122</v>
      </c>
      <c r="C47" s="21" t="s">
        <v>49</v>
      </c>
      <c r="D47" s="138">
        <v>98.6</v>
      </c>
      <c r="E47" s="139">
        <v>100.2</v>
      </c>
    </row>
    <row r="48" spans="2:5" x14ac:dyDescent="0.2">
      <c r="B48" s="1">
        <v>123</v>
      </c>
      <c r="C48" s="21" t="s">
        <v>50</v>
      </c>
      <c r="D48" s="138">
        <v>97.8</v>
      </c>
      <c r="E48" s="139">
        <v>100.2</v>
      </c>
    </row>
    <row r="49" spans="2:5" x14ac:dyDescent="0.2">
      <c r="B49" s="137">
        <v>124</v>
      </c>
      <c r="C49" s="21" t="s">
        <v>51</v>
      </c>
      <c r="D49" s="138">
        <v>100.7</v>
      </c>
      <c r="E49" s="139">
        <v>118.3</v>
      </c>
    </row>
    <row r="50" spans="2:5" x14ac:dyDescent="0.2">
      <c r="B50" s="137">
        <v>125</v>
      </c>
      <c r="C50" s="21" t="s">
        <v>52</v>
      </c>
      <c r="D50" s="138">
        <v>100</v>
      </c>
      <c r="E50" s="139">
        <v>127.5</v>
      </c>
    </row>
    <row r="51" spans="2:5" x14ac:dyDescent="0.2">
      <c r="B51" s="137">
        <v>126</v>
      </c>
      <c r="C51" s="21" t="s">
        <v>52</v>
      </c>
      <c r="D51" s="138">
        <v>100</v>
      </c>
      <c r="E51" s="139">
        <v>127.5</v>
      </c>
    </row>
    <row r="52" spans="2:5" x14ac:dyDescent="0.2">
      <c r="B52" s="137">
        <v>127</v>
      </c>
      <c r="C52" s="99" t="s">
        <v>53</v>
      </c>
      <c r="D52" s="138">
        <v>99.4</v>
      </c>
      <c r="E52" s="139">
        <v>116.5</v>
      </c>
    </row>
    <row r="53" spans="2:5" x14ac:dyDescent="0.2">
      <c r="B53" s="137">
        <v>128</v>
      </c>
      <c r="C53" s="99" t="s">
        <v>54</v>
      </c>
      <c r="D53" s="138">
        <v>92.6</v>
      </c>
      <c r="E53" s="139">
        <v>95</v>
      </c>
    </row>
    <row r="54" spans="2:5" x14ac:dyDescent="0.2">
      <c r="B54" s="1">
        <v>129</v>
      </c>
      <c r="C54" s="99" t="s">
        <v>66</v>
      </c>
      <c r="D54" s="138">
        <v>97.3</v>
      </c>
      <c r="E54" s="139">
        <v>88.4</v>
      </c>
    </row>
    <row r="55" spans="2:5" x14ac:dyDescent="0.2">
      <c r="B55" s="1">
        <v>130</v>
      </c>
      <c r="C55" s="99" t="s">
        <v>55</v>
      </c>
      <c r="D55" s="138">
        <v>98.5</v>
      </c>
      <c r="E55" s="139">
        <v>97</v>
      </c>
    </row>
    <row r="56" spans="2:5" x14ac:dyDescent="0.2">
      <c r="B56" s="1">
        <v>131</v>
      </c>
      <c r="C56" s="99" t="s">
        <v>55</v>
      </c>
      <c r="D56" s="138">
        <v>98.5</v>
      </c>
      <c r="E56" s="139">
        <v>97</v>
      </c>
    </row>
    <row r="57" spans="2:5" x14ac:dyDescent="0.2">
      <c r="B57" s="1">
        <v>132</v>
      </c>
      <c r="C57" s="99" t="s">
        <v>55</v>
      </c>
      <c r="D57" s="138">
        <v>98.5</v>
      </c>
      <c r="E57" s="139">
        <v>97</v>
      </c>
    </row>
    <row r="58" spans="2:5" x14ac:dyDescent="0.2">
      <c r="B58" s="1">
        <v>133</v>
      </c>
      <c r="C58" s="99" t="s">
        <v>56</v>
      </c>
      <c r="D58" s="138">
        <v>96.7</v>
      </c>
      <c r="E58" s="139">
        <v>93.2</v>
      </c>
    </row>
    <row r="59" spans="2:5" x14ac:dyDescent="0.2">
      <c r="B59" s="1">
        <v>134</v>
      </c>
      <c r="C59" s="99" t="s">
        <v>56</v>
      </c>
      <c r="D59" s="138">
        <v>96.7</v>
      </c>
      <c r="E59" s="139">
        <v>93.2</v>
      </c>
    </row>
    <row r="60" spans="2:5" x14ac:dyDescent="0.2">
      <c r="B60" s="1">
        <v>135</v>
      </c>
      <c r="C60" s="99" t="s">
        <v>56</v>
      </c>
      <c r="D60" s="138">
        <v>96.7</v>
      </c>
      <c r="E60" s="139">
        <v>93.2</v>
      </c>
    </row>
    <row r="61" spans="2:5" x14ac:dyDescent="0.2">
      <c r="B61" s="1">
        <v>136</v>
      </c>
      <c r="C61" s="99" t="s">
        <v>57</v>
      </c>
      <c r="D61" s="138">
        <v>98.1</v>
      </c>
      <c r="E61" s="139">
        <v>91.9</v>
      </c>
    </row>
    <row r="62" spans="2:5" x14ac:dyDescent="0.2">
      <c r="B62" s="137">
        <v>137</v>
      </c>
      <c r="C62" s="99" t="s">
        <v>58</v>
      </c>
      <c r="D62" s="138">
        <v>98.1</v>
      </c>
      <c r="E62" s="139">
        <v>99.4</v>
      </c>
    </row>
    <row r="63" spans="2:5" x14ac:dyDescent="0.2">
      <c r="B63" s="137">
        <v>138</v>
      </c>
      <c r="C63" s="99" t="s">
        <v>58</v>
      </c>
      <c r="D63" s="138">
        <v>98.1</v>
      </c>
      <c r="E63" s="139">
        <v>99.4</v>
      </c>
    </row>
    <row r="64" spans="2:5" x14ac:dyDescent="0.2">
      <c r="B64" s="137">
        <v>139</v>
      </c>
      <c r="C64" s="99" t="s">
        <v>58</v>
      </c>
      <c r="D64" s="138">
        <v>98.1</v>
      </c>
      <c r="E64" s="139">
        <v>99.4</v>
      </c>
    </row>
    <row r="65" spans="2:5" x14ac:dyDescent="0.2">
      <c r="B65" s="137">
        <v>140</v>
      </c>
      <c r="C65" s="99" t="s">
        <v>59</v>
      </c>
      <c r="D65" s="138">
        <v>99.7</v>
      </c>
      <c r="E65" s="139">
        <v>105.8</v>
      </c>
    </row>
    <row r="66" spans="2:5" x14ac:dyDescent="0.2">
      <c r="B66" s="137">
        <v>141</v>
      </c>
      <c r="C66" s="99" t="s">
        <v>59</v>
      </c>
      <c r="D66" s="138">
        <v>99.7</v>
      </c>
      <c r="E66" s="139">
        <v>105.8</v>
      </c>
    </row>
    <row r="67" spans="2:5" x14ac:dyDescent="0.2">
      <c r="B67" s="137">
        <v>142</v>
      </c>
      <c r="C67" s="99" t="s">
        <v>59</v>
      </c>
      <c r="D67" s="138">
        <v>99.7</v>
      </c>
      <c r="E67" s="139">
        <v>105.8</v>
      </c>
    </row>
    <row r="68" spans="2:5" x14ac:dyDescent="0.2">
      <c r="B68" s="137">
        <v>143</v>
      </c>
      <c r="C68" s="99" t="s">
        <v>60</v>
      </c>
      <c r="D68" s="138">
        <v>96.9</v>
      </c>
      <c r="E68" s="139">
        <v>103.9</v>
      </c>
    </row>
    <row r="69" spans="2:5" x14ac:dyDescent="0.2">
      <c r="B69" s="1">
        <v>144</v>
      </c>
      <c r="C69" s="99" t="s">
        <v>61</v>
      </c>
      <c r="D69" s="138">
        <v>100.3</v>
      </c>
      <c r="E69" s="139">
        <v>95.6</v>
      </c>
    </row>
    <row r="70" spans="2:5" x14ac:dyDescent="0.2">
      <c r="B70" s="1">
        <v>145</v>
      </c>
      <c r="C70" s="99" t="s">
        <v>61</v>
      </c>
      <c r="D70" s="138">
        <v>100.3</v>
      </c>
      <c r="E70" s="139">
        <v>95.6</v>
      </c>
    </row>
    <row r="71" spans="2:5" x14ac:dyDescent="0.2">
      <c r="B71" s="1">
        <v>146</v>
      </c>
      <c r="C71" s="99" t="s">
        <v>61</v>
      </c>
      <c r="D71" s="138">
        <v>100.3</v>
      </c>
      <c r="E71" s="139">
        <v>95.6</v>
      </c>
    </row>
    <row r="72" spans="2:5" x14ac:dyDescent="0.2">
      <c r="B72" s="137">
        <v>147</v>
      </c>
      <c r="C72" s="99" t="s">
        <v>62</v>
      </c>
      <c r="D72" s="138">
        <v>96</v>
      </c>
      <c r="E72" s="139">
        <v>87.8</v>
      </c>
    </row>
    <row r="73" spans="2:5" x14ac:dyDescent="0.2">
      <c r="B73" s="137">
        <v>148</v>
      </c>
      <c r="C73" s="99" t="s">
        <v>63</v>
      </c>
      <c r="D73" s="138">
        <v>95.9</v>
      </c>
      <c r="E73" s="139">
        <v>93.1</v>
      </c>
    </row>
    <row r="74" spans="2:5" x14ac:dyDescent="0.2">
      <c r="B74" s="140">
        <v>149</v>
      </c>
      <c r="C74" s="141" t="s">
        <v>63</v>
      </c>
      <c r="D74" s="142">
        <v>95.9</v>
      </c>
      <c r="E74" s="143">
        <v>93.1</v>
      </c>
    </row>
  </sheetData>
  <customSheetViews>
    <customSheetView guid="{26F6D74A-4272-4967-9786-783BACF4AF44}" showGridLines="0" topLeftCell="A8">
      <selection activeCell="J38" sqref="J38"/>
      <pageMargins left="0.75" right="0.75" top="1" bottom="1" header="0.5" footer="0.5"/>
      <pageSetup scale="76" orientation="portrait" horizontalDpi="4294967293" r:id="rId1"/>
      <headerFooter alignWithMargins="0"/>
    </customSheetView>
    <customSheetView guid="{6921AA76-5784-426B-8DF3-DBD2F823F221}" showGridLines="0" showRuler="0">
      <pageMargins left="0.75" right="0.75" top="1" bottom="1" header="0.5" footer="0.5"/>
      <pageSetup scale="76" orientation="portrait" horizontalDpi="4294967293" r:id="rId2"/>
      <headerFooter alignWithMargins="0"/>
    </customSheetView>
    <customSheetView guid="{79BA202A-326F-4875-A8CA-34B11A509AC2}" showGridLines="0" topLeftCell="A10">
      <selection activeCell="K31" sqref="K31"/>
      <pageMargins left="0.75" right="0.75" top="1" bottom="1" header="0.5" footer="0.5"/>
      <pageSetup scale="76" orientation="portrait" horizontalDpi="4294967293" r:id="rId3"/>
      <headerFooter alignWithMargins="0"/>
    </customSheetView>
  </customSheetViews>
  <mergeCells count="2">
    <mergeCell ref="A5:I5"/>
    <mergeCell ref="A6:I6"/>
  </mergeCells>
  <phoneticPr fontId="0" type="noConversion"/>
  <pageMargins left="0.75" right="0.75" top="1" bottom="1" header="0.5" footer="0.5"/>
  <pageSetup scale="76" orientation="portrait" horizontalDpi="4294967293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zoomScale="85" zoomScaleNormal="85" workbookViewId="0">
      <selection activeCell="A6" sqref="A6"/>
    </sheetView>
  </sheetViews>
  <sheetFormatPr defaultRowHeight="12.75" x14ac:dyDescent="0.2"/>
  <cols>
    <col min="1" max="1" width="63.5703125" customWidth="1"/>
    <col min="2" max="2" width="10.5703125" customWidth="1"/>
    <col min="3" max="3" width="11.5703125" bestFit="1" customWidth="1"/>
    <col min="4" max="5" width="10.7109375" customWidth="1"/>
    <col min="6" max="6" width="13.140625" customWidth="1"/>
    <col min="7" max="7" width="16.140625" customWidth="1"/>
    <col min="8" max="8" width="9.85546875" customWidth="1"/>
    <col min="9" max="9" width="10.5703125" bestFit="1" customWidth="1"/>
    <col min="10" max="10" width="11.42578125" bestFit="1" customWidth="1"/>
    <col min="11" max="11" width="50.5703125" customWidth="1"/>
    <col min="12" max="12" width="49.28515625" bestFit="1" customWidth="1"/>
  </cols>
  <sheetData>
    <row r="1" spans="1:11" ht="27" x14ac:dyDescent="0.35">
      <c r="A1" s="52" t="s">
        <v>149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9" customHeight="1" x14ac:dyDescent="0.3">
      <c r="A2" s="46" t="s">
        <v>146</v>
      </c>
      <c r="B2" s="41"/>
      <c r="C2" s="41"/>
      <c r="D2" s="41"/>
      <c r="E2" s="41"/>
      <c r="F2" s="41"/>
      <c r="G2" s="47"/>
    </row>
    <row r="3" spans="1:11" ht="25.5" x14ac:dyDescent="0.35">
      <c r="A3" s="55" t="s">
        <v>148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9" customHeight="1" x14ac:dyDescent="0.2">
      <c r="A4" s="48"/>
      <c r="B4" s="41"/>
      <c r="C4" s="41"/>
      <c r="D4" s="41"/>
      <c r="E4" s="41"/>
      <c r="F4" s="41"/>
      <c r="G4" s="47"/>
    </row>
    <row r="5" spans="1:11" ht="22.5" x14ac:dyDescent="0.3">
      <c r="A5" s="44" t="s">
        <v>147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87" t="s">
        <v>331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9" customHeight="1" x14ac:dyDescent="0.3">
      <c r="A7" s="39"/>
      <c r="B7" s="5"/>
    </row>
    <row r="8" spans="1:11" ht="23.25" x14ac:dyDescent="0.35">
      <c r="A8" s="27" t="s">
        <v>129</v>
      </c>
    </row>
    <row r="9" spans="1:11" x14ac:dyDescent="0.2">
      <c r="A9" t="s">
        <v>213</v>
      </c>
    </row>
    <row r="10" spans="1:11" x14ac:dyDescent="0.2">
      <c r="A10" t="s">
        <v>214</v>
      </c>
    </row>
    <row r="11" spans="1:11" x14ac:dyDescent="0.2">
      <c r="A11" t="s">
        <v>215</v>
      </c>
    </row>
    <row r="12" spans="1:11" x14ac:dyDescent="0.2">
      <c r="A12" t="s">
        <v>216</v>
      </c>
    </row>
    <row r="13" spans="1:11" x14ac:dyDescent="0.2">
      <c r="A13" t="s">
        <v>217</v>
      </c>
    </row>
    <row r="14" spans="1:11" x14ac:dyDescent="0.2">
      <c r="A14" s="57" t="s">
        <v>218</v>
      </c>
    </row>
    <row r="17" spans="1:12" s="24" customFormat="1" ht="25.5" x14ac:dyDescent="0.2">
      <c r="A17" s="23" t="s">
        <v>1</v>
      </c>
      <c r="B17" s="23" t="s">
        <v>7</v>
      </c>
      <c r="C17" s="23" t="s">
        <v>2</v>
      </c>
      <c r="D17" s="23" t="s">
        <v>7</v>
      </c>
      <c r="E17" s="23" t="s">
        <v>2</v>
      </c>
      <c r="F17" s="23" t="s">
        <v>9</v>
      </c>
      <c r="G17" s="23" t="s">
        <v>10</v>
      </c>
      <c r="H17" s="26" t="s">
        <v>11</v>
      </c>
      <c r="I17" s="23" t="s">
        <v>12</v>
      </c>
      <c r="J17" s="25" t="s">
        <v>0</v>
      </c>
      <c r="K17" s="23" t="s">
        <v>3</v>
      </c>
      <c r="L17" s="23" t="s">
        <v>4</v>
      </c>
    </row>
    <row r="18" spans="1:12" x14ac:dyDescent="0.2">
      <c r="A18" t="s">
        <v>5</v>
      </c>
      <c r="B18" s="20"/>
      <c r="C18" t="s">
        <v>6</v>
      </c>
      <c r="D18" s="20"/>
      <c r="E18" t="s">
        <v>208</v>
      </c>
      <c r="F18" s="94">
        <f>14.948*(D18)</f>
        <v>0</v>
      </c>
      <c r="G18" s="94">
        <f>2.4209*D18+1534.1</f>
        <v>1534.1</v>
      </c>
      <c r="H18" s="126">
        <f>B18*F18*(1+MaterialPct)*(1+SalesTax)*CityMatl/100</f>
        <v>0</v>
      </c>
      <c r="I18" s="94">
        <f>B18*G18*(1+LaborPct)*CityLabor/100</f>
        <v>0</v>
      </c>
      <c r="J18" s="94">
        <f>H18+I18</f>
        <v>0</v>
      </c>
      <c r="K18" s="57" t="s">
        <v>330</v>
      </c>
      <c r="L18" s="57" t="s">
        <v>280</v>
      </c>
    </row>
    <row r="19" spans="1:12" x14ac:dyDescent="0.2">
      <c r="A19" t="s">
        <v>211</v>
      </c>
      <c r="B19" s="20"/>
      <c r="C19" t="s">
        <v>6</v>
      </c>
      <c r="F19" s="3">
        <v>940</v>
      </c>
      <c r="G19" s="3">
        <v>138</v>
      </c>
      <c r="H19" s="4">
        <f>B19*F19*(1+MaterialPct)*(1+SalesTax)*CityMatl/100</f>
        <v>0</v>
      </c>
      <c r="I19" s="3">
        <f>B19*G19*(1+LaborPct)*CityLabor/100</f>
        <v>0</v>
      </c>
      <c r="J19" s="3">
        <f>H19+I19</f>
        <v>0</v>
      </c>
      <c r="K19" t="s">
        <v>278</v>
      </c>
      <c r="L19" t="s">
        <v>278</v>
      </c>
    </row>
    <row r="20" spans="1:12" x14ac:dyDescent="0.2">
      <c r="A20" t="s">
        <v>212</v>
      </c>
      <c r="B20" s="20"/>
      <c r="C20" t="s">
        <v>6</v>
      </c>
      <c r="F20" s="3">
        <v>835</v>
      </c>
      <c r="G20" s="3">
        <v>84</v>
      </c>
      <c r="H20" s="4">
        <f>B20*F20*(1+MaterialPct)*(1+SalesTax)*CityMatl/100</f>
        <v>0</v>
      </c>
      <c r="I20" s="3">
        <f>B20*G20*(1+LaborPct)*CityLabor/100</f>
        <v>0</v>
      </c>
      <c r="J20" s="3">
        <f>H20+I20</f>
        <v>0</v>
      </c>
      <c r="K20" t="s">
        <v>279</v>
      </c>
      <c r="L20" t="s">
        <v>279</v>
      </c>
    </row>
    <row r="21" spans="1:12" x14ac:dyDescent="0.2">
      <c r="F21" s="5"/>
      <c r="G21" s="5"/>
      <c r="H21" s="9"/>
      <c r="I21" s="5"/>
      <c r="J21" s="5"/>
    </row>
    <row r="22" spans="1:12" x14ac:dyDescent="0.2">
      <c r="A22" s="8" t="s">
        <v>69</v>
      </c>
      <c r="F22" s="5"/>
      <c r="G22" s="5"/>
      <c r="H22" s="9"/>
      <c r="I22" s="5"/>
      <c r="J22" s="5"/>
    </row>
    <row r="23" spans="1:12" x14ac:dyDescent="0.2">
      <c r="A23" t="s">
        <v>17</v>
      </c>
      <c r="B23" s="20"/>
      <c r="C23" t="s">
        <v>8</v>
      </c>
      <c r="F23" s="3">
        <v>5.15</v>
      </c>
      <c r="G23" s="3">
        <v>6.05</v>
      </c>
      <c r="H23" s="4">
        <f>B23*F23*(1+MaterialPct)*(1+SalesTax)*CityMatl/100</f>
        <v>0</v>
      </c>
      <c r="I23" s="3">
        <f>B23*G23*(1+LaborPct)*CityLabor/100</f>
        <v>0</v>
      </c>
      <c r="J23" s="3">
        <f>H23+I23</f>
        <v>0</v>
      </c>
      <c r="K23" s="57" t="s">
        <v>263</v>
      </c>
      <c r="L23" s="57" t="s">
        <v>263</v>
      </c>
    </row>
    <row r="24" spans="1:12" x14ac:dyDescent="0.2">
      <c r="A24" t="s">
        <v>18</v>
      </c>
      <c r="B24" s="20"/>
      <c r="C24" t="s">
        <v>8</v>
      </c>
      <c r="F24" s="3">
        <v>7.85</v>
      </c>
      <c r="G24" s="3">
        <v>6.75</v>
      </c>
      <c r="H24" s="4">
        <f>B24*F24*(1+MaterialPct)*(1+SalesTax)*CityMatl/100</f>
        <v>0</v>
      </c>
      <c r="I24" s="3">
        <f>B24*G24*(1+LaborPct)*CityLabor/100</f>
        <v>0</v>
      </c>
      <c r="J24" s="3">
        <f>H24+I24</f>
        <v>0</v>
      </c>
      <c r="K24" s="57" t="s">
        <v>264</v>
      </c>
      <c r="L24" s="57" t="s">
        <v>264</v>
      </c>
    </row>
    <row r="25" spans="1:12" x14ac:dyDescent="0.2">
      <c r="A25" t="s">
        <v>24</v>
      </c>
      <c r="F25" s="6">
        <v>-0.37</v>
      </c>
      <c r="G25" s="6">
        <v>-0.63</v>
      </c>
      <c r="H25" s="4"/>
      <c r="I25" s="3"/>
      <c r="J25" s="3"/>
      <c r="K25" s="57" t="s">
        <v>265</v>
      </c>
      <c r="L25" s="57" t="s">
        <v>265</v>
      </c>
    </row>
    <row r="26" spans="1:12" x14ac:dyDescent="0.2">
      <c r="A26" t="s">
        <v>19</v>
      </c>
      <c r="B26" s="20"/>
      <c r="C26" t="s">
        <v>8</v>
      </c>
      <c r="F26" s="3">
        <v>14.35</v>
      </c>
      <c r="G26" s="3">
        <v>8.85</v>
      </c>
      <c r="H26" s="4">
        <f>B26*F26*(1+MaterialPct)*(1+SalesTax)*CityMatl/100</f>
        <v>0</v>
      </c>
      <c r="I26" s="3">
        <f>B26*G26*(1+LaborPct)*CityLabor/100</f>
        <v>0</v>
      </c>
      <c r="J26" s="3">
        <f>H26+I26</f>
        <v>0</v>
      </c>
      <c r="K26" s="57" t="s">
        <v>267</v>
      </c>
      <c r="L26" s="57" t="s">
        <v>267</v>
      </c>
    </row>
    <row r="27" spans="1:12" x14ac:dyDescent="0.2">
      <c r="A27" t="s">
        <v>20</v>
      </c>
      <c r="B27" s="20"/>
      <c r="C27" t="s">
        <v>8</v>
      </c>
      <c r="F27" s="3">
        <v>22</v>
      </c>
      <c r="G27" s="3">
        <v>10.95</v>
      </c>
      <c r="H27" s="4">
        <f>B27*F27*(1+MaterialPct)*(1+SalesTax)*CityMatl/100</f>
        <v>0</v>
      </c>
      <c r="I27" s="3">
        <f>B27*G27*(1+LaborPct)*CityLabor/100</f>
        <v>0</v>
      </c>
      <c r="J27" s="3">
        <f>H27+I27</f>
        <v>0</v>
      </c>
      <c r="K27" s="57" t="s">
        <v>268</v>
      </c>
      <c r="L27" s="57" t="s">
        <v>268</v>
      </c>
    </row>
    <row r="28" spans="1:12" x14ac:dyDescent="0.2">
      <c r="A28" t="s">
        <v>25</v>
      </c>
      <c r="F28" s="6">
        <v>-0.12</v>
      </c>
      <c r="G28" s="6">
        <v>-0.53</v>
      </c>
      <c r="H28" s="4"/>
      <c r="I28" s="3"/>
      <c r="J28" s="3"/>
      <c r="K28" s="57" t="s">
        <v>269</v>
      </c>
      <c r="L28" s="57" t="s">
        <v>269</v>
      </c>
    </row>
    <row r="29" spans="1:12" x14ac:dyDescent="0.2">
      <c r="A29" t="s">
        <v>21</v>
      </c>
      <c r="B29" s="20"/>
      <c r="C29" t="s">
        <v>8</v>
      </c>
      <c r="F29" s="3">
        <v>18</v>
      </c>
      <c r="G29" s="3">
        <v>19.25</v>
      </c>
      <c r="H29" s="4">
        <f>B29*F29*(1+MaterialPct)*(1+SalesTax)*CityMatl/100</f>
        <v>0</v>
      </c>
      <c r="I29" s="3">
        <f>B29*G29*(1+LaborPct)*CityLabor/100</f>
        <v>0</v>
      </c>
      <c r="J29" s="3">
        <f>H29+I29</f>
        <v>0</v>
      </c>
      <c r="K29" s="57" t="s">
        <v>270</v>
      </c>
      <c r="L29" s="57" t="s">
        <v>270</v>
      </c>
    </row>
    <row r="30" spans="1:12" x14ac:dyDescent="0.2">
      <c r="A30" t="s">
        <v>22</v>
      </c>
      <c r="B30" s="20"/>
      <c r="C30" t="s">
        <v>8</v>
      </c>
      <c r="F30" s="3">
        <v>27</v>
      </c>
      <c r="G30" s="3">
        <v>23</v>
      </c>
      <c r="H30" s="4">
        <f>B30*F30*(1+MaterialPct)*(1+SalesTax)*CityMatl/100</f>
        <v>0</v>
      </c>
      <c r="I30" s="3">
        <f>B30*G30*(1+LaborPct)*CityLabor/100</f>
        <v>0</v>
      </c>
      <c r="J30" s="3">
        <f>H30+I30</f>
        <v>0</v>
      </c>
      <c r="K30" s="57" t="s">
        <v>271</v>
      </c>
      <c r="L30" s="57" t="s">
        <v>271</v>
      </c>
    </row>
    <row r="31" spans="1:12" x14ac:dyDescent="0.2">
      <c r="A31" t="s">
        <v>23</v>
      </c>
      <c r="F31" s="6">
        <v>-0.23</v>
      </c>
      <c r="G31" s="6">
        <v>-0.41</v>
      </c>
      <c r="H31" s="4"/>
      <c r="I31" s="3"/>
      <c r="J31" s="3"/>
      <c r="K31" s="57" t="s">
        <v>266</v>
      </c>
      <c r="L31" s="57" t="s">
        <v>266</v>
      </c>
    </row>
    <row r="32" spans="1:12" x14ac:dyDescent="0.2">
      <c r="F32" s="6"/>
      <c r="G32" s="6"/>
      <c r="H32" s="4"/>
      <c r="I32" s="3"/>
      <c r="J32" s="3"/>
    </row>
    <row r="33" spans="1:12" x14ac:dyDescent="0.2">
      <c r="A33" s="8" t="s">
        <v>70</v>
      </c>
      <c r="F33" s="6"/>
      <c r="G33" s="6"/>
      <c r="H33" s="4"/>
      <c r="I33" s="3"/>
      <c r="J33" s="3"/>
    </row>
    <row r="34" spans="1:12" x14ac:dyDescent="0.2">
      <c r="A34" t="s">
        <v>163</v>
      </c>
      <c r="B34" s="20"/>
      <c r="C34" t="s">
        <v>8</v>
      </c>
      <c r="F34" s="3">
        <v>0.97</v>
      </c>
      <c r="G34" s="3">
        <v>3.2</v>
      </c>
      <c r="H34" s="4">
        <f t="shared" ref="H34:H39" si="0">B34*F34*(1+MaterialPct)*(1+SalesTax)*CityMatl/100</f>
        <v>0</v>
      </c>
      <c r="I34" s="3">
        <f t="shared" ref="I34:I44" si="1">B34*G34*(1+LaborPct)*CityLabor/100</f>
        <v>0</v>
      </c>
      <c r="J34" s="3">
        <f t="shared" ref="J34:J39" si="2">H34+I34</f>
        <v>0</v>
      </c>
      <c r="K34" s="57" t="s">
        <v>273</v>
      </c>
      <c r="L34" s="57" t="s">
        <v>273</v>
      </c>
    </row>
    <row r="35" spans="1:12" x14ac:dyDescent="0.2">
      <c r="A35" t="s">
        <v>26</v>
      </c>
      <c r="B35" s="20"/>
      <c r="C35" t="s">
        <v>8</v>
      </c>
      <c r="F35" s="3">
        <v>1.04</v>
      </c>
      <c r="G35" s="3">
        <v>3.35</v>
      </c>
      <c r="H35" s="4">
        <f t="shared" si="0"/>
        <v>0</v>
      </c>
      <c r="I35" s="3">
        <f t="shared" si="1"/>
        <v>0</v>
      </c>
      <c r="J35" s="3">
        <f t="shared" si="2"/>
        <v>0</v>
      </c>
      <c r="K35" s="57" t="s">
        <v>272</v>
      </c>
      <c r="L35" s="57" t="s">
        <v>272</v>
      </c>
    </row>
    <row r="36" spans="1:12" x14ac:dyDescent="0.2">
      <c r="A36" t="s">
        <v>27</v>
      </c>
      <c r="B36" s="20"/>
      <c r="C36" t="s">
        <v>8</v>
      </c>
      <c r="F36" s="3">
        <v>1.22</v>
      </c>
      <c r="G36" s="3">
        <v>3.51</v>
      </c>
      <c r="H36" s="4">
        <f t="shared" si="0"/>
        <v>0</v>
      </c>
      <c r="I36" s="3">
        <f t="shared" si="1"/>
        <v>0</v>
      </c>
      <c r="J36" s="3">
        <f t="shared" si="2"/>
        <v>0</v>
      </c>
      <c r="K36" s="57" t="s">
        <v>274</v>
      </c>
      <c r="L36" s="57" t="s">
        <v>274</v>
      </c>
    </row>
    <row r="37" spans="1:12" x14ac:dyDescent="0.2">
      <c r="A37" t="s">
        <v>28</v>
      </c>
      <c r="B37" s="20"/>
      <c r="C37" t="s">
        <v>8</v>
      </c>
      <c r="F37" s="3">
        <v>1.32</v>
      </c>
      <c r="G37" s="3">
        <v>3.68</v>
      </c>
      <c r="H37" s="4">
        <f t="shared" si="0"/>
        <v>0</v>
      </c>
      <c r="I37" s="3">
        <f t="shared" si="1"/>
        <v>0</v>
      </c>
      <c r="J37" s="3">
        <f t="shared" si="2"/>
        <v>0</v>
      </c>
      <c r="K37" s="57" t="s">
        <v>275</v>
      </c>
      <c r="L37" s="57" t="s">
        <v>275</v>
      </c>
    </row>
    <row r="38" spans="1:12" x14ac:dyDescent="0.2">
      <c r="A38" t="s">
        <v>29</v>
      </c>
      <c r="B38" s="20"/>
      <c r="C38" t="s">
        <v>8</v>
      </c>
      <c r="F38" s="3">
        <v>1.6</v>
      </c>
      <c r="G38" s="3">
        <v>4.09</v>
      </c>
      <c r="H38" s="4">
        <f t="shared" si="0"/>
        <v>0</v>
      </c>
      <c r="I38" s="3">
        <f t="shared" si="1"/>
        <v>0</v>
      </c>
      <c r="J38" s="3">
        <f t="shared" si="2"/>
        <v>0</v>
      </c>
      <c r="K38" s="57" t="s">
        <v>276</v>
      </c>
      <c r="L38" s="57" t="s">
        <v>276</v>
      </c>
    </row>
    <row r="39" spans="1:12" x14ac:dyDescent="0.2">
      <c r="A39" t="s">
        <v>30</v>
      </c>
      <c r="B39" s="20"/>
      <c r="C39" t="s">
        <v>8</v>
      </c>
      <c r="F39" s="3">
        <v>2.12</v>
      </c>
      <c r="G39" s="3">
        <v>4.91</v>
      </c>
      <c r="H39" s="4">
        <f t="shared" si="0"/>
        <v>0</v>
      </c>
      <c r="I39" s="3">
        <f t="shared" si="1"/>
        <v>0</v>
      </c>
      <c r="J39" s="3">
        <f t="shared" si="2"/>
        <v>0</v>
      </c>
      <c r="K39" s="57" t="s">
        <v>277</v>
      </c>
      <c r="L39" s="57" t="s">
        <v>277</v>
      </c>
    </row>
    <row r="40" spans="1:12" x14ac:dyDescent="0.2">
      <c r="F40" s="3"/>
      <c r="G40" s="3"/>
      <c r="H40" s="4"/>
      <c r="I40" s="3"/>
      <c r="J40" s="3"/>
    </row>
    <row r="41" spans="1:12" x14ac:dyDescent="0.2">
      <c r="A41" s="57" t="s">
        <v>68</v>
      </c>
      <c r="B41" s="20"/>
      <c r="C41" t="s">
        <v>6</v>
      </c>
      <c r="F41" s="3">
        <v>63</v>
      </c>
      <c r="G41" s="3">
        <v>42.5</v>
      </c>
      <c r="H41" s="4">
        <f>B41*F41*(1+MaterialPct)*(1+SalesTax)*CityMatl/100</f>
        <v>0</v>
      </c>
      <c r="I41" s="3">
        <f>B41*G41*(1+LaborPct)*CityLabor/100</f>
        <v>0</v>
      </c>
      <c r="J41" s="3">
        <f>H41+I41</f>
        <v>0</v>
      </c>
      <c r="K41" s="57" t="s">
        <v>281</v>
      </c>
      <c r="L41" s="57" t="s">
        <v>281</v>
      </c>
    </row>
    <row r="42" spans="1:12" x14ac:dyDescent="0.2">
      <c r="F42" s="3"/>
      <c r="G42" s="3"/>
      <c r="H42" s="4"/>
      <c r="I42" s="3"/>
      <c r="J42" s="3"/>
    </row>
    <row r="43" spans="1:12" x14ac:dyDescent="0.2">
      <c r="A43" s="8" t="s">
        <v>165</v>
      </c>
      <c r="F43" s="3"/>
      <c r="G43" s="3"/>
      <c r="H43" s="4"/>
      <c r="I43" s="3"/>
      <c r="J43" s="3"/>
    </row>
    <row r="44" spans="1:12" x14ac:dyDescent="0.2">
      <c r="A44" t="s">
        <v>164</v>
      </c>
      <c r="B44" s="20"/>
      <c r="C44" t="s">
        <v>6</v>
      </c>
      <c r="F44" s="94">
        <f>850*1.05</f>
        <v>892.5</v>
      </c>
      <c r="G44" s="3">
        <f>168*1.1</f>
        <v>184.8</v>
      </c>
      <c r="H44" s="4">
        <f>B44*F44*(1+MaterialPct)*(1+SalesTax)*CityMatl/100</f>
        <v>0</v>
      </c>
      <c r="I44" s="3">
        <f t="shared" si="1"/>
        <v>0</v>
      </c>
      <c r="J44" s="3">
        <f>H44+I44</f>
        <v>0</v>
      </c>
      <c r="K44" s="57" t="s">
        <v>282</v>
      </c>
      <c r="L44" s="57" t="s">
        <v>283</v>
      </c>
    </row>
    <row r="45" spans="1:12" x14ac:dyDescent="0.2">
      <c r="H45" s="1"/>
    </row>
    <row r="46" spans="1:12" x14ac:dyDescent="0.2">
      <c r="A46" s="8" t="s">
        <v>145</v>
      </c>
      <c r="B46" s="35">
        <f>SUM(J18:J44)</f>
        <v>0</v>
      </c>
      <c r="H46" s="1"/>
    </row>
    <row r="47" spans="1:12" x14ac:dyDescent="0.2">
      <c r="H47" s="1"/>
    </row>
    <row r="48" spans="1:12" ht="38.25" x14ac:dyDescent="0.2">
      <c r="A48" s="34" t="s">
        <v>143</v>
      </c>
      <c r="H48" s="1"/>
    </row>
    <row r="49" spans="1:11" x14ac:dyDescent="0.2">
      <c r="H49" s="1"/>
    </row>
    <row r="50" spans="1:11" s="95" customFormat="1" x14ac:dyDescent="0.2">
      <c r="H50" s="96"/>
    </row>
    <row r="51" spans="1:11" ht="25.5" customHeight="1" x14ac:dyDescent="0.2">
      <c r="A51" s="103" t="s">
        <v>203</v>
      </c>
      <c r="B51" s="34" t="s">
        <v>208</v>
      </c>
      <c r="C51" s="34" t="s">
        <v>209</v>
      </c>
      <c r="D51" s="34"/>
      <c r="E51" s="34"/>
      <c r="F51" s="34" t="s">
        <v>210</v>
      </c>
      <c r="G51" s="34"/>
      <c r="H51" s="34"/>
      <c r="I51" s="34"/>
      <c r="J51" s="34"/>
      <c r="K51" s="34"/>
    </row>
    <row r="52" spans="1:11" x14ac:dyDescent="0.2">
      <c r="A52" t="s">
        <v>204</v>
      </c>
      <c r="B52">
        <v>80</v>
      </c>
      <c r="C52" s="3">
        <v>2150</v>
      </c>
      <c r="D52" s="3"/>
      <c r="E52" s="3"/>
      <c r="F52" s="3">
        <v>1225</v>
      </c>
    </row>
    <row r="53" spans="1:11" x14ac:dyDescent="0.2">
      <c r="A53" t="s">
        <v>205</v>
      </c>
      <c r="B53">
        <v>320</v>
      </c>
      <c r="C53" s="3">
        <v>4500</v>
      </c>
      <c r="D53" s="3"/>
      <c r="E53" s="3"/>
      <c r="F53" s="3">
        <v>2225</v>
      </c>
    </row>
    <row r="54" spans="1:11" x14ac:dyDescent="0.2">
      <c r="A54" s="57" t="s">
        <v>257</v>
      </c>
      <c r="B54">
        <v>1275</v>
      </c>
      <c r="C54" s="3">
        <v>15500</v>
      </c>
      <c r="D54" s="3"/>
      <c r="E54" s="3"/>
      <c r="F54" s="3">
        <v>5000</v>
      </c>
    </row>
    <row r="55" spans="1:11" x14ac:dyDescent="0.2">
      <c r="A55" s="57" t="s">
        <v>262</v>
      </c>
      <c r="B55">
        <v>2856</v>
      </c>
      <c r="C55" s="3">
        <v>28300</v>
      </c>
      <c r="D55" s="3"/>
      <c r="E55" s="3"/>
      <c r="F55" s="3">
        <v>8900</v>
      </c>
    </row>
    <row r="56" spans="1:11" x14ac:dyDescent="0.2">
      <c r="A56" s="57" t="s">
        <v>261</v>
      </c>
      <c r="B56">
        <v>3264</v>
      </c>
      <c r="C56" s="3">
        <v>30000</v>
      </c>
      <c r="D56" s="3"/>
      <c r="E56" s="3"/>
      <c r="F56" s="3">
        <v>10000</v>
      </c>
    </row>
    <row r="57" spans="1:11" x14ac:dyDescent="0.2">
      <c r="A57" t="s">
        <v>206</v>
      </c>
      <c r="B57">
        <v>6100</v>
      </c>
      <c r="C57" s="3">
        <v>101500</v>
      </c>
      <c r="D57" s="3"/>
      <c r="E57" s="3"/>
      <c r="F57" s="3">
        <v>13900</v>
      </c>
    </row>
    <row r="58" spans="1:11" x14ac:dyDescent="0.2">
      <c r="A58" s="102" t="s">
        <v>207</v>
      </c>
      <c r="B58">
        <v>6970</v>
      </c>
      <c r="C58" s="3">
        <v>110500</v>
      </c>
      <c r="D58" s="3"/>
      <c r="E58" s="3"/>
      <c r="F58" s="3">
        <v>20000</v>
      </c>
    </row>
    <row r="60" spans="1:11" x14ac:dyDescent="0.2">
      <c r="C60" s="3"/>
      <c r="F60" s="3"/>
    </row>
    <row r="61" spans="1:11" x14ac:dyDescent="0.2">
      <c r="C61" s="3"/>
      <c r="F61" s="3"/>
    </row>
    <row r="62" spans="1:11" x14ac:dyDescent="0.2">
      <c r="C62" s="3"/>
      <c r="F62" s="3"/>
    </row>
    <row r="63" spans="1:11" x14ac:dyDescent="0.2">
      <c r="C63" s="3"/>
      <c r="F63" s="3"/>
    </row>
    <row r="64" spans="1:11" x14ac:dyDescent="0.2">
      <c r="C64" s="3"/>
      <c r="F64" s="3"/>
    </row>
    <row r="65" spans="1:6" x14ac:dyDescent="0.2">
      <c r="C65" s="3"/>
      <c r="F65" s="3"/>
    </row>
    <row r="66" spans="1:6" x14ac:dyDescent="0.2">
      <c r="C66" s="3"/>
      <c r="F66" s="3"/>
    </row>
    <row r="67" spans="1:6" x14ac:dyDescent="0.2">
      <c r="C67" s="3"/>
    </row>
    <row r="69" spans="1:6" x14ac:dyDescent="0.2">
      <c r="A69" s="103"/>
    </row>
  </sheetData>
  <customSheetViews>
    <customSheetView guid="{26F6D74A-4272-4967-9786-783BACF4AF44}" scale="85" showGridLines="0" topLeftCell="B1">
      <selection activeCell="H8" sqref="H8"/>
      <pageMargins left="0.75" right="0.75" top="1" bottom="1" header="0.5" footer="0.5"/>
      <pageSetup scale="53" orientation="landscape" r:id="rId1"/>
      <headerFooter alignWithMargins="0"/>
    </customSheetView>
    <customSheetView guid="{6921AA76-5784-426B-8DF3-DBD2F823F221}" showGridLines="0" showRuler="0">
      <pageMargins left="0.75" right="0.75" top="1" bottom="1" header="0.5" footer="0.5"/>
      <pageSetup scale="53" orientation="landscape" verticalDpi="0" r:id="rId2"/>
      <headerFooter alignWithMargins="0"/>
    </customSheetView>
    <customSheetView guid="{79BA202A-326F-4875-A8CA-34B11A509AC2}" showGridLines="0" topLeftCell="A10">
      <selection activeCell="E24" sqref="E24"/>
      <pageMargins left="0.75" right="0.75" top="1" bottom="1" header="0.5" footer="0.5"/>
      <pageSetup scale="53" orientation="landscape" verticalDpi="0" r:id="rId3"/>
      <headerFooter alignWithMargins="0"/>
    </customSheetView>
  </customSheetViews>
  <phoneticPr fontId="0" type="noConversion"/>
  <pageMargins left="0.75" right="0.75" top="1" bottom="1" header="0.5" footer="0.5"/>
  <pageSetup scale="5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showGridLines="0" zoomScale="85" zoomScaleNormal="85" workbookViewId="0">
      <selection activeCell="A6" sqref="A6"/>
    </sheetView>
  </sheetViews>
  <sheetFormatPr defaultRowHeight="12.75" x14ac:dyDescent="0.2"/>
  <cols>
    <col min="1" max="1" width="63.5703125" customWidth="1"/>
    <col min="2" max="2" width="11" customWidth="1"/>
    <col min="3" max="3" width="10.7109375" customWidth="1"/>
    <col min="4" max="4" width="13.140625" customWidth="1"/>
    <col min="5" max="5" width="16.140625" customWidth="1"/>
    <col min="6" max="6" width="9.85546875" customWidth="1"/>
    <col min="7" max="7" width="10.5703125" bestFit="1" customWidth="1"/>
    <col min="8" max="8" width="11.42578125" bestFit="1" customWidth="1"/>
    <col min="9" max="9" width="38.28515625" customWidth="1"/>
    <col min="10" max="10" width="37.28515625" customWidth="1"/>
  </cols>
  <sheetData>
    <row r="1" spans="1:10" ht="27" x14ac:dyDescent="0.35">
      <c r="A1" s="52" t="s">
        <v>149</v>
      </c>
    </row>
    <row r="2" spans="1:10" ht="9" customHeight="1" x14ac:dyDescent="0.3">
      <c r="A2" s="46" t="s">
        <v>146</v>
      </c>
    </row>
    <row r="3" spans="1:10" ht="25.5" x14ac:dyDescent="0.35">
      <c r="A3" s="55" t="s">
        <v>148</v>
      </c>
    </row>
    <row r="4" spans="1:10" ht="9" customHeight="1" x14ac:dyDescent="0.2">
      <c r="A4" s="48"/>
    </row>
    <row r="5" spans="1:10" ht="22.5" x14ac:dyDescent="0.3">
      <c r="A5" s="44" t="s">
        <v>147</v>
      </c>
    </row>
    <row r="6" spans="1:10" x14ac:dyDescent="0.2">
      <c r="A6" s="87" t="s">
        <v>331</v>
      </c>
    </row>
    <row r="7" spans="1:10" ht="9" customHeight="1" x14ac:dyDescent="0.2">
      <c r="A7" s="45"/>
    </row>
    <row r="8" spans="1:10" ht="23.25" x14ac:dyDescent="0.35">
      <c r="A8" s="27" t="s">
        <v>130</v>
      </c>
    </row>
    <row r="9" spans="1:10" x14ac:dyDescent="0.2">
      <c r="A9" t="s">
        <v>131</v>
      </c>
    </row>
    <row r="10" spans="1:10" x14ac:dyDescent="0.2">
      <c r="A10" s="57" t="s">
        <v>253</v>
      </c>
    </row>
    <row r="11" spans="1:10" x14ac:dyDescent="0.2">
      <c r="A11" s="57" t="s">
        <v>194</v>
      </c>
    </row>
    <row r="12" spans="1:10" x14ac:dyDescent="0.2">
      <c r="A12" s="57" t="s">
        <v>195</v>
      </c>
    </row>
    <row r="14" spans="1:10" s="24" customFormat="1" ht="25.5" x14ac:dyDescent="0.2">
      <c r="A14" s="23" t="s">
        <v>1</v>
      </c>
      <c r="B14" s="23" t="s">
        <v>7</v>
      </c>
      <c r="C14" s="23" t="s">
        <v>2</v>
      </c>
      <c r="D14" s="23" t="s">
        <v>9</v>
      </c>
      <c r="E14" s="23" t="s">
        <v>10</v>
      </c>
      <c r="F14" s="26" t="s">
        <v>11</v>
      </c>
      <c r="G14" s="23" t="s">
        <v>12</v>
      </c>
      <c r="H14" s="25" t="s">
        <v>0</v>
      </c>
      <c r="I14" s="23" t="s">
        <v>3</v>
      </c>
      <c r="J14" s="23" t="s">
        <v>4</v>
      </c>
    </row>
    <row r="15" spans="1:10" x14ac:dyDescent="0.2">
      <c r="D15" s="5"/>
      <c r="E15" s="5"/>
      <c r="F15" s="9"/>
      <c r="G15" s="5"/>
      <c r="H15" s="5"/>
    </row>
    <row r="16" spans="1:10" x14ac:dyDescent="0.2">
      <c r="A16" s="19" t="s">
        <v>178</v>
      </c>
      <c r="D16" s="5"/>
      <c r="E16" s="5"/>
      <c r="F16" s="9"/>
      <c r="G16" s="5"/>
      <c r="H16" s="5"/>
    </row>
    <row r="17" spans="1:10" hidden="1" x14ac:dyDescent="0.2">
      <c r="A17" s="57" t="s">
        <v>193</v>
      </c>
      <c r="D17" s="5"/>
      <c r="E17" s="5"/>
      <c r="F17" s="9"/>
      <c r="G17" s="5"/>
      <c r="H17" s="5"/>
    </row>
    <row r="18" spans="1:10" hidden="1" x14ac:dyDescent="0.2">
      <c r="A18" t="s">
        <v>178</v>
      </c>
      <c r="D18" s="5"/>
      <c r="E18" s="5"/>
      <c r="F18" s="9"/>
      <c r="G18" s="5"/>
      <c r="H18" s="5"/>
    </row>
    <row r="19" spans="1:10" hidden="1" x14ac:dyDescent="0.2">
      <c r="A19" t="s">
        <v>177</v>
      </c>
      <c r="D19" s="5"/>
      <c r="E19" s="5"/>
      <c r="F19" s="9"/>
      <c r="G19" s="5"/>
      <c r="H19" s="5"/>
    </row>
    <row r="20" spans="1:10" hidden="1" x14ac:dyDescent="0.2">
      <c r="A20" t="s">
        <v>179</v>
      </c>
      <c r="D20" s="5"/>
      <c r="E20" s="5"/>
      <c r="F20" s="9"/>
      <c r="G20" s="5"/>
      <c r="H20" s="5"/>
    </row>
    <row r="21" spans="1:10" hidden="1" x14ac:dyDescent="0.2">
      <c r="A21" s="125" t="str">
        <f>A23</f>
        <v>Mid or High-Rise (4 or greater floors)</v>
      </c>
      <c r="D21" s="5"/>
      <c r="E21" s="100"/>
      <c r="F21" s="13"/>
      <c r="G21" s="5"/>
      <c r="H21" s="5"/>
    </row>
    <row r="22" spans="1:10" hidden="1" x14ac:dyDescent="0.2">
      <c r="A22" s="57"/>
      <c r="D22" s="5"/>
      <c r="E22" s="100"/>
      <c r="F22" s="13"/>
      <c r="G22" s="5"/>
      <c r="H22" s="5"/>
    </row>
    <row r="23" spans="1:10" hidden="1" x14ac:dyDescent="0.2">
      <c r="A23" t="s">
        <v>184</v>
      </c>
      <c r="D23" s="5"/>
      <c r="E23" s="100"/>
      <c r="F23" s="13"/>
      <c r="G23" s="5"/>
      <c r="H23" s="5"/>
    </row>
    <row r="24" spans="1:10" hidden="1" x14ac:dyDescent="0.2">
      <c r="D24" s="5"/>
      <c r="E24" s="100"/>
      <c r="F24" s="13"/>
      <c r="G24" s="5"/>
      <c r="H24" s="5"/>
    </row>
    <row r="25" spans="1:10" hidden="1" x14ac:dyDescent="0.2">
      <c r="A25" s="32" t="s">
        <v>182</v>
      </c>
      <c r="B25">
        <f>B31</f>
        <v>0</v>
      </c>
      <c r="C25" s="21" t="s">
        <v>8</v>
      </c>
      <c r="D25" s="36">
        <f>SUM(D72,D74,D78,D80,D81,D82,D83,D84)</f>
        <v>24.706177777777782</v>
      </c>
      <c r="E25" s="37">
        <f>SUM(E72,E74,E78,E80,E81,E82,E83,E84)</f>
        <v>28.784592592592595</v>
      </c>
      <c r="F25" s="28">
        <f>B25*D25*(1+MaterialPct)*(1+SalesTax)*CityMatl/100</f>
        <v>0</v>
      </c>
      <c r="G25" s="28">
        <f>B25*E25*(1+LaborPct)*CityLabor/100</f>
        <v>0</v>
      </c>
      <c r="H25" s="8"/>
      <c r="I25" s="8"/>
      <c r="J25" s="8"/>
    </row>
    <row r="26" spans="1:10" hidden="1" x14ac:dyDescent="0.2">
      <c r="A26" s="32" t="s">
        <v>181</v>
      </c>
      <c r="B26">
        <f>B32</f>
        <v>0</v>
      </c>
      <c r="C26" s="21" t="s">
        <v>8</v>
      </c>
      <c r="D26" s="36">
        <f>SUM(D72,D74,D80,D81,D82,D83,D84)</f>
        <v>20.866177777777779</v>
      </c>
      <c r="E26" s="37">
        <f>SUM(E72,E74,E80,E81,E82,E83,E84)</f>
        <v>24.784592592592595</v>
      </c>
      <c r="F26" s="28">
        <f>B26*D26*(1+MaterialPct)*(1+SalesTax)*CityMatl/100</f>
        <v>0</v>
      </c>
      <c r="G26" s="28">
        <f>B26*E26*(1+LaborPct)*CityLabor/100</f>
        <v>0</v>
      </c>
      <c r="H26" s="8"/>
      <c r="I26" s="8"/>
      <c r="J26" s="8"/>
    </row>
    <row r="27" spans="1:10" s="8" customFormat="1" hidden="1" x14ac:dyDescent="0.2">
      <c r="A27" s="32" t="s">
        <v>183</v>
      </c>
      <c r="B27">
        <f>B32</f>
        <v>0</v>
      </c>
      <c r="C27" s="21" t="s">
        <v>8</v>
      </c>
      <c r="D27" s="36">
        <f>SUM(D72,D74,D81,D82,D83,D84,D77,D80)</f>
        <v>22.78617777777778</v>
      </c>
      <c r="E27" s="37">
        <f>SUM(E72,E74,E81,E82,E83,E84,E77,E80)</f>
        <v>28.464592592592588</v>
      </c>
      <c r="F27" s="28">
        <f>B27*D27*(1+MaterialPct)*(1+SalesTax)*CityMatl/100</f>
        <v>0</v>
      </c>
      <c r="G27" s="28">
        <f>B27*E27*(1+LaborPct)*CityLabor/100</f>
        <v>0</v>
      </c>
    </row>
    <row r="28" spans="1:10" s="8" customFormat="1" hidden="1" x14ac:dyDescent="0.2">
      <c r="A28" s="32"/>
      <c r="B28"/>
      <c r="C28" s="21"/>
      <c r="D28" s="36"/>
      <c r="E28" s="37"/>
      <c r="F28" s="28"/>
      <c r="G28" s="28"/>
    </row>
    <row r="29" spans="1:10" s="8" customFormat="1" hidden="1" x14ac:dyDescent="0.2">
      <c r="A29" s="32"/>
      <c r="B29"/>
      <c r="C29" s="21"/>
      <c r="D29" s="36"/>
      <c r="E29" s="37"/>
      <c r="F29" s="28"/>
      <c r="G29" s="28"/>
    </row>
    <row r="30" spans="1:10" s="8" customFormat="1" x14ac:dyDescent="0.2">
      <c r="A30" s="32"/>
      <c r="B30"/>
      <c r="C30" s="21"/>
      <c r="D30" s="36"/>
      <c r="E30" s="37"/>
      <c r="F30" s="98"/>
      <c r="G30" s="98"/>
    </row>
    <row r="31" spans="1:10" s="8" customFormat="1" x14ac:dyDescent="0.2">
      <c r="A31" s="32" t="s">
        <v>190</v>
      </c>
      <c r="B31" s="19"/>
      <c r="C31" s="21" t="s">
        <v>8</v>
      </c>
      <c r="D31" s="36">
        <f>IF(A21=A23,D25,IF(AND(A16=A18,A21=A24),D28,IF(AND(A16=A19,A21=A24),D29,IF(AND(A16=A20,A21=A24),D29,D18))))</f>
        <v>24.706177777777782</v>
      </c>
      <c r="E31" s="37">
        <f>IF(A21=A23,E25,IF(AND(A16=A18,A21=A24),E28,IF(AND(A16=A19,A21=A24),E29,IF(AND(A16=A20,A21=A24),E29,E18))))</f>
        <v>28.784592592592595</v>
      </c>
      <c r="F31" s="36">
        <f>IF(A21=A23,F25,IF(AND(A16=A18,A21=A24),F28,IF(AND(A16=A19,A21=A24),F29,IF(AND(A16=A20,A21=A24),F29,F18))))</f>
        <v>0</v>
      </c>
      <c r="G31" s="36">
        <f>IF(A21=A23,G25,IF(AND(A16=A18,A21=A24),G28,IF(AND(A16=A19,A21=A24),G29,IF(AND(A16=A20,A21=A24),G29,G18))))</f>
        <v>0</v>
      </c>
      <c r="H31" s="33">
        <f>G31+F31</f>
        <v>0</v>
      </c>
    </row>
    <row r="32" spans="1:10" x14ac:dyDescent="0.2">
      <c r="A32" s="32" t="s">
        <v>252</v>
      </c>
      <c r="B32" s="19"/>
      <c r="C32" s="21" t="s">
        <v>8</v>
      </c>
      <c r="D32" s="36">
        <f>IF(A21=A24,D30,IF(AND(A16=A18,A21=A23),D26,IF(AND(A16=A19,A21=A23),D27,IF(AND(A16=A20,A21=A23),D27,D16))))</f>
        <v>20.866177777777779</v>
      </c>
      <c r="E32" s="37">
        <f>IF(A21=A24,E30,IF(AND(A16=A18,A21=A23),E26,IF(AND(A16=A19,A21=A23),E27,IF(AND(A16=A20,A21=A23),E27,E16))))</f>
        <v>24.784592592592595</v>
      </c>
      <c r="F32" s="36">
        <f>IF(A21=A24,F30,IF(AND(A16=A18,A21=A23),F26,IF(AND(A16=A19,A21=A23),F27,IF(AND(A16=A20,A21=A23),F27,F16))))</f>
        <v>0</v>
      </c>
      <c r="G32" s="36">
        <f>IF(A21=A24,G30,IF(AND(A16=A18,A21=A23),G26,IF(AND(A16=A19,A21=A23),G27,IF(AND(A16=A20,A21=A23),G27,G16))))</f>
        <v>0</v>
      </c>
      <c r="H32" s="33">
        <f>G32+F32</f>
        <v>0</v>
      </c>
      <c r="I32" s="8"/>
      <c r="J32" s="8"/>
    </row>
    <row r="33" spans="1:10" x14ac:dyDescent="0.2">
      <c r="A33" s="32" t="s">
        <v>199</v>
      </c>
      <c r="B33" s="101">
        <f>B31+B32</f>
        <v>0</v>
      </c>
      <c r="C33" s="21" t="s">
        <v>8</v>
      </c>
      <c r="F33" s="1"/>
    </row>
    <row r="34" spans="1:10" x14ac:dyDescent="0.2">
      <c r="F34" s="1"/>
    </row>
    <row r="35" spans="1:10" x14ac:dyDescent="0.2">
      <c r="F35" s="1"/>
    </row>
    <row r="36" spans="1:10" x14ac:dyDescent="0.2">
      <c r="A36" s="8" t="s">
        <v>145</v>
      </c>
      <c r="B36" s="35">
        <f>H31+H32</f>
        <v>0</v>
      </c>
      <c r="F36" s="1"/>
    </row>
    <row r="37" spans="1:10" s="95" customFormat="1" x14ac:dyDescent="0.2">
      <c r="F37" s="96"/>
    </row>
    <row r="38" spans="1:10" x14ac:dyDescent="0.2">
      <c r="A38" s="8" t="s">
        <v>73</v>
      </c>
      <c r="D38" s="5"/>
      <c r="E38" s="5"/>
      <c r="F38" s="9"/>
      <c r="G38" s="5"/>
      <c r="H38" s="5"/>
    </row>
    <row r="39" spans="1:10" x14ac:dyDescent="0.2">
      <c r="A39" s="57" t="s">
        <v>187</v>
      </c>
      <c r="B39">
        <v>1</v>
      </c>
      <c r="C39" t="s">
        <v>8</v>
      </c>
      <c r="D39" s="3">
        <v>6.05</v>
      </c>
      <c r="E39" s="3">
        <v>7</v>
      </c>
      <c r="F39" s="4">
        <f>B39*D39*(1+MaterialPct)*(1+SalesTax)*CityMatl/100</f>
        <v>5.8019500000000006</v>
      </c>
      <c r="G39" s="3">
        <f>B39*E39*(1+LaborPct)*CityLabor/100</f>
        <v>6.5169999999999995</v>
      </c>
      <c r="H39" s="3">
        <f>F39+G39</f>
        <v>12.318950000000001</v>
      </c>
      <c r="I39" s="57" t="s">
        <v>284</v>
      </c>
      <c r="J39" s="57" t="s">
        <v>284</v>
      </c>
    </row>
    <row r="40" spans="1:10" x14ac:dyDescent="0.2">
      <c r="A40" s="57" t="s">
        <v>186</v>
      </c>
      <c r="B40">
        <v>1</v>
      </c>
      <c r="C40" t="s">
        <v>170</v>
      </c>
      <c r="D40" s="3">
        <v>745</v>
      </c>
      <c r="E40" s="3">
        <v>1225</v>
      </c>
      <c r="F40" s="4">
        <f>B40*D40*(1+MaterialPct)*(1+SalesTax)*CityMatl/100</f>
        <v>714.45500000000004</v>
      </c>
      <c r="G40" s="3">
        <f>B40*E40*(1+LaborPct)*CityLabor/100</f>
        <v>1140.4749999999999</v>
      </c>
      <c r="H40" s="3">
        <f>F40+G40</f>
        <v>1854.9299999999998</v>
      </c>
      <c r="I40" s="57" t="s">
        <v>285</v>
      </c>
      <c r="J40" s="57" t="s">
        <v>285</v>
      </c>
    </row>
    <row r="41" spans="1:10" x14ac:dyDescent="0.2">
      <c r="A41" t="s">
        <v>171</v>
      </c>
      <c r="D41" s="3"/>
      <c r="E41" s="3"/>
      <c r="F41" s="4"/>
      <c r="G41" s="3"/>
      <c r="H41" s="3"/>
    </row>
    <row r="42" spans="1:10" x14ac:dyDescent="0.2">
      <c r="D42" s="3"/>
      <c r="E42" s="3"/>
      <c r="F42" s="4"/>
      <c r="G42" s="3"/>
      <c r="H42" s="3"/>
    </row>
    <row r="43" spans="1:10" x14ac:dyDescent="0.2">
      <c r="A43" t="s">
        <v>175</v>
      </c>
      <c r="D43" s="3"/>
      <c r="E43" s="3"/>
      <c r="F43" s="4"/>
      <c r="G43" s="3"/>
      <c r="H43" s="3"/>
    </row>
    <row r="44" spans="1:10" x14ac:dyDescent="0.2">
      <c r="A44" t="s">
        <v>172</v>
      </c>
      <c r="D44" s="3"/>
      <c r="E44" s="3"/>
      <c r="F44" s="4"/>
      <c r="G44" s="3"/>
      <c r="H44" s="3"/>
    </row>
    <row r="45" spans="1:10" x14ac:dyDescent="0.2">
      <c r="A45" t="s">
        <v>173</v>
      </c>
      <c r="D45" s="3"/>
      <c r="E45" s="3"/>
      <c r="F45" s="4"/>
      <c r="G45" s="3"/>
      <c r="H45" s="3"/>
    </row>
    <row r="46" spans="1:10" x14ac:dyDescent="0.2">
      <c r="A46" t="s">
        <v>174</v>
      </c>
      <c r="D46" s="3"/>
      <c r="E46" s="3"/>
      <c r="F46" s="4"/>
      <c r="G46" s="3"/>
      <c r="H46" s="3"/>
    </row>
    <row r="47" spans="1:10" x14ac:dyDescent="0.2">
      <c r="A47" t="s">
        <v>176</v>
      </c>
      <c r="B47">
        <v>2E-3</v>
      </c>
      <c r="D47" s="3"/>
      <c r="E47" s="3"/>
      <c r="F47" s="4"/>
      <c r="G47" s="3"/>
      <c r="H47" s="3"/>
    </row>
    <row r="48" spans="1:10" x14ac:dyDescent="0.2">
      <c r="D48" s="3"/>
      <c r="E48" s="3"/>
      <c r="F48" s="4"/>
      <c r="G48" s="3"/>
      <c r="H48" s="3"/>
    </row>
    <row r="49" spans="1:10" x14ac:dyDescent="0.2">
      <c r="A49" s="8" t="s">
        <v>85</v>
      </c>
      <c r="D49" s="18"/>
      <c r="E49" s="18"/>
      <c r="F49" s="4"/>
      <c r="G49" s="3"/>
      <c r="H49" s="3"/>
    </row>
    <row r="50" spans="1:10" x14ac:dyDescent="0.2">
      <c r="A50" t="s">
        <v>150</v>
      </c>
      <c r="B50">
        <v>1</v>
      </c>
      <c r="C50" t="s">
        <v>76</v>
      </c>
      <c r="D50" s="3">
        <v>0.32</v>
      </c>
      <c r="E50" s="3">
        <v>0.23</v>
      </c>
      <c r="F50" s="4">
        <f>B50*D50*(1+MaterialPct)*(1+SalesTax)*CityMatl/100</f>
        <v>0.30688000000000004</v>
      </c>
      <c r="G50" s="3">
        <f>B50*E50*(1+LaborPct)*CityLabor/100</f>
        <v>0.21413000000000001</v>
      </c>
      <c r="H50" s="3">
        <f>F50+G50</f>
        <v>0.52101000000000008</v>
      </c>
      <c r="I50" s="57" t="s">
        <v>289</v>
      </c>
      <c r="J50" s="57" t="s">
        <v>289</v>
      </c>
    </row>
    <row r="51" spans="1:10" x14ac:dyDescent="0.2">
      <c r="A51" s="57" t="s">
        <v>188</v>
      </c>
      <c r="B51">
        <v>1</v>
      </c>
      <c r="C51" s="57" t="s">
        <v>76</v>
      </c>
      <c r="D51" s="3">
        <v>0.46</v>
      </c>
      <c r="E51" s="3">
        <v>0.23</v>
      </c>
      <c r="F51" s="4">
        <f>B51*D51*(1+MaterialPct)*(1+SalesTax)*CityMatl/100</f>
        <v>0.44114000000000003</v>
      </c>
      <c r="G51" s="3">
        <f>B51*E51*(1+LaborPct)*CityLabor/100</f>
        <v>0.21413000000000001</v>
      </c>
      <c r="H51" s="3">
        <f>F51+G51</f>
        <v>0.65527000000000002</v>
      </c>
      <c r="I51" s="57" t="s">
        <v>290</v>
      </c>
      <c r="J51" s="57" t="s">
        <v>290</v>
      </c>
    </row>
    <row r="52" spans="1:10" x14ac:dyDescent="0.2">
      <c r="A52" s="57" t="s">
        <v>189</v>
      </c>
      <c r="B52">
        <v>1</v>
      </c>
      <c r="C52" s="57" t="s">
        <v>76</v>
      </c>
      <c r="D52" s="3">
        <v>0.5</v>
      </c>
      <c r="E52" s="3">
        <v>0.23</v>
      </c>
      <c r="F52" s="4">
        <f>B52*D52*(1+MaterialPct)*(1+SalesTax)*CityMatl/100</f>
        <v>0.47950000000000004</v>
      </c>
      <c r="G52" s="3">
        <f>B52*E52*(1+LaborPct)*CityLabor/100</f>
        <v>0.21413000000000001</v>
      </c>
      <c r="H52" s="3">
        <f>F52+G52</f>
        <v>0.69363000000000008</v>
      </c>
      <c r="I52" s="57" t="s">
        <v>291</v>
      </c>
      <c r="J52" s="57" t="s">
        <v>291</v>
      </c>
    </row>
    <row r="53" spans="1:10" x14ac:dyDescent="0.2">
      <c r="A53" t="s">
        <v>185</v>
      </c>
      <c r="B53">
        <v>1</v>
      </c>
      <c r="C53" t="s">
        <v>76</v>
      </c>
      <c r="D53" s="3">
        <v>0.24</v>
      </c>
      <c r="E53" s="3">
        <v>0.46</v>
      </c>
      <c r="F53" s="4">
        <f>B53*D53*(1+MaterialPct)*(1+SalesTax)*CityMatl/100</f>
        <v>0.23016000000000003</v>
      </c>
      <c r="G53" s="3">
        <f>B53*E53*(1+LaborPct)*CityLabor/100</f>
        <v>0.42826000000000003</v>
      </c>
      <c r="H53" s="3">
        <f>F53+G53</f>
        <v>0.65842000000000001</v>
      </c>
      <c r="I53" s="57" t="s">
        <v>286</v>
      </c>
      <c r="J53" s="57" t="s">
        <v>286</v>
      </c>
    </row>
    <row r="54" spans="1:10" x14ac:dyDescent="0.2">
      <c r="A54" t="s">
        <v>287</v>
      </c>
      <c r="B54">
        <v>1</v>
      </c>
      <c r="C54" t="s">
        <v>76</v>
      </c>
      <c r="D54" s="3">
        <v>0.48</v>
      </c>
      <c r="E54" s="3">
        <v>0.5</v>
      </c>
      <c r="F54" s="4">
        <f>B54*D54*(1+MaterialPct)*(1+SalesTax)*CityMatl/100</f>
        <v>0.46032000000000006</v>
      </c>
      <c r="G54" s="3">
        <f>B54*E54*(1+LaborPct)*CityLabor/100</f>
        <v>0.46549999999999997</v>
      </c>
      <c r="H54" s="3">
        <f>F54+G54</f>
        <v>0.92582000000000009</v>
      </c>
      <c r="I54" s="57" t="s">
        <v>288</v>
      </c>
      <c r="J54" s="57" t="s">
        <v>288</v>
      </c>
    </row>
    <row r="55" spans="1:10" x14ac:dyDescent="0.2">
      <c r="D55" s="18"/>
      <c r="E55" s="18"/>
      <c r="F55" s="4"/>
      <c r="G55" s="3"/>
      <c r="H55" s="3"/>
    </row>
    <row r="56" spans="1:10" x14ac:dyDescent="0.2">
      <c r="A56" s="8" t="s">
        <v>74</v>
      </c>
      <c r="D56" s="18"/>
      <c r="E56" s="18"/>
      <c r="F56" s="4"/>
      <c r="G56" s="3"/>
      <c r="H56" s="3"/>
    </row>
    <row r="57" spans="1:10" x14ac:dyDescent="0.2">
      <c r="A57" t="s">
        <v>75</v>
      </c>
      <c r="B57">
        <v>1</v>
      </c>
      <c r="C57" t="s">
        <v>76</v>
      </c>
      <c r="D57" s="3">
        <v>0.37</v>
      </c>
      <c r="E57" s="3">
        <v>0.76</v>
      </c>
      <c r="F57" s="4">
        <f>B57*D57*(1+MaterialPct)*(1+SalesTax)*CityMatl/100</f>
        <v>0.35483000000000003</v>
      </c>
      <c r="G57" s="3">
        <f>B57*E57*(1+LaborPct)*CityLabor/100</f>
        <v>0.70755999999999997</v>
      </c>
      <c r="H57" s="3">
        <f>F57+G57</f>
        <v>1.0623899999999999</v>
      </c>
      <c r="I57" s="57" t="s">
        <v>292</v>
      </c>
      <c r="J57" s="57" t="s">
        <v>292</v>
      </c>
    </row>
    <row r="58" spans="1:10" x14ac:dyDescent="0.2">
      <c r="D58" s="3"/>
      <c r="E58" s="3"/>
      <c r="F58" s="4"/>
      <c r="G58" s="3"/>
      <c r="H58" s="3"/>
    </row>
    <row r="59" spans="1:10" x14ac:dyDescent="0.2">
      <c r="A59" s="8" t="s">
        <v>79</v>
      </c>
      <c r="D59" s="3"/>
      <c r="E59" s="3"/>
      <c r="F59" s="4"/>
      <c r="G59" s="3"/>
      <c r="H59" s="3"/>
    </row>
    <row r="60" spans="1:10" x14ac:dyDescent="0.2">
      <c r="A60" t="s">
        <v>78</v>
      </c>
      <c r="B60">
        <v>1</v>
      </c>
      <c r="C60" t="s">
        <v>76</v>
      </c>
      <c r="D60" s="3">
        <v>0.76</v>
      </c>
      <c r="E60" s="3">
        <v>0.61</v>
      </c>
      <c r="F60" s="4">
        <f>B60*D60*(1+MaterialPct)*(1+SalesTax)*CityMatl/100</f>
        <v>0.72884000000000004</v>
      </c>
      <c r="G60" s="3">
        <f>B60*E60*(1+LaborPct)*CityLabor/100</f>
        <v>0.56790999999999991</v>
      </c>
      <c r="H60" s="3">
        <f>F60+G60</f>
        <v>1.2967499999999998</v>
      </c>
      <c r="I60" s="57" t="s">
        <v>293</v>
      </c>
      <c r="J60" s="57" t="s">
        <v>293</v>
      </c>
    </row>
    <row r="61" spans="1:10" x14ac:dyDescent="0.2">
      <c r="A61" t="s">
        <v>250</v>
      </c>
      <c r="B61">
        <v>1</v>
      </c>
      <c r="C61" t="s">
        <v>84</v>
      </c>
      <c r="D61" s="3">
        <v>3.98</v>
      </c>
      <c r="E61" s="3">
        <v>9.9</v>
      </c>
      <c r="F61" s="4">
        <f>B61*D61*(1+MaterialPct)*(1+SalesTax)*CityMatl/100</f>
        <v>3.8168200000000003</v>
      </c>
      <c r="G61" s="3">
        <f>B61*E61*(1+LaborPct)*CityLabor/100</f>
        <v>9.216899999999999</v>
      </c>
      <c r="H61" s="3">
        <f>F61+G61</f>
        <v>13.033719999999999</v>
      </c>
      <c r="I61" s="57" t="s">
        <v>294</v>
      </c>
      <c r="J61" s="57" t="s">
        <v>294</v>
      </c>
    </row>
    <row r="62" spans="1:10" x14ac:dyDescent="0.2">
      <c r="A62" t="s">
        <v>82</v>
      </c>
      <c r="B62">
        <v>1</v>
      </c>
      <c r="C62" t="s">
        <v>81</v>
      </c>
      <c r="D62" s="3">
        <v>6.2</v>
      </c>
      <c r="E62" s="3">
        <v>6.15</v>
      </c>
      <c r="F62" s="4">
        <f>B62*D62*(1+MaterialPct)*(1+SalesTax)*CityMatl/100</f>
        <v>5.9458000000000002</v>
      </c>
      <c r="G62" s="3">
        <f>B62*E62*(1+LaborPct)*CityLabor/100</f>
        <v>5.7256500000000008</v>
      </c>
      <c r="H62" s="3">
        <f>F62+G62</f>
        <v>11.67145</v>
      </c>
      <c r="I62" s="57" t="s">
        <v>295</v>
      </c>
      <c r="J62" s="57" t="s">
        <v>295</v>
      </c>
    </row>
    <row r="63" spans="1:10" x14ac:dyDescent="0.2">
      <c r="A63" t="s">
        <v>80</v>
      </c>
      <c r="B63">
        <v>1</v>
      </c>
      <c r="C63" t="s">
        <v>81</v>
      </c>
      <c r="D63" s="3">
        <v>3.58</v>
      </c>
      <c r="E63" s="3">
        <v>8</v>
      </c>
      <c r="F63" s="4">
        <f>B63*D63*(1+MaterialPct)*(1+SalesTax)*CityMatl/100</f>
        <v>3.4332199999999999</v>
      </c>
      <c r="G63" s="3">
        <f>B63*E63*(1+LaborPct)*CityLabor/100</f>
        <v>7.4479999999999995</v>
      </c>
      <c r="H63" s="3">
        <f>F63+G63</f>
        <v>10.881219999999999</v>
      </c>
      <c r="I63" s="57" t="s">
        <v>296</v>
      </c>
      <c r="J63" s="57" t="s">
        <v>296</v>
      </c>
    </row>
    <row r="64" spans="1:10" x14ac:dyDescent="0.2">
      <c r="D64" s="3"/>
      <c r="E64" s="3"/>
      <c r="F64" s="4"/>
      <c r="G64" s="3"/>
      <c r="H64" s="3"/>
    </row>
    <row r="65" spans="1:10" x14ac:dyDescent="0.2">
      <c r="A65" s="8" t="s">
        <v>168</v>
      </c>
      <c r="D65" s="3"/>
      <c r="E65" s="3"/>
      <c r="F65" s="4"/>
      <c r="G65" s="3"/>
      <c r="H65" s="3"/>
    </row>
    <row r="66" spans="1:10" x14ac:dyDescent="0.2">
      <c r="A66" t="s">
        <v>169</v>
      </c>
      <c r="B66">
        <v>1</v>
      </c>
      <c r="C66" t="s">
        <v>76</v>
      </c>
      <c r="D66" s="3">
        <v>0.97</v>
      </c>
      <c r="E66" s="3">
        <v>1.48</v>
      </c>
      <c r="F66" s="4">
        <f>B66*D66*(1+MaterialPct)*(1+SalesTax)*CityMatl/100</f>
        <v>0.93023</v>
      </c>
      <c r="G66" s="3">
        <f>B66*E66*(1+LaborPct)*CityLabor/100</f>
        <v>1.3778799999999998</v>
      </c>
      <c r="H66" s="3">
        <f>F66+G66</f>
        <v>2.3081099999999997</v>
      </c>
      <c r="I66" s="57" t="s">
        <v>297</v>
      </c>
      <c r="J66" s="57" t="s">
        <v>297</v>
      </c>
    </row>
    <row r="67" spans="1:10" x14ac:dyDescent="0.2">
      <c r="D67" s="3"/>
      <c r="E67" s="3"/>
      <c r="F67" s="4"/>
      <c r="G67" s="3"/>
      <c r="H67" s="3"/>
    </row>
    <row r="68" spans="1:10" x14ac:dyDescent="0.2">
      <c r="D68" s="3"/>
      <c r="E68" s="3"/>
      <c r="F68" s="4"/>
      <c r="G68" s="3"/>
      <c r="H68" s="3"/>
    </row>
    <row r="69" spans="1:10" x14ac:dyDescent="0.2">
      <c r="D69" s="3"/>
      <c r="E69" s="3"/>
      <c r="F69" s="4"/>
      <c r="G69" s="3"/>
      <c r="H69" s="3"/>
    </row>
    <row r="70" spans="1:10" x14ac:dyDescent="0.2">
      <c r="D70" s="3"/>
      <c r="E70" s="3"/>
      <c r="F70" s="4"/>
      <c r="G70" s="3"/>
      <c r="H70" s="3"/>
    </row>
    <row r="71" spans="1:10" x14ac:dyDescent="0.2">
      <c r="A71" s="8" t="s">
        <v>167</v>
      </c>
      <c r="D71" s="3"/>
      <c r="E71" s="3"/>
      <c r="F71" s="4"/>
      <c r="G71" s="3"/>
      <c r="H71" s="3"/>
    </row>
    <row r="72" spans="1:10" x14ac:dyDescent="0.2">
      <c r="A72" t="str">
        <f>A39</f>
        <v>Metal Framing, Stud Walls, 8' high, 18 ga, 3-5/8" wide, 24" OC, no openings</v>
      </c>
      <c r="B72">
        <v>1</v>
      </c>
      <c r="C72" t="s">
        <v>8</v>
      </c>
      <c r="D72" s="3">
        <f>D39</f>
        <v>6.05</v>
      </c>
      <c r="E72" s="3">
        <f>E39</f>
        <v>7</v>
      </c>
      <c r="F72" s="4">
        <f t="shared" ref="F72:F84" si="0">B72*D72*(1+MaterialPct)*(1+SalesTax)*CityMatl/100</f>
        <v>5.8019500000000006</v>
      </c>
      <c r="G72" s="3">
        <f>B72*E72*(1+LaborPct)*CityLabor/100</f>
        <v>6.5169999999999995</v>
      </c>
      <c r="H72" s="3">
        <f>F72+G72</f>
        <v>12.318950000000001</v>
      </c>
    </row>
    <row r="73" spans="1:10" x14ac:dyDescent="0.2">
      <c r="A73" t="str">
        <f>A40</f>
        <v>Wood Framing, Stud Walls, 8' high, 2" x 3", 24" OC</v>
      </c>
      <c r="B73">
        <v>1</v>
      </c>
      <c r="C73" t="s">
        <v>8</v>
      </c>
      <c r="D73" s="3">
        <f>B47*D40</f>
        <v>1.49</v>
      </c>
      <c r="E73" s="3">
        <f>B47*E40</f>
        <v>2.4500000000000002</v>
      </c>
      <c r="F73" s="4">
        <f t="shared" si="0"/>
        <v>1.4289100000000001</v>
      </c>
      <c r="G73" s="3">
        <f t="shared" ref="G73:G84" si="1">B73*E73*(1+LaborPct)*CityLabor/100</f>
        <v>2.2809499999999998</v>
      </c>
      <c r="H73" s="3">
        <f t="shared" ref="H73:H84" si="2">F73+G73</f>
        <v>3.7098599999999999</v>
      </c>
    </row>
    <row r="74" spans="1:10" x14ac:dyDescent="0.2">
      <c r="A74" t="str">
        <f>A50</f>
        <v>Fiberglass, unfaced, batts or blankets, 3-1/2" thick, R13, 23" wide</v>
      </c>
      <c r="B74">
        <v>1</v>
      </c>
      <c r="C74" t="s">
        <v>8</v>
      </c>
      <c r="D74" s="3">
        <f t="shared" ref="D74:E78" si="3">D50*8</f>
        <v>2.56</v>
      </c>
      <c r="E74" s="3">
        <f t="shared" si="3"/>
        <v>1.84</v>
      </c>
      <c r="F74" s="4">
        <f t="shared" si="0"/>
        <v>2.4550400000000003</v>
      </c>
      <c r="G74" s="3">
        <f t="shared" si="1"/>
        <v>1.7130400000000001</v>
      </c>
      <c r="H74" s="3">
        <f t="shared" si="2"/>
        <v>4.1680800000000007</v>
      </c>
    </row>
    <row r="75" spans="1:10" x14ac:dyDescent="0.2">
      <c r="A75" t="str">
        <f>A51</f>
        <v>Fiberglass, unfaced, batts or blankets, 3-1/2" thick, R15, 23" wide</v>
      </c>
      <c r="B75">
        <v>1</v>
      </c>
      <c r="C75" t="s">
        <v>8</v>
      </c>
      <c r="D75" s="3">
        <f t="shared" si="3"/>
        <v>3.68</v>
      </c>
      <c r="E75" s="3">
        <f t="shared" si="3"/>
        <v>1.84</v>
      </c>
      <c r="F75" s="4">
        <f>B75*D75*(1+MaterialPct)*(1+SalesTax)*CityMatl/100</f>
        <v>3.5291200000000003</v>
      </c>
      <c r="G75" s="3">
        <f>B75*E75*(1+LaborPct)*CityLabor/100</f>
        <v>1.7130400000000001</v>
      </c>
      <c r="H75" s="3">
        <f>F75+G75</f>
        <v>5.2421600000000002</v>
      </c>
    </row>
    <row r="76" spans="1:10" x14ac:dyDescent="0.2">
      <c r="A76" t="str">
        <f>A52</f>
        <v>Fiberglass, unfaced, batts or blankets, 3-1/2" thick, R21, 23" wide</v>
      </c>
      <c r="B76">
        <v>1</v>
      </c>
      <c r="C76" t="s">
        <v>8</v>
      </c>
      <c r="D76" s="3">
        <f t="shared" si="3"/>
        <v>4</v>
      </c>
      <c r="E76" s="3">
        <f t="shared" si="3"/>
        <v>1.84</v>
      </c>
      <c r="F76" s="4">
        <f>B76*D76*(1+MaterialPct)*(1+SalesTax)*CityMatl/100</f>
        <v>3.8360000000000003</v>
      </c>
      <c r="G76" s="3">
        <f>B76*E76*(1+LaborPct)*CityLabor/100</f>
        <v>1.7130400000000001</v>
      </c>
      <c r="H76" s="3">
        <f>F76+G76</f>
        <v>5.5490400000000006</v>
      </c>
    </row>
    <row r="77" spans="1:10" x14ac:dyDescent="0.2">
      <c r="A77" t="str">
        <f>A53</f>
        <v>Rigid Insulation, Expanded polystyrene, 1" thick, R-3.85</v>
      </c>
      <c r="B77">
        <v>1</v>
      </c>
      <c r="C77" t="s">
        <v>8</v>
      </c>
      <c r="D77" s="3">
        <f t="shared" si="3"/>
        <v>1.92</v>
      </c>
      <c r="E77" s="3">
        <f t="shared" si="3"/>
        <v>3.68</v>
      </c>
      <c r="F77" s="4">
        <f t="shared" si="0"/>
        <v>1.8412800000000002</v>
      </c>
      <c r="G77" s="3">
        <f t="shared" si="1"/>
        <v>3.4260800000000002</v>
      </c>
      <c r="H77" s="3">
        <f t="shared" si="2"/>
        <v>5.26736</v>
      </c>
    </row>
    <row r="78" spans="1:10" x14ac:dyDescent="0.2">
      <c r="A78" t="str">
        <f>A54</f>
        <v>Rigid Insulation, Expanded polystyrene, 2" thick, R-7.69</v>
      </c>
      <c r="B78">
        <v>1</v>
      </c>
      <c r="C78" t="s">
        <v>8</v>
      </c>
      <c r="D78" s="3">
        <f t="shared" si="3"/>
        <v>3.84</v>
      </c>
      <c r="E78" s="3">
        <f t="shared" si="3"/>
        <v>4</v>
      </c>
      <c r="F78" s="4">
        <f t="shared" si="0"/>
        <v>3.6825600000000005</v>
      </c>
      <c r="G78" s="3">
        <f t="shared" si="1"/>
        <v>3.7239999999999998</v>
      </c>
      <c r="H78" s="3">
        <f t="shared" si="2"/>
        <v>7.4065600000000007</v>
      </c>
    </row>
    <row r="79" spans="1:10" x14ac:dyDescent="0.2">
      <c r="D79" s="3"/>
      <c r="E79" s="3"/>
      <c r="F79" s="4"/>
      <c r="G79" s="3"/>
      <c r="H79" s="3"/>
    </row>
    <row r="80" spans="1:10" x14ac:dyDescent="0.2">
      <c r="A80" t="str">
        <f>A57</f>
        <v>5/8" thick sheetrock, taped and finished (Level 4)</v>
      </c>
      <c r="B80">
        <v>1</v>
      </c>
      <c r="C80" t="s">
        <v>8</v>
      </c>
      <c r="D80" s="3">
        <f>D57*8</f>
        <v>2.96</v>
      </c>
      <c r="E80" s="3">
        <f>E57*8</f>
        <v>6.08</v>
      </c>
      <c r="F80" s="4">
        <f t="shared" si="0"/>
        <v>2.8386400000000003</v>
      </c>
      <c r="G80" s="3">
        <f t="shared" si="1"/>
        <v>5.6604799999999997</v>
      </c>
      <c r="H80" s="3">
        <f t="shared" si="2"/>
        <v>8.4991199999999996</v>
      </c>
    </row>
    <row r="81" spans="1:8" x14ac:dyDescent="0.2">
      <c r="A81" t="str">
        <f>A60</f>
        <v>Gypsum sheathing, weatherproof, 5/8" thick (add 25% to matl for 1/2")</v>
      </c>
      <c r="B81">
        <v>1</v>
      </c>
      <c r="C81" t="s">
        <v>8</v>
      </c>
      <c r="D81" s="3">
        <f>D60*8</f>
        <v>6.08</v>
      </c>
      <c r="E81" s="3">
        <f>E60*8</f>
        <v>4.88</v>
      </c>
      <c r="F81" s="4">
        <f t="shared" si="0"/>
        <v>5.8307200000000003</v>
      </c>
      <c r="G81" s="3">
        <f t="shared" si="1"/>
        <v>4.5432799999999993</v>
      </c>
      <c r="H81" s="3">
        <f t="shared" si="2"/>
        <v>10.373999999999999</v>
      </c>
    </row>
    <row r="82" spans="1:8" x14ac:dyDescent="0.2">
      <c r="A82" t="str">
        <f>A61</f>
        <v>Polyethylene vapor barrier standard</v>
      </c>
      <c r="B82">
        <v>1</v>
      </c>
      <c r="C82" t="s">
        <v>8</v>
      </c>
      <c r="D82" s="3">
        <f>D61/100*8</f>
        <v>0.31840000000000002</v>
      </c>
      <c r="E82" s="3">
        <f>E61/100*8</f>
        <v>0.79200000000000004</v>
      </c>
      <c r="F82" s="4">
        <f t="shared" si="0"/>
        <v>0.30534560000000005</v>
      </c>
      <c r="G82" s="3">
        <f t="shared" si="1"/>
        <v>0.73735200000000001</v>
      </c>
      <c r="H82" s="3">
        <f t="shared" si="2"/>
        <v>1.0426976000000001</v>
      </c>
    </row>
    <row r="83" spans="1:8" x14ac:dyDescent="0.2">
      <c r="A83" t="str">
        <f>A62</f>
        <v>Mesh, wired to steel, painted, 1.8 lb</v>
      </c>
      <c r="B83">
        <v>1</v>
      </c>
      <c r="C83" t="s">
        <v>8</v>
      </c>
      <c r="D83" s="3">
        <f>D62/27*8</f>
        <v>1.837037037037037</v>
      </c>
      <c r="E83" s="3">
        <f>E62/27*8</f>
        <v>1.8222222222222224</v>
      </c>
      <c r="F83" s="4">
        <f t="shared" si="0"/>
        <v>1.7617185185185187</v>
      </c>
      <c r="G83" s="3">
        <f t="shared" si="1"/>
        <v>1.6964888888888892</v>
      </c>
      <c r="H83" s="3">
        <f t="shared" si="2"/>
        <v>3.4582074074074081</v>
      </c>
    </row>
    <row r="84" spans="1:8" x14ac:dyDescent="0.2">
      <c r="A84" s="10" t="str">
        <f>A63</f>
        <v>Exterior Stucco, with bonding agent, 3 coats on wall, no mesh</v>
      </c>
      <c r="B84" s="10">
        <v>1</v>
      </c>
      <c r="C84" s="10" t="s">
        <v>8</v>
      </c>
      <c r="D84" s="28">
        <f>D63/27*8</f>
        <v>1.0607407407407408</v>
      </c>
      <c r="E84" s="28">
        <f>E63/27*8</f>
        <v>2.3703703703703702</v>
      </c>
      <c r="F84" s="4">
        <f t="shared" si="0"/>
        <v>1.0172503703703704</v>
      </c>
      <c r="G84" s="28">
        <f t="shared" si="1"/>
        <v>2.2068148148148143</v>
      </c>
      <c r="H84" s="3">
        <f t="shared" si="2"/>
        <v>3.2240651851851849</v>
      </c>
    </row>
    <row r="85" spans="1:8" x14ac:dyDescent="0.2">
      <c r="A85" s="13" t="str">
        <f>A66</f>
        <v>Vinyl Siding, Clapboard profile, woodgrain texture, 0.048 thick, double 4</v>
      </c>
      <c r="B85" s="13">
        <v>1</v>
      </c>
      <c r="C85" s="13" t="s">
        <v>8</v>
      </c>
      <c r="D85" s="28">
        <f>D66*8</f>
        <v>7.76</v>
      </c>
      <c r="E85" s="38">
        <f>E66*8</f>
        <v>11.84</v>
      </c>
      <c r="F85" s="4">
        <f>B85*D85*(1+MaterialPct)*(1+SalesTax)*CityMatl/100</f>
        <v>7.44184</v>
      </c>
      <c r="G85" s="28">
        <f>B85*E85*(1+LaborPct)*CityLabor/100</f>
        <v>11.023039999999998</v>
      </c>
      <c r="H85" s="3">
        <f>F85+G85</f>
        <v>18.464879999999997</v>
      </c>
    </row>
    <row r="86" spans="1:8" x14ac:dyDescent="0.2">
      <c r="A86" s="10"/>
      <c r="B86" s="10"/>
      <c r="C86" s="10"/>
      <c r="D86" s="28"/>
      <c r="E86" s="38"/>
      <c r="F86" s="28"/>
      <c r="G86" s="28"/>
      <c r="H86" s="28"/>
    </row>
    <row r="87" spans="1:8" x14ac:dyDescent="0.2">
      <c r="A87" s="99" t="s">
        <v>191</v>
      </c>
      <c r="B87" s="10"/>
      <c r="C87" s="10"/>
      <c r="D87" s="28"/>
      <c r="E87" s="38"/>
      <c r="F87" s="28"/>
      <c r="G87" s="28"/>
      <c r="H87" s="28"/>
    </row>
    <row r="88" spans="1:8" x14ac:dyDescent="0.2">
      <c r="A88" s="99" t="s">
        <v>192</v>
      </c>
      <c r="B88" s="10"/>
      <c r="C88" s="10"/>
      <c r="D88" s="28"/>
      <c r="E88" s="38"/>
      <c r="F88" s="28"/>
      <c r="G88" s="28"/>
      <c r="H88" s="28"/>
    </row>
    <row r="89" spans="1:8" x14ac:dyDescent="0.2">
      <c r="A89" s="10"/>
      <c r="B89" s="10"/>
      <c r="C89" s="10"/>
      <c r="D89" s="28"/>
      <c r="E89" s="38"/>
      <c r="F89" s="28"/>
      <c r="G89" s="28"/>
      <c r="H89" s="28"/>
    </row>
    <row r="90" spans="1:8" x14ac:dyDescent="0.2">
      <c r="F90" s="1"/>
    </row>
    <row r="91" spans="1:8" x14ac:dyDescent="0.2">
      <c r="F91" s="1"/>
    </row>
    <row r="115" spans="1:1" x14ac:dyDescent="0.2">
      <c r="A115" t="s">
        <v>77</v>
      </c>
    </row>
  </sheetData>
  <customSheetViews>
    <customSheetView guid="{26F6D74A-4272-4967-9786-783BACF4AF44}" showGridLines="0" hiddenRows="1" topLeftCell="A7">
      <selection activeCell="A21" sqref="A21"/>
      <pageMargins left="0.75" right="0.75" top="1" bottom="1" header="0.5" footer="0.5"/>
      <pageSetup scale="49" orientation="landscape" r:id="rId1"/>
      <headerFooter alignWithMargins="0"/>
    </customSheetView>
    <customSheetView guid="{6921AA76-5784-426B-8DF3-DBD2F823F221}" showGridLines="0" showRuler="0">
      <selection activeCell="B1" sqref="B1"/>
      <pageMargins left="0.75" right="0.75" top="1" bottom="1" header="0.5" footer="0.5"/>
      <pageSetup scale="49" orientation="landscape" verticalDpi="0" r:id="rId2"/>
      <headerFooter alignWithMargins="0"/>
    </customSheetView>
    <customSheetView guid="{79BA202A-326F-4875-A8CA-34B11A509AC2}" showGridLines="0">
      <selection activeCell="D60" sqref="D60"/>
      <pageMargins left="0.75" right="0.75" top="1" bottom="1" header="0.5" footer="0.5"/>
      <pageSetup scale="49" orientation="landscape" verticalDpi="0" r:id="rId3"/>
      <headerFooter alignWithMargins="0"/>
    </customSheetView>
  </customSheetViews>
  <phoneticPr fontId="0" type="noConversion"/>
  <dataValidations count="1">
    <dataValidation type="list" allowBlank="1" showInputMessage="1" showErrorMessage="1" sqref="A16">
      <formula1>$A$17:$A$20</formula1>
    </dataValidation>
  </dataValidations>
  <pageMargins left="0.75" right="0.75" top="1" bottom="1" header="0.5" footer="0.5"/>
  <pageSetup scale="49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showGridLines="0" zoomScale="85" zoomScaleNormal="85" workbookViewId="0">
      <selection activeCell="A6" sqref="A5:A6"/>
    </sheetView>
  </sheetViews>
  <sheetFormatPr defaultRowHeight="12.75" x14ac:dyDescent="0.2"/>
  <cols>
    <col min="1" max="1" width="63.5703125" customWidth="1"/>
    <col min="2" max="2" width="10.5703125" customWidth="1"/>
    <col min="3" max="3" width="10.7109375" customWidth="1"/>
    <col min="4" max="4" width="13.140625" customWidth="1"/>
    <col min="5" max="5" width="16.140625" customWidth="1"/>
    <col min="6" max="6" width="9.85546875" customWidth="1"/>
    <col min="7" max="7" width="10.5703125" bestFit="1" customWidth="1"/>
    <col min="8" max="8" width="11.42578125" bestFit="1" customWidth="1"/>
    <col min="9" max="10" width="37.7109375" bestFit="1" customWidth="1"/>
  </cols>
  <sheetData>
    <row r="1" spans="1:10" ht="27" x14ac:dyDescent="0.35">
      <c r="A1" s="52" t="s">
        <v>149</v>
      </c>
    </row>
    <row r="2" spans="1:10" ht="9" customHeight="1" x14ac:dyDescent="0.3">
      <c r="A2" s="46" t="s">
        <v>146</v>
      </c>
    </row>
    <row r="3" spans="1:10" ht="25.5" x14ac:dyDescent="0.35">
      <c r="A3" s="55" t="s">
        <v>148</v>
      </c>
    </row>
    <row r="4" spans="1:10" ht="9" customHeight="1" x14ac:dyDescent="0.2">
      <c r="A4" s="48"/>
    </row>
    <row r="5" spans="1:10" ht="22.5" x14ac:dyDescent="0.3">
      <c r="A5" s="44" t="s">
        <v>147</v>
      </c>
    </row>
    <row r="6" spans="1:10" x14ac:dyDescent="0.2">
      <c r="A6" s="87" t="s">
        <v>331</v>
      </c>
    </row>
    <row r="7" spans="1:10" ht="9" customHeight="1" x14ac:dyDescent="0.2">
      <c r="A7" s="45"/>
    </row>
    <row r="8" spans="1:10" ht="23.25" x14ac:dyDescent="0.35">
      <c r="A8" s="27" t="s">
        <v>251</v>
      </c>
    </row>
    <row r="9" spans="1:10" x14ac:dyDescent="0.2">
      <c r="A9" s="57" t="s">
        <v>197</v>
      </c>
    </row>
    <row r="10" spans="1:10" x14ac:dyDescent="0.2">
      <c r="A10" s="57" t="s">
        <v>198</v>
      </c>
    </row>
    <row r="11" spans="1:10" x14ac:dyDescent="0.2">
      <c r="A11" s="57" t="s">
        <v>202</v>
      </c>
    </row>
    <row r="12" spans="1:10" x14ac:dyDescent="0.2">
      <c r="A12" s="57" t="s">
        <v>201</v>
      </c>
    </row>
    <row r="14" spans="1:10" s="24" customFormat="1" ht="25.5" x14ac:dyDescent="0.2">
      <c r="A14" s="23" t="s">
        <v>1</v>
      </c>
      <c r="B14" s="23" t="s">
        <v>7</v>
      </c>
      <c r="C14" s="23" t="s">
        <v>2</v>
      </c>
      <c r="D14" s="23" t="s">
        <v>9</v>
      </c>
      <c r="E14" s="23" t="s">
        <v>10</v>
      </c>
      <c r="F14" s="26" t="s">
        <v>11</v>
      </c>
      <c r="G14" s="23" t="s">
        <v>12</v>
      </c>
      <c r="H14" s="25" t="s">
        <v>0</v>
      </c>
      <c r="I14" s="23" t="s">
        <v>3</v>
      </c>
      <c r="J14" s="23" t="s">
        <v>4</v>
      </c>
    </row>
    <row r="15" spans="1:10" x14ac:dyDescent="0.2">
      <c r="A15" s="8" t="s">
        <v>98</v>
      </c>
      <c r="E15" s="30"/>
    </row>
    <row r="16" spans="1:10" x14ac:dyDescent="0.2">
      <c r="A16" s="19" t="s">
        <v>100</v>
      </c>
      <c r="B16" s="19"/>
      <c r="C16" s="21" t="s">
        <v>76</v>
      </c>
      <c r="D16" s="3">
        <f>IF(A16=A18,D18,IF(A16=A19,D19,IF(A16=A17,D20,D20)))</f>
        <v>2.4553333333333329</v>
      </c>
      <c r="E16" s="38">
        <f>IF(A16="Slab plus #4 rebar reinforcement",E18,IF(A16="Slab plus 6 x 6 wire fabric",E19,IF(A16="Choose slab type:",E20,E20)))</f>
        <v>1.2039599999999999</v>
      </c>
      <c r="F16" s="3">
        <f>IF(A16="Slab plus #4 rebar reinforcement",F18,IF(A16="Slab plus 6 x 6 wire fabric",F19,IF(A16="Choose slab type:",F20,F20)))</f>
        <v>0</v>
      </c>
      <c r="G16" s="3">
        <f>IF(A16="Slab plus #4 rebar reinforcement",G18,IF(A16="Slab plus 6 x 6 wire fabric",G19,IF(A16="Choose slab type:",G20,G20)))</f>
        <v>0</v>
      </c>
      <c r="H16" s="3">
        <f>IF(A16="Slab plus #4 rebar reinforcement",H18,IF(A16="Slab plus 6 x 6 wire fabric",H19,IF(A16="Choose slab type:",H20,H20)))</f>
        <v>0</v>
      </c>
      <c r="I16" s="94"/>
    </row>
    <row r="17" spans="1:11" hidden="1" x14ac:dyDescent="0.2">
      <c r="A17" s="57" t="s">
        <v>196</v>
      </c>
      <c r="E17" s="30"/>
    </row>
    <row r="18" spans="1:11" hidden="1" x14ac:dyDescent="0.2">
      <c r="A18" s="32" t="s">
        <v>100</v>
      </c>
      <c r="B18" s="19"/>
      <c r="C18" s="21" t="s">
        <v>76</v>
      </c>
      <c r="D18" s="22">
        <f>$B$40/2000*D27+D26</f>
        <v>2.4553333333333329</v>
      </c>
      <c r="E18" s="97">
        <f>$B$40/2000*E27+E26</f>
        <v>1.2039599999999999</v>
      </c>
      <c r="F18" s="22">
        <f>B16*D18*(1+MaterialPct)*(1+SalesTax)*CityMatl/100</f>
        <v>0</v>
      </c>
      <c r="G18" s="22">
        <f>B16*E18*(1+LaborPct)*CityLabor/100</f>
        <v>0</v>
      </c>
      <c r="H18" s="36">
        <f>F18+G18</f>
        <v>0</v>
      </c>
      <c r="K18" s="3">
        <v>0</v>
      </c>
    </row>
    <row r="19" spans="1:11" hidden="1" x14ac:dyDescent="0.2">
      <c r="A19" s="32" t="s">
        <v>101</v>
      </c>
      <c r="B19" s="19"/>
      <c r="C19" s="21" t="s">
        <v>76</v>
      </c>
      <c r="D19" s="22">
        <f>D28/100+D26</f>
        <v>2.5249999999999999</v>
      </c>
      <c r="E19" s="97">
        <f>E28/100+E26</f>
        <v>1.2050000000000001</v>
      </c>
      <c r="F19" s="22">
        <f>B16*D19*(1+MaterialPct)*(1+SalesTax)*CityMatl/100</f>
        <v>0</v>
      </c>
      <c r="G19" s="22">
        <f>B16*E19*(1+LaborPct)*CityLabor/100</f>
        <v>0</v>
      </c>
      <c r="H19" s="36">
        <f>F19+G19</f>
        <v>0</v>
      </c>
    </row>
    <row r="20" spans="1:11" hidden="1" x14ac:dyDescent="0.2">
      <c r="A20" s="32" t="s">
        <v>196</v>
      </c>
      <c r="B20" s="19"/>
      <c r="C20" s="21" t="s">
        <v>76</v>
      </c>
      <c r="D20" s="36">
        <v>0</v>
      </c>
      <c r="E20" s="97">
        <v>0</v>
      </c>
      <c r="F20" s="22">
        <v>0</v>
      </c>
      <c r="G20" s="22">
        <v>0</v>
      </c>
      <c r="H20" s="36">
        <v>0</v>
      </c>
    </row>
    <row r="21" spans="1:11" x14ac:dyDescent="0.2">
      <c r="A21" s="32" t="s">
        <v>200</v>
      </c>
      <c r="B21" s="19"/>
      <c r="C21" s="21" t="s">
        <v>8</v>
      </c>
      <c r="D21" s="22">
        <f>D31*2</f>
        <v>0.96</v>
      </c>
      <c r="E21" s="97">
        <f>E31*2</f>
        <v>1</v>
      </c>
      <c r="F21" s="22">
        <f>B21*D21*(1+MaterialPct)*(1+SalesTax)*CityMatl/100</f>
        <v>0</v>
      </c>
      <c r="G21" s="22">
        <f>B21*E21*(1+LaborPct)*CityLabor/100</f>
        <v>0</v>
      </c>
      <c r="H21" s="36">
        <f>F21+G21</f>
        <v>0</v>
      </c>
      <c r="I21" s="57"/>
    </row>
    <row r="22" spans="1:11" x14ac:dyDescent="0.2">
      <c r="E22" s="30"/>
    </row>
    <row r="23" spans="1:11" x14ac:dyDescent="0.2">
      <c r="A23" s="32" t="s">
        <v>132</v>
      </c>
      <c r="B23" s="35">
        <f>SUM(H16+H21)</f>
        <v>0</v>
      </c>
      <c r="E23" s="30"/>
    </row>
    <row r="24" spans="1:11" s="95" customFormat="1" x14ac:dyDescent="0.2">
      <c r="F24" s="96"/>
    </row>
    <row r="25" spans="1:11" x14ac:dyDescent="0.2">
      <c r="A25" s="8" t="s">
        <v>86</v>
      </c>
      <c r="D25" s="5"/>
      <c r="E25" s="5"/>
      <c r="F25" s="9"/>
      <c r="G25" s="5"/>
      <c r="H25" s="5"/>
    </row>
    <row r="26" spans="1:11" x14ac:dyDescent="0.2">
      <c r="A26" t="s">
        <v>87</v>
      </c>
      <c r="B26">
        <v>1</v>
      </c>
      <c r="C26" t="s">
        <v>76</v>
      </c>
      <c r="D26" s="3">
        <v>2.0099999999999998</v>
      </c>
      <c r="E26" s="3">
        <v>0.89</v>
      </c>
      <c r="F26" s="4">
        <f>B26*D26*(1+MaterialPct)*(1+SalesTax)*CityMatl/100</f>
        <v>1.9275899999999999</v>
      </c>
      <c r="G26" s="3">
        <f>B26*E26*(1+LaborPct)*CityLabor/100</f>
        <v>0.82858999999999994</v>
      </c>
      <c r="H26" s="3">
        <f>F26+G26</f>
        <v>2.7561799999999996</v>
      </c>
      <c r="I26" s="57" t="s">
        <v>298</v>
      </c>
      <c r="J26" s="57" t="s">
        <v>298</v>
      </c>
    </row>
    <row r="27" spans="1:11" x14ac:dyDescent="0.2">
      <c r="A27" t="s">
        <v>88</v>
      </c>
      <c r="B27">
        <v>1</v>
      </c>
      <c r="C27" t="s">
        <v>89</v>
      </c>
      <c r="D27" s="3">
        <v>1000</v>
      </c>
      <c r="E27" s="3">
        <v>705</v>
      </c>
      <c r="F27" s="4">
        <f>B27*D27*(1+MaterialPct)*(1+SalesTax)*CityMatl/100</f>
        <v>959</v>
      </c>
      <c r="G27" s="3">
        <f>B27*E27*(1+LaborPct)*CityLabor/100</f>
        <v>656.35500000000002</v>
      </c>
      <c r="H27" s="3">
        <f>F27+G27</f>
        <v>1615.355</v>
      </c>
      <c r="I27" s="57" t="s">
        <v>299</v>
      </c>
      <c r="J27" s="57" t="s">
        <v>299</v>
      </c>
    </row>
    <row r="28" spans="1:11" x14ac:dyDescent="0.2">
      <c r="A28" t="s">
        <v>300</v>
      </c>
      <c r="B28">
        <v>1</v>
      </c>
      <c r="C28" t="s">
        <v>99</v>
      </c>
      <c r="D28" s="3">
        <v>51.5</v>
      </c>
      <c r="E28" s="3">
        <v>31.5</v>
      </c>
      <c r="F28" s="4">
        <f>B28*D28*(1+MaterialPct)*(1+SalesTax)*CityMatl/100</f>
        <v>49.388500000000001</v>
      </c>
      <c r="G28" s="3">
        <f>B28*E28*(1+LaborPct)*CityLabor/100</f>
        <v>29.326499999999996</v>
      </c>
      <c r="H28" s="3">
        <f>F28+G28</f>
        <v>78.715000000000003</v>
      </c>
      <c r="I28" s="57" t="s">
        <v>301</v>
      </c>
      <c r="J28" s="57" t="s">
        <v>301</v>
      </c>
    </row>
    <row r="29" spans="1:11" x14ac:dyDescent="0.2">
      <c r="D29" s="18"/>
      <c r="E29" s="18"/>
      <c r="F29" s="4"/>
      <c r="G29" s="3"/>
      <c r="H29" s="3"/>
    </row>
    <row r="30" spans="1:11" x14ac:dyDescent="0.2">
      <c r="A30" s="8" t="s">
        <v>90</v>
      </c>
      <c r="D30" s="18"/>
      <c r="E30" s="18"/>
      <c r="F30" s="4"/>
      <c r="G30" s="3"/>
      <c r="H30" s="3"/>
    </row>
    <row r="31" spans="1:11" x14ac:dyDescent="0.2">
      <c r="A31" t="s">
        <v>91</v>
      </c>
      <c r="B31">
        <v>1</v>
      </c>
      <c r="C31" t="s">
        <v>76</v>
      </c>
      <c r="D31" s="3">
        <v>0.48</v>
      </c>
      <c r="E31" s="3">
        <v>0.5</v>
      </c>
      <c r="F31" s="4">
        <f>B31*D31*(1+MaterialPct)*(1+SalesTax)*CityMatl/100</f>
        <v>0.46032000000000006</v>
      </c>
      <c r="G31" s="3">
        <f>B31*E31*(1+LaborPct)*CityLabor/100</f>
        <v>0.46549999999999997</v>
      </c>
      <c r="H31" s="3">
        <f>F31+G31</f>
        <v>0.92582000000000009</v>
      </c>
      <c r="I31" s="57" t="s">
        <v>288</v>
      </c>
      <c r="J31" s="57" t="s">
        <v>288</v>
      </c>
    </row>
    <row r="32" spans="1:11" x14ac:dyDescent="0.2">
      <c r="D32" s="3"/>
      <c r="E32" s="3"/>
      <c r="F32" s="4"/>
      <c r="G32" s="3"/>
      <c r="H32" s="3"/>
    </row>
    <row r="33" spans="1:8" x14ac:dyDescent="0.2">
      <c r="A33" s="8" t="s">
        <v>92</v>
      </c>
      <c r="D33" s="3"/>
      <c r="E33" s="3"/>
      <c r="F33" s="4"/>
      <c r="G33" s="3"/>
      <c r="H33" s="3"/>
    </row>
    <row r="34" spans="1:8" x14ac:dyDescent="0.2">
      <c r="A34" t="s">
        <v>93</v>
      </c>
      <c r="B34">
        <v>4</v>
      </c>
      <c r="D34" s="2"/>
      <c r="E34" s="3"/>
      <c r="F34" s="4"/>
      <c r="G34" s="3"/>
      <c r="H34" s="3"/>
    </row>
    <row r="35" spans="1:8" x14ac:dyDescent="0.2">
      <c r="A35" t="s">
        <v>94</v>
      </c>
      <c r="B35">
        <v>18</v>
      </c>
      <c r="D35" s="2"/>
      <c r="E35" s="3"/>
      <c r="F35" s="4"/>
      <c r="G35" s="3"/>
      <c r="H35" s="3"/>
    </row>
    <row r="36" spans="1:8" x14ac:dyDescent="0.2">
      <c r="F36" s="1"/>
    </row>
    <row r="37" spans="1:8" x14ac:dyDescent="0.2">
      <c r="A37" t="s">
        <v>95</v>
      </c>
      <c r="F37" s="1"/>
    </row>
    <row r="38" spans="1:8" x14ac:dyDescent="0.2">
      <c r="A38" t="s">
        <v>144</v>
      </c>
      <c r="F38" s="1"/>
    </row>
    <row r="39" spans="1:8" x14ac:dyDescent="0.2">
      <c r="F39" s="1"/>
    </row>
    <row r="40" spans="1:8" x14ac:dyDescent="0.2">
      <c r="A40" t="s">
        <v>96</v>
      </c>
      <c r="B40">
        <f>(VLOOKUP(B34,B42:C46,2,FALSE)*12/B35)*2</f>
        <v>0.89066666666666672</v>
      </c>
      <c r="F40" s="1"/>
    </row>
    <row r="41" spans="1:8" x14ac:dyDescent="0.2">
      <c r="F41" s="1"/>
    </row>
    <row r="42" spans="1:8" x14ac:dyDescent="0.2">
      <c r="A42" s="8" t="s">
        <v>97</v>
      </c>
      <c r="B42" s="12">
        <v>3</v>
      </c>
      <c r="C42" s="29">
        <v>0.376</v>
      </c>
    </row>
    <row r="43" spans="1:8" x14ac:dyDescent="0.2">
      <c r="B43" s="1">
        <v>4</v>
      </c>
      <c r="C43" s="30">
        <v>0.66800000000000004</v>
      </c>
    </row>
    <row r="44" spans="1:8" x14ac:dyDescent="0.2">
      <c r="B44" s="1">
        <v>5</v>
      </c>
      <c r="C44" s="30">
        <v>1.0429999999999999</v>
      </c>
    </row>
    <row r="45" spans="1:8" x14ac:dyDescent="0.2">
      <c r="B45" s="1">
        <v>6</v>
      </c>
      <c r="C45" s="30">
        <v>1.502</v>
      </c>
    </row>
    <row r="46" spans="1:8" x14ac:dyDescent="0.2">
      <c r="B46" s="11">
        <v>7</v>
      </c>
      <c r="C46" s="31">
        <v>2.044</v>
      </c>
    </row>
  </sheetData>
  <customSheetViews>
    <customSheetView guid="{26F6D74A-4272-4967-9786-783BACF4AF44}" showGridLines="0" hiddenRows="1">
      <selection activeCell="A16" sqref="A16"/>
      <pageMargins left="0.75" right="0.75" top="1" bottom="1" header="0.5" footer="0.5"/>
      <pageSetup scale="55" orientation="landscape" verticalDpi="0" r:id="rId1"/>
      <headerFooter alignWithMargins="0"/>
    </customSheetView>
    <customSheetView guid="{6921AA76-5784-426B-8DF3-DBD2F823F221}" showGridLines="0" showRuler="0" topLeftCell="A7">
      <selection activeCell="B38" sqref="B38"/>
      <pageMargins left="0.75" right="0.75" top="1" bottom="1" header="0.5" footer="0.5"/>
      <pageSetup scale="55" orientation="landscape" verticalDpi="0" r:id="rId2"/>
      <headerFooter alignWithMargins="0"/>
    </customSheetView>
    <customSheetView guid="{79BA202A-326F-4875-A8CA-34B11A509AC2}" showGridLines="0" topLeftCell="A12">
      <selection activeCell="A6" sqref="A6"/>
      <pageMargins left="0.75" right="0.75" top="1" bottom="1" header="0.5" footer="0.5"/>
      <pageSetup scale="55" orientation="landscape" verticalDpi="0" r:id="rId3"/>
      <headerFooter alignWithMargins="0"/>
    </customSheetView>
  </customSheetViews>
  <phoneticPr fontId="0" type="noConversion"/>
  <dataValidations count="1">
    <dataValidation type="list" allowBlank="1" showInputMessage="1" showErrorMessage="1" sqref="A16">
      <formula1>$A$17:$A$19</formula1>
    </dataValidation>
  </dataValidations>
  <pageMargins left="0.75" right="0.75" top="1" bottom="1" header="0.5" footer="0.5"/>
  <pageSetup scale="55" orientation="landscape" verticalDpi="0" r:id="rId4"/>
  <headerFooter alignWithMargins="0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showGridLines="0" zoomScale="85" zoomScaleNormal="85" workbookViewId="0">
      <selection activeCell="A6" sqref="A6"/>
    </sheetView>
  </sheetViews>
  <sheetFormatPr defaultRowHeight="12.75" x14ac:dyDescent="0.2"/>
  <cols>
    <col min="1" max="1" width="63.5703125" customWidth="1"/>
    <col min="2" max="2" width="11.42578125" customWidth="1"/>
    <col min="3" max="3" width="10.7109375" customWidth="1"/>
    <col min="4" max="4" width="13.140625" customWidth="1"/>
    <col min="5" max="5" width="16.140625" customWidth="1"/>
    <col min="6" max="6" width="9.85546875" customWidth="1"/>
    <col min="7" max="7" width="10.5703125" bestFit="1" customWidth="1"/>
    <col min="8" max="8" width="11.42578125" bestFit="1" customWidth="1"/>
    <col min="9" max="9" width="36.5703125" bestFit="1" customWidth="1"/>
    <col min="10" max="10" width="37.7109375" bestFit="1" customWidth="1"/>
  </cols>
  <sheetData>
    <row r="1" spans="1:10" ht="27" x14ac:dyDescent="0.35">
      <c r="A1" s="52" t="s">
        <v>149</v>
      </c>
    </row>
    <row r="2" spans="1:10" ht="9" customHeight="1" x14ac:dyDescent="0.3">
      <c r="A2" s="46" t="s">
        <v>146</v>
      </c>
    </row>
    <row r="3" spans="1:10" ht="25.5" x14ac:dyDescent="0.35">
      <c r="A3" s="55" t="s">
        <v>148</v>
      </c>
    </row>
    <row r="4" spans="1:10" ht="9" customHeight="1" x14ac:dyDescent="0.2">
      <c r="A4" s="48"/>
    </row>
    <row r="5" spans="1:10" ht="22.5" x14ac:dyDescent="0.3">
      <c r="A5" s="44" t="s">
        <v>147</v>
      </c>
    </row>
    <row r="6" spans="1:10" x14ac:dyDescent="0.2">
      <c r="A6" s="87" t="s">
        <v>331</v>
      </c>
    </row>
    <row r="7" spans="1:10" ht="9" customHeight="1" x14ac:dyDescent="0.35">
      <c r="A7" s="40"/>
    </row>
    <row r="8" spans="1:10" ht="23.25" x14ac:dyDescent="0.35">
      <c r="A8" s="27" t="s">
        <v>134</v>
      </c>
    </row>
    <row r="9" spans="1:10" x14ac:dyDescent="0.2">
      <c r="A9" t="s">
        <v>135</v>
      </c>
    </row>
    <row r="10" spans="1:10" x14ac:dyDescent="0.2">
      <c r="A10" s="57" t="s">
        <v>246</v>
      </c>
    </row>
    <row r="11" spans="1:10" x14ac:dyDescent="0.2">
      <c r="A11" s="57" t="s">
        <v>254</v>
      </c>
    </row>
    <row r="12" spans="1:10" x14ac:dyDescent="0.2">
      <c r="A12" s="57" t="s">
        <v>195</v>
      </c>
    </row>
    <row r="14" spans="1:10" s="24" customFormat="1" ht="25.5" x14ac:dyDescent="0.2">
      <c r="A14" s="23" t="s">
        <v>1</v>
      </c>
      <c r="B14" s="23" t="s">
        <v>7</v>
      </c>
      <c r="C14" s="23" t="s">
        <v>2</v>
      </c>
      <c r="D14" s="23" t="s">
        <v>9</v>
      </c>
      <c r="E14" s="23" t="s">
        <v>10</v>
      </c>
      <c r="F14" s="26" t="s">
        <v>11</v>
      </c>
      <c r="G14" s="23" t="s">
        <v>12</v>
      </c>
      <c r="H14" s="25" t="s">
        <v>0</v>
      </c>
      <c r="I14" s="23" t="s">
        <v>3</v>
      </c>
      <c r="J14" s="23" t="s">
        <v>4</v>
      </c>
    </row>
    <row r="15" spans="1:10" x14ac:dyDescent="0.2">
      <c r="E15" s="30"/>
    </row>
    <row r="16" spans="1:10" x14ac:dyDescent="0.2">
      <c r="A16" s="19" t="s">
        <v>177</v>
      </c>
      <c r="E16" s="30"/>
    </row>
    <row r="17" spans="1:256" hidden="1" x14ac:dyDescent="0.2">
      <c r="A17" s="57" t="s">
        <v>180</v>
      </c>
      <c r="E17" s="30"/>
    </row>
    <row r="18" spans="1:256" hidden="1" x14ac:dyDescent="0.2">
      <c r="A18" s="57" t="s">
        <v>178</v>
      </c>
      <c r="E18" s="30"/>
    </row>
    <row r="19" spans="1:256" hidden="1" x14ac:dyDescent="0.2">
      <c r="A19" s="57" t="s">
        <v>177</v>
      </c>
      <c r="E19" s="30"/>
    </row>
    <row r="20" spans="1:256" hidden="1" x14ac:dyDescent="0.2">
      <c r="A20" s="57" t="s">
        <v>179</v>
      </c>
      <c r="E20" s="30"/>
    </row>
    <row r="21" spans="1:256" hidden="1" x14ac:dyDescent="0.2">
      <c r="A21" s="125" t="str">
        <f>A23</f>
        <v>Mid or High-Rise (4 or greater floors)</v>
      </c>
      <c r="E21" s="30"/>
    </row>
    <row r="22" spans="1:256" hidden="1" x14ac:dyDescent="0.2">
      <c r="A22" s="57"/>
      <c r="E22" s="30"/>
    </row>
    <row r="23" spans="1:256" hidden="1" x14ac:dyDescent="0.2">
      <c r="A23" s="57" t="s">
        <v>184</v>
      </c>
      <c r="E23" s="30"/>
    </row>
    <row r="24" spans="1:256" x14ac:dyDescent="0.2">
      <c r="A24" s="57"/>
      <c r="E24" s="30"/>
    </row>
    <row r="25" spans="1:256" x14ac:dyDescent="0.2">
      <c r="A25" s="32" t="s">
        <v>247</v>
      </c>
      <c r="B25" s="19"/>
      <c r="C25" s="21" t="s">
        <v>76</v>
      </c>
      <c r="D25" s="3">
        <f>IF(AND(A21=A23,A16=A20),D34,IF(A21=A23,D31,D16))</f>
        <v>7.221111111111111</v>
      </c>
      <c r="E25" s="38">
        <f>IF(AND(A21=A23,A16=A20),E34,IF(A21=A23,E31,E16))</f>
        <v>3.1355555555555554</v>
      </c>
      <c r="F25" s="3">
        <f>IF(AND(A21=A23,A16=A20),F33,IF(A21=A23,F31,F16))</f>
        <v>0</v>
      </c>
      <c r="G25" s="3">
        <f>IF(AND(A21=A23,A16=A20),G33,IF(A21=A23,G31,G16))</f>
        <v>0</v>
      </c>
      <c r="H25" s="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</row>
    <row r="26" spans="1:256" x14ac:dyDescent="0.2">
      <c r="A26" s="32" t="s">
        <v>244</v>
      </c>
      <c r="B26" s="19"/>
      <c r="C26" s="21" t="s">
        <v>76</v>
      </c>
      <c r="D26" s="3">
        <f>IF(AND(A21=A23,A16=A20),D34,IF(A21=A23,D32,IF(AND(A21=A24,A16=A18),D35,IF(A21=A24,D36,D16))))</f>
        <v>7.5011111111111113</v>
      </c>
      <c r="E26" s="38">
        <f>IF(AND(A21=A23,A16=A20),E34,IF(A21=A23,E32,IF(AND(A21=A24,A16=A18),E35,IF(A21=A24,E36,E16))))</f>
        <v>3.1755555555555555</v>
      </c>
      <c r="F26" s="3">
        <f>IF(AND(A21=A23,A16=A20),F34,IF(A21=A23,F32,IF(AND(A21=A24,A16=A18),F35,IF(A21=A24,F36,F16))))</f>
        <v>0</v>
      </c>
      <c r="G26" s="3">
        <f>IF(AND(A21=A23,A16=A20),G34,IF(A21=A23,G32,IF(AND(A21=A24,A16=A18),G35,IF(A21=A24,G36,G16))))</f>
        <v>0</v>
      </c>
      <c r="H26" s="3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</row>
    <row r="27" spans="1:256" x14ac:dyDescent="0.2">
      <c r="A27" s="32" t="s">
        <v>245</v>
      </c>
      <c r="B27" s="120">
        <f>B26+B25</f>
        <v>0</v>
      </c>
      <c r="C27" s="21" t="s">
        <v>76</v>
      </c>
      <c r="D27" s="3"/>
      <c r="E27" s="38"/>
      <c r="F27" s="3"/>
      <c r="G27" s="3"/>
      <c r="H27" s="3"/>
    </row>
    <row r="28" spans="1:256" x14ac:dyDescent="0.2">
      <c r="A28" s="8" t="s">
        <v>145</v>
      </c>
      <c r="C28" s="35">
        <f>SUM(F25:G26)</f>
        <v>0</v>
      </c>
      <c r="E28" s="30"/>
    </row>
    <row r="29" spans="1:256" x14ac:dyDescent="0.2">
      <c r="D29" s="5"/>
      <c r="E29" s="100"/>
      <c r="F29" s="13"/>
      <c r="G29" s="5"/>
      <c r="H29" s="5"/>
    </row>
    <row r="30" spans="1:256" s="95" customFormat="1" x14ac:dyDescent="0.2">
      <c r="E30" s="118"/>
      <c r="F30" s="119"/>
    </row>
    <row r="31" spans="1:256" x14ac:dyDescent="0.2">
      <c r="A31" s="57" t="s">
        <v>240</v>
      </c>
      <c r="B31">
        <f>B25</f>
        <v>0</v>
      </c>
      <c r="C31" s="57" t="s">
        <v>76</v>
      </c>
      <c r="D31" s="3">
        <f>SUM(D48,D49,D50,D51,D53)</f>
        <v>7.221111111111111</v>
      </c>
      <c r="E31" s="3">
        <f>SUM(E48,E49,E50,E51,E53)</f>
        <v>3.1355555555555554</v>
      </c>
      <c r="F31" s="4">
        <f>B31*D31*(1+MaterialPct)*(1+SalesTax)*CityMatl/100</f>
        <v>0</v>
      </c>
      <c r="G31" s="3">
        <f>B31*E31*(1+LaborPct)*CityLabor/100</f>
        <v>0</v>
      </c>
      <c r="H31" s="3">
        <f>F31+G31</f>
        <v>0</v>
      </c>
    </row>
    <row r="32" spans="1:256" x14ac:dyDescent="0.2">
      <c r="A32" s="57" t="s">
        <v>239</v>
      </c>
      <c r="B32">
        <f>B26</f>
        <v>0</v>
      </c>
      <c r="C32" s="57" t="s">
        <v>76</v>
      </c>
      <c r="D32" s="3">
        <f>SUM(D48,D49,D50,D51,D52)</f>
        <v>7.5011111111111113</v>
      </c>
      <c r="E32" s="38">
        <f>SUM(E48,E49,E50,E51,E52)</f>
        <v>3.1755555555555555</v>
      </c>
      <c r="F32" s="28">
        <f>B32*D32*(1+MaterialPct)*(1+SalesTax)*CityMatl/100</f>
        <v>0</v>
      </c>
      <c r="G32" s="3">
        <f>B32*E32*(1+LaborPct)*CityLabor/100</f>
        <v>0</v>
      </c>
      <c r="H32" s="3">
        <f>F32+G32</f>
        <v>0</v>
      </c>
    </row>
    <row r="33" spans="1:10" x14ac:dyDescent="0.2">
      <c r="A33" s="57" t="s">
        <v>248</v>
      </c>
      <c r="B33">
        <f>B25</f>
        <v>0</v>
      </c>
      <c r="C33" s="57" t="s">
        <v>76</v>
      </c>
      <c r="D33" s="3">
        <f>SUM(D48,D49,D52,D50,D51)</f>
        <v>7.5011111111111113</v>
      </c>
      <c r="E33" s="38">
        <f>SUM(E52,E48,E49,E50,E51)</f>
        <v>3.175555555555555</v>
      </c>
      <c r="F33" s="28">
        <f>B33*D33*(1+MaterialPct)*(1+SalesTax)*CityMatl/100</f>
        <v>0</v>
      </c>
      <c r="G33" s="3">
        <f>B33*E33*(1+LaborPct)*CityLabor/100</f>
        <v>0</v>
      </c>
      <c r="H33" s="3">
        <f>F33+G33</f>
        <v>0</v>
      </c>
    </row>
    <row r="34" spans="1:10" x14ac:dyDescent="0.2">
      <c r="A34" s="57" t="s">
        <v>249</v>
      </c>
      <c r="B34">
        <f>B26</f>
        <v>0</v>
      </c>
      <c r="C34" s="57" t="s">
        <v>76</v>
      </c>
      <c r="D34" s="3">
        <f>SUM(D48,D49,D50,D51,D52)</f>
        <v>7.5011111111111113</v>
      </c>
      <c r="E34" s="38">
        <f>SUM(E48,E49,E50,E51,E52)</f>
        <v>3.1755555555555555</v>
      </c>
      <c r="F34" s="28">
        <f>B34*D34*(1+MaterialPct)*(1+SalesTax)*CityMatl/100</f>
        <v>0</v>
      </c>
      <c r="G34" s="3">
        <f>B34*E34*(1+LaborPct)*CityLabor/100</f>
        <v>0</v>
      </c>
      <c r="H34" s="3">
        <f>F34+G34</f>
        <v>0</v>
      </c>
    </row>
    <row r="35" spans="1:10" x14ac:dyDescent="0.2">
      <c r="A35" s="57"/>
      <c r="C35" s="21"/>
      <c r="D35" s="3"/>
      <c r="E35" s="38"/>
      <c r="F35" s="28"/>
      <c r="G35" s="3"/>
      <c r="H35" s="3"/>
    </row>
    <row r="36" spans="1:10" x14ac:dyDescent="0.2">
      <c r="A36" s="57"/>
      <c r="C36" s="21"/>
      <c r="D36" s="3"/>
      <c r="E36" s="38"/>
      <c r="F36" s="28"/>
      <c r="G36" s="3"/>
      <c r="H36" s="3"/>
    </row>
    <row r="37" spans="1:10" x14ac:dyDescent="0.2">
      <c r="E37" s="30"/>
    </row>
    <row r="38" spans="1:10" x14ac:dyDescent="0.2">
      <c r="A38" s="8" t="s">
        <v>107</v>
      </c>
      <c r="D38" s="5"/>
      <c r="E38" s="100"/>
      <c r="F38" s="13"/>
      <c r="G38" s="5"/>
      <c r="H38" s="5"/>
    </row>
    <row r="39" spans="1:10" x14ac:dyDescent="0.2">
      <c r="A39" t="s">
        <v>106</v>
      </c>
      <c r="B39">
        <v>1</v>
      </c>
      <c r="C39" t="s">
        <v>8</v>
      </c>
      <c r="D39" s="3">
        <v>4.22</v>
      </c>
      <c r="E39" s="38">
        <v>3.38</v>
      </c>
      <c r="F39" s="28">
        <f t="shared" ref="F39:F45" si="0">B39*D39*(1+MaterialPct)*(1+SalesTax)*CityMatl/100</f>
        <v>4.0469799999999996</v>
      </c>
      <c r="G39" s="3">
        <f t="shared" ref="G39:G45" si="1">B39*E39*(1+LaborPct)*CityLabor/100</f>
        <v>3.1467800000000001</v>
      </c>
      <c r="H39" s="3">
        <f t="shared" ref="H39:H45" si="2">F39+G39</f>
        <v>7.1937599999999993</v>
      </c>
      <c r="I39" s="57" t="s">
        <v>302</v>
      </c>
      <c r="J39" s="57" t="s">
        <v>302</v>
      </c>
    </row>
    <row r="40" spans="1:10" x14ac:dyDescent="0.2">
      <c r="A40" s="57" t="s">
        <v>151</v>
      </c>
      <c r="B40">
        <v>1</v>
      </c>
      <c r="C40" t="s">
        <v>76</v>
      </c>
      <c r="D40" s="3">
        <v>0.88</v>
      </c>
      <c r="E40" s="38">
        <v>0.47</v>
      </c>
      <c r="F40" s="28">
        <f t="shared" si="0"/>
        <v>0.84392000000000011</v>
      </c>
      <c r="G40" s="3">
        <f t="shared" si="1"/>
        <v>0.43756999999999996</v>
      </c>
      <c r="H40" s="3">
        <f t="shared" si="2"/>
        <v>1.28149</v>
      </c>
      <c r="I40" s="57" t="s">
        <v>303</v>
      </c>
      <c r="J40" s="57" t="s">
        <v>303</v>
      </c>
    </row>
    <row r="41" spans="1:10" x14ac:dyDescent="0.2">
      <c r="A41" t="s">
        <v>108</v>
      </c>
      <c r="B41">
        <v>1</v>
      </c>
      <c r="C41" t="s">
        <v>81</v>
      </c>
      <c r="D41" s="3">
        <v>4.3</v>
      </c>
      <c r="E41" s="38">
        <v>2.2400000000000002</v>
      </c>
      <c r="F41" s="28">
        <f t="shared" si="0"/>
        <v>4.1237000000000004</v>
      </c>
      <c r="G41" s="3">
        <f t="shared" si="1"/>
        <v>2.0854400000000002</v>
      </c>
      <c r="H41" s="3">
        <f t="shared" si="2"/>
        <v>6.2091400000000005</v>
      </c>
      <c r="I41" s="57" t="s">
        <v>304</v>
      </c>
      <c r="J41" s="57" t="s">
        <v>304</v>
      </c>
    </row>
    <row r="42" spans="1:10" x14ac:dyDescent="0.2">
      <c r="A42" t="s">
        <v>109</v>
      </c>
      <c r="B42">
        <v>1</v>
      </c>
      <c r="C42" t="s">
        <v>81</v>
      </c>
      <c r="D42" s="3">
        <v>30</v>
      </c>
      <c r="E42" s="38">
        <v>4.47</v>
      </c>
      <c r="F42" s="28">
        <f t="shared" si="0"/>
        <v>28.77</v>
      </c>
      <c r="G42" s="3">
        <f t="shared" si="1"/>
        <v>4.1615699999999993</v>
      </c>
      <c r="H42" s="3">
        <f t="shared" si="2"/>
        <v>32.931570000000001</v>
      </c>
      <c r="I42" s="57" t="s">
        <v>305</v>
      </c>
      <c r="J42" s="57" t="s">
        <v>305</v>
      </c>
    </row>
    <row r="43" spans="1:10" x14ac:dyDescent="0.2">
      <c r="A43" s="57" t="s">
        <v>306</v>
      </c>
      <c r="B43">
        <v>1</v>
      </c>
      <c r="C43" t="s">
        <v>76</v>
      </c>
      <c r="D43" s="3">
        <v>0.7</v>
      </c>
      <c r="E43" s="38">
        <v>0.27</v>
      </c>
      <c r="F43" s="28">
        <f t="shared" si="0"/>
        <v>0.67130000000000001</v>
      </c>
      <c r="G43" s="3">
        <f t="shared" si="1"/>
        <v>0.25136999999999998</v>
      </c>
      <c r="H43" s="3">
        <f t="shared" si="2"/>
        <v>0.92266999999999999</v>
      </c>
      <c r="I43" s="57" t="s">
        <v>307</v>
      </c>
      <c r="J43" s="57" t="s">
        <v>307</v>
      </c>
    </row>
    <row r="44" spans="1:10" x14ac:dyDescent="0.2">
      <c r="A44" s="57" t="s">
        <v>238</v>
      </c>
      <c r="B44">
        <v>1</v>
      </c>
      <c r="C44" s="57" t="s">
        <v>76</v>
      </c>
      <c r="D44" s="3">
        <v>0.42</v>
      </c>
      <c r="E44" s="38">
        <v>0.23</v>
      </c>
      <c r="F44" s="28">
        <f t="shared" si="0"/>
        <v>0.40277999999999997</v>
      </c>
      <c r="G44" s="3">
        <f t="shared" si="1"/>
        <v>0.21413000000000001</v>
      </c>
      <c r="H44" s="3">
        <f t="shared" si="2"/>
        <v>0.61690999999999996</v>
      </c>
      <c r="I44" s="57" t="s">
        <v>308</v>
      </c>
      <c r="J44" s="57" t="s">
        <v>308</v>
      </c>
    </row>
    <row r="45" spans="1:10" s="59" customFormat="1" x14ac:dyDescent="0.2">
      <c r="A45" s="74" t="s">
        <v>221</v>
      </c>
      <c r="B45" s="59">
        <v>1</v>
      </c>
      <c r="C45" s="74" t="s">
        <v>170</v>
      </c>
      <c r="D45" s="3">
        <v>570</v>
      </c>
      <c r="E45" s="38">
        <v>885</v>
      </c>
      <c r="F45" s="79">
        <f t="shared" si="0"/>
        <v>546.63</v>
      </c>
      <c r="G45" s="73">
        <f t="shared" si="1"/>
        <v>823.93499999999995</v>
      </c>
      <c r="H45" s="73">
        <f t="shared" si="2"/>
        <v>1370.5650000000001</v>
      </c>
      <c r="I45" s="74" t="s">
        <v>309</v>
      </c>
      <c r="J45" s="74" t="s">
        <v>309</v>
      </c>
    </row>
    <row r="46" spans="1:10" x14ac:dyDescent="0.2">
      <c r="E46" s="30"/>
    </row>
    <row r="47" spans="1:10" x14ac:dyDescent="0.2">
      <c r="A47" s="8" t="s">
        <v>110</v>
      </c>
      <c r="E47" s="30"/>
    </row>
    <row r="48" spans="1:10" x14ac:dyDescent="0.2">
      <c r="A48" t="s">
        <v>113</v>
      </c>
      <c r="B48">
        <v>1</v>
      </c>
      <c r="C48" t="s">
        <v>76</v>
      </c>
      <c r="D48" s="3">
        <f>D39/B56*12</f>
        <v>2.11</v>
      </c>
      <c r="E48" s="38">
        <f>E39/B56*12</f>
        <v>1.69</v>
      </c>
      <c r="F48" s="28">
        <f t="shared" ref="F48:F54" si="3">B48*D48*(1+MaterialPct)*(1+SalesTax)*CityMatl/100</f>
        <v>2.0234899999999998</v>
      </c>
      <c r="G48" s="3">
        <f t="shared" ref="G48:G54" si="4">B48*E48*(1+LaborPct)*CityLabor/100</f>
        <v>1.5733900000000001</v>
      </c>
      <c r="H48" s="3">
        <f t="shared" ref="H48:H54" si="5">F48+G48</f>
        <v>3.5968799999999996</v>
      </c>
    </row>
    <row r="49" spans="1:8" x14ac:dyDescent="0.2">
      <c r="A49" t="s">
        <v>114</v>
      </c>
      <c r="B49">
        <v>1</v>
      </c>
      <c r="C49" t="s">
        <v>76</v>
      </c>
      <c r="D49" s="3">
        <f>D40</f>
        <v>0.88</v>
      </c>
      <c r="E49" s="38">
        <f>E40</f>
        <v>0.47</v>
      </c>
      <c r="F49" s="28">
        <f t="shared" si="3"/>
        <v>0.84392000000000011</v>
      </c>
      <c r="G49" s="3">
        <f t="shared" si="4"/>
        <v>0.43756999999999996</v>
      </c>
      <c r="H49" s="3">
        <f t="shared" si="5"/>
        <v>1.28149</v>
      </c>
    </row>
    <row r="50" spans="1:8" x14ac:dyDescent="0.2">
      <c r="A50" t="s">
        <v>115</v>
      </c>
      <c r="B50">
        <v>1</v>
      </c>
      <c r="C50" t="s">
        <v>76</v>
      </c>
      <c r="D50" s="3">
        <f>D41/9</f>
        <v>0.47777777777777775</v>
      </c>
      <c r="E50" s="38">
        <f>E41/9</f>
        <v>0.24888888888888891</v>
      </c>
      <c r="F50" s="28">
        <f t="shared" si="3"/>
        <v>0.45818888888888887</v>
      </c>
      <c r="G50" s="3">
        <f t="shared" si="4"/>
        <v>0.23171555555555556</v>
      </c>
      <c r="H50" s="3">
        <f t="shared" si="5"/>
        <v>0.68990444444444443</v>
      </c>
    </row>
    <row r="51" spans="1:8" x14ac:dyDescent="0.2">
      <c r="A51" s="57" t="s">
        <v>241</v>
      </c>
      <c r="B51">
        <v>1</v>
      </c>
      <c r="C51" t="s">
        <v>76</v>
      </c>
      <c r="D51" s="3">
        <f>D42/9</f>
        <v>3.3333333333333335</v>
      </c>
      <c r="E51" s="38">
        <f>E42/9</f>
        <v>0.49666666666666665</v>
      </c>
      <c r="F51" s="28">
        <f t="shared" si="3"/>
        <v>3.1966666666666668</v>
      </c>
      <c r="G51" s="3">
        <f t="shared" si="4"/>
        <v>0.46239666666666662</v>
      </c>
      <c r="H51" s="3">
        <f t="shared" si="5"/>
        <v>3.6590633333333336</v>
      </c>
    </row>
    <row r="52" spans="1:8" x14ac:dyDescent="0.2">
      <c r="A52" s="57" t="s">
        <v>242</v>
      </c>
      <c r="B52">
        <v>1</v>
      </c>
      <c r="C52" t="s">
        <v>76</v>
      </c>
      <c r="D52" s="3">
        <f>D43</f>
        <v>0.7</v>
      </c>
      <c r="E52" s="38">
        <f>E43</f>
        <v>0.27</v>
      </c>
      <c r="F52" s="28">
        <f t="shared" si="3"/>
        <v>0.67130000000000001</v>
      </c>
      <c r="G52" s="3">
        <f t="shared" si="4"/>
        <v>0.25136999999999998</v>
      </c>
      <c r="H52" s="3">
        <f t="shared" si="5"/>
        <v>0.92266999999999999</v>
      </c>
    </row>
    <row r="53" spans="1:8" x14ac:dyDescent="0.2">
      <c r="A53" s="57" t="s">
        <v>243</v>
      </c>
      <c r="B53">
        <v>1</v>
      </c>
      <c r="C53" s="57" t="s">
        <v>76</v>
      </c>
      <c r="D53" s="3">
        <f>D44</f>
        <v>0.42</v>
      </c>
      <c r="E53" s="38">
        <f>E44</f>
        <v>0.23</v>
      </c>
      <c r="F53" s="28">
        <f t="shared" si="3"/>
        <v>0.40277999999999997</v>
      </c>
      <c r="G53" s="3">
        <f t="shared" si="4"/>
        <v>0.21413000000000001</v>
      </c>
      <c r="H53" s="3">
        <f t="shared" si="5"/>
        <v>0.61690999999999996</v>
      </c>
    </row>
    <row r="54" spans="1:8" s="59" customFormat="1" x14ac:dyDescent="0.2">
      <c r="A54" s="59" t="str">
        <f>A45</f>
        <v>Joist framing, Joists, 2"x4", 24" OC</v>
      </c>
      <c r="B54" s="59">
        <v>1</v>
      </c>
      <c r="C54" s="59" t="s">
        <v>76</v>
      </c>
      <c r="D54" s="73">
        <f>(1/3000)*D45</f>
        <v>0.19</v>
      </c>
      <c r="E54" s="117">
        <f>(1/3000)*E45</f>
        <v>0.29499999999999998</v>
      </c>
      <c r="F54" s="28">
        <f t="shared" si="3"/>
        <v>0.18221000000000001</v>
      </c>
      <c r="G54" s="3">
        <f t="shared" si="4"/>
        <v>0.27464499999999997</v>
      </c>
      <c r="H54" s="3">
        <f t="shared" si="5"/>
        <v>0.45685500000000001</v>
      </c>
    </row>
    <row r="55" spans="1:8" x14ac:dyDescent="0.2">
      <c r="E55" s="30"/>
    </row>
    <row r="56" spans="1:8" x14ac:dyDescent="0.2">
      <c r="A56" t="s">
        <v>111</v>
      </c>
      <c r="B56">
        <v>24</v>
      </c>
      <c r="C56" t="s">
        <v>112</v>
      </c>
    </row>
    <row r="58" spans="1:8" x14ac:dyDescent="0.2">
      <c r="A58" t="s">
        <v>102</v>
      </c>
    </row>
    <row r="59" spans="1:8" x14ac:dyDescent="0.2">
      <c r="A59" t="s">
        <v>103</v>
      </c>
      <c r="B59" t="s">
        <v>104</v>
      </c>
      <c r="C59" t="s">
        <v>105</v>
      </c>
    </row>
    <row r="60" spans="1:8" x14ac:dyDescent="0.2">
      <c r="A60">
        <v>8</v>
      </c>
      <c r="B60">
        <v>550</v>
      </c>
      <c r="C60">
        <f>B60/16*12</f>
        <v>412.5</v>
      </c>
    </row>
    <row r="61" spans="1:8" x14ac:dyDescent="0.2">
      <c r="A61">
        <v>9</v>
      </c>
      <c r="B61">
        <v>550</v>
      </c>
      <c r="C61">
        <f t="shared" ref="C61:C68" si="6">B61/16*12</f>
        <v>412.5</v>
      </c>
    </row>
    <row r="62" spans="1:8" x14ac:dyDescent="0.2">
      <c r="A62">
        <v>10</v>
      </c>
      <c r="B62">
        <v>480</v>
      </c>
      <c r="C62">
        <f t="shared" si="6"/>
        <v>360</v>
      </c>
    </row>
    <row r="63" spans="1:8" x14ac:dyDescent="0.2">
      <c r="A63">
        <v>11</v>
      </c>
      <c r="B63">
        <v>377</v>
      </c>
      <c r="C63">
        <f t="shared" si="6"/>
        <v>282.75</v>
      </c>
    </row>
    <row r="64" spans="1:8" x14ac:dyDescent="0.2">
      <c r="A64">
        <v>12</v>
      </c>
      <c r="B64">
        <v>288</v>
      </c>
      <c r="C64">
        <f t="shared" si="6"/>
        <v>216</v>
      </c>
    </row>
    <row r="65" spans="1:3" x14ac:dyDescent="0.2">
      <c r="A65">
        <v>13</v>
      </c>
      <c r="B65">
        <v>225</v>
      </c>
      <c r="C65">
        <f t="shared" si="6"/>
        <v>168.75</v>
      </c>
    </row>
    <row r="66" spans="1:3" x14ac:dyDescent="0.2">
      <c r="A66">
        <v>14</v>
      </c>
      <c r="B66">
        <v>175</v>
      </c>
      <c r="C66">
        <f t="shared" si="6"/>
        <v>131.25</v>
      </c>
    </row>
    <row r="67" spans="1:3" x14ac:dyDescent="0.2">
      <c r="A67">
        <v>15</v>
      </c>
      <c r="B67">
        <v>145</v>
      </c>
      <c r="C67">
        <f t="shared" si="6"/>
        <v>108.75</v>
      </c>
    </row>
    <row r="68" spans="1:3" x14ac:dyDescent="0.2">
      <c r="A68">
        <v>16</v>
      </c>
      <c r="B68">
        <v>119</v>
      </c>
      <c r="C68">
        <f t="shared" si="6"/>
        <v>89.25</v>
      </c>
    </row>
  </sheetData>
  <customSheetViews>
    <customSheetView guid="{26F6D74A-4272-4967-9786-783BACF4AF44}" showGridLines="0" hiddenRows="1">
      <pageMargins left="0.75" right="0.75" top="1" bottom="1" header="0.5" footer="0.5"/>
      <pageSetup scale="55" orientation="landscape" r:id="rId1"/>
      <headerFooter alignWithMargins="0"/>
    </customSheetView>
    <customSheetView guid="{6921AA76-5784-426B-8DF3-DBD2F823F221}" showGridLines="0" showRuler="0" topLeftCell="A4">
      <selection activeCell="G34" sqref="G34"/>
      <pageMargins left="0.75" right="0.75" top="1" bottom="1" header="0.5" footer="0.5"/>
      <pageSetup scale="55" orientation="landscape" verticalDpi="0" r:id="rId2"/>
      <headerFooter alignWithMargins="0"/>
    </customSheetView>
    <customSheetView guid="{79BA202A-326F-4875-A8CA-34B11A509AC2}" showGridLines="0" topLeftCell="A4">
      <selection activeCell="G34" sqref="G34"/>
      <pageMargins left="0.75" right="0.75" top="1" bottom="1" header="0.5" footer="0.5"/>
      <pageSetup scale="55" orientation="landscape" verticalDpi="0" r:id="rId3"/>
      <headerFooter alignWithMargins="0"/>
    </customSheetView>
  </customSheetViews>
  <phoneticPr fontId="0" type="noConversion"/>
  <dataValidations count="1">
    <dataValidation type="list" allowBlank="1" showInputMessage="1" showErrorMessage="1" sqref="A16">
      <formula1>$A$17:$A$20</formula1>
    </dataValidation>
  </dataValidations>
  <pageMargins left="0.75" right="0.75" top="1" bottom="1" header="0.5" footer="0.5"/>
  <pageSetup scale="55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zoomScale="85" zoomScaleNormal="85" workbookViewId="0">
      <selection activeCell="A6" sqref="A6"/>
    </sheetView>
  </sheetViews>
  <sheetFormatPr defaultRowHeight="12.75" x14ac:dyDescent="0.2"/>
  <cols>
    <col min="1" max="1" width="67" style="59" customWidth="1"/>
    <col min="2" max="2" width="13.5703125" style="59" customWidth="1"/>
    <col min="3" max="3" width="10.7109375" style="59" customWidth="1"/>
    <col min="4" max="4" width="13.140625" style="59" customWidth="1"/>
    <col min="5" max="5" width="16.140625" style="59" customWidth="1"/>
    <col min="6" max="6" width="9.85546875" style="59" customWidth="1"/>
    <col min="7" max="7" width="10.5703125" style="59" bestFit="1" customWidth="1"/>
    <col min="8" max="8" width="11.42578125" style="59" bestFit="1" customWidth="1"/>
    <col min="9" max="10" width="37.7109375" style="59" bestFit="1" customWidth="1"/>
    <col min="11" max="16384" width="9.140625" style="59"/>
  </cols>
  <sheetData>
    <row r="1" spans="1:10" ht="27" x14ac:dyDescent="0.35">
      <c r="A1" s="58" t="s">
        <v>149</v>
      </c>
    </row>
    <row r="2" spans="1:10" ht="9" customHeight="1" x14ac:dyDescent="0.3">
      <c r="A2" s="60" t="s">
        <v>146</v>
      </c>
    </row>
    <row r="3" spans="1:10" ht="25.5" x14ac:dyDescent="0.35">
      <c r="A3" s="61" t="s">
        <v>148</v>
      </c>
    </row>
    <row r="4" spans="1:10" ht="9" customHeight="1" x14ac:dyDescent="0.2">
      <c r="A4" s="62"/>
    </row>
    <row r="5" spans="1:10" ht="22.5" x14ac:dyDescent="0.3">
      <c r="A5" s="63" t="s">
        <v>147</v>
      </c>
    </row>
    <row r="6" spans="1:10" x14ac:dyDescent="0.2">
      <c r="A6" s="87" t="s">
        <v>331</v>
      </c>
    </row>
    <row r="7" spans="1:10" ht="9" customHeight="1" x14ac:dyDescent="0.35">
      <c r="A7" s="64"/>
    </row>
    <row r="8" spans="1:10" ht="23.25" x14ac:dyDescent="0.35">
      <c r="A8" s="65" t="s">
        <v>136</v>
      </c>
    </row>
    <row r="9" spans="1:10" x14ac:dyDescent="0.2">
      <c r="A9" s="59" t="s">
        <v>237</v>
      </c>
    </row>
    <row r="10" spans="1:10" x14ac:dyDescent="0.2">
      <c r="A10" s="59" t="s">
        <v>255</v>
      </c>
    </row>
    <row r="11" spans="1:10" x14ac:dyDescent="0.2">
      <c r="A11" s="74" t="s">
        <v>256</v>
      </c>
    </row>
    <row r="13" spans="1:10" s="69" customFormat="1" ht="25.5" x14ac:dyDescent="0.2">
      <c r="A13" s="66" t="s">
        <v>1</v>
      </c>
      <c r="B13" s="66" t="s">
        <v>7</v>
      </c>
      <c r="C13" s="66" t="s">
        <v>2</v>
      </c>
      <c r="D13" s="66" t="s">
        <v>9</v>
      </c>
      <c r="E13" s="66" t="s">
        <v>10</v>
      </c>
      <c r="F13" s="67" t="s">
        <v>11</v>
      </c>
      <c r="G13" s="66" t="s">
        <v>12</v>
      </c>
      <c r="H13" s="68" t="s">
        <v>0</v>
      </c>
      <c r="I13" s="66" t="s">
        <v>3</v>
      </c>
      <c r="J13" s="66" t="s">
        <v>4</v>
      </c>
    </row>
    <row r="14" spans="1:10" x14ac:dyDescent="0.2">
      <c r="D14" s="70"/>
      <c r="E14" s="70"/>
      <c r="F14" s="71"/>
      <c r="G14" s="70"/>
      <c r="H14" s="70"/>
    </row>
    <row r="15" spans="1:10" customFormat="1" x14ac:dyDescent="0.2">
      <c r="A15" s="19" t="s">
        <v>177</v>
      </c>
      <c r="D15" s="5"/>
      <c r="E15" s="100"/>
      <c r="F15" s="13"/>
      <c r="G15" s="5"/>
      <c r="H15" s="5"/>
    </row>
    <row r="16" spans="1:10" customFormat="1" hidden="1" x14ac:dyDescent="0.2">
      <c r="A16" s="57" t="s">
        <v>180</v>
      </c>
      <c r="D16" s="5"/>
      <c r="E16" s="100"/>
      <c r="F16" s="13"/>
      <c r="G16" s="5"/>
      <c r="H16" s="5"/>
    </row>
    <row r="17" spans="1:8" customFormat="1" hidden="1" x14ac:dyDescent="0.2">
      <c r="A17" s="57" t="s">
        <v>178</v>
      </c>
      <c r="D17" s="5"/>
      <c r="E17" s="100"/>
      <c r="F17" s="13"/>
      <c r="G17" s="5"/>
      <c r="H17" s="5"/>
    </row>
    <row r="18" spans="1:8" customFormat="1" hidden="1" x14ac:dyDescent="0.2">
      <c r="A18" s="57" t="s">
        <v>177</v>
      </c>
      <c r="D18" s="5"/>
      <c r="E18" s="100"/>
      <c r="F18" s="13"/>
      <c r="G18" s="5"/>
      <c r="H18" s="5"/>
    </row>
    <row r="19" spans="1:8" customFormat="1" hidden="1" x14ac:dyDescent="0.2">
      <c r="A19" s="57" t="s">
        <v>179</v>
      </c>
      <c r="D19" s="5"/>
      <c r="E19" s="100"/>
      <c r="F19" s="13"/>
      <c r="G19" s="5"/>
      <c r="H19" s="5"/>
    </row>
    <row r="20" spans="1:8" customFormat="1" hidden="1" x14ac:dyDescent="0.2">
      <c r="A20" s="125" t="str">
        <f>A22</f>
        <v>Mid or High-Rise (4 or greater floors)</v>
      </c>
      <c r="D20" s="5"/>
      <c r="E20" s="100"/>
      <c r="F20" s="13"/>
      <c r="G20" s="5"/>
      <c r="H20" s="5"/>
    </row>
    <row r="21" spans="1:8" customFormat="1" hidden="1" x14ac:dyDescent="0.2">
      <c r="A21" s="57"/>
      <c r="D21" s="5"/>
      <c r="E21" s="100"/>
      <c r="F21" s="13"/>
      <c r="G21" s="5"/>
      <c r="H21" s="5"/>
    </row>
    <row r="22" spans="1:8" customFormat="1" hidden="1" x14ac:dyDescent="0.2">
      <c r="A22" s="57" t="s">
        <v>184</v>
      </c>
      <c r="D22" s="5"/>
      <c r="E22" s="100"/>
      <c r="F22" s="13"/>
      <c r="G22" s="5"/>
      <c r="H22" s="5"/>
    </row>
    <row r="23" spans="1:8" customFormat="1" x14ac:dyDescent="0.2">
      <c r="A23" s="57"/>
      <c r="D23" s="5"/>
      <c r="E23" s="100"/>
      <c r="F23" s="13"/>
      <c r="G23" s="5"/>
      <c r="H23" s="5"/>
    </row>
    <row r="24" spans="1:8" x14ac:dyDescent="0.2">
      <c r="A24" s="72" t="s">
        <v>119</v>
      </c>
      <c r="E24" s="116"/>
    </row>
    <row r="25" spans="1:8" x14ac:dyDescent="0.2">
      <c r="A25" s="75" t="s">
        <v>137</v>
      </c>
      <c r="B25" s="76"/>
      <c r="C25" s="77" t="s">
        <v>76</v>
      </c>
      <c r="D25" s="78">
        <f>IF(A20=A22,D31,IF(AND(A15=A19,A20=A23),D30,IF(A20=A23,D29,D15)))</f>
        <v>4.0049999999999999</v>
      </c>
      <c r="E25" s="78">
        <f>IF(A20=A22,E31,IF(AND(A15=A19,A20=A23),E30,IF(A20=A23,E29,E15)))</f>
        <v>1.77</v>
      </c>
      <c r="F25" s="78">
        <f>IF(A20=A22,F31,IF(AND(A15=A19,A20=A23),F30,IF(A20=A23,F29,F15)))</f>
        <v>0</v>
      </c>
      <c r="G25" s="78">
        <f>IF(A20=A22,G31,IF(AND(A15=A19,A20=A23),G30,IF(A20=A23,G29,G15)))</f>
        <v>0</v>
      </c>
    </row>
    <row r="26" spans="1:8" x14ac:dyDescent="0.2">
      <c r="E26" s="116"/>
    </row>
    <row r="27" spans="1:8" x14ac:dyDescent="0.2">
      <c r="A27" s="72" t="s">
        <v>145</v>
      </c>
      <c r="B27" s="80">
        <f>F25+G25</f>
        <v>0</v>
      </c>
      <c r="E27" s="116"/>
    </row>
    <row r="28" spans="1:8" s="104" customFormat="1" x14ac:dyDescent="0.2">
      <c r="A28" s="114"/>
      <c r="B28" s="115"/>
    </row>
    <row r="29" spans="1:8" x14ac:dyDescent="0.2">
      <c r="A29" s="74" t="s">
        <v>235</v>
      </c>
      <c r="B29" s="59">
        <f>B25</f>
        <v>0</v>
      </c>
      <c r="C29" s="59" t="s">
        <v>76</v>
      </c>
      <c r="D29" s="73">
        <f>SUM(D49,D50,D51,D53,D54,D55,D57)</f>
        <v>3.1182981000000001</v>
      </c>
      <c r="E29" s="117">
        <f>SUM(E49,E50,E51,E53,E54,E55,E57)</f>
        <v>2.9432470500000001</v>
      </c>
      <c r="F29" s="79">
        <f>B29*D29*(1+MaterialPct)*(1+SalesTax)*CityMatl/100</f>
        <v>0</v>
      </c>
      <c r="G29" s="73">
        <f>B29*E29*(1+LaborPct)*CityLabor/100</f>
        <v>0</v>
      </c>
    </row>
    <row r="30" spans="1:8" x14ac:dyDescent="0.2">
      <c r="A30" s="74" t="s">
        <v>234</v>
      </c>
      <c r="B30" s="59">
        <f>B25</f>
        <v>0</v>
      </c>
      <c r="C30" s="59" t="s">
        <v>76</v>
      </c>
      <c r="D30" s="73">
        <f>SUM(D49,D50,D51,D52,D53,D54,D55,D57)</f>
        <v>3.4382981000000004</v>
      </c>
      <c r="E30" s="117">
        <f>SUM(E49,E50,E51,E52,E53,E54,E55,E57)</f>
        <v>3.2632470499999999</v>
      </c>
      <c r="F30" s="79">
        <f>B30*D30*(1+MaterialPct)*(1+SalesTax)*CityMatl/100</f>
        <v>0</v>
      </c>
      <c r="G30" s="73">
        <f>B30*E30*(1+LaborPct)*CityLabor/100</f>
        <v>0</v>
      </c>
    </row>
    <row r="31" spans="1:8" x14ac:dyDescent="0.2">
      <c r="A31" s="74" t="s">
        <v>236</v>
      </c>
      <c r="B31" s="59">
        <f>B25</f>
        <v>0</v>
      </c>
      <c r="C31" s="59" t="s">
        <v>76</v>
      </c>
      <c r="D31" s="73">
        <f>SUM(D46,D47,D48)</f>
        <v>4.0049999999999999</v>
      </c>
      <c r="E31" s="117">
        <f>SUM(E46,E47,E48)</f>
        <v>1.77</v>
      </c>
      <c r="F31" s="79">
        <f>B31*D31*(1+MaterialPct)*(1+SalesTax)*CityMatl/100</f>
        <v>0</v>
      </c>
      <c r="G31" s="73">
        <f>B31*E31*(1+LaborPct)*CityLabor/100</f>
        <v>0</v>
      </c>
    </row>
    <row r="32" spans="1:8" x14ac:dyDescent="0.2">
      <c r="E32" s="70"/>
      <c r="F32" s="71"/>
    </row>
    <row r="33" spans="1:10" x14ac:dyDescent="0.2">
      <c r="A33" s="72" t="s">
        <v>116</v>
      </c>
      <c r="D33" s="70"/>
      <c r="E33" s="70"/>
      <c r="F33" s="71"/>
      <c r="G33" s="70"/>
      <c r="H33" s="70"/>
    </row>
    <row r="34" spans="1:10" x14ac:dyDescent="0.2">
      <c r="A34" s="59" t="s">
        <v>118</v>
      </c>
      <c r="B34" s="59">
        <v>1</v>
      </c>
      <c r="C34" s="59" t="s">
        <v>76</v>
      </c>
      <c r="D34" s="73">
        <v>1.53</v>
      </c>
      <c r="E34" s="117">
        <v>0.34</v>
      </c>
      <c r="F34" s="79">
        <f t="shared" ref="F34:F43" si="0">B34*D34*(1+MaterialPct)*(1+SalesTax)*CityMatl/100</f>
        <v>1.4672700000000001</v>
      </c>
      <c r="G34" s="73">
        <f t="shared" ref="G34:G43" si="1">B34*E34*(1+LaborPct)*CityLabor/100</f>
        <v>0.31653999999999999</v>
      </c>
      <c r="H34" s="73">
        <f t="shared" ref="H34:H43" si="2">F34+G34</f>
        <v>1.7838100000000001</v>
      </c>
      <c r="I34" s="74" t="s">
        <v>310</v>
      </c>
      <c r="J34" s="74" t="s">
        <v>310</v>
      </c>
    </row>
    <row r="35" spans="1:10" x14ac:dyDescent="0.2">
      <c r="A35" s="59" t="s">
        <v>117</v>
      </c>
      <c r="B35" s="59">
        <v>1</v>
      </c>
      <c r="C35" s="59" t="s">
        <v>76</v>
      </c>
      <c r="D35" s="73">
        <v>1.49</v>
      </c>
      <c r="E35" s="117">
        <v>0.5</v>
      </c>
      <c r="F35" s="79">
        <f t="shared" si="0"/>
        <v>1.4289100000000001</v>
      </c>
      <c r="G35" s="73">
        <f t="shared" si="1"/>
        <v>0.46549999999999997</v>
      </c>
      <c r="H35" s="73">
        <f t="shared" si="2"/>
        <v>1.8944100000000001</v>
      </c>
      <c r="I35" s="74" t="s">
        <v>311</v>
      </c>
      <c r="J35" s="74" t="s">
        <v>311</v>
      </c>
    </row>
    <row r="36" spans="1:10" x14ac:dyDescent="0.2">
      <c r="A36" s="59" t="s">
        <v>226</v>
      </c>
      <c r="B36" s="59">
        <v>1</v>
      </c>
      <c r="C36" s="59" t="s">
        <v>84</v>
      </c>
      <c r="D36" s="73">
        <v>98.5</v>
      </c>
      <c r="E36" s="117">
        <v>93</v>
      </c>
      <c r="F36" s="79">
        <f t="shared" si="0"/>
        <v>94.461500000000015</v>
      </c>
      <c r="G36" s="73">
        <f t="shared" si="1"/>
        <v>86.582999999999998</v>
      </c>
      <c r="H36" s="73">
        <f t="shared" si="2"/>
        <v>181.04450000000003</v>
      </c>
      <c r="I36" s="74" t="s">
        <v>312</v>
      </c>
      <c r="J36" s="74" t="s">
        <v>312</v>
      </c>
    </row>
    <row r="37" spans="1:10" x14ac:dyDescent="0.2">
      <c r="A37" t="s">
        <v>75</v>
      </c>
      <c r="B37">
        <v>1</v>
      </c>
      <c r="C37" t="s">
        <v>76</v>
      </c>
      <c r="D37" s="3">
        <v>0.37</v>
      </c>
      <c r="E37" s="38">
        <v>0.76</v>
      </c>
      <c r="F37" s="79">
        <f t="shared" si="0"/>
        <v>0.35483000000000003</v>
      </c>
      <c r="G37" s="73">
        <f t="shared" si="1"/>
        <v>0.70755999999999997</v>
      </c>
      <c r="H37" s="73">
        <f t="shared" si="2"/>
        <v>1.0623899999999999</v>
      </c>
      <c r="I37" s="57" t="s">
        <v>292</v>
      </c>
      <c r="J37" s="57" t="s">
        <v>292</v>
      </c>
    </row>
    <row r="38" spans="1:10" x14ac:dyDescent="0.2">
      <c r="A38" s="74" t="s">
        <v>221</v>
      </c>
      <c r="B38" s="59">
        <v>1</v>
      </c>
      <c r="C38" s="74" t="s">
        <v>170</v>
      </c>
      <c r="D38" s="3">
        <v>570</v>
      </c>
      <c r="E38" s="38">
        <v>885</v>
      </c>
      <c r="F38" s="79">
        <f t="shared" si="0"/>
        <v>546.63</v>
      </c>
      <c r="G38" s="73">
        <f t="shared" si="1"/>
        <v>823.93499999999995</v>
      </c>
      <c r="H38" s="73">
        <f t="shared" si="2"/>
        <v>1370.5650000000001</v>
      </c>
      <c r="I38" s="74" t="s">
        <v>309</v>
      </c>
      <c r="J38" s="74" t="s">
        <v>309</v>
      </c>
    </row>
    <row r="39" spans="1:10" x14ac:dyDescent="0.2">
      <c r="A39" s="74" t="s">
        <v>222</v>
      </c>
      <c r="B39" s="59">
        <v>1</v>
      </c>
      <c r="C39" s="74" t="s">
        <v>76</v>
      </c>
      <c r="D39" s="3">
        <v>0.75</v>
      </c>
      <c r="E39" s="38">
        <v>0.32</v>
      </c>
      <c r="F39" s="28">
        <f t="shared" si="0"/>
        <v>0.71925000000000017</v>
      </c>
      <c r="G39" s="3">
        <f t="shared" si="1"/>
        <v>0.29791999999999996</v>
      </c>
      <c r="H39" s="3">
        <f t="shared" si="2"/>
        <v>1.0171700000000001</v>
      </c>
      <c r="I39" s="74" t="s">
        <v>313</v>
      </c>
      <c r="J39" s="74" t="s">
        <v>313</v>
      </c>
    </row>
    <row r="40" spans="1:10" x14ac:dyDescent="0.2">
      <c r="A40" s="74" t="s">
        <v>223</v>
      </c>
      <c r="B40" s="59">
        <v>1</v>
      </c>
      <c r="C40" s="74" t="s">
        <v>76</v>
      </c>
      <c r="D40" s="3">
        <v>0.32</v>
      </c>
      <c r="E40" s="38">
        <v>0.32</v>
      </c>
      <c r="F40" s="28">
        <f t="shared" si="0"/>
        <v>0.30688000000000004</v>
      </c>
      <c r="G40" s="3">
        <f t="shared" si="1"/>
        <v>0.29791999999999996</v>
      </c>
      <c r="H40" s="3">
        <f t="shared" si="2"/>
        <v>0.6048</v>
      </c>
      <c r="I40" s="74" t="s">
        <v>314</v>
      </c>
      <c r="J40" s="74" t="s">
        <v>314</v>
      </c>
    </row>
    <row r="41" spans="1:10" x14ac:dyDescent="0.2">
      <c r="A41" s="59" t="s">
        <v>224</v>
      </c>
      <c r="B41" s="59">
        <v>1</v>
      </c>
      <c r="C41" s="59" t="s">
        <v>76</v>
      </c>
      <c r="D41" s="3">
        <v>0.74</v>
      </c>
      <c r="E41" s="38">
        <v>0.56000000000000005</v>
      </c>
      <c r="F41" s="28">
        <f t="shared" si="0"/>
        <v>0.70966000000000007</v>
      </c>
      <c r="G41" s="3">
        <f t="shared" si="1"/>
        <v>0.52136000000000005</v>
      </c>
      <c r="H41" s="3">
        <f t="shared" si="2"/>
        <v>1.23102</v>
      </c>
      <c r="I41" s="74" t="s">
        <v>315</v>
      </c>
      <c r="J41" s="74" t="s">
        <v>315</v>
      </c>
    </row>
    <row r="42" spans="1:10" customFormat="1" x14ac:dyDescent="0.2">
      <c r="A42" t="s">
        <v>83</v>
      </c>
      <c r="B42">
        <v>1</v>
      </c>
      <c r="C42" t="s">
        <v>84</v>
      </c>
      <c r="D42" s="3">
        <v>3.98</v>
      </c>
      <c r="E42" s="38">
        <v>9.9</v>
      </c>
      <c r="F42" s="28">
        <f t="shared" si="0"/>
        <v>3.8168200000000003</v>
      </c>
      <c r="G42" s="3">
        <f t="shared" si="1"/>
        <v>9.216899999999999</v>
      </c>
      <c r="H42" s="3">
        <f t="shared" si="2"/>
        <v>13.033719999999999</v>
      </c>
      <c r="I42" s="57" t="s">
        <v>294</v>
      </c>
      <c r="J42" s="57" t="s">
        <v>294</v>
      </c>
    </row>
    <row r="43" spans="1:10" x14ac:dyDescent="0.2">
      <c r="A43" s="59" t="s">
        <v>225</v>
      </c>
      <c r="B43" s="59">
        <v>1</v>
      </c>
      <c r="C43" s="59" t="s">
        <v>84</v>
      </c>
      <c r="D43" s="3">
        <v>81</v>
      </c>
      <c r="E43" s="38">
        <v>57</v>
      </c>
      <c r="F43" s="28">
        <f t="shared" si="0"/>
        <v>77.679000000000002</v>
      </c>
      <c r="G43" s="3">
        <f t="shared" si="1"/>
        <v>53.067</v>
      </c>
      <c r="H43" s="3">
        <f t="shared" si="2"/>
        <v>130.74600000000001</v>
      </c>
      <c r="I43" s="74" t="s">
        <v>316</v>
      </c>
      <c r="J43" s="74" t="s">
        <v>316</v>
      </c>
    </row>
    <row r="44" spans="1:10" x14ac:dyDescent="0.2">
      <c r="A44" s="74"/>
      <c r="E44" s="116"/>
    </row>
    <row r="45" spans="1:10" x14ac:dyDescent="0.2">
      <c r="A45" s="74" t="s">
        <v>227</v>
      </c>
      <c r="E45" s="116"/>
    </row>
    <row r="46" spans="1:10" x14ac:dyDescent="0.2">
      <c r="A46" s="59" t="str">
        <f t="shared" ref="A46:A55" si="3">A34</f>
        <v>Metal roof deck, 1-1/2" deep, wide rib, 22 gauge, 50-500 squares</v>
      </c>
      <c r="B46" s="59">
        <v>1</v>
      </c>
      <c r="C46" s="59" t="s">
        <v>76</v>
      </c>
      <c r="D46" s="73">
        <f>D34</f>
        <v>1.53</v>
      </c>
      <c r="E46" s="117">
        <f>E34</f>
        <v>0.34</v>
      </c>
      <c r="F46" s="28">
        <f t="shared" ref="F46:F55" si="4">B46*D46*(1+MaterialPct)*(1+SalesTax)*CityMatl/100</f>
        <v>1.4672700000000001</v>
      </c>
      <c r="G46" s="3">
        <f t="shared" ref="G46:G55" si="5">B46*E46*(1+LaborPct)*CityLabor/100</f>
        <v>0.31653999999999999</v>
      </c>
      <c r="H46" s="3">
        <f>F46+G46</f>
        <v>1.7838100000000001</v>
      </c>
    </row>
    <row r="47" spans="1:10" x14ac:dyDescent="0.2">
      <c r="A47" s="59" t="str">
        <f t="shared" si="3"/>
        <v>Extruded Polystyrene, 40 PSI, 3" thick R15</v>
      </c>
      <c r="B47" s="59">
        <v>1</v>
      </c>
      <c r="C47" s="59" t="s">
        <v>76</v>
      </c>
      <c r="D47" s="73">
        <f>D35</f>
        <v>1.49</v>
      </c>
      <c r="E47" s="117">
        <f>E35</f>
        <v>0.5</v>
      </c>
      <c r="F47" s="28">
        <f t="shared" si="4"/>
        <v>1.4289100000000001</v>
      </c>
      <c r="G47" s="3">
        <f t="shared" si="5"/>
        <v>0.46549999999999997</v>
      </c>
      <c r="H47" s="3">
        <f t="shared" ref="H47:H57" si="6">F47+G47</f>
        <v>1.8944100000000001</v>
      </c>
    </row>
    <row r="48" spans="1:10" x14ac:dyDescent="0.2">
      <c r="A48" s="59" t="str">
        <f t="shared" si="3"/>
        <v>Built-up Roofing Systems Asphal flood coat with fravel/slag surfacing, base sheet</v>
      </c>
      <c r="B48" s="59">
        <v>1</v>
      </c>
      <c r="C48" s="59" t="s">
        <v>76</v>
      </c>
      <c r="D48" s="73">
        <f>D36/100</f>
        <v>0.98499999999999999</v>
      </c>
      <c r="E48" s="117">
        <f>E36/100</f>
        <v>0.93</v>
      </c>
      <c r="F48" s="28">
        <f t="shared" si="4"/>
        <v>0.94461499999999998</v>
      </c>
      <c r="G48" s="3">
        <f t="shared" si="5"/>
        <v>0.86582999999999999</v>
      </c>
      <c r="H48" s="3">
        <f t="shared" si="6"/>
        <v>1.8104450000000001</v>
      </c>
    </row>
    <row r="49" spans="1:8" x14ac:dyDescent="0.2">
      <c r="A49" s="59" t="str">
        <f t="shared" si="3"/>
        <v>5/8" thick sheetrock, taped and finished (Level 4)</v>
      </c>
      <c r="B49" s="59">
        <v>1</v>
      </c>
      <c r="C49" s="59" t="s">
        <v>76</v>
      </c>
      <c r="D49" s="73">
        <f>D37</f>
        <v>0.37</v>
      </c>
      <c r="E49" s="117">
        <f>E37</f>
        <v>0.76</v>
      </c>
      <c r="F49" s="28">
        <f t="shared" si="4"/>
        <v>0.35483000000000003</v>
      </c>
      <c r="G49" s="3">
        <f t="shared" si="5"/>
        <v>0.70755999999999997</v>
      </c>
      <c r="H49" s="3">
        <f t="shared" si="6"/>
        <v>1.0623899999999999</v>
      </c>
    </row>
    <row r="50" spans="1:8" x14ac:dyDescent="0.2">
      <c r="A50" s="59" t="str">
        <f t="shared" si="3"/>
        <v>Joist framing, Joists, 2"x4", 24" OC</v>
      </c>
      <c r="B50" s="59">
        <v>1</v>
      </c>
      <c r="C50" s="59" t="s">
        <v>76</v>
      </c>
      <c r="D50" s="73">
        <f>(1/3000)*D38</f>
        <v>0.19</v>
      </c>
      <c r="E50" s="117">
        <f>(1/3000)*E38</f>
        <v>0.29499999999999998</v>
      </c>
      <c r="F50" s="28">
        <f t="shared" si="4"/>
        <v>0.18221000000000001</v>
      </c>
      <c r="G50" s="3">
        <f t="shared" si="5"/>
        <v>0.27464499999999997</v>
      </c>
      <c r="H50" s="3">
        <f t="shared" si="6"/>
        <v>0.45685500000000001</v>
      </c>
    </row>
    <row r="51" spans="1:8" x14ac:dyDescent="0.2">
      <c r="A51" s="59" t="str">
        <f t="shared" si="3"/>
        <v>Unfaced fiberglass 12" thick, R-38, 23" wide</v>
      </c>
      <c r="B51" s="59">
        <v>1</v>
      </c>
      <c r="C51" s="59" t="s">
        <v>76</v>
      </c>
      <c r="D51" s="73">
        <f>D39</f>
        <v>0.75</v>
      </c>
      <c r="E51" s="117">
        <f t="shared" ref="D51:E53" si="7">E39</f>
        <v>0.32</v>
      </c>
      <c r="F51" s="28">
        <f t="shared" si="4"/>
        <v>0.71925000000000017</v>
      </c>
      <c r="G51" s="3">
        <f t="shared" si="5"/>
        <v>0.29791999999999996</v>
      </c>
      <c r="H51" s="3">
        <f t="shared" si="6"/>
        <v>1.0171700000000001</v>
      </c>
    </row>
    <row r="52" spans="1:8" x14ac:dyDescent="0.2">
      <c r="A52" s="59" t="str">
        <f t="shared" si="3"/>
        <v>Unfaced fiberglass 3.5" thick, R-11, 23" wide</v>
      </c>
      <c r="B52" s="59">
        <v>1</v>
      </c>
      <c r="C52" s="59" t="s">
        <v>76</v>
      </c>
      <c r="D52" s="73">
        <f>D40</f>
        <v>0.32</v>
      </c>
      <c r="E52" s="117">
        <f t="shared" si="7"/>
        <v>0.32</v>
      </c>
      <c r="F52" s="28">
        <f t="shared" si="4"/>
        <v>0.30688000000000004</v>
      </c>
      <c r="G52" s="3">
        <f t="shared" si="5"/>
        <v>0.29791999999999996</v>
      </c>
      <c r="H52" s="3">
        <f t="shared" si="6"/>
        <v>0.6048</v>
      </c>
    </row>
    <row r="53" spans="1:8" x14ac:dyDescent="0.2">
      <c r="A53" s="59" t="str">
        <f t="shared" si="3"/>
        <v>Sheating, plywood on roofs, 5/8" thick</v>
      </c>
      <c r="B53" s="59">
        <v>1</v>
      </c>
      <c r="C53" s="59" t="s">
        <v>76</v>
      </c>
      <c r="D53" s="73">
        <f t="shared" si="7"/>
        <v>0.74</v>
      </c>
      <c r="E53" s="117">
        <f t="shared" si="7"/>
        <v>0.56000000000000005</v>
      </c>
      <c r="F53" s="28">
        <f t="shared" si="4"/>
        <v>0.70966000000000007</v>
      </c>
      <c r="G53" s="3">
        <f t="shared" si="5"/>
        <v>0.52136000000000005</v>
      </c>
      <c r="H53" s="3">
        <f t="shared" si="6"/>
        <v>1.23102</v>
      </c>
    </row>
    <row r="54" spans="1:8" x14ac:dyDescent="0.2">
      <c r="A54" s="59" t="str">
        <f t="shared" si="3"/>
        <v>Asphalt felt sheathing paper</v>
      </c>
      <c r="B54" s="59">
        <v>1</v>
      </c>
      <c r="C54" s="59" t="s">
        <v>76</v>
      </c>
      <c r="D54" s="73">
        <f>D42/100</f>
        <v>3.9800000000000002E-2</v>
      </c>
      <c r="E54" s="117">
        <f>E42/100</f>
        <v>9.9000000000000005E-2</v>
      </c>
      <c r="F54" s="28">
        <f t="shared" si="4"/>
        <v>3.8168200000000006E-2</v>
      </c>
      <c r="G54" s="3">
        <f t="shared" si="5"/>
        <v>9.2169000000000001E-2</v>
      </c>
      <c r="H54" s="3">
        <f t="shared" si="6"/>
        <v>0.13033720000000001</v>
      </c>
    </row>
    <row r="55" spans="1:8" x14ac:dyDescent="0.2">
      <c r="A55" s="59" t="str">
        <f t="shared" si="3"/>
        <v>Asphalt roof shingles, standard strip shingles, Inorganic, class a, 210-235lb/sq</v>
      </c>
      <c r="B55" s="59">
        <v>1</v>
      </c>
      <c r="C55" s="59" t="s">
        <v>76</v>
      </c>
      <c r="D55" s="73">
        <f>D43/100</f>
        <v>0.81</v>
      </c>
      <c r="E55" s="117">
        <f>E43/100</f>
        <v>0.56999999999999995</v>
      </c>
      <c r="F55" s="28">
        <f t="shared" si="4"/>
        <v>0.7767900000000002</v>
      </c>
      <c r="G55" s="3">
        <f t="shared" si="5"/>
        <v>0.53066999999999998</v>
      </c>
      <c r="H55" s="3">
        <f t="shared" si="6"/>
        <v>1.3074600000000003</v>
      </c>
    </row>
    <row r="56" spans="1:8" x14ac:dyDescent="0.2">
      <c r="D56" s="73"/>
      <c r="E56" s="117"/>
      <c r="F56" s="28"/>
      <c r="G56" s="3"/>
      <c r="H56" s="3"/>
    </row>
    <row r="57" spans="1:8" x14ac:dyDescent="0.2">
      <c r="A57" s="59" t="s">
        <v>228</v>
      </c>
      <c r="B57" s="59">
        <v>1</v>
      </c>
      <c r="C57" s="59" t="s">
        <v>76</v>
      </c>
      <c r="D57" s="73">
        <f>(3.8333*10^(-4))*D38</f>
        <v>0.21849810000000003</v>
      </c>
      <c r="E57" s="117">
        <f>(3.8333*10^(-4))*E38</f>
        <v>0.33924705000000005</v>
      </c>
      <c r="F57" s="28">
        <f>B57*D57*(1+MaterialPct)*(1+SalesTax)*CityMatl/100</f>
        <v>0.20953967790000003</v>
      </c>
      <c r="G57" s="3">
        <f>B57*E57*(1+LaborPct)*CityLabor/100</f>
        <v>0.31583900355000005</v>
      </c>
      <c r="H57" s="3">
        <f t="shared" si="6"/>
        <v>0.52537868145000011</v>
      </c>
    </row>
    <row r="58" spans="1:8" x14ac:dyDescent="0.2">
      <c r="D58" s="73"/>
      <c r="E58" s="117"/>
    </row>
    <row r="59" spans="1:8" x14ac:dyDescent="0.2">
      <c r="A59" s="59" t="s">
        <v>229</v>
      </c>
      <c r="D59" s="73"/>
      <c r="E59" s="117"/>
    </row>
    <row r="60" spans="1:8" customFormat="1" x14ac:dyDescent="0.2">
      <c r="A60" t="s">
        <v>172</v>
      </c>
      <c r="D60" s="3"/>
      <c r="E60" s="38"/>
      <c r="F60" s="28"/>
      <c r="G60" s="3"/>
      <c r="H60" s="3"/>
    </row>
    <row r="61" spans="1:8" customFormat="1" x14ac:dyDescent="0.2">
      <c r="A61" t="s">
        <v>230</v>
      </c>
      <c r="D61" s="3"/>
      <c r="E61" s="38"/>
      <c r="F61" s="28"/>
      <c r="G61" s="3"/>
      <c r="H61" s="3"/>
    </row>
    <row r="62" spans="1:8" customFormat="1" x14ac:dyDescent="0.2">
      <c r="A62" s="59" t="s">
        <v>231</v>
      </c>
      <c r="D62" s="3"/>
      <c r="E62" s="38"/>
      <c r="F62" s="28"/>
      <c r="G62" s="3"/>
      <c r="H62" s="3"/>
    </row>
    <row r="63" spans="1:8" customFormat="1" x14ac:dyDescent="0.2">
      <c r="A63" t="s">
        <v>174</v>
      </c>
      <c r="D63" s="3"/>
      <c r="E63" s="38"/>
      <c r="F63" s="28"/>
      <c r="G63" s="3"/>
      <c r="H63" s="3"/>
    </row>
    <row r="64" spans="1:8" customFormat="1" x14ac:dyDescent="0.2">
      <c r="D64" s="3"/>
      <c r="E64" s="38"/>
      <c r="F64" s="28"/>
      <c r="G64" s="3"/>
      <c r="H64" s="3"/>
    </row>
    <row r="65" spans="1:1" x14ac:dyDescent="0.2">
      <c r="A65" s="59" t="s">
        <v>232</v>
      </c>
    </row>
    <row r="67" spans="1:1" x14ac:dyDescent="0.2">
      <c r="A67" s="59" t="s">
        <v>233</v>
      </c>
    </row>
  </sheetData>
  <customSheetViews>
    <customSheetView guid="{26F6D74A-4272-4967-9786-783BACF4AF44}" showGridLines="0" hiddenRows="1">
      <selection activeCell="A16" sqref="A16"/>
      <pageMargins left="0.75" right="0.75" top="1" bottom="1" header="0.5" footer="0.5"/>
      <pageSetup scale="54" orientation="landscape" verticalDpi="0" r:id="rId1"/>
      <headerFooter alignWithMargins="0"/>
    </customSheetView>
    <customSheetView guid="{6921AA76-5784-426B-8DF3-DBD2F823F221}" showGridLines="0" showRuler="0">
      <pageMargins left="0.75" right="0.75" top="1" bottom="1" header="0.5" footer="0.5"/>
      <pageSetup scale="54" orientation="landscape" verticalDpi="0" r:id="rId2"/>
      <headerFooter alignWithMargins="0"/>
    </customSheetView>
    <customSheetView guid="{79BA202A-326F-4875-A8CA-34B11A509AC2}" showGridLines="0" topLeftCell="A2">
      <selection activeCell="C35" sqref="C35"/>
      <pageMargins left="0.75" right="0.75" top="1" bottom="1" header="0.5" footer="0.5"/>
      <pageSetup scale="54" orientation="landscape" verticalDpi="0" r:id="rId3"/>
      <headerFooter alignWithMargins="0"/>
    </customSheetView>
  </customSheetViews>
  <phoneticPr fontId="0" type="noConversion"/>
  <dataValidations count="1">
    <dataValidation type="list" allowBlank="1" showInputMessage="1" showErrorMessage="1" sqref="A15">
      <formula1>$A$16:$A$19</formula1>
    </dataValidation>
  </dataValidations>
  <pageMargins left="0.75" right="0.75" top="1" bottom="1" header="0.5" footer="0.5"/>
  <pageSetup scale="54" orientation="landscape" verticalDpi="0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workbookViewId="0">
      <selection activeCell="A5" sqref="A5"/>
    </sheetView>
  </sheetViews>
  <sheetFormatPr defaultRowHeight="12.75" x14ac:dyDescent="0.2"/>
  <cols>
    <col min="1" max="1" width="55.140625" style="59" customWidth="1"/>
    <col min="2" max="2" width="13.140625" style="59" customWidth="1"/>
    <col min="3" max="6" width="9.140625" style="59"/>
    <col min="7" max="8" width="11.140625" style="59" customWidth="1"/>
    <col min="9" max="9" width="11.7109375" style="59" customWidth="1"/>
    <col min="10" max="10" width="53.140625" style="59" bestFit="1" customWidth="1"/>
    <col min="11" max="11" width="41.28515625" style="59" bestFit="1" customWidth="1"/>
    <col min="12" max="16384" width="9.140625" style="59"/>
  </cols>
  <sheetData>
    <row r="1" spans="1:11" ht="27" x14ac:dyDescent="0.35">
      <c r="A1" s="81" t="s">
        <v>149</v>
      </c>
      <c r="B1" s="82"/>
      <c r="C1" s="82"/>
      <c r="D1" s="83"/>
      <c r="E1" s="83"/>
      <c r="F1" s="83"/>
    </row>
    <row r="2" spans="1:11" ht="18.75" x14ac:dyDescent="0.3">
      <c r="A2" s="84" t="s">
        <v>146</v>
      </c>
      <c r="B2" s="82"/>
      <c r="C2" s="82"/>
      <c r="D2" s="83"/>
      <c r="E2" s="83"/>
      <c r="F2" s="83"/>
    </row>
    <row r="3" spans="1:11" ht="25.5" x14ac:dyDescent="0.35">
      <c r="A3" s="85" t="s">
        <v>148</v>
      </c>
      <c r="B3" s="82"/>
      <c r="C3" s="82"/>
      <c r="D3" s="83"/>
      <c r="E3" s="83"/>
      <c r="F3" s="83"/>
    </row>
    <row r="4" spans="1:11" ht="22.5" x14ac:dyDescent="0.3">
      <c r="A4" s="86" t="s">
        <v>147</v>
      </c>
      <c r="B4" s="82"/>
      <c r="C4" s="82"/>
      <c r="D4" s="83"/>
      <c r="E4" s="83"/>
      <c r="F4" s="83"/>
    </row>
    <row r="5" spans="1:11" x14ac:dyDescent="0.2">
      <c r="A5" s="87" t="s">
        <v>331</v>
      </c>
      <c r="B5" s="82"/>
      <c r="C5" s="82"/>
    </row>
    <row r="6" spans="1:11" ht="23.25" x14ac:dyDescent="0.35">
      <c r="A6" s="88"/>
      <c r="B6" s="82"/>
      <c r="C6" s="82"/>
    </row>
    <row r="7" spans="1:11" ht="23.25" x14ac:dyDescent="0.35">
      <c r="A7" s="88" t="s">
        <v>138</v>
      </c>
      <c r="B7" s="82"/>
      <c r="C7" s="82"/>
    </row>
    <row r="8" spans="1:11" x14ac:dyDescent="0.2">
      <c r="A8" s="82" t="s">
        <v>159</v>
      </c>
      <c r="B8" s="82"/>
      <c r="C8" s="82"/>
    </row>
    <row r="9" spans="1:11" x14ac:dyDescent="0.2">
      <c r="A9" s="82" t="s">
        <v>166</v>
      </c>
      <c r="B9" s="82"/>
      <c r="C9" s="82"/>
    </row>
    <row r="10" spans="1:11" x14ac:dyDescent="0.2">
      <c r="A10" s="82"/>
      <c r="B10" s="82"/>
      <c r="C10" s="82"/>
    </row>
    <row r="11" spans="1:11" s="69" customFormat="1" ht="38.25" x14ac:dyDescent="0.2">
      <c r="A11" s="66" t="s">
        <v>1</v>
      </c>
      <c r="B11" s="66" t="s">
        <v>7</v>
      </c>
      <c r="C11" s="66" t="s">
        <v>2</v>
      </c>
      <c r="D11" s="66" t="s">
        <v>9</v>
      </c>
      <c r="E11" s="66" t="s">
        <v>10</v>
      </c>
      <c r="F11" s="66" t="s">
        <v>156</v>
      </c>
      <c r="G11" s="67" t="s">
        <v>11</v>
      </c>
      <c r="H11" s="66" t="s">
        <v>12</v>
      </c>
      <c r="I11" s="68" t="s">
        <v>0</v>
      </c>
      <c r="J11" s="66" t="s">
        <v>3</v>
      </c>
      <c r="K11" s="66" t="s">
        <v>4</v>
      </c>
    </row>
    <row r="12" spans="1:11" x14ac:dyDescent="0.2">
      <c r="D12" s="70"/>
      <c r="E12" s="70"/>
      <c r="F12" s="122"/>
      <c r="G12" s="75"/>
      <c r="H12" s="70"/>
      <c r="I12" s="70"/>
    </row>
    <row r="13" spans="1:11" x14ac:dyDescent="0.2">
      <c r="A13" s="72" t="s">
        <v>158</v>
      </c>
      <c r="D13" s="70"/>
      <c r="E13" s="70"/>
      <c r="F13" s="122"/>
      <c r="G13" s="75"/>
      <c r="H13" s="70"/>
      <c r="I13" s="70"/>
    </row>
    <row r="14" spans="1:11" x14ac:dyDescent="0.2">
      <c r="A14" s="74" t="s">
        <v>161</v>
      </c>
      <c r="B14" s="76"/>
      <c r="C14" s="59" t="s">
        <v>76</v>
      </c>
      <c r="D14" s="73">
        <f>6.4504</f>
        <v>6.4504000000000001</v>
      </c>
      <c r="F14" s="117"/>
      <c r="G14" s="79">
        <f>B14*D14*(1+MaterialPct)*(1+SalesTax)*CityMatl/100</f>
        <v>0</v>
      </c>
      <c r="I14"/>
      <c r="J14" s="74" t="s">
        <v>318</v>
      </c>
      <c r="K14" s="74" t="s">
        <v>319</v>
      </c>
    </row>
    <row r="15" spans="1:11" x14ac:dyDescent="0.2">
      <c r="A15" s="74" t="s">
        <v>162</v>
      </c>
      <c r="B15" s="76"/>
      <c r="C15" s="74" t="s">
        <v>157</v>
      </c>
      <c r="D15" s="73"/>
      <c r="E15" s="73">
        <f>I27</f>
        <v>41.9</v>
      </c>
      <c r="F15" s="117">
        <f>163.64</f>
        <v>163.63999999999999</v>
      </c>
      <c r="G15" s="79">
        <f>B15*F15*(1+MaterialPct)*(1+SalesTax)*CityMatl/100</f>
        <v>0</v>
      </c>
      <c r="H15" s="73">
        <f>B15*E15*(1+LaborPct)*CityLabor/100</f>
        <v>0</v>
      </c>
      <c r="I15" s="73"/>
      <c r="J15" s="74" t="s">
        <v>318</v>
      </c>
    </row>
    <row r="16" spans="1:11" x14ac:dyDescent="0.2">
      <c r="A16" s="72" t="s">
        <v>145</v>
      </c>
      <c r="B16" s="80">
        <f>I17</f>
        <v>0</v>
      </c>
      <c r="F16" s="116"/>
      <c r="G16"/>
      <c r="H16"/>
    </row>
    <row r="17" spans="1:11" x14ac:dyDescent="0.2">
      <c r="F17" s="116"/>
      <c r="G17"/>
      <c r="H17"/>
      <c r="I17" s="73">
        <f>H15+G14+G15</f>
        <v>0</v>
      </c>
    </row>
    <row r="18" spans="1:11" s="104" customFormat="1" x14ac:dyDescent="0.2">
      <c r="A18" s="95"/>
      <c r="B18" s="95"/>
      <c r="C18" s="95"/>
      <c r="D18" s="95"/>
      <c r="E18" s="95"/>
      <c r="F18" s="118"/>
      <c r="G18" s="95"/>
      <c r="H18" s="95"/>
    </row>
    <row r="19" spans="1:11" x14ac:dyDescent="0.2">
      <c r="A19" s="82"/>
      <c r="B19" s="82"/>
      <c r="C19" s="82"/>
      <c r="F19" s="116"/>
    </row>
    <row r="20" spans="1:11" ht="15" x14ac:dyDescent="0.25">
      <c r="A20" s="89" t="s">
        <v>152</v>
      </c>
      <c r="B20" s="83"/>
      <c r="C20" s="83"/>
      <c r="F20" s="116"/>
    </row>
    <row r="21" spans="1:11" ht="30" x14ac:dyDescent="0.25">
      <c r="A21" s="91" t="s">
        <v>153</v>
      </c>
      <c r="B21" s="83" t="s">
        <v>154</v>
      </c>
      <c r="C21" s="92" t="s">
        <v>153</v>
      </c>
      <c r="D21" s="92" t="s">
        <v>154</v>
      </c>
      <c r="E21" s="92" t="s">
        <v>120</v>
      </c>
      <c r="F21" s="123" t="s">
        <v>76</v>
      </c>
      <c r="G21" s="93" t="s">
        <v>155</v>
      </c>
      <c r="I21" s="93" t="s">
        <v>160</v>
      </c>
    </row>
    <row r="22" spans="1:11" ht="15" x14ac:dyDescent="0.25">
      <c r="A22" s="83">
        <v>21</v>
      </c>
      <c r="B22" s="83">
        <v>37</v>
      </c>
      <c r="C22" s="83">
        <v>21</v>
      </c>
      <c r="D22" s="83">
        <v>53</v>
      </c>
      <c r="E22" s="83">
        <f>C22+D22</f>
        <v>74</v>
      </c>
      <c r="F22" s="124">
        <f>(C22/12)*(D22/12)</f>
        <v>7.729166666666667</v>
      </c>
      <c r="G22" s="90">
        <v>215</v>
      </c>
      <c r="I22" s="73">
        <v>41</v>
      </c>
      <c r="J22" s="74" t="s">
        <v>317</v>
      </c>
      <c r="K22" s="74" t="s">
        <v>317</v>
      </c>
    </row>
    <row r="23" spans="1:11" ht="15" x14ac:dyDescent="0.25">
      <c r="A23" s="83">
        <v>25</v>
      </c>
      <c r="B23" s="83">
        <v>41</v>
      </c>
      <c r="C23" s="83">
        <v>25</v>
      </c>
      <c r="D23" s="83">
        <v>41</v>
      </c>
      <c r="E23" s="83">
        <f>C23+D23</f>
        <v>66</v>
      </c>
      <c r="F23" s="124">
        <f>(C23/12)*(D23/12)</f>
        <v>7.1180555555555554</v>
      </c>
      <c r="G23" s="90">
        <v>215</v>
      </c>
      <c r="I23" s="73">
        <v>36.5</v>
      </c>
      <c r="J23" s="74" t="s">
        <v>320</v>
      </c>
      <c r="K23" s="74" t="s">
        <v>320</v>
      </c>
    </row>
    <row r="24" spans="1:11" ht="15" x14ac:dyDescent="0.25">
      <c r="A24" s="83">
        <v>29</v>
      </c>
      <c r="B24" s="83">
        <v>49</v>
      </c>
      <c r="C24" s="83">
        <v>29</v>
      </c>
      <c r="D24" s="83">
        <v>57</v>
      </c>
      <c r="E24" s="83">
        <f>C24+D24</f>
        <v>86</v>
      </c>
      <c r="F24" s="124">
        <f>(C24/12)*(D24/12)</f>
        <v>11.479166666666666</v>
      </c>
      <c r="G24" s="90">
        <v>232</v>
      </c>
      <c r="I24" s="73">
        <v>43</v>
      </c>
      <c r="J24" s="74" t="s">
        <v>321</v>
      </c>
      <c r="K24" s="74" t="s">
        <v>321</v>
      </c>
    </row>
    <row r="25" spans="1:11" ht="15" x14ac:dyDescent="0.25">
      <c r="A25" s="83">
        <v>33</v>
      </c>
      <c r="B25" s="83">
        <v>69</v>
      </c>
      <c r="C25" s="83">
        <v>33</v>
      </c>
      <c r="D25" s="83">
        <v>57</v>
      </c>
      <c r="E25" s="83">
        <f>C25+D25</f>
        <v>90</v>
      </c>
      <c r="F25" s="124">
        <f>(C25/12)*(D25/12)</f>
        <v>13.0625</v>
      </c>
      <c r="G25" s="90">
        <v>238</v>
      </c>
      <c r="I25" s="73">
        <v>43</v>
      </c>
      <c r="J25" s="74" t="s">
        <v>322</v>
      </c>
      <c r="K25" s="74" t="s">
        <v>322</v>
      </c>
    </row>
    <row r="26" spans="1:11" ht="15" x14ac:dyDescent="0.25">
      <c r="A26" s="83">
        <v>37</v>
      </c>
      <c r="B26" s="83">
        <v>77</v>
      </c>
      <c r="C26" s="83">
        <v>37</v>
      </c>
      <c r="D26" s="83">
        <v>65</v>
      </c>
      <c r="E26" s="83">
        <f>C26+D26</f>
        <v>102</v>
      </c>
      <c r="F26" s="124">
        <f>(C26/12)*(D26/12)</f>
        <v>16.701388888888889</v>
      </c>
      <c r="G26" s="90">
        <v>280</v>
      </c>
      <c r="I26" s="73">
        <v>46</v>
      </c>
      <c r="J26" s="74" t="s">
        <v>323</v>
      </c>
      <c r="K26" s="74" t="s">
        <v>323</v>
      </c>
    </row>
    <row r="27" spans="1:11" x14ac:dyDescent="0.2">
      <c r="F27" s="116"/>
      <c r="I27" s="73">
        <f>AVERAGE(I22:I26)</f>
        <v>41.9</v>
      </c>
      <c r="J27" s="74"/>
    </row>
    <row r="35" spans="1:10" x14ac:dyDescent="0.2">
      <c r="J35" s="144"/>
    </row>
    <row r="36" spans="1:10" x14ac:dyDescent="0.2">
      <c r="J36" s="144"/>
    </row>
    <row r="37" spans="1:10" x14ac:dyDescent="0.2">
      <c r="J37" s="144"/>
    </row>
    <row r="38" spans="1:10" x14ac:dyDescent="0.2">
      <c r="J38" s="144"/>
    </row>
    <row r="39" spans="1:10" x14ac:dyDescent="0.2">
      <c r="A39"/>
      <c r="B39"/>
      <c r="C39"/>
      <c r="D39"/>
      <c r="E39"/>
      <c r="F39"/>
      <c r="G39"/>
    </row>
    <row r="40" spans="1:10" x14ac:dyDescent="0.2">
      <c r="A40"/>
      <c r="B40"/>
      <c r="C40"/>
      <c r="D40"/>
      <c r="E40"/>
      <c r="F40"/>
      <c r="G40"/>
    </row>
    <row r="41" spans="1:10" x14ac:dyDescent="0.2">
      <c r="E41"/>
      <c r="F41"/>
      <c r="G41"/>
    </row>
    <row r="42" spans="1:10" x14ac:dyDescent="0.2">
      <c r="E42"/>
      <c r="F42"/>
      <c r="G42"/>
    </row>
  </sheetData>
  <customSheetViews>
    <customSheetView guid="{26F6D74A-4272-4967-9786-783BACF4AF44}" showGridLines="0" topLeftCell="A2">
      <selection activeCell="A11" sqref="A11"/>
      <pageMargins left="0.7" right="0.7" top="0.75" bottom="0.75" header="0.3" footer="0.3"/>
      <pageSetup orientation="portrait" r:id="rId1"/>
    </customSheetView>
    <customSheetView guid="{6921AA76-5784-426B-8DF3-DBD2F823F221}" showRuler="0" topLeftCell="A14">
      <selection activeCell="A48" sqref="A48"/>
      <pageMargins left="0.7" right="0.7" top="0.75" bottom="0.75" header="0.3" footer="0.3"/>
      <headerFooter alignWithMargins="0"/>
    </customSheetView>
    <customSheetView guid="{79BA202A-326F-4875-A8CA-34B11A509AC2}">
      <selection activeCell="F50" sqref="F50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Normal="100" workbookViewId="0">
      <selection activeCell="H35" sqref="H35"/>
    </sheetView>
  </sheetViews>
  <sheetFormatPr defaultRowHeight="12.75" x14ac:dyDescent="0.2"/>
  <cols>
    <col min="2" max="2" width="4" bestFit="1" customWidth="1"/>
    <col min="5" max="5" width="14.5703125" bestFit="1" customWidth="1"/>
    <col min="6" max="6" width="14.28515625" customWidth="1"/>
    <col min="7" max="7" width="15" customWidth="1"/>
    <col min="8" max="8" width="16.42578125" customWidth="1"/>
    <col min="9" max="9" width="7" bestFit="1" customWidth="1"/>
    <col min="10" max="10" width="13.5703125" customWidth="1"/>
    <col min="11" max="11" width="11.28515625" bestFit="1" customWidth="1"/>
    <col min="12" max="13" width="19.140625" bestFit="1" customWidth="1"/>
  </cols>
  <sheetData>
    <row r="1" spans="1:12" ht="27" x14ac:dyDescent="0.35">
      <c r="A1" s="52" t="s">
        <v>149</v>
      </c>
    </row>
    <row r="2" spans="1:12" ht="9" customHeight="1" x14ac:dyDescent="0.3">
      <c r="A2" s="46" t="s">
        <v>146</v>
      </c>
    </row>
    <row r="3" spans="1:12" s="56" customFormat="1" ht="25.5" x14ac:dyDescent="0.35">
      <c r="A3" s="55" t="s">
        <v>148</v>
      </c>
    </row>
    <row r="4" spans="1:12" ht="9" customHeight="1" x14ac:dyDescent="0.2">
      <c r="A4" s="48"/>
    </row>
    <row r="5" spans="1:12" ht="22.5" x14ac:dyDescent="0.3">
      <c r="A5" s="44" t="s">
        <v>147</v>
      </c>
    </row>
    <row r="6" spans="1:12" x14ac:dyDescent="0.2">
      <c r="A6" s="87" t="s">
        <v>331</v>
      </c>
    </row>
    <row r="7" spans="1:12" ht="9" customHeight="1" x14ac:dyDescent="0.35">
      <c r="A7" s="40"/>
    </row>
    <row r="8" spans="1:12" ht="23.25" x14ac:dyDescent="0.35">
      <c r="A8" s="27" t="s">
        <v>124</v>
      </c>
    </row>
    <row r="9" spans="1:12" x14ac:dyDescent="0.2">
      <c r="A9" t="s">
        <v>139</v>
      </c>
    </row>
    <row r="10" spans="1:12" x14ac:dyDescent="0.2">
      <c r="A10" s="57" t="s">
        <v>219</v>
      </c>
    </row>
    <row r="12" spans="1:12" ht="13.5" thickBot="1" x14ac:dyDescent="0.25"/>
    <row r="13" spans="1:12" ht="13.5" thickBot="1" x14ac:dyDescent="0.25">
      <c r="D13" s="121" t="s">
        <v>326</v>
      </c>
      <c r="E13" s="105"/>
      <c r="F13" s="105"/>
      <c r="G13" s="105"/>
      <c r="H13" s="105"/>
      <c r="I13" s="105"/>
      <c r="J13" s="105"/>
      <c r="K13" s="105"/>
      <c r="L13" s="106"/>
    </row>
    <row r="14" spans="1:12" ht="13.5" thickBot="1" x14ac:dyDescent="0.25">
      <c r="D14" s="111" t="s">
        <v>125</v>
      </c>
      <c r="E14" s="112" t="s">
        <v>121</v>
      </c>
      <c r="F14" s="112" t="s">
        <v>258</v>
      </c>
      <c r="G14" s="112" t="s">
        <v>260</v>
      </c>
      <c r="H14" s="112" t="s">
        <v>259</v>
      </c>
      <c r="I14" s="112" t="s">
        <v>122</v>
      </c>
      <c r="J14" s="112" t="s">
        <v>123</v>
      </c>
      <c r="K14" s="112" t="s">
        <v>142</v>
      </c>
      <c r="L14" s="113" t="s">
        <v>220</v>
      </c>
    </row>
    <row r="15" spans="1:12" ht="13.5" thickTop="1" x14ac:dyDescent="0.2">
      <c r="D15" s="130" t="s">
        <v>327</v>
      </c>
      <c r="E15" s="131" t="s">
        <v>329</v>
      </c>
      <c r="F15" s="107">
        <v>14.4</v>
      </c>
      <c r="G15" s="108">
        <v>10.6</v>
      </c>
      <c r="H15" s="108">
        <v>3.8</v>
      </c>
      <c r="I15" s="108">
        <f>G15+1.63*H15</f>
        <v>16.793999999999997</v>
      </c>
      <c r="J15" s="108">
        <v>438</v>
      </c>
      <c r="K15" s="127">
        <v>476.44</v>
      </c>
      <c r="L15" s="80">
        <f>K15*(1+SalesTax)</f>
        <v>476.44</v>
      </c>
    </row>
    <row r="16" spans="1:12" x14ac:dyDescent="0.2">
      <c r="D16" s="130" t="s">
        <v>327</v>
      </c>
      <c r="E16" s="131" t="s">
        <v>328</v>
      </c>
      <c r="F16" s="108">
        <v>15.8</v>
      </c>
      <c r="G16" s="108">
        <v>11.9</v>
      </c>
      <c r="H16" s="108">
        <v>3.9</v>
      </c>
      <c r="I16" s="108">
        <f>G16+1.63*H16</f>
        <v>18.256999999999998</v>
      </c>
      <c r="J16" s="108">
        <v>454</v>
      </c>
      <c r="K16" s="127">
        <v>516.48</v>
      </c>
      <c r="L16" s="80">
        <f>K16*(1+SalesTax)</f>
        <v>516.48</v>
      </c>
    </row>
    <row r="17" spans="4:12" ht="13.5" thickBot="1" x14ac:dyDescent="0.25">
      <c r="D17" s="109" t="s">
        <v>324</v>
      </c>
      <c r="E17" s="132" t="s">
        <v>325</v>
      </c>
      <c r="F17" s="110">
        <v>18.100000000000001</v>
      </c>
      <c r="G17" s="110">
        <v>13.9</v>
      </c>
      <c r="H17" s="110">
        <v>4.2</v>
      </c>
      <c r="I17" s="110">
        <f>G17+1.63*H17</f>
        <v>20.746000000000002</v>
      </c>
      <c r="J17" s="110">
        <v>480</v>
      </c>
      <c r="K17" s="128">
        <v>540.23</v>
      </c>
      <c r="L17" s="80">
        <f>K17*(1+SalesTax)</f>
        <v>540.23</v>
      </c>
    </row>
    <row r="20" spans="4:12" x14ac:dyDescent="0.2">
      <c r="E20" s="129"/>
    </row>
  </sheetData>
  <customSheetViews>
    <customSheetView guid="{26F6D74A-4272-4967-9786-783BACF4AF44}" showGridLines="0">
      <selection activeCell="J44" sqref="J44"/>
      <pageMargins left="0.75" right="0.75" top="1" bottom="1" header="0.5" footer="0.5"/>
      <pageSetup scale="98" orientation="landscape" r:id="rId1"/>
      <headerFooter alignWithMargins="0"/>
    </customSheetView>
    <customSheetView guid="{6921AA76-5784-426B-8DF3-DBD2F823F221}" showGridLines="0" showRuler="0">
      <pageMargins left="0.75" right="0.75" top="1" bottom="1" header="0.5" footer="0.5"/>
      <pageSetup scale="98" orientation="landscape" verticalDpi="0" r:id="rId2"/>
      <headerFooter alignWithMargins="0"/>
    </customSheetView>
    <customSheetView guid="{79BA202A-326F-4875-A8CA-34B11A509AC2}" showGridLines="0" topLeftCell="A4">
      <selection activeCell="A6" sqref="A6"/>
      <pageMargins left="0.75" right="0.75" top="1" bottom="1" header="0.5" footer="0.5"/>
      <pageSetup scale="98" orientation="landscape" verticalDpi="0" r:id="rId3"/>
      <headerFooter alignWithMargins="0"/>
    </customSheetView>
  </customSheetViews>
  <phoneticPr fontId="0" type="noConversion"/>
  <pageMargins left="0.75" right="0.75" top="1" bottom="1" header="0.5" footer="0.5"/>
  <pageSetup scale="98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Constants</vt:lpstr>
      <vt:lpstr>Heating</vt:lpstr>
      <vt:lpstr>Exterior Walls</vt:lpstr>
      <vt:lpstr>Slab-on-Grade</vt:lpstr>
      <vt:lpstr>Floor</vt:lpstr>
      <vt:lpstr>Roof</vt:lpstr>
      <vt:lpstr>Windows</vt:lpstr>
      <vt:lpstr>Fridges</vt:lpstr>
      <vt:lpstr>CityLabor</vt:lpstr>
      <vt:lpstr>CityLookup</vt:lpstr>
      <vt:lpstr>CityMatl</vt:lpstr>
      <vt:lpstr>LaborPct</vt:lpstr>
      <vt:lpstr>MaterialPct</vt:lpstr>
      <vt:lpstr>SalesTax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Cogan</dc:creator>
  <cp:lastModifiedBy>Gleeson, Pamela</cp:lastModifiedBy>
  <cp:lastPrinted>2005-12-09T15:53:54Z</cp:lastPrinted>
  <dcterms:created xsi:type="dcterms:W3CDTF">2005-07-01T18:47:45Z</dcterms:created>
  <dcterms:modified xsi:type="dcterms:W3CDTF">2014-12-24T14:38:40Z</dcterms:modified>
</cp:coreProperties>
</file>